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drawings/drawing6.xml" ContentType="application/vnd.openxmlformats-officedocument.drawing+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drawings/drawing8.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9.xml" ContentType="application/vnd.openxmlformats-officedocument.drawing+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10.xml" ContentType="application/vnd.openxmlformats-officedocument.drawing+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drawings/drawing11.xml" ContentType="application/vnd.openxmlformats-officedocument.drawing+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drawings/drawing12.xml" ContentType="application/vnd.openxmlformats-officedocument.drawing+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RIVE-E\B.C\SoR File\SoR 2023-24\UPLOADING IN URJAINET\Schedules to upload on 29.02.24\"/>
    </mc:Choice>
  </mc:AlternateContent>
  <bookViews>
    <workbookView xWindow="0" yWindow="0" windowWidth="15360" windowHeight="7095" tabRatio="806" firstSheet="63" activeTab="79"/>
  </bookViews>
  <sheets>
    <sheet name="SOR RATE" sheetId="12" r:id="rId1"/>
    <sheet name="A-1" sheetId="13" r:id="rId2"/>
    <sheet name="A-2 (A)" sheetId="14" r:id="rId3"/>
    <sheet name="A-2 (B)" sheetId="15" r:id="rId4"/>
    <sheet name="A-3" sheetId="16" r:id="rId5"/>
    <sheet name="A-3 (A)" sheetId="17" r:id="rId6"/>
    <sheet name="A-3 (B)" sheetId="18" r:id="rId7"/>
    <sheet name="A-4" sheetId="64" r:id="rId8"/>
    <sheet name="A-5" sheetId="20" r:id="rId9"/>
    <sheet name="A-6" sheetId="65" r:id="rId10"/>
    <sheet name="A-7" sheetId="74" r:id="rId11"/>
    <sheet name="A-8" sheetId="75" r:id="rId12"/>
    <sheet name="A-9" sheetId="76" r:id="rId13"/>
    <sheet name="A-10" sheetId="66" r:id="rId14"/>
    <sheet name="A-11" sheetId="67" r:id="rId15"/>
    <sheet name="B-1" sheetId="31" r:id="rId16"/>
    <sheet name="B-2" sheetId="32" r:id="rId17"/>
    <sheet name="B-3" sheetId="33" r:id="rId18"/>
    <sheet name="B-4" sheetId="35" r:id="rId19"/>
    <sheet name="B-5" sheetId="36" r:id="rId20"/>
    <sheet name="B-6" sheetId="34" r:id="rId21"/>
    <sheet name="B-8" sheetId="46" r:id="rId22"/>
    <sheet name="B-9" sheetId="47" r:id="rId23"/>
    <sheet name="C-1" sheetId="1" r:id="rId24"/>
    <sheet name="C-2" sheetId="2" r:id="rId25"/>
    <sheet name="C-3" sheetId="3" r:id="rId26"/>
    <sheet name="C-3 (A)" sheetId="4" r:id="rId27"/>
    <sheet name="C-3 (B)" sheetId="5" r:id="rId28"/>
    <sheet name="C-3 (C)" sheetId="6" r:id="rId29"/>
    <sheet name="C-3 (D)" sheetId="7" r:id="rId30"/>
    <sheet name="C-3 (E)" sheetId="8" r:id="rId31"/>
    <sheet name="C-4" sheetId="9" r:id="rId32"/>
    <sheet name="C-5" sheetId="10" r:id="rId33"/>
    <sheet name="C-6" sheetId="11" r:id="rId34"/>
    <sheet name="C-7(A-1)" sheetId="58" r:id="rId35"/>
    <sheet name="C-7(A-2)" sheetId="59" r:id="rId36"/>
    <sheet name="C-7(B-1)" sheetId="61" r:id="rId37"/>
    <sheet name="C-7 (B-1) A" sheetId="98" r:id="rId38"/>
    <sheet name="C-7 (B-1) B" sheetId="99" r:id="rId39"/>
    <sheet name="C-7(B-2)" sheetId="62" r:id="rId40"/>
    <sheet name="C-8" sheetId="60" r:id="rId41"/>
    <sheet name="C-9" sheetId="52" r:id="rId42"/>
    <sheet name="C-9 (A)" sheetId="53" r:id="rId43"/>
    <sheet name="C-10" sheetId="63" r:id="rId44"/>
    <sheet name="C-11" sheetId="68" r:id="rId45"/>
    <sheet name="C-12" sheetId="71" r:id="rId46"/>
    <sheet name="C-13" sheetId="69" r:id="rId47"/>
    <sheet name="C-14" sheetId="70" r:id="rId48"/>
    <sheet name="C-15" sheetId="72" r:id="rId49"/>
    <sheet name="C-16" sheetId="57" r:id="rId50"/>
    <sheet name="C-17" sheetId="77" r:id="rId51"/>
    <sheet name="C-18" sheetId="92" r:id="rId52"/>
    <sheet name="C-19" sheetId="73" r:id="rId53"/>
    <sheet name="C-20" sheetId="100" r:id="rId54"/>
    <sheet name="C-21" sheetId="78" r:id="rId55"/>
    <sheet name="C-22" sheetId="24" r:id="rId56"/>
    <sheet name="D-1" sheetId="25" r:id="rId57"/>
    <sheet name="D-2" sheetId="26" r:id="rId58"/>
    <sheet name="D-3" sheetId="27" r:id="rId59"/>
    <sheet name="D-4" sheetId="28" r:id="rId60"/>
    <sheet name="D-5" sheetId="93" r:id="rId61"/>
    <sheet name="D-6 (1)" sheetId="87" r:id="rId62"/>
    <sheet name="D-6 (2)" sheetId="88" r:id="rId63"/>
    <sheet name="D-6 (3)" sheetId="79" r:id="rId64"/>
    <sheet name="D-6 (4)" sheetId="80" r:id="rId65"/>
    <sheet name="D-6 (B)" sheetId="37" r:id="rId66"/>
    <sheet name="D-7" sheetId="89" r:id="rId67"/>
    <sheet name="D-8" sheetId="90" r:id="rId68"/>
    <sheet name="D-9" sheetId="91" r:id="rId69"/>
    <sheet name="D-10" sheetId="94" r:id="rId70"/>
    <sheet name="D-11" sheetId="95" r:id="rId71"/>
    <sheet name="D-12" sheetId="96" r:id="rId72"/>
    <sheet name="D-13" sheetId="97" r:id="rId73"/>
    <sheet name="D-14" sheetId="56" r:id="rId74"/>
    <sheet name="E-1" sheetId="81" r:id="rId75"/>
    <sheet name="E-2" sheetId="82" r:id="rId76"/>
    <sheet name="E-3" sheetId="83" r:id="rId77"/>
    <sheet name="E-4" sheetId="84" r:id="rId78"/>
    <sheet name="E-5" sheetId="85" r:id="rId79"/>
    <sheet name="E-6" sheetId="86"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B">[1]DLC!$GR$107</definedName>
    <definedName name="\C" localSheetId="13">#REF!</definedName>
    <definedName name="\C" localSheetId="14">#REF!</definedName>
    <definedName name="\C" localSheetId="7">#REF!</definedName>
    <definedName name="\C" localSheetId="9">#REF!</definedName>
    <definedName name="\C" localSheetId="10">#REF!</definedName>
    <definedName name="\C" localSheetId="11">#REF!</definedName>
    <definedName name="\C" localSheetId="12">#REF!</definedName>
    <definedName name="\C" localSheetId="43">#REF!</definedName>
    <definedName name="\C" localSheetId="44">#REF!</definedName>
    <definedName name="\C" localSheetId="45">#REF!</definedName>
    <definedName name="\C" localSheetId="46">#REF!</definedName>
    <definedName name="\C" localSheetId="47">#REF!</definedName>
    <definedName name="\C" localSheetId="48">#REF!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37">#REF!</definedName>
    <definedName name="\C" localSheetId="38">#REF!</definedName>
    <definedName name="\C" localSheetId="34">#REF!</definedName>
    <definedName name="\C" localSheetId="35">#REF!</definedName>
    <definedName name="\C" localSheetId="36">#REF!</definedName>
    <definedName name="\C" localSheetId="39">#REF!</definedName>
    <definedName name="\C" localSheetId="40">#REF!</definedName>
    <definedName name="\C" localSheetId="69">#REF!</definedName>
    <definedName name="\C" localSheetId="70">#REF!</definedName>
    <definedName name="\C" localSheetId="71">#REF!</definedName>
    <definedName name="\C" localSheetId="72">#REF!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6">#REF!</definedName>
    <definedName name="\C" localSheetId="67">#REF!</definedName>
    <definedName name="\C" localSheetId="68">#REF!</definedName>
    <definedName name="\C" localSheetId="74">#REF!</definedName>
    <definedName name="\C" localSheetId="75">#REF!</definedName>
    <definedName name="\C" localSheetId="76">#REF!</definedName>
    <definedName name="\C" localSheetId="77">#REF!</definedName>
    <definedName name="\C" localSheetId="78">#REF!</definedName>
    <definedName name="\C" localSheetId="79">#REF!</definedName>
    <definedName name="\C">#REF!</definedName>
    <definedName name="\f" localSheetId="13">#REF!</definedName>
    <definedName name="\f" localSheetId="14">#REF!</definedName>
    <definedName name="\f" localSheetId="7">#REF!</definedName>
    <definedName name="\f" localSheetId="9">#REF!</definedName>
    <definedName name="\f" localSheetId="10">#REF!</definedName>
    <definedName name="\f" localSheetId="11">#REF!</definedName>
    <definedName name="\f" localSheetId="12">#REF!</definedName>
    <definedName name="\f" localSheetId="43">#REF!</definedName>
    <definedName name="\f" localSheetId="44">#REF!</definedName>
    <definedName name="\f" localSheetId="45">#REF!</definedName>
    <definedName name="\f" localSheetId="46">#REF!</definedName>
    <definedName name="\f" localSheetId="47">#REF!</definedName>
    <definedName name="\f" localSheetId="48">#REF!</definedName>
    <definedName name="\f" localSheetId="50">#REF!</definedName>
    <definedName name="\f" localSheetId="51">#REF!</definedName>
    <definedName name="\f" localSheetId="52">#REF!</definedName>
    <definedName name="\f" localSheetId="53">#REF!</definedName>
    <definedName name="\f" localSheetId="54">#REF!</definedName>
    <definedName name="\f" localSheetId="37">#REF!</definedName>
    <definedName name="\f" localSheetId="38">#REF!</definedName>
    <definedName name="\f" localSheetId="34">#REF!</definedName>
    <definedName name="\f" localSheetId="35">#REF!</definedName>
    <definedName name="\f" localSheetId="36">#REF!</definedName>
    <definedName name="\f" localSheetId="39">#REF!</definedName>
    <definedName name="\f" localSheetId="40">#REF!</definedName>
    <definedName name="\f" localSheetId="69">#REF!</definedName>
    <definedName name="\f" localSheetId="70">#REF!</definedName>
    <definedName name="\f" localSheetId="71">#REF!</definedName>
    <definedName name="\f" localSheetId="72">#REF!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6">#REF!</definedName>
    <definedName name="\f" localSheetId="67">#REF!</definedName>
    <definedName name="\f" localSheetId="68">#REF!</definedName>
    <definedName name="\f" localSheetId="74">#REF!</definedName>
    <definedName name="\f" localSheetId="75">#REF!</definedName>
    <definedName name="\f" localSheetId="76">#REF!</definedName>
    <definedName name="\f" localSheetId="77">#REF!</definedName>
    <definedName name="\f" localSheetId="78">#REF!</definedName>
    <definedName name="\f" localSheetId="79">#REF!</definedName>
    <definedName name="\f">#REF!</definedName>
    <definedName name="\H" localSheetId="13">'[2]STN WISE EMR'!#REF!</definedName>
    <definedName name="\H" localSheetId="14">'[2]STN WISE EMR'!#REF!</definedName>
    <definedName name="\H" localSheetId="7">'[2]STN WISE EMR'!#REF!</definedName>
    <definedName name="\H" localSheetId="9">'[2]STN WISE EMR'!#REF!</definedName>
    <definedName name="\H" localSheetId="10">'[2]STN WISE EMR'!#REF!</definedName>
    <definedName name="\H" localSheetId="11">'[2]STN WISE EMR'!#REF!</definedName>
    <definedName name="\H" localSheetId="12">'[2]STN WISE EMR'!#REF!</definedName>
    <definedName name="\H" localSheetId="43">'[2]STN WISE EMR'!#REF!</definedName>
    <definedName name="\H" localSheetId="44">'[2]STN WISE EMR'!#REF!</definedName>
    <definedName name="\H" localSheetId="45">'[2]STN WISE EMR'!#REF!</definedName>
    <definedName name="\H" localSheetId="46">'[2]STN WISE EMR'!#REF!</definedName>
    <definedName name="\H" localSheetId="47">'[2]STN WISE EMR'!#REF!</definedName>
    <definedName name="\H" localSheetId="48">'[2]STN WISE EMR'!#REF!</definedName>
    <definedName name="\H" localSheetId="50">'[2]STN WISE EMR'!#REF!</definedName>
    <definedName name="\H" localSheetId="51">'[2]STN WISE EMR'!#REF!</definedName>
    <definedName name="\H" localSheetId="52">'[2]STN WISE EMR'!#REF!</definedName>
    <definedName name="\H" localSheetId="53">'[2]STN WISE EMR'!#REF!</definedName>
    <definedName name="\H" localSheetId="54">'[2]STN WISE EMR'!#REF!</definedName>
    <definedName name="\H" localSheetId="37">'[2]STN WISE EMR'!#REF!</definedName>
    <definedName name="\H" localSheetId="38">'[2]STN WISE EMR'!#REF!</definedName>
    <definedName name="\H" localSheetId="34">'[2]STN WISE EMR'!#REF!</definedName>
    <definedName name="\H" localSheetId="35">'[2]STN WISE EMR'!#REF!</definedName>
    <definedName name="\H" localSheetId="36">'[2]STN WISE EMR'!#REF!</definedName>
    <definedName name="\H" localSheetId="39">'[2]STN WISE EMR'!#REF!</definedName>
    <definedName name="\H" localSheetId="40">'[2]STN WISE EMR'!#REF!</definedName>
    <definedName name="\H" localSheetId="69">'[2]STN WISE EMR'!#REF!</definedName>
    <definedName name="\H" localSheetId="70">'[2]STN WISE EMR'!#REF!</definedName>
    <definedName name="\H" localSheetId="71">'[2]STN WISE EMR'!#REF!</definedName>
    <definedName name="\H" localSheetId="72">'[2]STN WISE EMR'!#REF!</definedName>
    <definedName name="\H" localSheetId="60">'[2]STN WISE EMR'!#REF!</definedName>
    <definedName name="\H" localSheetId="61">'[2]STN WISE EMR'!#REF!</definedName>
    <definedName name="\H" localSheetId="62">'[2]STN WISE EMR'!#REF!</definedName>
    <definedName name="\H" localSheetId="63">'[2]STN WISE EMR'!#REF!</definedName>
    <definedName name="\H" localSheetId="64">'[2]STN WISE EMR'!#REF!</definedName>
    <definedName name="\H" localSheetId="66">'[2]STN WISE EMR'!#REF!</definedName>
    <definedName name="\H" localSheetId="67">'[2]STN WISE EMR'!#REF!</definedName>
    <definedName name="\H" localSheetId="68">'[2]STN WISE EMR'!#REF!</definedName>
    <definedName name="\H" localSheetId="74">'[2]STN WISE EMR'!#REF!</definedName>
    <definedName name="\H" localSheetId="75">'[2]STN WISE EMR'!#REF!</definedName>
    <definedName name="\H" localSheetId="76">'[2]STN WISE EMR'!#REF!</definedName>
    <definedName name="\H" localSheetId="77">'[2]STN WISE EMR'!#REF!</definedName>
    <definedName name="\H" localSheetId="78">'[2]STN WISE EMR'!#REF!</definedName>
    <definedName name="\H" localSheetId="79">'[2]STN WISE EMR'!#REF!</definedName>
    <definedName name="\H">'[2]STN WISE EMR'!#REF!</definedName>
    <definedName name="\L">[1]DLC!$HR$111</definedName>
    <definedName name="\P">[1]DLC!$HR$109</definedName>
    <definedName name="\Q">[1]DLC!$GS$323:$GS$335</definedName>
    <definedName name="\V" localSheetId="13">'[3]R.Hrs. Since Comm'!#REF!</definedName>
    <definedName name="\V" localSheetId="14">'[3]R.Hrs. Since Comm'!#REF!</definedName>
    <definedName name="\V" localSheetId="7">'[3]R.Hrs. Since Comm'!#REF!</definedName>
    <definedName name="\V" localSheetId="9">'[3]R.Hrs. Since Comm'!#REF!</definedName>
    <definedName name="\V" localSheetId="10">'[3]R.Hrs. Since Comm'!#REF!</definedName>
    <definedName name="\V" localSheetId="11">'[3]R.Hrs. Since Comm'!#REF!</definedName>
    <definedName name="\V" localSheetId="12">'[3]R.Hrs. Since Comm'!#REF!</definedName>
    <definedName name="\V" localSheetId="43">'[3]R.Hrs. Since Comm'!#REF!</definedName>
    <definedName name="\V" localSheetId="44">'[3]R.Hrs. Since Comm'!#REF!</definedName>
    <definedName name="\V" localSheetId="45">'[3]R.Hrs. Since Comm'!#REF!</definedName>
    <definedName name="\V" localSheetId="46">'[3]R.Hrs. Since Comm'!#REF!</definedName>
    <definedName name="\V" localSheetId="47">'[3]R.Hrs. Since Comm'!#REF!</definedName>
    <definedName name="\V" localSheetId="48">'[3]R.Hrs. Since Comm'!#REF!</definedName>
    <definedName name="\V" localSheetId="50">'[3]R.Hrs. Since Comm'!#REF!</definedName>
    <definedName name="\V" localSheetId="51">'[3]R.Hrs. Since Comm'!#REF!</definedName>
    <definedName name="\V" localSheetId="52">'[3]R.Hrs. Since Comm'!#REF!</definedName>
    <definedName name="\V" localSheetId="53">'[3]R.Hrs. Since Comm'!#REF!</definedName>
    <definedName name="\V" localSheetId="54">'[3]R.Hrs. Since Comm'!#REF!</definedName>
    <definedName name="\V" localSheetId="37">'[3]R.Hrs. Since Comm'!#REF!</definedName>
    <definedName name="\V" localSheetId="38">'[3]R.Hrs. Since Comm'!#REF!</definedName>
    <definedName name="\V" localSheetId="34">'[3]R.Hrs. Since Comm'!#REF!</definedName>
    <definedName name="\V" localSheetId="35">'[3]R.Hrs. Since Comm'!#REF!</definedName>
    <definedName name="\V" localSheetId="36">'[3]R.Hrs. Since Comm'!#REF!</definedName>
    <definedName name="\V" localSheetId="39">'[3]R.Hrs. Since Comm'!#REF!</definedName>
    <definedName name="\V" localSheetId="40">'[3]R.Hrs. Since Comm'!#REF!</definedName>
    <definedName name="\V" localSheetId="69">'[3]R.Hrs. Since Comm'!#REF!</definedName>
    <definedName name="\V" localSheetId="70">'[3]R.Hrs. Since Comm'!#REF!</definedName>
    <definedName name="\V" localSheetId="71">'[3]R.Hrs. Since Comm'!#REF!</definedName>
    <definedName name="\V" localSheetId="72">'[3]R.Hrs. Since Comm'!#REF!</definedName>
    <definedName name="\V" localSheetId="60">'[3]R.Hrs. Since Comm'!#REF!</definedName>
    <definedName name="\V" localSheetId="61">'[3]R.Hrs. Since Comm'!#REF!</definedName>
    <definedName name="\V" localSheetId="62">'[3]R.Hrs. Since Comm'!#REF!</definedName>
    <definedName name="\V" localSheetId="63">'[3]R.Hrs. Since Comm'!#REF!</definedName>
    <definedName name="\V" localSheetId="64">'[3]R.Hrs. Since Comm'!#REF!</definedName>
    <definedName name="\V" localSheetId="66">'[3]R.Hrs. Since Comm'!#REF!</definedName>
    <definedName name="\V" localSheetId="67">'[3]R.Hrs. Since Comm'!#REF!</definedName>
    <definedName name="\V" localSheetId="68">'[3]R.Hrs. Since Comm'!#REF!</definedName>
    <definedName name="\V" localSheetId="74">'[3]R.Hrs. Since Comm'!#REF!</definedName>
    <definedName name="\V" localSheetId="75">'[3]R.Hrs. Since Comm'!#REF!</definedName>
    <definedName name="\V" localSheetId="76">'[3]R.Hrs. Since Comm'!#REF!</definedName>
    <definedName name="\V" localSheetId="77">'[3]R.Hrs. Since Comm'!#REF!</definedName>
    <definedName name="\V" localSheetId="78">'[3]R.Hrs. Since Comm'!#REF!</definedName>
    <definedName name="\V" localSheetId="79">'[3]R.Hrs. Since Comm'!#REF!</definedName>
    <definedName name="\V">'[3]R.Hrs. Since Comm'!#REF!</definedName>
    <definedName name="\X" localSheetId="13">#REF!</definedName>
    <definedName name="\X" localSheetId="14">#REF!</definedName>
    <definedName name="\X" localSheetId="7">#REF!</definedName>
    <definedName name="\X" localSheetId="9">#REF!</definedName>
    <definedName name="\X" localSheetId="10">#REF!</definedName>
    <definedName name="\X" localSheetId="11">#REF!</definedName>
    <definedName name="\X" localSheetId="1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50">#REF!</definedName>
    <definedName name="\X" localSheetId="51">#REF!</definedName>
    <definedName name="\X" localSheetId="52">#REF!</definedName>
    <definedName name="\X" localSheetId="53">#REF!</definedName>
    <definedName name="\X" localSheetId="54">#REF!</definedName>
    <definedName name="\X" localSheetId="37">#REF!</definedName>
    <definedName name="\X" localSheetId="38">#REF!</definedName>
    <definedName name="\X" localSheetId="34">#REF!</definedName>
    <definedName name="\X" localSheetId="35">#REF!</definedName>
    <definedName name="\X" localSheetId="36">#REF!</definedName>
    <definedName name="\X" localSheetId="39">#REF!</definedName>
    <definedName name="\X" localSheetId="40">#REF!</definedName>
    <definedName name="\X" localSheetId="69">#REF!</definedName>
    <definedName name="\X" localSheetId="70">#REF!</definedName>
    <definedName name="\X" localSheetId="71">#REF!</definedName>
    <definedName name="\X" localSheetId="72">#REF!</definedName>
    <definedName name="\X" localSheetId="60">#REF!</definedName>
    <definedName name="\X" localSheetId="61">#REF!</definedName>
    <definedName name="\X" localSheetId="62">#REF!</definedName>
    <definedName name="\X" localSheetId="63">#REF!</definedName>
    <definedName name="\X" localSheetId="64">#REF!</definedName>
    <definedName name="\X" localSheetId="66">#REF!</definedName>
    <definedName name="\X" localSheetId="67">#REF!</definedName>
    <definedName name="\X" localSheetId="68">#REF!</definedName>
    <definedName name="\X" localSheetId="74">#REF!</definedName>
    <definedName name="\X" localSheetId="75">#REF!</definedName>
    <definedName name="\X" localSheetId="76">#REF!</definedName>
    <definedName name="\X" localSheetId="77">#REF!</definedName>
    <definedName name="\X" localSheetId="78">#REF!</definedName>
    <definedName name="\X" localSheetId="79">#REF!</definedName>
    <definedName name="\X">#REF!</definedName>
    <definedName name="\Z" localSheetId="13">#REF!</definedName>
    <definedName name="\Z" localSheetId="14">#REF!</definedName>
    <definedName name="\Z" localSheetId="7">#REF!</definedName>
    <definedName name="\Z" localSheetId="9">#REF!</definedName>
    <definedName name="\Z" localSheetId="10">#REF!</definedName>
    <definedName name="\Z" localSheetId="11">#REF!</definedName>
    <definedName name="\Z" localSheetId="1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48">#REF!</definedName>
    <definedName name="\Z" localSheetId="50">#REF!</definedName>
    <definedName name="\Z" localSheetId="51">#REF!</definedName>
    <definedName name="\Z" localSheetId="52">#REF!</definedName>
    <definedName name="\Z" localSheetId="53">#REF!</definedName>
    <definedName name="\Z" localSheetId="54">#REF!</definedName>
    <definedName name="\Z" localSheetId="37">#REF!</definedName>
    <definedName name="\Z" localSheetId="38">#REF!</definedName>
    <definedName name="\Z" localSheetId="34">#REF!</definedName>
    <definedName name="\Z" localSheetId="35">#REF!</definedName>
    <definedName name="\Z" localSheetId="36">#REF!</definedName>
    <definedName name="\Z" localSheetId="39">#REF!</definedName>
    <definedName name="\Z" localSheetId="40">#REF!</definedName>
    <definedName name="\Z" localSheetId="69">#REF!</definedName>
    <definedName name="\Z" localSheetId="70">#REF!</definedName>
    <definedName name="\Z" localSheetId="71">#REF!</definedName>
    <definedName name="\Z" localSheetId="72">#REF!</definedName>
    <definedName name="\Z" localSheetId="60">#REF!</definedName>
    <definedName name="\Z" localSheetId="61">#REF!</definedName>
    <definedName name="\Z" localSheetId="62">#REF!</definedName>
    <definedName name="\Z" localSheetId="63">#REF!</definedName>
    <definedName name="\Z" localSheetId="64">#REF!</definedName>
    <definedName name="\Z" localSheetId="66">#REF!</definedName>
    <definedName name="\Z" localSheetId="67">#REF!</definedName>
    <definedName name="\Z" localSheetId="68">#REF!</definedName>
    <definedName name="\Z" localSheetId="74">#REF!</definedName>
    <definedName name="\Z" localSheetId="75">#REF!</definedName>
    <definedName name="\Z" localSheetId="76">#REF!</definedName>
    <definedName name="\Z" localSheetId="77">#REF!</definedName>
    <definedName name="\Z" localSheetId="78">#REF!</definedName>
    <definedName name="\Z" localSheetId="79">#REF!</definedName>
    <definedName name="\Z">#REF!</definedName>
    <definedName name="____BSD1" localSheetId="13">#REF!</definedName>
    <definedName name="____BSD1" localSheetId="14">#REF!</definedName>
    <definedName name="____BSD1" localSheetId="7">#REF!</definedName>
    <definedName name="____BSD1" localSheetId="9">#REF!</definedName>
    <definedName name="____BSD1" localSheetId="10">#REF!</definedName>
    <definedName name="____BSD1" localSheetId="11">#REF!</definedName>
    <definedName name="____BSD1" localSheetId="12">#REF!</definedName>
    <definedName name="____BSD1" localSheetId="43">#REF!</definedName>
    <definedName name="____BSD1" localSheetId="44">#REF!</definedName>
    <definedName name="____BSD1" localSheetId="45">#REF!</definedName>
    <definedName name="____BSD1" localSheetId="46">#REF!</definedName>
    <definedName name="____BSD1" localSheetId="47">#REF!</definedName>
    <definedName name="____BSD1" localSheetId="48">#REF!</definedName>
    <definedName name="____BSD1" localSheetId="50">#REF!</definedName>
    <definedName name="____BSD1" localSheetId="51">#REF!</definedName>
    <definedName name="____BSD1" localSheetId="52">#REF!</definedName>
    <definedName name="____BSD1" localSheetId="53">#REF!</definedName>
    <definedName name="____BSD1" localSheetId="54">#REF!</definedName>
    <definedName name="____BSD1" localSheetId="37">#REF!</definedName>
    <definedName name="____BSD1" localSheetId="38">#REF!</definedName>
    <definedName name="____BSD1" localSheetId="34">#REF!</definedName>
    <definedName name="____BSD1" localSheetId="35">#REF!</definedName>
    <definedName name="____BSD1" localSheetId="36">#REF!</definedName>
    <definedName name="____BSD1" localSheetId="39">#REF!</definedName>
    <definedName name="____BSD1" localSheetId="40">#REF!</definedName>
    <definedName name="____BSD1" localSheetId="69">#REF!</definedName>
    <definedName name="____BSD1" localSheetId="70">#REF!</definedName>
    <definedName name="____BSD1" localSheetId="71">#REF!</definedName>
    <definedName name="____BSD1" localSheetId="72">#REF!</definedName>
    <definedName name="____BSD1" localSheetId="60">#REF!</definedName>
    <definedName name="____BSD1" localSheetId="61">#REF!</definedName>
    <definedName name="____BSD1" localSheetId="62">#REF!</definedName>
    <definedName name="____BSD1" localSheetId="63">#REF!</definedName>
    <definedName name="____BSD1" localSheetId="64">#REF!</definedName>
    <definedName name="____BSD1" localSheetId="66">#REF!</definedName>
    <definedName name="____BSD1" localSheetId="67">#REF!</definedName>
    <definedName name="____BSD1" localSheetId="68">#REF!</definedName>
    <definedName name="____BSD1" localSheetId="74">#REF!</definedName>
    <definedName name="____BSD1" localSheetId="75">#REF!</definedName>
    <definedName name="____BSD1" localSheetId="76">#REF!</definedName>
    <definedName name="____BSD1" localSheetId="77">#REF!</definedName>
    <definedName name="____BSD1" localSheetId="78">#REF!</definedName>
    <definedName name="____BSD1" localSheetId="79">#REF!</definedName>
    <definedName name="____BSD1">#REF!</definedName>
    <definedName name="____BSD2" localSheetId="13">#REF!</definedName>
    <definedName name="____BSD2" localSheetId="14">#REF!</definedName>
    <definedName name="____BSD2" localSheetId="7">#REF!</definedName>
    <definedName name="____BSD2" localSheetId="9">#REF!</definedName>
    <definedName name="____BSD2" localSheetId="10">#REF!</definedName>
    <definedName name="____BSD2" localSheetId="11">#REF!</definedName>
    <definedName name="____BSD2" localSheetId="12">#REF!</definedName>
    <definedName name="____BSD2" localSheetId="43">#REF!</definedName>
    <definedName name="____BSD2" localSheetId="44">#REF!</definedName>
    <definedName name="____BSD2" localSheetId="45">#REF!</definedName>
    <definedName name="____BSD2" localSheetId="46">#REF!</definedName>
    <definedName name="____BSD2" localSheetId="47">#REF!</definedName>
    <definedName name="____BSD2" localSheetId="48">#REF!</definedName>
    <definedName name="____BSD2" localSheetId="50">#REF!</definedName>
    <definedName name="____BSD2" localSheetId="51">#REF!</definedName>
    <definedName name="____BSD2" localSheetId="52">#REF!</definedName>
    <definedName name="____BSD2" localSheetId="53">#REF!</definedName>
    <definedName name="____BSD2" localSheetId="54">#REF!</definedName>
    <definedName name="____BSD2" localSheetId="37">#REF!</definedName>
    <definedName name="____BSD2" localSheetId="38">#REF!</definedName>
    <definedName name="____BSD2" localSheetId="34">#REF!</definedName>
    <definedName name="____BSD2" localSheetId="35">#REF!</definedName>
    <definedName name="____BSD2" localSheetId="36">#REF!</definedName>
    <definedName name="____BSD2" localSheetId="39">#REF!</definedName>
    <definedName name="____BSD2" localSheetId="40">#REF!</definedName>
    <definedName name="____BSD2" localSheetId="69">#REF!</definedName>
    <definedName name="____BSD2" localSheetId="70">#REF!</definedName>
    <definedName name="____BSD2" localSheetId="71">#REF!</definedName>
    <definedName name="____BSD2" localSheetId="72">#REF!</definedName>
    <definedName name="____BSD2" localSheetId="60">#REF!</definedName>
    <definedName name="____BSD2" localSheetId="61">#REF!</definedName>
    <definedName name="____BSD2" localSheetId="62">#REF!</definedName>
    <definedName name="____BSD2" localSheetId="63">#REF!</definedName>
    <definedName name="____BSD2" localSheetId="64">#REF!</definedName>
    <definedName name="____BSD2" localSheetId="66">#REF!</definedName>
    <definedName name="____BSD2" localSheetId="67">#REF!</definedName>
    <definedName name="____BSD2" localSheetId="68">#REF!</definedName>
    <definedName name="____BSD2" localSheetId="74">#REF!</definedName>
    <definedName name="____BSD2" localSheetId="75">#REF!</definedName>
    <definedName name="____BSD2" localSheetId="76">#REF!</definedName>
    <definedName name="____BSD2" localSheetId="77">#REF!</definedName>
    <definedName name="____BSD2" localSheetId="78">#REF!</definedName>
    <definedName name="____BSD2" localSheetId="79">#REF!</definedName>
    <definedName name="____BSD2">#REF!</definedName>
    <definedName name="____CZ1">[4]data!$F$721</definedName>
    <definedName name="____IED1" localSheetId="13">#REF!</definedName>
    <definedName name="____IED1" localSheetId="14">#REF!</definedName>
    <definedName name="____IED1" localSheetId="7">#REF!</definedName>
    <definedName name="____IED1" localSheetId="9">#REF!</definedName>
    <definedName name="____IED1" localSheetId="10">#REF!</definedName>
    <definedName name="____IED1" localSheetId="11">#REF!</definedName>
    <definedName name="____IED1" localSheetId="12">#REF!</definedName>
    <definedName name="____IED1" localSheetId="43">#REF!</definedName>
    <definedName name="____IED1" localSheetId="44">#REF!</definedName>
    <definedName name="____IED1" localSheetId="45">#REF!</definedName>
    <definedName name="____IED1" localSheetId="46">#REF!</definedName>
    <definedName name="____IED1" localSheetId="47">#REF!</definedName>
    <definedName name="____IED1" localSheetId="48">#REF!</definedName>
    <definedName name="____IED1" localSheetId="50">#REF!</definedName>
    <definedName name="____IED1" localSheetId="51">#REF!</definedName>
    <definedName name="____IED1" localSheetId="52">#REF!</definedName>
    <definedName name="____IED1" localSheetId="53">#REF!</definedName>
    <definedName name="____IED1" localSheetId="54">#REF!</definedName>
    <definedName name="____IED1" localSheetId="37">#REF!</definedName>
    <definedName name="____IED1" localSheetId="38">#REF!</definedName>
    <definedName name="____IED1" localSheetId="34">#REF!</definedName>
    <definedName name="____IED1" localSheetId="35">#REF!</definedName>
    <definedName name="____IED1" localSheetId="36">#REF!</definedName>
    <definedName name="____IED1" localSheetId="39">#REF!</definedName>
    <definedName name="____IED1" localSheetId="40">#REF!</definedName>
    <definedName name="____IED1" localSheetId="69">#REF!</definedName>
    <definedName name="____IED1" localSheetId="70">#REF!</definedName>
    <definedName name="____IED1" localSheetId="71">#REF!</definedName>
    <definedName name="____IED1" localSheetId="72">#REF!</definedName>
    <definedName name="____IED1" localSheetId="60">#REF!</definedName>
    <definedName name="____IED1" localSheetId="61">#REF!</definedName>
    <definedName name="____IED1" localSheetId="62">#REF!</definedName>
    <definedName name="____IED1" localSheetId="63">#REF!</definedName>
    <definedName name="____IED1" localSheetId="64">#REF!</definedName>
    <definedName name="____IED1" localSheetId="66">#REF!</definedName>
    <definedName name="____IED1" localSheetId="67">#REF!</definedName>
    <definedName name="____IED1" localSheetId="68">#REF!</definedName>
    <definedName name="____IED1" localSheetId="74">#REF!</definedName>
    <definedName name="____IED1" localSheetId="75">#REF!</definedName>
    <definedName name="____IED1" localSheetId="76">#REF!</definedName>
    <definedName name="____IED1" localSheetId="77">#REF!</definedName>
    <definedName name="____IED1" localSheetId="78">#REF!</definedName>
    <definedName name="____IED1" localSheetId="79">#REF!</definedName>
    <definedName name="____IED1">#REF!</definedName>
    <definedName name="____IED2" localSheetId="13">#REF!</definedName>
    <definedName name="____IED2" localSheetId="14">#REF!</definedName>
    <definedName name="____IED2" localSheetId="7">#REF!</definedName>
    <definedName name="____IED2" localSheetId="9">#REF!</definedName>
    <definedName name="____IED2" localSheetId="10">#REF!</definedName>
    <definedName name="____IED2" localSheetId="11">#REF!</definedName>
    <definedName name="____IED2" localSheetId="12">#REF!</definedName>
    <definedName name="____IED2" localSheetId="43">#REF!</definedName>
    <definedName name="____IED2" localSheetId="44">#REF!</definedName>
    <definedName name="____IED2" localSheetId="45">#REF!</definedName>
    <definedName name="____IED2" localSheetId="46">#REF!</definedName>
    <definedName name="____IED2" localSheetId="47">#REF!</definedName>
    <definedName name="____IED2" localSheetId="48">#REF!</definedName>
    <definedName name="____IED2" localSheetId="50">#REF!</definedName>
    <definedName name="____IED2" localSheetId="51">#REF!</definedName>
    <definedName name="____IED2" localSheetId="52">#REF!</definedName>
    <definedName name="____IED2" localSheetId="53">#REF!</definedName>
    <definedName name="____IED2" localSheetId="54">#REF!</definedName>
    <definedName name="____IED2" localSheetId="37">#REF!</definedName>
    <definedName name="____IED2" localSheetId="38">#REF!</definedName>
    <definedName name="____IED2" localSheetId="34">#REF!</definedName>
    <definedName name="____IED2" localSheetId="35">#REF!</definedName>
    <definedName name="____IED2" localSheetId="36">#REF!</definedName>
    <definedName name="____IED2" localSheetId="39">#REF!</definedName>
    <definedName name="____IED2" localSheetId="40">#REF!</definedName>
    <definedName name="____IED2" localSheetId="69">#REF!</definedName>
    <definedName name="____IED2" localSheetId="70">#REF!</definedName>
    <definedName name="____IED2" localSheetId="71">#REF!</definedName>
    <definedName name="____IED2" localSheetId="72">#REF!</definedName>
    <definedName name="____IED2" localSheetId="60">#REF!</definedName>
    <definedName name="____IED2" localSheetId="61">#REF!</definedName>
    <definedName name="____IED2" localSheetId="62">#REF!</definedName>
    <definedName name="____IED2" localSheetId="63">#REF!</definedName>
    <definedName name="____IED2" localSheetId="64">#REF!</definedName>
    <definedName name="____IED2" localSheetId="66">#REF!</definedName>
    <definedName name="____IED2" localSheetId="67">#REF!</definedName>
    <definedName name="____IED2" localSheetId="68">#REF!</definedName>
    <definedName name="____IED2" localSheetId="74">#REF!</definedName>
    <definedName name="____IED2" localSheetId="75">#REF!</definedName>
    <definedName name="____IED2" localSheetId="76">#REF!</definedName>
    <definedName name="____IED2" localSheetId="77">#REF!</definedName>
    <definedName name="____IED2" localSheetId="78">#REF!</definedName>
    <definedName name="____IED2" localSheetId="79">#REF!</definedName>
    <definedName name="____IED2">#REF!</definedName>
    <definedName name="____LD1">[1]DLC!$K$59:$AF$8180</definedName>
    <definedName name="____LD2">[1]DLC!$GR$56:$HT$8181</definedName>
    <definedName name="____LD3">[1]DLC!$HV$57:$IO$8181</definedName>
    <definedName name="____LD4">[1]DLC!$AH$32:$BE$8180</definedName>
    <definedName name="____LD5">[1]DLC!$GR$53:$HK$8180</definedName>
    <definedName name="____LD6">[1]DLC!$GR$69:$HL$8180</definedName>
    <definedName name="____LR1" localSheetId="13">#REF!</definedName>
    <definedName name="____LR1" localSheetId="14">#REF!</definedName>
    <definedName name="____LR1" localSheetId="7">#REF!</definedName>
    <definedName name="____LR1" localSheetId="9">#REF!</definedName>
    <definedName name="____LR1" localSheetId="10">#REF!</definedName>
    <definedName name="____LR1" localSheetId="11">#REF!</definedName>
    <definedName name="____LR1" localSheetId="12">#REF!</definedName>
    <definedName name="____LR1" localSheetId="43">#REF!</definedName>
    <definedName name="____LR1" localSheetId="44">#REF!</definedName>
    <definedName name="____LR1" localSheetId="45">#REF!</definedName>
    <definedName name="____LR1" localSheetId="46">#REF!</definedName>
    <definedName name="____LR1" localSheetId="47">#REF!</definedName>
    <definedName name="____LR1" localSheetId="48">#REF!</definedName>
    <definedName name="____LR1" localSheetId="50">#REF!</definedName>
    <definedName name="____LR1" localSheetId="51">#REF!</definedName>
    <definedName name="____LR1" localSheetId="52">#REF!</definedName>
    <definedName name="____LR1" localSheetId="53">#REF!</definedName>
    <definedName name="____LR1" localSheetId="54">#REF!</definedName>
    <definedName name="____LR1" localSheetId="37">#REF!</definedName>
    <definedName name="____LR1" localSheetId="38">#REF!</definedName>
    <definedName name="____LR1" localSheetId="34">#REF!</definedName>
    <definedName name="____LR1" localSheetId="35">#REF!</definedName>
    <definedName name="____LR1" localSheetId="36">#REF!</definedName>
    <definedName name="____LR1" localSheetId="39">#REF!</definedName>
    <definedName name="____LR1" localSheetId="40">#REF!</definedName>
    <definedName name="____LR1" localSheetId="69">#REF!</definedName>
    <definedName name="____LR1" localSheetId="70">#REF!</definedName>
    <definedName name="____LR1" localSheetId="71">#REF!</definedName>
    <definedName name="____LR1" localSheetId="72">#REF!</definedName>
    <definedName name="____LR1" localSheetId="60">#REF!</definedName>
    <definedName name="____LR1" localSheetId="61">#REF!</definedName>
    <definedName name="____LR1" localSheetId="62">#REF!</definedName>
    <definedName name="____LR1" localSheetId="63">#REF!</definedName>
    <definedName name="____LR1" localSheetId="64">#REF!</definedName>
    <definedName name="____LR1" localSheetId="66">#REF!</definedName>
    <definedName name="____LR1" localSheetId="67">#REF!</definedName>
    <definedName name="____LR1" localSheetId="68">#REF!</definedName>
    <definedName name="____LR1" localSheetId="74">#REF!</definedName>
    <definedName name="____LR1" localSheetId="75">#REF!</definedName>
    <definedName name="____LR1" localSheetId="76">#REF!</definedName>
    <definedName name="____LR1" localSheetId="77">#REF!</definedName>
    <definedName name="____LR1" localSheetId="78">#REF!</definedName>
    <definedName name="____LR1" localSheetId="79">#REF!</definedName>
    <definedName name="____LR1">#REF!</definedName>
    <definedName name="____LR2" localSheetId="13">#REF!</definedName>
    <definedName name="____LR2" localSheetId="14">#REF!</definedName>
    <definedName name="____LR2" localSheetId="7">#REF!</definedName>
    <definedName name="____LR2" localSheetId="9">#REF!</definedName>
    <definedName name="____LR2" localSheetId="10">#REF!</definedName>
    <definedName name="____LR2" localSheetId="11">#REF!</definedName>
    <definedName name="____LR2" localSheetId="12">#REF!</definedName>
    <definedName name="____LR2" localSheetId="43">#REF!</definedName>
    <definedName name="____LR2" localSheetId="44">#REF!</definedName>
    <definedName name="____LR2" localSheetId="45">#REF!</definedName>
    <definedName name="____LR2" localSheetId="46">#REF!</definedName>
    <definedName name="____LR2" localSheetId="47">#REF!</definedName>
    <definedName name="____LR2" localSheetId="48">#REF!</definedName>
    <definedName name="____LR2" localSheetId="50">#REF!</definedName>
    <definedName name="____LR2" localSheetId="51">#REF!</definedName>
    <definedName name="____LR2" localSheetId="52">#REF!</definedName>
    <definedName name="____LR2" localSheetId="53">#REF!</definedName>
    <definedName name="____LR2" localSheetId="54">#REF!</definedName>
    <definedName name="____LR2" localSheetId="37">#REF!</definedName>
    <definedName name="____LR2" localSheetId="38">#REF!</definedName>
    <definedName name="____LR2" localSheetId="34">#REF!</definedName>
    <definedName name="____LR2" localSheetId="35">#REF!</definedName>
    <definedName name="____LR2" localSheetId="36">#REF!</definedName>
    <definedName name="____LR2" localSheetId="39">#REF!</definedName>
    <definedName name="____LR2" localSheetId="40">#REF!</definedName>
    <definedName name="____LR2" localSheetId="69">#REF!</definedName>
    <definedName name="____LR2" localSheetId="70">#REF!</definedName>
    <definedName name="____LR2" localSheetId="71">#REF!</definedName>
    <definedName name="____LR2" localSheetId="72">#REF!</definedName>
    <definedName name="____LR2" localSheetId="60">#REF!</definedName>
    <definedName name="____LR2" localSheetId="61">#REF!</definedName>
    <definedName name="____LR2" localSheetId="62">#REF!</definedName>
    <definedName name="____LR2" localSheetId="63">#REF!</definedName>
    <definedName name="____LR2" localSheetId="64">#REF!</definedName>
    <definedName name="____LR2" localSheetId="66">#REF!</definedName>
    <definedName name="____LR2" localSheetId="67">#REF!</definedName>
    <definedName name="____LR2" localSheetId="68">#REF!</definedName>
    <definedName name="____LR2" localSheetId="74">#REF!</definedName>
    <definedName name="____LR2" localSheetId="75">#REF!</definedName>
    <definedName name="____LR2" localSheetId="76">#REF!</definedName>
    <definedName name="____LR2" localSheetId="77">#REF!</definedName>
    <definedName name="____LR2" localSheetId="78">#REF!</definedName>
    <definedName name="____LR2" localSheetId="79">#REF!</definedName>
    <definedName name="____LR2">#REF!</definedName>
    <definedName name="____SCH6" localSheetId="13">'[5]04REL'!#REF!</definedName>
    <definedName name="____SCH6" localSheetId="14">'[5]04REL'!#REF!</definedName>
    <definedName name="____SCH6" localSheetId="7">'[5]04REL'!#REF!</definedName>
    <definedName name="____SCH6" localSheetId="9">'[5]04REL'!#REF!</definedName>
    <definedName name="____SCH6" localSheetId="10">'[5]04REL'!#REF!</definedName>
    <definedName name="____SCH6" localSheetId="11">'[5]04REL'!#REF!</definedName>
    <definedName name="____SCH6" localSheetId="12">'[5]04REL'!#REF!</definedName>
    <definedName name="____SCH6" localSheetId="43">'[5]04REL'!#REF!</definedName>
    <definedName name="____SCH6" localSheetId="44">'[5]04REL'!#REF!</definedName>
    <definedName name="____SCH6" localSheetId="45">'[5]04REL'!#REF!</definedName>
    <definedName name="____SCH6" localSheetId="46">'[5]04REL'!#REF!</definedName>
    <definedName name="____SCH6" localSheetId="47">'[5]04REL'!#REF!</definedName>
    <definedName name="____SCH6" localSheetId="48">'[5]04REL'!#REF!</definedName>
    <definedName name="____SCH6" localSheetId="50">'[5]04REL'!#REF!</definedName>
    <definedName name="____SCH6" localSheetId="51">'[5]04REL'!#REF!</definedName>
    <definedName name="____SCH6" localSheetId="52">'[5]04REL'!#REF!</definedName>
    <definedName name="____SCH6" localSheetId="53">'[5]04REL'!#REF!</definedName>
    <definedName name="____SCH6" localSheetId="54">'[5]04REL'!#REF!</definedName>
    <definedName name="____SCH6" localSheetId="37">'[5]04REL'!#REF!</definedName>
    <definedName name="____SCH6" localSheetId="38">'[5]04REL'!#REF!</definedName>
    <definedName name="____SCH6" localSheetId="34">'[5]04REL'!#REF!</definedName>
    <definedName name="____SCH6" localSheetId="35">'[5]04REL'!#REF!</definedName>
    <definedName name="____SCH6" localSheetId="36">'[5]04REL'!#REF!</definedName>
    <definedName name="____SCH6" localSheetId="39">'[5]04REL'!#REF!</definedName>
    <definedName name="____SCH6" localSheetId="40">'[5]04REL'!#REF!</definedName>
    <definedName name="____SCH6" localSheetId="69">'[5]04REL'!#REF!</definedName>
    <definedName name="____SCH6" localSheetId="70">'[5]04REL'!#REF!</definedName>
    <definedName name="____SCH6" localSheetId="71">'[5]04REL'!#REF!</definedName>
    <definedName name="____SCH6" localSheetId="72">'[5]04REL'!#REF!</definedName>
    <definedName name="____SCH6" localSheetId="60">'[5]04REL'!#REF!</definedName>
    <definedName name="____SCH6" localSheetId="61">'[5]04REL'!#REF!</definedName>
    <definedName name="____SCH6" localSheetId="62">'[5]04REL'!#REF!</definedName>
    <definedName name="____SCH6" localSheetId="63">'[5]04REL'!#REF!</definedName>
    <definedName name="____SCH6" localSheetId="64">'[5]04REL'!#REF!</definedName>
    <definedName name="____SCH6" localSheetId="66">'[5]04REL'!#REF!</definedName>
    <definedName name="____SCH6" localSheetId="67">'[5]04REL'!#REF!</definedName>
    <definedName name="____SCH6" localSheetId="68">'[5]04REL'!#REF!</definedName>
    <definedName name="____SCH6" localSheetId="74">'[5]04REL'!#REF!</definedName>
    <definedName name="____SCH6" localSheetId="75">'[5]04REL'!#REF!</definedName>
    <definedName name="____SCH6" localSheetId="76">'[5]04REL'!#REF!</definedName>
    <definedName name="____SCH6" localSheetId="77">'[5]04REL'!#REF!</definedName>
    <definedName name="____SCH6" localSheetId="78">'[5]04REL'!#REF!</definedName>
    <definedName name="____SCH6" localSheetId="79">'[5]04REL'!#REF!</definedName>
    <definedName name="____SCH6">'[5]04REL'!#REF!</definedName>
    <definedName name="____SH1">'[6]Executive Summary -Thermal'!$A$4:$H$108</definedName>
    <definedName name="____SH10">'[6]Executive Summary -Thermal'!$A$4:$G$118</definedName>
    <definedName name="____SH11">'[6]Executive Summary -Thermal'!$A$4:$H$167</definedName>
    <definedName name="____SH2">'[6]Executive Summary -Thermal'!$A$4:$H$157</definedName>
    <definedName name="____SH3">'[6]Executive Summary -Thermal'!$A$4:$H$136</definedName>
    <definedName name="____SH4">'[6]Executive Summary -Thermal'!$A$4:$H$96</definedName>
    <definedName name="____SH5">'[6]Executive Summary -Thermal'!$A$4:$H$96</definedName>
    <definedName name="____SH6">'[6]Executive Summary -Thermal'!$A$4:$H$95</definedName>
    <definedName name="____SH7">'[6]Executive Summary -Thermal'!$A$4:$H$163</definedName>
    <definedName name="____SH8">'[6]Executive Summary -Thermal'!$A$4:$H$133</definedName>
    <definedName name="____SH9">'[6]Executive Summary -Thermal'!$A$4:$H$194</definedName>
    <definedName name="___BSD1" localSheetId="13">#REF!</definedName>
    <definedName name="___BSD1" localSheetId="14">#REF!</definedName>
    <definedName name="___BSD1" localSheetId="7">#REF!</definedName>
    <definedName name="___BSD1" localSheetId="9">#REF!</definedName>
    <definedName name="___BSD1" localSheetId="10">#REF!</definedName>
    <definedName name="___BSD1" localSheetId="11">#REF!</definedName>
    <definedName name="___BSD1" localSheetId="12">#REF!</definedName>
    <definedName name="___BSD1" localSheetId="43">#REF!</definedName>
    <definedName name="___BSD1" localSheetId="44">#REF!</definedName>
    <definedName name="___BSD1" localSheetId="45">#REF!</definedName>
    <definedName name="___BSD1" localSheetId="46">#REF!</definedName>
    <definedName name="___BSD1" localSheetId="47">#REF!</definedName>
    <definedName name="___BSD1" localSheetId="48">#REF!</definedName>
    <definedName name="___BSD1" localSheetId="50">#REF!</definedName>
    <definedName name="___BSD1" localSheetId="51">#REF!</definedName>
    <definedName name="___BSD1" localSheetId="52">#REF!</definedName>
    <definedName name="___BSD1" localSheetId="53">#REF!</definedName>
    <definedName name="___BSD1" localSheetId="54">#REF!</definedName>
    <definedName name="___BSD1" localSheetId="37">#REF!</definedName>
    <definedName name="___BSD1" localSheetId="38">#REF!</definedName>
    <definedName name="___BSD1" localSheetId="34">#REF!</definedName>
    <definedName name="___BSD1" localSheetId="35">#REF!</definedName>
    <definedName name="___BSD1" localSheetId="36">#REF!</definedName>
    <definedName name="___BSD1" localSheetId="39">#REF!</definedName>
    <definedName name="___BSD1" localSheetId="40">#REF!</definedName>
    <definedName name="___BSD1" localSheetId="69">#REF!</definedName>
    <definedName name="___BSD1" localSheetId="70">#REF!</definedName>
    <definedName name="___BSD1" localSheetId="71">#REF!</definedName>
    <definedName name="___BSD1" localSheetId="72">#REF!</definedName>
    <definedName name="___BSD1" localSheetId="60">#REF!</definedName>
    <definedName name="___BSD1" localSheetId="61">#REF!</definedName>
    <definedName name="___BSD1" localSheetId="62">#REF!</definedName>
    <definedName name="___BSD1" localSheetId="63">#REF!</definedName>
    <definedName name="___BSD1" localSheetId="64">#REF!</definedName>
    <definedName name="___BSD1" localSheetId="66">#REF!</definedName>
    <definedName name="___BSD1" localSheetId="67">#REF!</definedName>
    <definedName name="___BSD1" localSheetId="68">#REF!</definedName>
    <definedName name="___BSD1" localSheetId="74">#REF!</definedName>
    <definedName name="___BSD1" localSheetId="75">#REF!</definedName>
    <definedName name="___BSD1" localSheetId="76">#REF!</definedName>
    <definedName name="___BSD1" localSheetId="77">#REF!</definedName>
    <definedName name="___BSD1" localSheetId="78">#REF!</definedName>
    <definedName name="___BSD1" localSheetId="79">#REF!</definedName>
    <definedName name="___BSD1">#REF!</definedName>
    <definedName name="___BSD2" localSheetId="13">#REF!</definedName>
    <definedName name="___BSD2" localSheetId="14">#REF!</definedName>
    <definedName name="___BSD2" localSheetId="7">#REF!</definedName>
    <definedName name="___BSD2" localSheetId="9">#REF!</definedName>
    <definedName name="___BSD2" localSheetId="10">#REF!</definedName>
    <definedName name="___BSD2" localSheetId="11">#REF!</definedName>
    <definedName name="___BSD2" localSheetId="12">#REF!</definedName>
    <definedName name="___BSD2" localSheetId="43">#REF!</definedName>
    <definedName name="___BSD2" localSheetId="44">#REF!</definedName>
    <definedName name="___BSD2" localSheetId="45">#REF!</definedName>
    <definedName name="___BSD2" localSheetId="46">#REF!</definedName>
    <definedName name="___BSD2" localSheetId="47">#REF!</definedName>
    <definedName name="___BSD2" localSheetId="48">#REF!</definedName>
    <definedName name="___BSD2" localSheetId="50">#REF!</definedName>
    <definedName name="___BSD2" localSheetId="51">#REF!</definedName>
    <definedName name="___BSD2" localSheetId="52">#REF!</definedName>
    <definedName name="___BSD2" localSheetId="53">#REF!</definedName>
    <definedName name="___BSD2" localSheetId="54">#REF!</definedName>
    <definedName name="___BSD2" localSheetId="37">#REF!</definedName>
    <definedName name="___BSD2" localSheetId="38">#REF!</definedName>
    <definedName name="___BSD2" localSheetId="34">#REF!</definedName>
    <definedName name="___BSD2" localSheetId="35">#REF!</definedName>
    <definedName name="___BSD2" localSheetId="36">#REF!</definedName>
    <definedName name="___BSD2" localSheetId="39">#REF!</definedName>
    <definedName name="___BSD2" localSheetId="40">#REF!</definedName>
    <definedName name="___BSD2" localSheetId="69">#REF!</definedName>
    <definedName name="___BSD2" localSheetId="70">#REF!</definedName>
    <definedName name="___BSD2" localSheetId="71">#REF!</definedName>
    <definedName name="___BSD2" localSheetId="72">#REF!</definedName>
    <definedName name="___BSD2" localSheetId="60">#REF!</definedName>
    <definedName name="___BSD2" localSheetId="61">#REF!</definedName>
    <definedName name="___BSD2" localSheetId="62">#REF!</definedName>
    <definedName name="___BSD2" localSheetId="63">#REF!</definedName>
    <definedName name="___BSD2" localSheetId="64">#REF!</definedName>
    <definedName name="___BSD2" localSheetId="66">#REF!</definedName>
    <definedName name="___BSD2" localSheetId="67">#REF!</definedName>
    <definedName name="___BSD2" localSheetId="68">#REF!</definedName>
    <definedName name="___BSD2" localSheetId="74">#REF!</definedName>
    <definedName name="___BSD2" localSheetId="75">#REF!</definedName>
    <definedName name="___BSD2" localSheetId="76">#REF!</definedName>
    <definedName name="___BSD2" localSheetId="77">#REF!</definedName>
    <definedName name="___BSD2" localSheetId="78">#REF!</definedName>
    <definedName name="___BSD2" localSheetId="79">#REF!</definedName>
    <definedName name="___BSD2">#REF!</definedName>
    <definedName name="___CZ1">[4]data!$F$721</definedName>
    <definedName name="___IED1" localSheetId="13">#REF!</definedName>
    <definedName name="___IED1" localSheetId="14">#REF!</definedName>
    <definedName name="___IED1" localSheetId="7">#REF!</definedName>
    <definedName name="___IED1" localSheetId="9">#REF!</definedName>
    <definedName name="___IED1" localSheetId="10">#REF!</definedName>
    <definedName name="___IED1" localSheetId="11">#REF!</definedName>
    <definedName name="___IED1" localSheetId="12">#REF!</definedName>
    <definedName name="___IED1" localSheetId="43">#REF!</definedName>
    <definedName name="___IED1" localSheetId="44">#REF!</definedName>
    <definedName name="___IED1" localSheetId="45">#REF!</definedName>
    <definedName name="___IED1" localSheetId="46">#REF!</definedName>
    <definedName name="___IED1" localSheetId="47">#REF!</definedName>
    <definedName name="___IED1" localSheetId="48">#REF!</definedName>
    <definedName name="___IED1" localSheetId="50">#REF!</definedName>
    <definedName name="___IED1" localSheetId="51">#REF!</definedName>
    <definedName name="___IED1" localSheetId="52">#REF!</definedName>
    <definedName name="___IED1" localSheetId="53">#REF!</definedName>
    <definedName name="___IED1" localSheetId="54">#REF!</definedName>
    <definedName name="___IED1" localSheetId="37">#REF!</definedName>
    <definedName name="___IED1" localSheetId="38">#REF!</definedName>
    <definedName name="___IED1" localSheetId="34">#REF!</definedName>
    <definedName name="___IED1" localSheetId="35">#REF!</definedName>
    <definedName name="___IED1" localSheetId="36">#REF!</definedName>
    <definedName name="___IED1" localSheetId="39">#REF!</definedName>
    <definedName name="___IED1" localSheetId="40">#REF!</definedName>
    <definedName name="___IED1" localSheetId="69">#REF!</definedName>
    <definedName name="___IED1" localSheetId="70">#REF!</definedName>
    <definedName name="___IED1" localSheetId="71">#REF!</definedName>
    <definedName name="___IED1" localSheetId="72">#REF!</definedName>
    <definedName name="___IED1" localSheetId="60">#REF!</definedName>
    <definedName name="___IED1" localSheetId="61">#REF!</definedName>
    <definedName name="___IED1" localSheetId="62">#REF!</definedName>
    <definedName name="___IED1" localSheetId="63">#REF!</definedName>
    <definedName name="___IED1" localSheetId="64">#REF!</definedName>
    <definedName name="___IED1" localSheetId="66">#REF!</definedName>
    <definedName name="___IED1" localSheetId="67">#REF!</definedName>
    <definedName name="___IED1" localSheetId="68">#REF!</definedName>
    <definedName name="___IED1" localSheetId="74">#REF!</definedName>
    <definedName name="___IED1" localSheetId="75">#REF!</definedName>
    <definedName name="___IED1" localSheetId="76">#REF!</definedName>
    <definedName name="___IED1" localSheetId="77">#REF!</definedName>
    <definedName name="___IED1" localSheetId="78">#REF!</definedName>
    <definedName name="___IED1" localSheetId="79">#REF!</definedName>
    <definedName name="___IED1">#REF!</definedName>
    <definedName name="___IED2" localSheetId="13">#REF!</definedName>
    <definedName name="___IED2" localSheetId="14">#REF!</definedName>
    <definedName name="___IED2" localSheetId="7">#REF!</definedName>
    <definedName name="___IED2" localSheetId="9">#REF!</definedName>
    <definedName name="___IED2" localSheetId="10">#REF!</definedName>
    <definedName name="___IED2" localSheetId="11">#REF!</definedName>
    <definedName name="___IED2" localSheetId="12">#REF!</definedName>
    <definedName name="___IED2" localSheetId="43">#REF!</definedName>
    <definedName name="___IED2" localSheetId="44">#REF!</definedName>
    <definedName name="___IED2" localSheetId="45">#REF!</definedName>
    <definedName name="___IED2" localSheetId="46">#REF!</definedName>
    <definedName name="___IED2" localSheetId="47">#REF!</definedName>
    <definedName name="___IED2" localSheetId="48">#REF!</definedName>
    <definedName name="___IED2" localSheetId="50">#REF!</definedName>
    <definedName name="___IED2" localSheetId="51">#REF!</definedName>
    <definedName name="___IED2" localSheetId="52">#REF!</definedName>
    <definedName name="___IED2" localSheetId="53">#REF!</definedName>
    <definedName name="___IED2" localSheetId="54">#REF!</definedName>
    <definedName name="___IED2" localSheetId="37">#REF!</definedName>
    <definedName name="___IED2" localSheetId="38">#REF!</definedName>
    <definedName name="___IED2" localSheetId="34">#REF!</definedName>
    <definedName name="___IED2" localSheetId="35">#REF!</definedName>
    <definedName name="___IED2" localSheetId="36">#REF!</definedName>
    <definedName name="___IED2" localSheetId="39">#REF!</definedName>
    <definedName name="___IED2" localSheetId="40">#REF!</definedName>
    <definedName name="___IED2" localSheetId="69">#REF!</definedName>
    <definedName name="___IED2" localSheetId="70">#REF!</definedName>
    <definedName name="___IED2" localSheetId="71">#REF!</definedName>
    <definedName name="___IED2" localSheetId="72">#REF!</definedName>
    <definedName name="___IED2" localSheetId="60">#REF!</definedName>
    <definedName name="___IED2" localSheetId="61">#REF!</definedName>
    <definedName name="___IED2" localSheetId="62">#REF!</definedName>
    <definedName name="___IED2" localSheetId="63">#REF!</definedName>
    <definedName name="___IED2" localSheetId="64">#REF!</definedName>
    <definedName name="___IED2" localSheetId="66">#REF!</definedName>
    <definedName name="___IED2" localSheetId="67">#REF!</definedName>
    <definedName name="___IED2" localSheetId="68">#REF!</definedName>
    <definedName name="___IED2" localSheetId="74">#REF!</definedName>
    <definedName name="___IED2" localSheetId="75">#REF!</definedName>
    <definedName name="___IED2" localSheetId="76">#REF!</definedName>
    <definedName name="___IED2" localSheetId="77">#REF!</definedName>
    <definedName name="___IED2" localSheetId="78">#REF!</definedName>
    <definedName name="___IED2" localSheetId="79">#REF!</definedName>
    <definedName name="___IED2">#REF!</definedName>
    <definedName name="___LD1">[1]DLC!$K$59:$AF$8180</definedName>
    <definedName name="___LD2">[1]DLC!$GR$56:$HT$8181</definedName>
    <definedName name="___LD3">[1]DLC!$HV$57:$IO$8181</definedName>
    <definedName name="___LD4">[1]DLC!$AH$32:$BE$8180</definedName>
    <definedName name="___LD5">[1]DLC!$GR$53:$HK$8180</definedName>
    <definedName name="___LD6">[1]DLC!$GR$69:$HL$8180</definedName>
    <definedName name="___LR1" localSheetId="13">#REF!</definedName>
    <definedName name="___LR1" localSheetId="14">#REF!</definedName>
    <definedName name="___LR1" localSheetId="7">#REF!</definedName>
    <definedName name="___LR1" localSheetId="9">#REF!</definedName>
    <definedName name="___LR1" localSheetId="10">#REF!</definedName>
    <definedName name="___LR1" localSheetId="11">#REF!</definedName>
    <definedName name="___LR1" localSheetId="12">#REF!</definedName>
    <definedName name="___LR1" localSheetId="43">#REF!</definedName>
    <definedName name="___LR1" localSheetId="44">#REF!</definedName>
    <definedName name="___LR1" localSheetId="45">#REF!</definedName>
    <definedName name="___LR1" localSheetId="46">#REF!</definedName>
    <definedName name="___LR1" localSheetId="47">#REF!</definedName>
    <definedName name="___LR1" localSheetId="48">#REF!</definedName>
    <definedName name="___LR1" localSheetId="50">#REF!</definedName>
    <definedName name="___LR1" localSheetId="51">#REF!</definedName>
    <definedName name="___LR1" localSheetId="52">#REF!</definedName>
    <definedName name="___LR1" localSheetId="53">#REF!</definedName>
    <definedName name="___LR1" localSheetId="54">#REF!</definedName>
    <definedName name="___LR1" localSheetId="37">#REF!</definedName>
    <definedName name="___LR1" localSheetId="38">#REF!</definedName>
    <definedName name="___LR1" localSheetId="34">#REF!</definedName>
    <definedName name="___LR1" localSheetId="35">#REF!</definedName>
    <definedName name="___LR1" localSheetId="36">#REF!</definedName>
    <definedName name="___LR1" localSheetId="39">#REF!</definedName>
    <definedName name="___LR1" localSheetId="40">#REF!</definedName>
    <definedName name="___LR1" localSheetId="69">#REF!</definedName>
    <definedName name="___LR1" localSheetId="70">#REF!</definedName>
    <definedName name="___LR1" localSheetId="71">#REF!</definedName>
    <definedName name="___LR1" localSheetId="72">#REF!</definedName>
    <definedName name="___LR1" localSheetId="60">#REF!</definedName>
    <definedName name="___LR1" localSheetId="61">#REF!</definedName>
    <definedName name="___LR1" localSheetId="62">#REF!</definedName>
    <definedName name="___LR1" localSheetId="63">#REF!</definedName>
    <definedName name="___LR1" localSheetId="64">#REF!</definedName>
    <definedName name="___LR1" localSheetId="66">#REF!</definedName>
    <definedName name="___LR1" localSheetId="67">#REF!</definedName>
    <definedName name="___LR1" localSheetId="68">#REF!</definedName>
    <definedName name="___LR1" localSheetId="74">#REF!</definedName>
    <definedName name="___LR1" localSheetId="75">#REF!</definedName>
    <definedName name="___LR1" localSheetId="76">#REF!</definedName>
    <definedName name="___LR1" localSheetId="77">#REF!</definedName>
    <definedName name="___LR1" localSheetId="78">#REF!</definedName>
    <definedName name="___LR1" localSheetId="79">#REF!</definedName>
    <definedName name="___LR1">#REF!</definedName>
    <definedName name="___LR2" localSheetId="13">#REF!</definedName>
    <definedName name="___LR2" localSheetId="14">#REF!</definedName>
    <definedName name="___LR2" localSheetId="7">#REF!</definedName>
    <definedName name="___LR2" localSheetId="9">#REF!</definedName>
    <definedName name="___LR2" localSheetId="10">#REF!</definedName>
    <definedName name="___LR2" localSheetId="11">#REF!</definedName>
    <definedName name="___LR2" localSheetId="12">#REF!</definedName>
    <definedName name="___LR2" localSheetId="43">#REF!</definedName>
    <definedName name="___LR2" localSheetId="44">#REF!</definedName>
    <definedName name="___LR2" localSheetId="45">#REF!</definedName>
    <definedName name="___LR2" localSheetId="46">#REF!</definedName>
    <definedName name="___LR2" localSheetId="47">#REF!</definedName>
    <definedName name="___LR2" localSheetId="48">#REF!</definedName>
    <definedName name="___LR2" localSheetId="50">#REF!</definedName>
    <definedName name="___LR2" localSheetId="51">#REF!</definedName>
    <definedName name="___LR2" localSheetId="52">#REF!</definedName>
    <definedName name="___LR2" localSheetId="53">#REF!</definedName>
    <definedName name="___LR2" localSheetId="54">#REF!</definedName>
    <definedName name="___LR2" localSheetId="37">#REF!</definedName>
    <definedName name="___LR2" localSheetId="38">#REF!</definedName>
    <definedName name="___LR2" localSheetId="34">#REF!</definedName>
    <definedName name="___LR2" localSheetId="35">#REF!</definedName>
    <definedName name="___LR2" localSheetId="36">#REF!</definedName>
    <definedName name="___LR2" localSheetId="39">#REF!</definedName>
    <definedName name="___LR2" localSheetId="40">#REF!</definedName>
    <definedName name="___LR2" localSheetId="69">#REF!</definedName>
    <definedName name="___LR2" localSheetId="70">#REF!</definedName>
    <definedName name="___LR2" localSheetId="71">#REF!</definedName>
    <definedName name="___LR2" localSheetId="72">#REF!</definedName>
    <definedName name="___LR2" localSheetId="60">#REF!</definedName>
    <definedName name="___LR2" localSheetId="61">#REF!</definedName>
    <definedName name="___LR2" localSheetId="62">#REF!</definedName>
    <definedName name="___LR2" localSheetId="63">#REF!</definedName>
    <definedName name="___LR2" localSheetId="64">#REF!</definedName>
    <definedName name="___LR2" localSheetId="66">#REF!</definedName>
    <definedName name="___LR2" localSheetId="67">#REF!</definedName>
    <definedName name="___LR2" localSheetId="68">#REF!</definedName>
    <definedName name="___LR2" localSheetId="74">#REF!</definedName>
    <definedName name="___LR2" localSheetId="75">#REF!</definedName>
    <definedName name="___LR2" localSheetId="76">#REF!</definedName>
    <definedName name="___LR2" localSheetId="77">#REF!</definedName>
    <definedName name="___LR2" localSheetId="78">#REF!</definedName>
    <definedName name="___LR2" localSheetId="79">#REF!</definedName>
    <definedName name="___LR2">#REF!</definedName>
    <definedName name="___SCH6" localSheetId="13">'[5]04REL'!#REF!</definedName>
    <definedName name="___SCH6" localSheetId="14">'[5]04REL'!#REF!</definedName>
    <definedName name="___SCH6" localSheetId="7">'[5]04REL'!#REF!</definedName>
    <definedName name="___SCH6" localSheetId="9">'[5]04REL'!#REF!</definedName>
    <definedName name="___SCH6" localSheetId="10">'[5]04REL'!#REF!</definedName>
    <definedName name="___SCH6" localSheetId="11">'[5]04REL'!#REF!</definedName>
    <definedName name="___SCH6" localSheetId="12">'[5]04REL'!#REF!</definedName>
    <definedName name="___SCH6" localSheetId="43">'[5]04REL'!#REF!</definedName>
    <definedName name="___SCH6" localSheetId="44">'[5]04REL'!#REF!</definedName>
    <definedName name="___SCH6" localSheetId="45">'[5]04REL'!#REF!</definedName>
    <definedName name="___SCH6" localSheetId="46">'[5]04REL'!#REF!</definedName>
    <definedName name="___SCH6" localSheetId="47">'[5]04REL'!#REF!</definedName>
    <definedName name="___SCH6" localSheetId="48">'[5]04REL'!#REF!</definedName>
    <definedName name="___SCH6" localSheetId="50">'[5]04REL'!#REF!</definedName>
    <definedName name="___SCH6" localSheetId="51">'[5]04REL'!#REF!</definedName>
    <definedName name="___SCH6" localSheetId="52">'[5]04REL'!#REF!</definedName>
    <definedName name="___SCH6" localSheetId="53">'[5]04REL'!#REF!</definedName>
    <definedName name="___SCH6" localSheetId="54">'[5]04REL'!#REF!</definedName>
    <definedName name="___SCH6" localSheetId="37">'[5]04REL'!#REF!</definedName>
    <definedName name="___SCH6" localSheetId="38">'[5]04REL'!#REF!</definedName>
    <definedName name="___SCH6" localSheetId="34">'[5]04REL'!#REF!</definedName>
    <definedName name="___SCH6" localSheetId="35">'[5]04REL'!#REF!</definedName>
    <definedName name="___SCH6" localSheetId="36">'[5]04REL'!#REF!</definedName>
    <definedName name="___SCH6" localSheetId="39">'[5]04REL'!#REF!</definedName>
    <definedName name="___SCH6" localSheetId="40">'[5]04REL'!#REF!</definedName>
    <definedName name="___SCH6" localSheetId="69">'[5]04REL'!#REF!</definedName>
    <definedName name="___SCH6" localSheetId="70">'[5]04REL'!#REF!</definedName>
    <definedName name="___SCH6" localSheetId="71">'[5]04REL'!#REF!</definedName>
    <definedName name="___SCH6" localSheetId="72">'[5]04REL'!#REF!</definedName>
    <definedName name="___SCH6" localSheetId="60">'[5]04REL'!#REF!</definedName>
    <definedName name="___SCH6" localSheetId="61">'[5]04REL'!#REF!</definedName>
    <definedName name="___SCH6" localSheetId="62">'[5]04REL'!#REF!</definedName>
    <definedName name="___SCH6" localSheetId="63">'[5]04REL'!#REF!</definedName>
    <definedName name="___SCH6" localSheetId="64">'[5]04REL'!#REF!</definedName>
    <definedName name="___SCH6" localSheetId="66">'[5]04REL'!#REF!</definedName>
    <definedName name="___SCH6" localSheetId="67">'[5]04REL'!#REF!</definedName>
    <definedName name="___SCH6" localSheetId="68">'[5]04REL'!#REF!</definedName>
    <definedName name="___SCH6" localSheetId="74">'[5]04REL'!#REF!</definedName>
    <definedName name="___SCH6" localSheetId="75">'[5]04REL'!#REF!</definedName>
    <definedName name="___SCH6" localSheetId="76">'[5]04REL'!#REF!</definedName>
    <definedName name="___SCH6" localSheetId="77">'[5]04REL'!#REF!</definedName>
    <definedName name="___SCH6" localSheetId="78">'[5]04REL'!#REF!</definedName>
    <definedName name="___SCH6" localSheetId="79">'[5]04REL'!#REF!</definedName>
    <definedName name="___SCH6">'[5]04REL'!#REF!</definedName>
    <definedName name="___SH1">'[6]Executive Summary -Thermal'!$A$4:$H$108</definedName>
    <definedName name="___SH10">'[6]Executive Summary -Thermal'!$A$4:$G$118</definedName>
    <definedName name="___SH11">'[6]Executive Summary -Thermal'!$A$4:$H$167</definedName>
    <definedName name="___SH2">'[6]Executive Summary -Thermal'!$A$4:$H$157</definedName>
    <definedName name="___SH3">'[6]Executive Summary -Thermal'!$A$4:$H$136</definedName>
    <definedName name="___SH4">'[6]Executive Summary -Thermal'!$A$4:$H$96</definedName>
    <definedName name="___SH5">'[6]Executive Summary -Thermal'!$A$4:$H$96</definedName>
    <definedName name="___SH6">'[6]Executive Summary -Thermal'!$A$4:$H$95</definedName>
    <definedName name="___SH7">'[6]Executive Summary -Thermal'!$A$4:$H$163</definedName>
    <definedName name="___SH8">'[6]Executive Summary -Thermal'!$A$4:$H$133</definedName>
    <definedName name="___SH9">'[6]Executive Summary -Thermal'!$A$4:$H$194</definedName>
    <definedName name="__123Graph_A" localSheetId="13" hidden="1">#REF!</definedName>
    <definedName name="__123Graph_A" localSheetId="14" hidden="1">#REF!</definedName>
    <definedName name="__123Graph_A" localSheetId="7"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48" hidden="1">#REF!</definedName>
    <definedName name="__123Graph_A" localSheetId="50" hidden="1">#REF!</definedName>
    <definedName name="__123Graph_A" localSheetId="51" hidden="1">#REF!</definedName>
    <definedName name="__123Graph_A" localSheetId="52" hidden="1">#REF!</definedName>
    <definedName name="__123Graph_A" localSheetId="53" hidden="1">#REF!</definedName>
    <definedName name="__123Graph_A" localSheetId="54" hidden="1">#REF!</definedName>
    <definedName name="__123Graph_A" localSheetId="37" hidden="1">#REF!</definedName>
    <definedName name="__123Graph_A" localSheetId="38" hidden="1">#REF!</definedName>
    <definedName name="__123Graph_A" localSheetId="34" hidden="1">#REF!</definedName>
    <definedName name="__123Graph_A" localSheetId="35" hidden="1">#REF!</definedName>
    <definedName name="__123Graph_A" localSheetId="36" hidden="1">#REF!</definedName>
    <definedName name="__123Graph_A" localSheetId="39" hidden="1">#REF!</definedName>
    <definedName name="__123Graph_A" localSheetId="40" hidden="1">#REF!</definedName>
    <definedName name="__123Graph_A" localSheetId="69" hidden="1">#REF!</definedName>
    <definedName name="__123Graph_A" localSheetId="70" hidden="1">#REF!</definedName>
    <definedName name="__123Graph_A" localSheetId="71" hidden="1">#REF!</definedName>
    <definedName name="__123Graph_A" localSheetId="72" hidden="1">#REF!</definedName>
    <definedName name="__123Graph_A" localSheetId="60" hidden="1">#REF!</definedName>
    <definedName name="__123Graph_A" localSheetId="61" hidden="1">#REF!</definedName>
    <definedName name="__123Graph_A" localSheetId="62" hidden="1">#REF!</definedName>
    <definedName name="__123Graph_A" localSheetId="63" hidden="1">#REF!</definedName>
    <definedName name="__123Graph_A" localSheetId="64" hidden="1">#REF!</definedName>
    <definedName name="__123Graph_A" localSheetId="66" hidden="1">#REF!</definedName>
    <definedName name="__123Graph_A" localSheetId="67" hidden="1">#REF!</definedName>
    <definedName name="__123Graph_A" localSheetId="68" hidden="1">#REF!</definedName>
    <definedName name="__123Graph_A" localSheetId="74" hidden="1">#REF!</definedName>
    <definedName name="__123Graph_A" localSheetId="75" hidden="1">#REF!</definedName>
    <definedName name="__123Graph_A" localSheetId="76" hidden="1">#REF!</definedName>
    <definedName name="__123Graph_A" localSheetId="77" hidden="1">#REF!</definedName>
    <definedName name="__123Graph_A" localSheetId="78" hidden="1">#REF!</definedName>
    <definedName name="__123Graph_A" localSheetId="79" hidden="1">#REF!</definedName>
    <definedName name="__123Graph_A" hidden="1">#REF!</definedName>
    <definedName name="__123Graph_B" localSheetId="13" hidden="1">#REF!</definedName>
    <definedName name="__123Graph_B" localSheetId="14" hidden="1">#REF!</definedName>
    <definedName name="__123Graph_B" localSheetId="7"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48" hidden="1">#REF!</definedName>
    <definedName name="__123Graph_B" localSheetId="50" hidden="1">#REF!</definedName>
    <definedName name="__123Graph_B" localSheetId="51" hidden="1">#REF!</definedName>
    <definedName name="__123Graph_B" localSheetId="52" hidden="1">#REF!</definedName>
    <definedName name="__123Graph_B" localSheetId="53" hidden="1">#REF!</definedName>
    <definedName name="__123Graph_B" localSheetId="54" hidden="1">#REF!</definedName>
    <definedName name="__123Graph_B" localSheetId="37" hidden="1">#REF!</definedName>
    <definedName name="__123Graph_B" localSheetId="38" hidden="1">#REF!</definedName>
    <definedName name="__123Graph_B" localSheetId="34" hidden="1">#REF!</definedName>
    <definedName name="__123Graph_B" localSheetId="35" hidden="1">#REF!</definedName>
    <definedName name="__123Graph_B" localSheetId="36" hidden="1">#REF!</definedName>
    <definedName name="__123Graph_B" localSheetId="39" hidden="1">#REF!</definedName>
    <definedName name="__123Graph_B" localSheetId="40" hidden="1">#REF!</definedName>
    <definedName name="__123Graph_B" localSheetId="69" hidden="1">#REF!</definedName>
    <definedName name="__123Graph_B" localSheetId="70" hidden="1">#REF!</definedName>
    <definedName name="__123Graph_B" localSheetId="71" hidden="1">#REF!</definedName>
    <definedName name="__123Graph_B" localSheetId="72" hidden="1">#REF!</definedName>
    <definedName name="__123Graph_B" localSheetId="60" hidden="1">#REF!</definedName>
    <definedName name="__123Graph_B" localSheetId="61" hidden="1">#REF!</definedName>
    <definedName name="__123Graph_B" localSheetId="62" hidden="1">#REF!</definedName>
    <definedName name="__123Graph_B" localSheetId="63" hidden="1">#REF!</definedName>
    <definedName name="__123Graph_B" localSheetId="64" hidden="1">#REF!</definedName>
    <definedName name="__123Graph_B" localSheetId="66" hidden="1">#REF!</definedName>
    <definedName name="__123Graph_B" localSheetId="67" hidden="1">#REF!</definedName>
    <definedName name="__123Graph_B" localSheetId="68" hidden="1">#REF!</definedName>
    <definedName name="__123Graph_B" localSheetId="74" hidden="1">#REF!</definedName>
    <definedName name="__123Graph_B" localSheetId="75" hidden="1">#REF!</definedName>
    <definedName name="__123Graph_B" localSheetId="76" hidden="1">#REF!</definedName>
    <definedName name="__123Graph_B" localSheetId="77" hidden="1">#REF!</definedName>
    <definedName name="__123Graph_B" localSheetId="78" hidden="1">#REF!</definedName>
    <definedName name="__123Graph_B" localSheetId="79" hidden="1">#REF!</definedName>
    <definedName name="__123Graph_B" hidden="1">#REF!</definedName>
    <definedName name="__123Graph_BCURRENT" localSheetId="13" hidden="1">'[7]BREAKUP OF OIL'!#REF!</definedName>
    <definedName name="__123Graph_BCURRENT" localSheetId="14" hidden="1">'[7]BREAKUP OF OIL'!#REF!</definedName>
    <definedName name="__123Graph_BCURRENT" localSheetId="7" hidden="1">'[7]BREAKUP OF OIL'!#REF!</definedName>
    <definedName name="__123Graph_BCURRENT" localSheetId="9" hidden="1">'[7]BREAKUP OF OIL'!#REF!</definedName>
    <definedName name="__123Graph_BCURRENT" localSheetId="10" hidden="1">'[7]BREAKUP OF OIL'!#REF!</definedName>
    <definedName name="__123Graph_BCURRENT" localSheetId="11" hidden="1">'[7]BREAKUP OF OIL'!#REF!</definedName>
    <definedName name="__123Graph_BCURRENT" localSheetId="12" hidden="1">'[7]BREAKUP OF OIL'!#REF!</definedName>
    <definedName name="__123Graph_BCURRENT" localSheetId="43" hidden="1">'[7]BREAKUP OF OIL'!#REF!</definedName>
    <definedName name="__123Graph_BCURRENT" localSheetId="44" hidden="1">'[7]BREAKUP OF OIL'!#REF!</definedName>
    <definedName name="__123Graph_BCURRENT" localSheetId="45" hidden="1">'[7]BREAKUP OF OIL'!#REF!</definedName>
    <definedName name="__123Graph_BCURRENT" localSheetId="46" hidden="1">'[7]BREAKUP OF OIL'!#REF!</definedName>
    <definedName name="__123Graph_BCURRENT" localSheetId="47" hidden="1">'[7]BREAKUP OF OIL'!#REF!</definedName>
    <definedName name="__123Graph_BCURRENT" localSheetId="48" hidden="1">'[7]BREAKUP OF OIL'!#REF!</definedName>
    <definedName name="__123Graph_BCURRENT" localSheetId="50" hidden="1">'[7]BREAKUP OF OIL'!#REF!</definedName>
    <definedName name="__123Graph_BCURRENT" localSheetId="51" hidden="1">'[7]BREAKUP OF OIL'!#REF!</definedName>
    <definedName name="__123Graph_BCURRENT" localSheetId="52" hidden="1">'[7]BREAKUP OF OIL'!#REF!</definedName>
    <definedName name="__123Graph_BCURRENT" localSheetId="53" hidden="1">'[7]BREAKUP OF OIL'!#REF!</definedName>
    <definedName name="__123Graph_BCURRENT" localSheetId="54" hidden="1">'[7]BREAKUP OF OIL'!#REF!</definedName>
    <definedName name="__123Graph_BCURRENT" localSheetId="37" hidden="1">'[7]BREAKUP OF OIL'!#REF!</definedName>
    <definedName name="__123Graph_BCURRENT" localSheetId="38" hidden="1">'[7]BREAKUP OF OIL'!#REF!</definedName>
    <definedName name="__123Graph_BCURRENT" localSheetId="34" hidden="1">'[7]BREAKUP OF OIL'!#REF!</definedName>
    <definedName name="__123Graph_BCURRENT" localSheetId="35" hidden="1">'[7]BREAKUP OF OIL'!#REF!</definedName>
    <definedName name="__123Graph_BCURRENT" localSheetId="36" hidden="1">'[7]BREAKUP OF OIL'!#REF!</definedName>
    <definedName name="__123Graph_BCURRENT" localSheetId="39" hidden="1">'[7]BREAKUP OF OIL'!#REF!</definedName>
    <definedName name="__123Graph_BCURRENT" localSheetId="40" hidden="1">'[7]BREAKUP OF OIL'!#REF!</definedName>
    <definedName name="__123Graph_BCURRENT" localSheetId="69" hidden="1">'[7]BREAKUP OF OIL'!#REF!</definedName>
    <definedName name="__123Graph_BCURRENT" localSheetId="70" hidden="1">'[7]BREAKUP OF OIL'!#REF!</definedName>
    <definedName name="__123Graph_BCURRENT" localSheetId="71" hidden="1">'[7]BREAKUP OF OIL'!#REF!</definedName>
    <definedName name="__123Graph_BCURRENT" localSheetId="72" hidden="1">'[7]BREAKUP OF OIL'!#REF!</definedName>
    <definedName name="__123Graph_BCURRENT" localSheetId="60" hidden="1">'[7]BREAKUP OF OIL'!#REF!</definedName>
    <definedName name="__123Graph_BCURRENT" localSheetId="61" hidden="1">'[7]BREAKUP OF OIL'!#REF!</definedName>
    <definedName name="__123Graph_BCURRENT" localSheetId="62" hidden="1">'[7]BREAKUP OF OIL'!#REF!</definedName>
    <definedName name="__123Graph_BCURRENT" localSheetId="63" hidden="1">'[7]BREAKUP OF OIL'!#REF!</definedName>
    <definedName name="__123Graph_BCURRENT" localSheetId="64" hidden="1">'[7]BREAKUP OF OIL'!#REF!</definedName>
    <definedName name="__123Graph_BCURRENT" localSheetId="66" hidden="1">'[7]BREAKUP OF OIL'!#REF!</definedName>
    <definedName name="__123Graph_BCURRENT" localSheetId="67" hidden="1">'[7]BREAKUP OF OIL'!#REF!</definedName>
    <definedName name="__123Graph_BCURRENT" localSheetId="68" hidden="1">'[7]BREAKUP OF OIL'!#REF!</definedName>
    <definedName name="__123Graph_BCURRENT" localSheetId="74" hidden="1">'[7]BREAKUP OF OIL'!#REF!</definedName>
    <definedName name="__123Graph_BCURRENT" localSheetId="75" hidden="1">'[7]BREAKUP OF OIL'!#REF!</definedName>
    <definedName name="__123Graph_BCURRENT" localSheetId="76" hidden="1">'[7]BREAKUP OF OIL'!#REF!</definedName>
    <definedName name="__123Graph_BCURRENT" localSheetId="77" hidden="1">'[7]BREAKUP OF OIL'!#REF!</definedName>
    <definedName name="__123Graph_BCURRENT" localSheetId="78" hidden="1">'[7]BREAKUP OF OIL'!#REF!</definedName>
    <definedName name="__123Graph_BCURRENT" localSheetId="79" hidden="1">'[7]BREAKUP OF OIL'!#REF!</definedName>
    <definedName name="__123Graph_BCURRENT" hidden="1">'[7]BREAKUP OF OIL'!#REF!</definedName>
    <definedName name="__123Graph_C" localSheetId="13" hidden="1">#REF!</definedName>
    <definedName name="__123Graph_C" localSheetId="14" hidden="1">#REF!</definedName>
    <definedName name="__123Graph_C" localSheetId="7"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48" hidden="1">#REF!</definedName>
    <definedName name="__123Graph_C" localSheetId="50" hidden="1">#REF!</definedName>
    <definedName name="__123Graph_C" localSheetId="51" hidden="1">#REF!</definedName>
    <definedName name="__123Graph_C" localSheetId="52" hidden="1">#REF!</definedName>
    <definedName name="__123Graph_C" localSheetId="53" hidden="1">#REF!</definedName>
    <definedName name="__123Graph_C" localSheetId="54" hidden="1">#REF!</definedName>
    <definedName name="__123Graph_C" localSheetId="37" hidden="1">#REF!</definedName>
    <definedName name="__123Graph_C" localSheetId="38" hidden="1">#REF!</definedName>
    <definedName name="__123Graph_C" localSheetId="34" hidden="1">#REF!</definedName>
    <definedName name="__123Graph_C" localSheetId="35" hidden="1">#REF!</definedName>
    <definedName name="__123Graph_C" localSheetId="36" hidden="1">#REF!</definedName>
    <definedName name="__123Graph_C" localSheetId="39" hidden="1">#REF!</definedName>
    <definedName name="__123Graph_C" localSheetId="40" hidden="1">#REF!</definedName>
    <definedName name="__123Graph_C" localSheetId="69" hidden="1">#REF!</definedName>
    <definedName name="__123Graph_C" localSheetId="70" hidden="1">#REF!</definedName>
    <definedName name="__123Graph_C" localSheetId="71" hidden="1">#REF!</definedName>
    <definedName name="__123Graph_C" localSheetId="72" hidden="1">#REF!</definedName>
    <definedName name="__123Graph_C" localSheetId="60" hidden="1">#REF!</definedName>
    <definedName name="__123Graph_C" localSheetId="61" hidden="1">#REF!</definedName>
    <definedName name="__123Graph_C" localSheetId="62" hidden="1">#REF!</definedName>
    <definedName name="__123Graph_C" localSheetId="63" hidden="1">#REF!</definedName>
    <definedName name="__123Graph_C" localSheetId="64" hidden="1">#REF!</definedName>
    <definedName name="__123Graph_C" localSheetId="66" hidden="1">#REF!</definedName>
    <definedName name="__123Graph_C" localSheetId="67" hidden="1">#REF!</definedName>
    <definedName name="__123Graph_C" localSheetId="68" hidden="1">#REF!</definedName>
    <definedName name="__123Graph_C" localSheetId="74" hidden="1">#REF!</definedName>
    <definedName name="__123Graph_C" localSheetId="75" hidden="1">#REF!</definedName>
    <definedName name="__123Graph_C" localSheetId="76" hidden="1">#REF!</definedName>
    <definedName name="__123Graph_C" localSheetId="77" hidden="1">#REF!</definedName>
    <definedName name="__123Graph_C" localSheetId="78" hidden="1">#REF!</definedName>
    <definedName name="__123Graph_C" localSheetId="79" hidden="1">#REF!</definedName>
    <definedName name="__123Graph_C" hidden="1">#REF!</definedName>
    <definedName name="__123Graph_D" localSheetId="13" hidden="1">#REF!</definedName>
    <definedName name="__123Graph_D" localSheetId="14" hidden="1">#REF!</definedName>
    <definedName name="__123Graph_D" localSheetId="7"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43" hidden="1">#REF!</definedName>
    <definedName name="__123Graph_D" localSheetId="44" hidden="1">#REF!</definedName>
    <definedName name="__123Graph_D" localSheetId="45" hidden="1">#REF!</definedName>
    <definedName name="__123Graph_D" localSheetId="46" hidden="1">#REF!</definedName>
    <definedName name="__123Graph_D" localSheetId="47" hidden="1">#REF!</definedName>
    <definedName name="__123Graph_D" localSheetId="48" hidden="1">#REF!</definedName>
    <definedName name="__123Graph_D" localSheetId="50" hidden="1">#REF!</definedName>
    <definedName name="__123Graph_D" localSheetId="51" hidden="1">#REF!</definedName>
    <definedName name="__123Graph_D" localSheetId="52" hidden="1">#REF!</definedName>
    <definedName name="__123Graph_D" localSheetId="53" hidden="1">#REF!</definedName>
    <definedName name="__123Graph_D" localSheetId="54" hidden="1">#REF!</definedName>
    <definedName name="__123Graph_D" localSheetId="37" hidden="1">#REF!</definedName>
    <definedName name="__123Graph_D" localSheetId="38" hidden="1">#REF!</definedName>
    <definedName name="__123Graph_D" localSheetId="34" hidden="1">#REF!</definedName>
    <definedName name="__123Graph_D" localSheetId="35" hidden="1">#REF!</definedName>
    <definedName name="__123Graph_D" localSheetId="36" hidden="1">#REF!</definedName>
    <definedName name="__123Graph_D" localSheetId="39" hidden="1">#REF!</definedName>
    <definedName name="__123Graph_D" localSheetId="40" hidden="1">#REF!</definedName>
    <definedName name="__123Graph_D" localSheetId="69" hidden="1">#REF!</definedName>
    <definedName name="__123Graph_D" localSheetId="70" hidden="1">#REF!</definedName>
    <definedName name="__123Graph_D" localSheetId="71" hidden="1">#REF!</definedName>
    <definedName name="__123Graph_D" localSheetId="72" hidden="1">#REF!</definedName>
    <definedName name="__123Graph_D" localSheetId="60" hidden="1">#REF!</definedName>
    <definedName name="__123Graph_D" localSheetId="61" hidden="1">#REF!</definedName>
    <definedName name="__123Graph_D" localSheetId="62" hidden="1">#REF!</definedName>
    <definedName name="__123Graph_D" localSheetId="63" hidden="1">#REF!</definedName>
    <definedName name="__123Graph_D" localSheetId="64" hidden="1">#REF!</definedName>
    <definedName name="__123Graph_D" localSheetId="66" hidden="1">#REF!</definedName>
    <definedName name="__123Graph_D" localSheetId="67" hidden="1">#REF!</definedName>
    <definedName name="__123Graph_D" localSheetId="68" hidden="1">#REF!</definedName>
    <definedName name="__123Graph_D" localSheetId="74" hidden="1">#REF!</definedName>
    <definedName name="__123Graph_D" localSheetId="75" hidden="1">#REF!</definedName>
    <definedName name="__123Graph_D" localSheetId="76" hidden="1">#REF!</definedName>
    <definedName name="__123Graph_D" localSheetId="77" hidden="1">#REF!</definedName>
    <definedName name="__123Graph_D" localSheetId="78" hidden="1">#REF!</definedName>
    <definedName name="__123Graph_D" localSheetId="79" hidden="1">#REF!</definedName>
    <definedName name="__123Graph_D" hidden="1">#REF!</definedName>
    <definedName name="__123Graph_DCURRENT" localSheetId="13" hidden="1">'[7]BREAKUP OF OIL'!#REF!</definedName>
    <definedName name="__123Graph_DCURRENT" localSheetId="14" hidden="1">'[7]BREAKUP OF OIL'!#REF!</definedName>
    <definedName name="__123Graph_DCURRENT" localSheetId="7" hidden="1">'[7]BREAKUP OF OIL'!#REF!</definedName>
    <definedName name="__123Graph_DCURRENT" localSheetId="9" hidden="1">'[7]BREAKUP OF OIL'!#REF!</definedName>
    <definedName name="__123Graph_DCURRENT" localSheetId="10" hidden="1">'[7]BREAKUP OF OIL'!#REF!</definedName>
    <definedName name="__123Graph_DCURRENT" localSheetId="11" hidden="1">'[7]BREAKUP OF OIL'!#REF!</definedName>
    <definedName name="__123Graph_DCURRENT" localSheetId="12" hidden="1">'[7]BREAKUP OF OIL'!#REF!</definedName>
    <definedName name="__123Graph_DCURRENT" localSheetId="43" hidden="1">'[7]BREAKUP OF OIL'!#REF!</definedName>
    <definedName name="__123Graph_DCURRENT" localSheetId="44" hidden="1">'[7]BREAKUP OF OIL'!#REF!</definedName>
    <definedName name="__123Graph_DCURRENT" localSheetId="45" hidden="1">'[7]BREAKUP OF OIL'!#REF!</definedName>
    <definedName name="__123Graph_DCURRENT" localSheetId="46" hidden="1">'[7]BREAKUP OF OIL'!#REF!</definedName>
    <definedName name="__123Graph_DCURRENT" localSheetId="47" hidden="1">'[7]BREAKUP OF OIL'!#REF!</definedName>
    <definedName name="__123Graph_DCURRENT" localSheetId="48" hidden="1">'[7]BREAKUP OF OIL'!#REF!</definedName>
    <definedName name="__123Graph_DCURRENT" localSheetId="50" hidden="1">'[7]BREAKUP OF OIL'!#REF!</definedName>
    <definedName name="__123Graph_DCURRENT" localSheetId="51" hidden="1">'[7]BREAKUP OF OIL'!#REF!</definedName>
    <definedName name="__123Graph_DCURRENT" localSheetId="52" hidden="1">'[7]BREAKUP OF OIL'!#REF!</definedName>
    <definedName name="__123Graph_DCURRENT" localSheetId="53" hidden="1">'[7]BREAKUP OF OIL'!#REF!</definedName>
    <definedName name="__123Graph_DCURRENT" localSheetId="54" hidden="1">'[7]BREAKUP OF OIL'!#REF!</definedName>
    <definedName name="__123Graph_DCURRENT" localSheetId="37" hidden="1">'[7]BREAKUP OF OIL'!#REF!</definedName>
    <definedName name="__123Graph_DCURRENT" localSheetId="38" hidden="1">'[7]BREAKUP OF OIL'!#REF!</definedName>
    <definedName name="__123Graph_DCURRENT" localSheetId="34" hidden="1">'[7]BREAKUP OF OIL'!#REF!</definedName>
    <definedName name="__123Graph_DCURRENT" localSheetId="35" hidden="1">'[7]BREAKUP OF OIL'!#REF!</definedName>
    <definedName name="__123Graph_DCURRENT" localSheetId="36" hidden="1">'[7]BREAKUP OF OIL'!#REF!</definedName>
    <definedName name="__123Graph_DCURRENT" localSheetId="39" hidden="1">'[7]BREAKUP OF OIL'!#REF!</definedName>
    <definedName name="__123Graph_DCURRENT" localSheetId="40" hidden="1">'[7]BREAKUP OF OIL'!#REF!</definedName>
    <definedName name="__123Graph_DCURRENT" localSheetId="69" hidden="1">'[7]BREAKUP OF OIL'!#REF!</definedName>
    <definedName name="__123Graph_DCURRENT" localSheetId="70" hidden="1">'[7]BREAKUP OF OIL'!#REF!</definedName>
    <definedName name="__123Graph_DCURRENT" localSheetId="71" hidden="1">'[7]BREAKUP OF OIL'!#REF!</definedName>
    <definedName name="__123Graph_DCURRENT" localSheetId="72" hidden="1">'[7]BREAKUP OF OIL'!#REF!</definedName>
    <definedName name="__123Graph_DCURRENT" localSheetId="60" hidden="1">'[7]BREAKUP OF OIL'!#REF!</definedName>
    <definedName name="__123Graph_DCURRENT" localSheetId="61" hidden="1">'[7]BREAKUP OF OIL'!#REF!</definedName>
    <definedName name="__123Graph_DCURRENT" localSheetId="62" hidden="1">'[7]BREAKUP OF OIL'!#REF!</definedName>
    <definedName name="__123Graph_DCURRENT" localSheetId="63" hidden="1">'[7]BREAKUP OF OIL'!#REF!</definedName>
    <definedName name="__123Graph_DCURRENT" localSheetId="64" hidden="1">'[7]BREAKUP OF OIL'!#REF!</definedName>
    <definedName name="__123Graph_DCURRENT" localSheetId="66" hidden="1">'[7]BREAKUP OF OIL'!#REF!</definedName>
    <definedName name="__123Graph_DCURRENT" localSheetId="67" hidden="1">'[7]BREAKUP OF OIL'!#REF!</definedName>
    <definedName name="__123Graph_DCURRENT" localSheetId="68" hidden="1">'[7]BREAKUP OF OIL'!#REF!</definedName>
    <definedName name="__123Graph_DCURRENT" localSheetId="74" hidden="1">'[7]BREAKUP OF OIL'!#REF!</definedName>
    <definedName name="__123Graph_DCURRENT" localSheetId="75" hidden="1">'[7]BREAKUP OF OIL'!#REF!</definedName>
    <definedName name="__123Graph_DCURRENT" localSheetId="76" hidden="1">'[7]BREAKUP OF OIL'!#REF!</definedName>
    <definedName name="__123Graph_DCURRENT" localSheetId="77" hidden="1">'[7]BREAKUP OF OIL'!#REF!</definedName>
    <definedName name="__123Graph_DCURRENT" localSheetId="78" hidden="1">'[7]BREAKUP OF OIL'!#REF!</definedName>
    <definedName name="__123Graph_DCURRENT" localSheetId="79" hidden="1">'[7]BREAKUP OF OIL'!#REF!</definedName>
    <definedName name="__123Graph_DCURRENT" hidden="1">'[7]BREAKUP OF OIL'!#REF!</definedName>
    <definedName name="__123Graph_E" localSheetId="13" hidden="1">#REF!</definedName>
    <definedName name="__123Graph_E" localSheetId="14" hidden="1">#REF!</definedName>
    <definedName name="__123Graph_E" localSheetId="7"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43" hidden="1">#REF!</definedName>
    <definedName name="__123Graph_E" localSheetId="44" hidden="1">#REF!</definedName>
    <definedName name="__123Graph_E" localSheetId="45" hidden="1">#REF!</definedName>
    <definedName name="__123Graph_E" localSheetId="46" hidden="1">#REF!</definedName>
    <definedName name="__123Graph_E" localSheetId="47" hidden="1">#REF!</definedName>
    <definedName name="__123Graph_E" localSheetId="48" hidden="1">#REF!</definedName>
    <definedName name="__123Graph_E" localSheetId="50" hidden="1">#REF!</definedName>
    <definedName name="__123Graph_E" localSheetId="51" hidden="1">#REF!</definedName>
    <definedName name="__123Graph_E" localSheetId="52" hidden="1">#REF!</definedName>
    <definedName name="__123Graph_E" localSheetId="53" hidden="1">#REF!</definedName>
    <definedName name="__123Graph_E" localSheetId="54" hidden="1">#REF!</definedName>
    <definedName name="__123Graph_E" localSheetId="37" hidden="1">#REF!</definedName>
    <definedName name="__123Graph_E" localSheetId="38" hidden="1">#REF!</definedName>
    <definedName name="__123Graph_E" localSheetId="34" hidden="1">#REF!</definedName>
    <definedName name="__123Graph_E" localSheetId="35" hidden="1">#REF!</definedName>
    <definedName name="__123Graph_E" localSheetId="36" hidden="1">#REF!</definedName>
    <definedName name="__123Graph_E" localSheetId="39" hidden="1">#REF!</definedName>
    <definedName name="__123Graph_E" localSheetId="40" hidden="1">#REF!</definedName>
    <definedName name="__123Graph_E" localSheetId="69" hidden="1">#REF!</definedName>
    <definedName name="__123Graph_E" localSheetId="70" hidden="1">#REF!</definedName>
    <definedName name="__123Graph_E" localSheetId="71" hidden="1">#REF!</definedName>
    <definedName name="__123Graph_E" localSheetId="72" hidden="1">#REF!</definedName>
    <definedName name="__123Graph_E" localSheetId="60" hidden="1">#REF!</definedName>
    <definedName name="__123Graph_E" localSheetId="61" hidden="1">#REF!</definedName>
    <definedName name="__123Graph_E" localSheetId="62" hidden="1">#REF!</definedName>
    <definedName name="__123Graph_E" localSheetId="63" hidden="1">#REF!</definedName>
    <definedName name="__123Graph_E" localSheetId="64" hidden="1">#REF!</definedName>
    <definedName name="__123Graph_E" localSheetId="66" hidden="1">#REF!</definedName>
    <definedName name="__123Graph_E" localSheetId="67" hidden="1">#REF!</definedName>
    <definedName name="__123Graph_E" localSheetId="68" hidden="1">#REF!</definedName>
    <definedName name="__123Graph_E" localSheetId="74" hidden="1">#REF!</definedName>
    <definedName name="__123Graph_E" localSheetId="75" hidden="1">#REF!</definedName>
    <definedName name="__123Graph_E" localSheetId="76" hidden="1">#REF!</definedName>
    <definedName name="__123Graph_E" localSheetId="77" hidden="1">#REF!</definedName>
    <definedName name="__123Graph_E" localSheetId="78" hidden="1">#REF!</definedName>
    <definedName name="__123Graph_E" localSheetId="79" hidden="1">#REF!</definedName>
    <definedName name="__123Graph_E" hidden="1">#REF!</definedName>
    <definedName name="__123Graph_F" localSheetId="13" hidden="1">#REF!</definedName>
    <definedName name="__123Graph_F" localSheetId="14" hidden="1">#REF!</definedName>
    <definedName name="__123Graph_F" localSheetId="7"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43" hidden="1">#REF!</definedName>
    <definedName name="__123Graph_F" localSheetId="44" hidden="1">#REF!</definedName>
    <definedName name="__123Graph_F" localSheetId="45" hidden="1">#REF!</definedName>
    <definedName name="__123Graph_F" localSheetId="46" hidden="1">#REF!</definedName>
    <definedName name="__123Graph_F" localSheetId="47" hidden="1">#REF!</definedName>
    <definedName name="__123Graph_F" localSheetId="48" hidden="1">#REF!</definedName>
    <definedName name="__123Graph_F" localSheetId="50" hidden="1">#REF!</definedName>
    <definedName name="__123Graph_F" localSheetId="51" hidden="1">#REF!</definedName>
    <definedName name="__123Graph_F" localSheetId="52" hidden="1">#REF!</definedName>
    <definedName name="__123Graph_F" localSheetId="53" hidden="1">#REF!</definedName>
    <definedName name="__123Graph_F" localSheetId="54" hidden="1">#REF!</definedName>
    <definedName name="__123Graph_F" localSheetId="37" hidden="1">#REF!</definedName>
    <definedName name="__123Graph_F" localSheetId="38" hidden="1">#REF!</definedName>
    <definedName name="__123Graph_F" localSheetId="34" hidden="1">#REF!</definedName>
    <definedName name="__123Graph_F" localSheetId="35" hidden="1">#REF!</definedName>
    <definedName name="__123Graph_F" localSheetId="36" hidden="1">#REF!</definedName>
    <definedName name="__123Graph_F" localSheetId="39" hidden="1">#REF!</definedName>
    <definedName name="__123Graph_F" localSheetId="40" hidden="1">#REF!</definedName>
    <definedName name="__123Graph_F" localSheetId="69" hidden="1">#REF!</definedName>
    <definedName name="__123Graph_F" localSheetId="70" hidden="1">#REF!</definedName>
    <definedName name="__123Graph_F" localSheetId="71" hidden="1">#REF!</definedName>
    <definedName name="__123Graph_F" localSheetId="72" hidden="1">#REF!</definedName>
    <definedName name="__123Graph_F" localSheetId="60" hidden="1">#REF!</definedName>
    <definedName name="__123Graph_F" localSheetId="61" hidden="1">#REF!</definedName>
    <definedName name="__123Graph_F" localSheetId="62" hidden="1">#REF!</definedName>
    <definedName name="__123Graph_F" localSheetId="63" hidden="1">#REF!</definedName>
    <definedName name="__123Graph_F" localSheetId="64" hidden="1">#REF!</definedName>
    <definedName name="__123Graph_F" localSheetId="66" hidden="1">#REF!</definedName>
    <definedName name="__123Graph_F" localSheetId="67" hidden="1">#REF!</definedName>
    <definedName name="__123Graph_F" localSheetId="68" hidden="1">#REF!</definedName>
    <definedName name="__123Graph_F" localSheetId="74" hidden="1">#REF!</definedName>
    <definedName name="__123Graph_F" localSheetId="75" hidden="1">#REF!</definedName>
    <definedName name="__123Graph_F" localSheetId="76" hidden="1">#REF!</definedName>
    <definedName name="__123Graph_F" localSheetId="77" hidden="1">#REF!</definedName>
    <definedName name="__123Graph_F" localSheetId="78" hidden="1">#REF!</definedName>
    <definedName name="__123Graph_F" localSheetId="79" hidden="1">#REF!</definedName>
    <definedName name="__123Graph_F" hidden="1">#REF!</definedName>
    <definedName name="__123Graph_X" localSheetId="13" hidden="1">#REF!</definedName>
    <definedName name="__123Graph_X" localSheetId="14" hidden="1">#REF!</definedName>
    <definedName name="__123Graph_X" localSheetId="7"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48" hidden="1">#REF!</definedName>
    <definedName name="__123Graph_X" localSheetId="50" hidden="1">#REF!</definedName>
    <definedName name="__123Graph_X" localSheetId="51" hidden="1">#REF!</definedName>
    <definedName name="__123Graph_X" localSheetId="52" hidden="1">#REF!</definedName>
    <definedName name="__123Graph_X" localSheetId="53" hidden="1">#REF!</definedName>
    <definedName name="__123Graph_X" localSheetId="54" hidden="1">#REF!</definedName>
    <definedName name="__123Graph_X" localSheetId="37" hidden="1">#REF!</definedName>
    <definedName name="__123Graph_X" localSheetId="38" hidden="1">#REF!</definedName>
    <definedName name="__123Graph_X" localSheetId="34" hidden="1">#REF!</definedName>
    <definedName name="__123Graph_X" localSheetId="35" hidden="1">#REF!</definedName>
    <definedName name="__123Graph_X" localSheetId="36" hidden="1">#REF!</definedName>
    <definedName name="__123Graph_X" localSheetId="39" hidden="1">#REF!</definedName>
    <definedName name="__123Graph_X" localSheetId="40" hidden="1">#REF!</definedName>
    <definedName name="__123Graph_X" localSheetId="69" hidden="1">#REF!</definedName>
    <definedName name="__123Graph_X" localSheetId="70" hidden="1">#REF!</definedName>
    <definedName name="__123Graph_X" localSheetId="71" hidden="1">#REF!</definedName>
    <definedName name="__123Graph_X" localSheetId="72" hidden="1">#REF!</definedName>
    <definedName name="__123Graph_X" localSheetId="60" hidden="1">#REF!</definedName>
    <definedName name="__123Graph_X" localSheetId="61" hidden="1">#REF!</definedName>
    <definedName name="__123Graph_X" localSheetId="62" hidden="1">#REF!</definedName>
    <definedName name="__123Graph_X" localSheetId="63" hidden="1">#REF!</definedName>
    <definedName name="__123Graph_X" localSheetId="64" hidden="1">#REF!</definedName>
    <definedName name="__123Graph_X" localSheetId="66" hidden="1">#REF!</definedName>
    <definedName name="__123Graph_X" localSheetId="67" hidden="1">#REF!</definedName>
    <definedName name="__123Graph_X" localSheetId="68" hidden="1">#REF!</definedName>
    <definedName name="__123Graph_X" localSheetId="74" hidden="1">#REF!</definedName>
    <definedName name="__123Graph_X" localSheetId="75" hidden="1">#REF!</definedName>
    <definedName name="__123Graph_X" localSheetId="76" hidden="1">#REF!</definedName>
    <definedName name="__123Graph_X" localSheetId="77" hidden="1">#REF!</definedName>
    <definedName name="__123Graph_X" localSheetId="78" hidden="1">#REF!</definedName>
    <definedName name="__123Graph_X" localSheetId="79" hidden="1">#REF!</definedName>
    <definedName name="__123Graph_X" hidden="1">#REF!</definedName>
    <definedName name="__123Graph_XCURRENT" localSheetId="13" hidden="1">'[7]BREAKUP OF OIL'!#REF!</definedName>
    <definedName name="__123Graph_XCURRENT" localSheetId="14" hidden="1">'[7]BREAKUP OF OIL'!#REF!</definedName>
    <definedName name="__123Graph_XCURRENT" localSheetId="7" hidden="1">'[7]BREAKUP OF OIL'!#REF!</definedName>
    <definedName name="__123Graph_XCURRENT" localSheetId="9" hidden="1">'[7]BREAKUP OF OIL'!#REF!</definedName>
    <definedName name="__123Graph_XCURRENT" localSheetId="10" hidden="1">'[7]BREAKUP OF OIL'!#REF!</definedName>
    <definedName name="__123Graph_XCURRENT" localSheetId="11" hidden="1">'[7]BREAKUP OF OIL'!#REF!</definedName>
    <definedName name="__123Graph_XCURRENT" localSheetId="12" hidden="1">'[7]BREAKUP OF OIL'!#REF!</definedName>
    <definedName name="__123Graph_XCURRENT" localSheetId="43" hidden="1">'[7]BREAKUP OF OIL'!#REF!</definedName>
    <definedName name="__123Graph_XCURRENT" localSheetId="44" hidden="1">'[7]BREAKUP OF OIL'!#REF!</definedName>
    <definedName name="__123Graph_XCURRENT" localSheetId="45" hidden="1">'[7]BREAKUP OF OIL'!#REF!</definedName>
    <definedName name="__123Graph_XCURRENT" localSheetId="46" hidden="1">'[7]BREAKUP OF OIL'!#REF!</definedName>
    <definedName name="__123Graph_XCURRENT" localSheetId="47" hidden="1">'[7]BREAKUP OF OIL'!#REF!</definedName>
    <definedName name="__123Graph_XCURRENT" localSheetId="48" hidden="1">'[7]BREAKUP OF OIL'!#REF!</definedName>
    <definedName name="__123Graph_XCURRENT" localSheetId="50" hidden="1">'[7]BREAKUP OF OIL'!#REF!</definedName>
    <definedName name="__123Graph_XCURRENT" localSheetId="51" hidden="1">'[7]BREAKUP OF OIL'!#REF!</definedName>
    <definedName name="__123Graph_XCURRENT" localSheetId="52" hidden="1">'[7]BREAKUP OF OIL'!#REF!</definedName>
    <definedName name="__123Graph_XCURRENT" localSheetId="53" hidden="1">'[7]BREAKUP OF OIL'!#REF!</definedName>
    <definedName name="__123Graph_XCURRENT" localSheetId="54" hidden="1">'[7]BREAKUP OF OIL'!#REF!</definedName>
    <definedName name="__123Graph_XCURRENT" localSheetId="37" hidden="1">'[7]BREAKUP OF OIL'!#REF!</definedName>
    <definedName name="__123Graph_XCURRENT" localSheetId="38" hidden="1">'[7]BREAKUP OF OIL'!#REF!</definedName>
    <definedName name="__123Graph_XCURRENT" localSheetId="34" hidden="1">'[7]BREAKUP OF OIL'!#REF!</definedName>
    <definedName name="__123Graph_XCURRENT" localSheetId="35" hidden="1">'[7]BREAKUP OF OIL'!#REF!</definedName>
    <definedName name="__123Graph_XCURRENT" localSheetId="36" hidden="1">'[7]BREAKUP OF OIL'!#REF!</definedName>
    <definedName name="__123Graph_XCURRENT" localSheetId="39" hidden="1">'[7]BREAKUP OF OIL'!#REF!</definedName>
    <definedName name="__123Graph_XCURRENT" localSheetId="40" hidden="1">'[7]BREAKUP OF OIL'!#REF!</definedName>
    <definedName name="__123Graph_XCURRENT" localSheetId="69" hidden="1">'[7]BREAKUP OF OIL'!#REF!</definedName>
    <definedName name="__123Graph_XCURRENT" localSheetId="70" hidden="1">'[7]BREAKUP OF OIL'!#REF!</definedName>
    <definedName name="__123Graph_XCURRENT" localSheetId="71" hidden="1">'[7]BREAKUP OF OIL'!#REF!</definedName>
    <definedName name="__123Graph_XCURRENT" localSheetId="72" hidden="1">'[7]BREAKUP OF OIL'!#REF!</definedName>
    <definedName name="__123Graph_XCURRENT" localSheetId="60" hidden="1">'[7]BREAKUP OF OIL'!#REF!</definedName>
    <definedName name="__123Graph_XCURRENT" localSheetId="61" hidden="1">'[7]BREAKUP OF OIL'!#REF!</definedName>
    <definedName name="__123Graph_XCURRENT" localSheetId="62" hidden="1">'[7]BREAKUP OF OIL'!#REF!</definedName>
    <definedName name="__123Graph_XCURRENT" localSheetId="63" hidden="1">'[7]BREAKUP OF OIL'!#REF!</definedName>
    <definedName name="__123Graph_XCURRENT" localSheetId="64" hidden="1">'[7]BREAKUP OF OIL'!#REF!</definedName>
    <definedName name="__123Graph_XCURRENT" localSheetId="66" hidden="1">'[7]BREAKUP OF OIL'!#REF!</definedName>
    <definedName name="__123Graph_XCURRENT" localSheetId="67" hidden="1">'[7]BREAKUP OF OIL'!#REF!</definedName>
    <definedName name="__123Graph_XCURRENT" localSheetId="68" hidden="1">'[7]BREAKUP OF OIL'!#REF!</definedName>
    <definedName name="__123Graph_XCURRENT" localSheetId="74" hidden="1">'[7]BREAKUP OF OIL'!#REF!</definedName>
    <definedName name="__123Graph_XCURRENT" localSheetId="75" hidden="1">'[7]BREAKUP OF OIL'!#REF!</definedName>
    <definedName name="__123Graph_XCURRENT" localSheetId="76" hidden="1">'[7]BREAKUP OF OIL'!#REF!</definedName>
    <definedName name="__123Graph_XCURRENT" localSheetId="77" hidden="1">'[7]BREAKUP OF OIL'!#REF!</definedName>
    <definedName name="__123Graph_XCURRENT" localSheetId="78" hidden="1">'[7]BREAKUP OF OIL'!#REF!</definedName>
    <definedName name="__123Graph_XCURRENT" localSheetId="79" hidden="1">'[7]BREAKUP OF OIL'!#REF!</definedName>
    <definedName name="__123Graph_XCURRENT" hidden="1">'[7]BREAKUP OF OIL'!#REF!</definedName>
    <definedName name="__BSD1" localSheetId="13">#REF!</definedName>
    <definedName name="__BSD1" localSheetId="14">#REF!</definedName>
    <definedName name="__BSD1" localSheetId="7">#REF!</definedName>
    <definedName name="__BSD1" localSheetId="9">#REF!</definedName>
    <definedName name="__BSD1" localSheetId="10">#REF!</definedName>
    <definedName name="__BSD1" localSheetId="11">#REF!</definedName>
    <definedName name="__BSD1" localSheetId="12">#REF!</definedName>
    <definedName name="__BSD1" localSheetId="43">#REF!</definedName>
    <definedName name="__BSD1" localSheetId="44">#REF!</definedName>
    <definedName name="__BSD1" localSheetId="45">#REF!</definedName>
    <definedName name="__BSD1" localSheetId="46">#REF!</definedName>
    <definedName name="__BSD1" localSheetId="47">#REF!</definedName>
    <definedName name="__BSD1" localSheetId="48">#REF!</definedName>
    <definedName name="__BSD1" localSheetId="50">#REF!</definedName>
    <definedName name="__BSD1" localSheetId="51">#REF!</definedName>
    <definedName name="__BSD1" localSheetId="52">#REF!</definedName>
    <definedName name="__BSD1" localSheetId="53">#REF!</definedName>
    <definedName name="__BSD1" localSheetId="54">#REF!</definedName>
    <definedName name="__BSD1" localSheetId="37">#REF!</definedName>
    <definedName name="__BSD1" localSheetId="38">#REF!</definedName>
    <definedName name="__BSD1" localSheetId="34">#REF!</definedName>
    <definedName name="__BSD1" localSheetId="35">#REF!</definedName>
    <definedName name="__BSD1" localSheetId="36">#REF!</definedName>
    <definedName name="__BSD1" localSheetId="39">#REF!</definedName>
    <definedName name="__BSD1" localSheetId="40">#REF!</definedName>
    <definedName name="__BSD1" localSheetId="69">#REF!</definedName>
    <definedName name="__BSD1" localSheetId="70">#REF!</definedName>
    <definedName name="__BSD1" localSheetId="71">#REF!</definedName>
    <definedName name="__BSD1" localSheetId="72">#REF!</definedName>
    <definedName name="__BSD1" localSheetId="60">#REF!</definedName>
    <definedName name="__BSD1" localSheetId="61">#REF!</definedName>
    <definedName name="__BSD1" localSheetId="62">#REF!</definedName>
    <definedName name="__BSD1" localSheetId="63">#REF!</definedName>
    <definedName name="__BSD1" localSheetId="64">#REF!</definedName>
    <definedName name="__BSD1" localSheetId="66">#REF!</definedName>
    <definedName name="__BSD1" localSheetId="67">#REF!</definedName>
    <definedName name="__BSD1" localSheetId="68">#REF!</definedName>
    <definedName name="__BSD1" localSheetId="74">#REF!</definedName>
    <definedName name="__BSD1" localSheetId="75">#REF!</definedName>
    <definedName name="__BSD1" localSheetId="76">#REF!</definedName>
    <definedName name="__BSD1" localSheetId="77">#REF!</definedName>
    <definedName name="__BSD1" localSheetId="78">#REF!</definedName>
    <definedName name="__BSD1" localSheetId="79">#REF!</definedName>
    <definedName name="__BSD1">#REF!</definedName>
    <definedName name="__BSD2" localSheetId="13">#REF!</definedName>
    <definedName name="__BSD2" localSheetId="14">#REF!</definedName>
    <definedName name="__BSD2" localSheetId="7">#REF!</definedName>
    <definedName name="__BSD2" localSheetId="9">#REF!</definedName>
    <definedName name="__BSD2" localSheetId="10">#REF!</definedName>
    <definedName name="__BSD2" localSheetId="11">#REF!</definedName>
    <definedName name="__BSD2" localSheetId="12">#REF!</definedName>
    <definedName name="__BSD2" localSheetId="43">#REF!</definedName>
    <definedName name="__BSD2" localSheetId="44">#REF!</definedName>
    <definedName name="__BSD2" localSheetId="45">#REF!</definedName>
    <definedName name="__BSD2" localSheetId="46">#REF!</definedName>
    <definedName name="__BSD2" localSheetId="47">#REF!</definedName>
    <definedName name="__BSD2" localSheetId="48">#REF!</definedName>
    <definedName name="__BSD2" localSheetId="50">#REF!</definedName>
    <definedName name="__BSD2" localSheetId="51">#REF!</definedName>
    <definedName name="__BSD2" localSheetId="52">#REF!</definedName>
    <definedName name="__BSD2" localSheetId="53">#REF!</definedName>
    <definedName name="__BSD2" localSheetId="54">#REF!</definedName>
    <definedName name="__BSD2" localSheetId="37">#REF!</definedName>
    <definedName name="__BSD2" localSheetId="38">#REF!</definedName>
    <definedName name="__BSD2" localSheetId="34">#REF!</definedName>
    <definedName name="__BSD2" localSheetId="35">#REF!</definedName>
    <definedName name="__BSD2" localSheetId="36">#REF!</definedName>
    <definedName name="__BSD2" localSheetId="39">#REF!</definedName>
    <definedName name="__BSD2" localSheetId="40">#REF!</definedName>
    <definedName name="__BSD2" localSheetId="69">#REF!</definedName>
    <definedName name="__BSD2" localSheetId="70">#REF!</definedName>
    <definedName name="__BSD2" localSheetId="71">#REF!</definedName>
    <definedName name="__BSD2" localSheetId="72">#REF!</definedName>
    <definedName name="__BSD2" localSheetId="60">#REF!</definedName>
    <definedName name="__BSD2" localSheetId="61">#REF!</definedName>
    <definedName name="__BSD2" localSheetId="62">#REF!</definedName>
    <definedName name="__BSD2" localSheetId="63">#REF!</definedName>
    <definedName name="__BSD2" localSheetId="64">#REF!</definedName>
    <definedName name="__BSD2" localSheetId="66">#REF!</definedName>
    <definedName name="__BSD2" localSheetId="67">#REF!</definedName>
    <definedName name="__BSD2" localSheetId="68">#REF!</definedName>
    <definedName name="__BSD2" localSheetId="74">#REF!</definedName>
    <definedName name="__BSD2" localSheetId="75">#REF!</definedName>
    <definedName name="__BSD2" localSheetId="76">#REF!</definedName>
    <definedName name="__BSD2" localSheetId="77">#REF!</definedName>
    <definedName name="__BSD2" localSheetId="78">#REF!</definedName>
    <definedName name="__BSD2" localSheetId="79">#REF!</definedName>
    <definedName name="__BSD2">#REF!</definedName>
    <definedName name="__CZ1">[4]data!$F$721</definedName>
    <definedName name="__IED1" localSheetId="13">#REF!</definedName>
    <definedName name="__IED1" localSheetId="14">#REF!</definedName>
    <definedName name="__IED1" localSheetId="7">#REF!</definedName>
    <definedName name="__IED1" localSheetId="9">#REF!</definedName>
    <definedName name="__IED1" localSheetId="10">#REF!</definedName>
    <definedName name="__IED1" localSheetId="11">#REF!</definedName>
    <definedName name="__IED1" localSheetId="12">#REF!</definedName>
    <definedName name="__IED1" localSheetId="43">#REF!</definedName>
    <definedName name="__IED1" localSheetId="44">#REF!</definedName>
    <definedName name="__IED1" localSheetId="45">#REF!</definedName>
    <definedName name="__IED1" localSheetId="46">#REF!</definedName>
    <definedName name="__IED1" localSheetId="47">#REF!</definedName>
    <definedName name="__IED1" localSheetId="48">#REF!</definedName>
    <definedName name="__IED1" localSheetId="50">#REF!</definedName>
    <definedName name="__IED1" localSheetId="51">#REF!</definedName>
    <definedName name="__IED1" localSheetId="52">#REF!</definedName>
    <definedName name="__IED1" localSheetId="53">#REF!</definedName>
    <definedName name="__IED1" localSheetId="54">#REF!</definedName>
    <definedName name="__IED1" localSheetId="37">#REF!</definedName>
    <definedName name="__IED1" localSheetId="38">#REF!</definedName>
    <definedName name="__IED1" localSheetId="34">#REF!</definedName>
    <definedName name="__IED1" localSheetId="35">#REF!</definedName>
    <definedName name="__IED1" localSheetId="36">#REF!</definedName>
    <definedName name="__IED1" localSheetId="39">#REF!</definedName>
    <definedName name="__IED1" localSheetId="40">#REF!</definedName>
    <definedName name="__IED1" localSheetId="69">#REF!</definedName>
    <definedName name="__IED1" localSheetId="70">#REF!</definedName>
    <definedName name="__IED1" localSheetId="71">#REF!</definedName>
    <definedName name="__IED1" localSheetId="72">#REF!</definedName>
    <definedName name="__IED1" localSheetId="60">#REF!</definedName>
    <definedName name="__IED1" localSheetId="61">#REF!</definedName>
    <definedName name="__IED1" localSheetId="62">#REF!</definedName>
    <definedName name="__IED1" localSheetId="63">#REF!</definedName>
    <definedName name="__IED1" localSheetId="64">#REF!</definedName>
    <definedName name="__IED1" localSheetId="66">#REF!</definedName>
    <definedName name="__IED1" localSheetId="67">#REF!</definedName>
    <definedName name="__IED1" localSheetId="68">#REF!</definedName>
    <definedName name="__IED1" localSheetId="74">#REF!</definedName>
    <definedName name="__IED1" localSheetId="75">#REF!</definedName>
    <definedName name="__IED1" localSheetId="76">#REF!</definedName>
    <definedName name="__IED1" localSheetId="77">#REF!</definedName>
    <definedName name="__IED1" localSheetId="78">#REF!</definedName>
    <definedName name="__IED1" localSheetId="79">#REF!</definedName>
    <definedName name="__IED1">#REF!</definedName>
    <definedName name="__IED2" localSheetId="13">#REF!</definedName>
    <definedName name="__IED2" localSheetId="14">#REF!</definedName>
    <definedName name="__IED2" localSheetId="7">#REF!</definedName>
    <definedName name="__IED2" localSheetId="9">#REF!</definedName>
    <definedName name="__IED2" localSheetId="10">#REF!</definedName>
    <definedName name="__IED2" localSheetId="11">#REF!</definedName>
    <definedName name="__IED2" localSheetId="12">#REF!</definedName>
    <definedName name="__IED2" localSheetId="43">#REF!</definedName>
    <definedName name="__IED2" localSheetId="44">#REF!</definedName>
    <definedName name="__IED2" localSheetId="45">#REF!</definedName>
    <definedName name="__IED2" localSheetId="46">#REF!</definedName>
    <definedName name="__IED2" localSheetId="47">#REF!</definedName>
    <definedName name="__IED2" localSheetId="48">#REF!</definedName>
    <definedName name="__IED2" localSheetId="50">#REF!</definedName>
    <definedName name="__IED2" localSheetId="51">#REF!</definedName>
    <definedName name="__IED2" localSheetId="52">#REF!</definedName>
    <definedName name="__IED2" localSheetId="53">#REF!</definedName>
    <definedName name="__IED2" localSheetId="54">#REF!</definedName>
    <definedName name="__IED2" localSheetId="37">#REF!</definedName>
    <definedName name="__IED2" localSheetId="38">#REF!</definedName>
    <definedName name="__IED2" localSheetId="34">#REF!</definedName>
    <definedName name="__IED2" localSheetId="35">#REF!</definedName>
    <definedName name="__IED2" localSheetId="36">#REF!</definedName>
    <definedName name="__IED2" localSheetId="39">#REF!</definedName>
    <definedName name="__IED2" localSheetId="40">#REF!</definedName>
    <definedName name="__IED2" localSheetId="69">#REF!</definedName>
    <definedName name="__IED2" localSheetId="70">#REF!</definedName>
    <definedName name="__IED2" localSheetId="71">#REF!</definedName>
    <definedName name="__IED2" localSheetId="72">#REF!</definedName>
    <definedName name="__IED2" localSheetId="60">#REF!</definedName>
    <definedName name="__IED2" localSheetId="61">#REF!</definedName>
    <definedName name="__IED2" localSheetId="62">#REF!</definedName>
    <definedName name="__IED2" localSheetId="63">#REF!</definedName>
    <definedName name="__IED2" localSheetId="64">#REF!</definedName>
    <definedName name="__IED2" localSheetId="66">#REF!</definedName>
    <definedName name="__IED2" localSheetId="67">#REF!</definedName>
    <definedName name="__IED2" localSheetId="68">#REF!</definedName>
    <definedName name="__IED2" localSheetId="74">#REF!</definedName>
    <definedName name="__IED2" localSheetId="75">#REF!</definedName>
    <definedName name="__IED2" localSheetId="76">#REF!</definedName>
    <definedName name="__IED2" localSheetId="77">#REF!</definedName>
    <definedName name="__IED2" localSheetId="78">#REF!</definedName>
    <definedName name="__IED2" localSheetId="79">#REF!</definedName>
    <definedName name="__IED2">#REF!</definedName>
    <definedName name="__LD1">[1]DLC!$K$59:$AF$8180</definedName>
    <definedName name="__LD2">[1]DLC!$GR$56:$HT$8181</definedName>
    <definedName name="__LD3">[1]DLC!$HV$57:$IO$8181</definedName>
    <definedName name="__LD4">[1]DLC!$AH$32:$BE$8180</definedName>
    <definedName name="__LD5">[1]DLC!$GR$53:$HK$8180</definedName>
    <definedName name="__LD6">[1]DLC!$GR$69:$HL$8180</definedName>
    <definedName name="__LR1" localSheetId="13">#REF!</definedName>
    <definedName name="__LR1" localSheetId="14">#REF!</definedName>
    <definedName name="__LR1" localSheetId="7">#REF!</definedName>
    <definedName name="__LR1" localSheetId="9">#REF!</definedName>
    <definedName name="__LR1" localSheetId="10">#REF!</definedName>
    <definedName name="__LR1" localSheetId="11">#REF!</definedName>
    <definedName name="__LR1" localSheetId="12">#REF!</definedName>
    <definedName name="__LR1" localSheetId="43">#REF!</definedName>
    <definedName name="__LR1" localSheetId="44">#REF!</definedName>
    <definedName name="__LR1" localSheetId="45">#REF!</definedName>
    <definedName name="__LR1" localSheetId="46">#REF!</definedName>
    <definedName name="__LR1" localSheetId="47">#REF!</definedName>
    <definedName name="__LR1" localSheetId="48">#REF!</definedName>
    <definedName name="__LR1" localSheetId="50">#REF!</definedName>
    <definedName name="__LR1" localSheetId="51">#REF!</definedName>
    <definedName name="__LR1" localSheetId="52">#REF!</definedName>
    <definedName name="__LR1" localSheetId="53">#REF!</definedName>
    <definedName name="__LR1" localSheetId="54">#REF!</definedName>
    <definedName name="__LR1" localSheetId="37">#REF!</definedName>
    <definedName name="__LR1" localSheetId="38">#REF!</definedName>
    <definedName name="__LR1" localSheetId="34">#REF!</definedName>
    <definedName name="__LR1" localSheetId="35">#REF!</definedName>
    <definedName name="__LR1" localSheetId="36">#REF!</definedName>
    <definedName name="__LR1" localSheetId="39">#REF!</definedName>
    <definedName name="__LR1" localSheetId="40">#REF!</definedName>
    <definedName name="__LR1" localSheetId="69">#REF!</definedName>
    <definedName name="__LR1" localSheetId="70">#REF!</definedName>
    <definedName name="__LR1" localSheetId="71">#REF!</definedName>
    <definedName name="__LR1" localSheetId="72">#REF!</definedName>
    <definedName name="__LR1" localSheetId="60">#REF!</definedName>
    <definedName name="__LR1" localSheetId="61">#REF!</definedName>
    <definedName name="__LR1" localSheetId="62">#REF!</definedName>
    <definedName name="__LR1" localSheetId="63">#REF!</definedName>
    <definedName name="__LR1" localSheetId="64">#REF!</definedName>
    <definedName name="__LR1" localSheetId="66">#REF!</definedName>
    <definedName name="__LR1" localSheetId="67">#REF!</definedName>
    <definedName name="__LR1" localSheetId="68">#REF!</definedName>
    <definedName name="__LR1" localSheetId="74">#REF!</definedName>
    <definedName name="__LR1" localSheetId="75">#REF!</definedName>
    <definedName name="__LR1" localSheetId="76">#REF!</definedName>
    <definedName name="__LR1" localSheetId="77">#REF!</definedName>
    <definedName name="__LR1" localSheetId="78">#REF!</definedName>
    <definedName name="__LR1" localSheetId="79">#REF!</definedName>
    <definedName name="__LR1">#REF!</definedName>
    <definedName name="__LR2" localSheetId="13">#REF!</definedName>
    <definedName name="__LR2" localSheetId="14">#REF!</definedName>
    <definedName name="__LR2" localSheetId="7">#REF!</definedName>
    <definedName name="__LR2" localSheetId="9">#REF!</definedName>
    <definedName name="__LR2" localSheetId="10">#REF!</definedName>
    <definedName name="__LR2" localSheetId="11">#REF!</definedName>
    <definedName name="__LR2" localSheetId="12">#REF!</definedName>
    <definedName name="__LR2" localSheetId="43">#REF!</definedName>
    <definedName name="__LR2" localSheetId="44">#REF!</definedName>
    <definedName name="__LR2" localSheetId="45">#REF!</definedName>
    <definedName name="__LR2" localSheetId="46">#REF!</definedName>
    <definedName name="__LR2" localSheetId="47">#REF!</definedName>
    <definedName name="__LR2" localSheetId="48">#REF!</definedName>
    <definedName name="__LR2" localSheetId="50">#REF!</definedName>
    <definedName name="__LR2" localSheetId="51">#REF!</definedName>
    <definedName name="__LR2" localSheetId="52">#REF!</definedName>
    <definedName name="__LR2" localSheetId="53">#REF!</definedName>
    <definedName name="__LR2" localSheetId="54">#REF!</definedName>
    <definedName name="__LR2" localSheetId="37">#REF!</definedName>
    <definedName name="__LR2" localSheetId="38">#REF!</definedName>
    <definedName name="__LR2" localSheetId="34">#REF!</definedName>
    <definedName name="__LR2" localSheetId="35">#REF!</definedName>
    <definedName name="__LR2" localSheetId="36">#REF!</definedName>
    <definedName name="__LR2" localSheetId="39">#REF!</definedName>
    <definedName name="__LR2" localSheetId="40">#REF!</definedName>
    <definedName name="__LR2" localSheetId="69">#REF!</definedName>
    <definedName name="__LR2" localSheetId="70">#REF!</definedName>
    <definedName name="__LR2" localSheetId="71">#REF!</definedName>
    <definedName name="__LR2" localSheetId="72">#REF!</definedName>
    <definedName name="__LR2" localSheetId="60">#REF!</definedName>
    <definedName name="__LR2" localSheetId="61">#REF!</definedName>
    <definedName name="__LR2" localSheetId="62">#REF!</definedName>
    <definedName name="__LR2" localSheetId="63">#REF!</definedName>
    <definedName name="__LR2" localSheetId="64">#REF!</definedName>
    <definedName name="__LR2" localSheetId="66">#REF!</definedName>
    <definedName name="__LR2" localSheetId="67">#REF!</definedName>
    <definedName name="__LR2" localSheetId="68">#REF!</definedName>
    <definedName name="__LR2" localSheetId="74">#REF!</definedName>
    <definedName name="__LR2" localSheetId="75">#REF!</definedName>
    <definedName name="__LR2" localSheetId="76">#REF!</definedName>
    <definedName name="__LR2" localSheetId="77">#REF!</definedName>
    <definedName name="__LR2" localSheetId="78">#REF!</definedName>
    <definedName name="__LR2" localSheetId="79">#REF!</definedName>
    <definedName name="__LR2">#REF!</definedName>
    <definedName name="__SCH6" localSheetId="13">'[5]04REL'!#REF!</definedName>
    <definedName name="__SCH6" localSheetId="14">'[5]04REL'!#REF!</definedName>
    <definedName name="__SCH6" localSheetId="7">'[5]04REL'!#REF!</definedName>
    <definedName name="__SCH6" localSheetId="9">'[5]04REL'!#REF!</definedName>
    <definedName name="__SCH6" localSheetId="10">'[5]04REL'!#REF!</definedName>
    <definedName name="__SCH6" localSheetId="11">'[5]04REL'!#REF!</definedName>
    <definedName name="__SCH6" localSheetId="12">'[5]04REL'!#REF!</definedName>
    <definedName name="__SCH6" localSheetId="43">'[5]04REL'!#REF!</definedName>
    <definedName name="__SCH6" localSheetId="44">'[5]04REL'!#REF!</definedName>
    <definedName name="__SCH6" localSheetId="45">'[5]04REL'!#REF!</definedName>
    <definedName name="__SCH6" localSheetId="46">'[5]04REL'!#REF!</definedName>
    <definedName name="__SCH6" localSheetId="47">'[5]04REL'!#REF!</definedName>
    <definedName name="__SCH6" localSheetId="48">'[5]04REL'!#REF!</definedName>
    <definedName name="__SCH6" localSheetId="50">'[5]04REL'!#REF!</definedName>
    <definedName name="__SCH6" localSheetId="51">'[5]04REL'!#REF!</definedName>
    <definedName name="__SCH6" localSheetId="52">'[5]04REL'!#REF!</definedName>
    <definedName name="__SCH6" localSheetId="53">'[5]04REL'!#REF!</definedName>
    <definedName name="__SCH6" localSheetId="54">'[5]04REL'!#REF!</definedName>
    <definedName name="__SCH6" localSheetId="37">'[5]04REL'!#REF!</definedName>
    <definedName name="__SCH6" localSheetId="38">'[5]04REL'!#REF!</definedName>
    <definedName name="__SCH6" localSheetId="34">'[5]04REL'!#REF!</definedName>
    <definedName name="__SCH6" localSheetId="35">'[5]04REL'!#REF!</definedName>
    <definedName name="__SCH6" localSheetId="36">'[5]04REL'!#REF!</definedName>
    <definedName name="__SCH6" localSheetId="39">'[5]04REL'!#REF!</definedName>
    <definedName name="__SCH6" localSheetId="40">'[5]04REL'!#REF!</definedName>
    <definedName name="__SCH6" localSheetId="69">'[5]04REL'!#REF!</definedName>
    <definedName name="__SCH6" localSheetId="70">'[5]04REL'!#REF!</definedName>
    <definedName name="__SCH6" localSheetId="71">'[5]04REL'!#REF!</definedName>
    <definedName name="__SCH6" localSheetId="72">'[5]04REL'!#REF!</definedName>
    <definedName name="__SCH6" localSheetId="60">'[5]04REL'!#REF!</definedName>
    <definedName name="__SCH6" localSheetId="61">'[5]04REL'!#REF!</definedName>
    <definedName name="__SCH6" localSheetId="62">'[5]04REL'!#REF!</definedName>
    <definedName name="__SCH6" localSheetId="63">'[5]04REL'!#REF!</definedName>
    <definedName name="__SCH6" localSheetId="64">'[5]04REL'!#REF!</definedName>
    <definedName name="__SCH6" localSheetId="66">'[5]04REL'!#REF!</definedName>
    <definedName name="__SCH6" localSheetId="67">'[5]04REL'!#REF!</definedName>
    <definedName name="__SCH6" localSheetId="68">'[5]04REL'!#REF!</definedName>
    <definedName name="__SCH6" localSheetId="74">'[5]04REL'!#REF!</definedName>
    <definedName name="__SCH6" localSheetId="75">'[5]04REL'!#REF!</definedName>
    <definedName name="__SCH6" localSheetId="76">'[5]04REL'!#REF!</definedName>
    <definedName name="__SCH6" localSheetId="77">'[5]04REL'!#REF!</definedName>
    <definedName name="__SCH6" localSheetId="78">'[5]04REL'!#REF!</definedName>
    <definedName name="__SCH6" localSheetId="79">'[5]04REL'!#REF!</definedName>
    <definedName name="__SCH6">'[5]04REL'!#REF!</definedName>
    <definedName name="__SH1">'[6]Executive Summary -Thermal'!$A$4:$H$108</definedName>
    <definedName name="__SH10">'[6]Executive Summary -Thermal'!$A$4:$G$118</definedName>
    <definedName name="__SH11">'[6]Executive Summary -Thermal'!$A$4:$H$167</definedName>
    <definedName name="__SH2">'[6]Executive Summary -Thermal'!$A$4:$H$157</definedName>
    <definedName name="__SH3">'[6]Executive Summary -Thermal'!$A$4:$H$136</definedName>
    <definedName name="__SH4">'[6]Executive Summary -Thermal'!$A$4:$H$96</definedName>
    <definedName name="__SH5">'[6]Executive Summary -Thermal'!$A$4:$H$96</definedName>
    <definedName name="__SH6">'[6]Executive Summary -Thermal'!$A$4:$H$95</definedName>
    <definedName name="__SH7">'[6]Executive Summary -Thermal'!$A$4:$H$163</definedName>
    <definedName name="__SH8">'[6]Executive Summary -Thermal'!$A$4:$H$133</definedName>
    <definedName name="__SH9">'[6]Executive Summary -Thermal'!$A$4:$H$194</definedName>
    <definedName name="_8485G">'[6]Stationwise Thermal &amp; Hydel Gen'!$GR$4:$HK$9</definedName>
    <definedName name="_BSD1" localSheetId="13">#REF!</definedName>
    <definedName name="_BSD1" localSheetId="14">#REF!</definedName>
    <definedName name="_BSD1" localSheetId="7">#REF!</definedName>
    <definedName name="_BSD1" localSheetId="9">#REF!</definedName>
    <definedName name="_BSD1" localSheetId="10">#REF!</definedName>
    <definedName name="_BSD1" localSheetId="11">#REF!</definedName>
    <definedName name="_BSD1" localSheetId="12">#REF!</definedName>
    <definedName name="_BSD1" localSheetId="43">#REF!</definedName>
    <definedName name="_BSD1" localSheetId="44">#REF!</definedName>
    <definedName name="_BSD1" localSheetId="45">#REF!</definedName>
    <definedName name="_BSD1" localSheetId="46">#REF!</definedName>
    <definedName name="_BSD1" localSheetId="47">#REF!</definedName>
    <definedName name="_BSD1" localSheetId="48">#REF!</definedName>
    <definedName name="_BSD1" localSheetId="50">#REF!</definedName>
    <definedName name="_BSD1" localSheetId="51">#REF!</definedName>
    <definedName name="_BSD1" localSheetId="52">#REF!</definedName>
    <definedName name="_BSD1" localSheetId="53">#REF!</definedName>
    <definedName name="_BSD1" localSheetId="54">#REF!</definedName>
    <definedName name="_BSD1" localSheetId="37">#REF!</definedName>
    <definedName name="_BSD1" localSheetId="38">#REF!</definedName>
    <definedName name="_BSD1" localSheetId="34">#REF!</definedName>
    <definedName name="_BSD1" localSheetId="35">#REF!</definedName>
    <definedName name="_BSD1" localSheetId="36">#REF!</definedName>
    <definedName name="_BSD1" localSheetId="39">#REF!</definedName>
    <definedName name="_BSD1" localSheetId="40">#REF!</definedName>
    <definedName name="_BSD1" localSheetId="69">#REF!</definedName>
    <definedName name="_BSD1" localSheetId="70">#REF!</definedName>
    <definedName name="_BSD1" localSheetId="71">#REF!</definedName>
    <definedName name="_BSD1" localSheetId="72">#REF!</definedName>
    <definedName name="_BSD1" localSheetId="60">#REF!</definedName>
    <definedName name="_BSD1" localSheetId="61">#REF!</definedName>
    <definedName name="_BSD1" localSheetId="62">#REF!</definedName>
    <definedName name="_BSD1" localSheetId="63">#REF!</definedName>
    <definedName name="_BSD1" localSheetId="64">#REF!</definedName>
    <definedName name="_BSD1" localSheetId="66">#REF!</definedName>
    <definedName name="_BSD1" localSheetId="67">#REF!</definedName>
    <definedName name="_BSD1" localSheetId="68">#REF!</definedName>
    <definedName name="_BSD1" localSheetId="74">#REF!</definedName>
    <definedName name="_BSD1" localSheetId="75">#REF!</definedName>
    <definedName name="_BSD1" localSheetId="76">#REF!</definedName>
    <definedName name="_BSD1" localSheetId="77">#REF!</definedName>
    <definedName name="_BSD1" localSheetId="78">#REF!</definedName>
    <definedName name="_BSD1" localSheetId="79">#REF!</definedName>
    <definedName name="_BSD1">#REF!</definedName>
    <definedName name="_BSD2" localSheetId="13">#REF!</definedName>
    <definedName name="_BSD2" localSheetId="14">#REF!</definedName>
    <definedName name="_BSD2" localSheetId="7">#REF!</definedName>
    <definedName name="_BSD2" localSheetId="9">#REF!</definedName>
    <definedName name="_BSD2" localSheetId="10">#REF!</definedName>
    <definedName name="_BSD2" localSheetId="11">#REF!</definedName>
    <definedName name="_BSD2" localSheetId="12">#REF!</definedName>
    <definedName name="_BSD2" localSheetId="43">#REF!</definedName>
    <definedName name="_BSD2" localSheetId="44">#REF!</definedName>
    <definedName name="_BSD2" localSheetId="45">#REF!</definedName>
    <definedName name="_BSD2" localSheetId="46">#REF!</definedName>
    <definedName name="_BSD2" localSheetId="47">#REF!</definedName>
    <definedName name="_BSD2" localSheetId="48">#REF!</definedName>
    <definedName name="_BSD2" localSheetId="50">#REF!</definedName>
    <definedName name="_BSD2" localSheetId="51">#REF!</definedName>
    <definedName name="_BSD2" localSheetId="52">#REF!</definedName>
    <definedName name="_BSD2" localSheetId="53">#REF!</definedName>
    <definedName name="_BSD2" localSheetId="54">#REF!</definedName>
    <definedName name="_BSD2" localSheetId="37">#REF!</definedName>
    <definedName name="_BSD2" localSheetId="38">#REF!</definedName>
    <definedName name="_BSD2" localSheetId="34">#REF!</definedName>
    <definedName name="_BSD2" localSheetId="35">#REF!</definedName>
    <definedName name="_BSD2" localSheetId="36">#REF!</definedName>
    <definedName name="_BSD2" localSheetId="39">#REF!</definedName>
    <definedName name="_BSD2" localSheetId="40">#REF!</definedName>
    <definedName name="_BSD2" localSheetId="69">#REF!</definedName>
    <definedName name="_BSD2" localSheetId="70">#REF!</definedName>
    <definedName name="_BSD2" localSheetId="71">#REF!</definedName>
    <definedName name="_BSD2" localSheetId="72">#REF!</definedName>
    <definedName name="_BSD2" localSheetId="60">#REF!</definedName>
    <definedName name="_BSD2" localSheetId="61">#REF!</definedName>
    <definedName name="_BSD2" localSheetId="62">#REF!</definedName>
    <definedName name="_BSD2" localSheetId="63">#REF!</definedName>
    <definedName name="_BSD2" localSheetId="64">#REF!</definedName>
    <definedName name="_BSD2" localSheetId="66">#REF!</definedName>
    <definedName name="_BSD2" localSheetId="67">#REF!</definedName>
    <definedName name="_BSD2" localSheetId="68">#REF!</definedName>
    <definedName name="_BSD2" localSheetId="74">#REF!</definedName>
    <definedName name="_BSD2" localSheetId="75">#REF!</definedName>
    <definedName name="_BSD2" localSheetId="76">#REF!</definedName>
    <definedName name="_BSD2" localSheetId="77">#REF!</definedName>
    <definedName name="_BSD2" localSheetId="78">#REF!</definedName>
    <definedName name="_BSD2" localSheetId="79">#REF!</definedName>
    <definedName name="_BSD2">#REF!</definedName>
    <definedName name="_CZ1">[8]data!$F$721</definedName>
    <definedName name="_xlnm._FilterDatabase" localSheetId="4" hidden="1">'A-3'!$G$1:$G$7</definedName>
    <definedName name="_xlnm._FilterDatabase" localSheetId="56" hidden="1">'D-1'!$A$7:$O$7</definedName>
    <definedName name="_xlnm._FilterDatabase" localSheetId="0" hidden="1">'SOR RATE'!$A$3:$G$679</definedName>
    <definedName name="_xlnm._FilterDatabase" hidden="1">[9]Dom!$E$9:$S$13</definedName>
    <definedName name="_IED1" localSheetId="13">#REF!</definedName>
    <definedName name="_IED1" localSheetId="14">#REF!</definedName>
    <definedName name="_IED1" localSheetId="7">#REF!</definedName>
    <definedName name="_IED1" localSheetId="9">#REF!</definedName>
    <definedName name="_IED1" localSheetId="10">#REF!</definedName>
    <definedName name="_IED1" localSheetId="11">#REF!</definedName>
    <definedName name="_IED1" localSheetId="12">#REF!</definedName>
    <definedName name="_IED1" localSheetId="43">#REF!</definedName>
    <definedName name="_IED1" localSheetId="44">#REF!</definedName>
    <definedName name="_IED1" localSheetId="45">#REF!</definedName>
    <definedName name="_IED1" localSheetId="46">#REF!</definedName>
    <definedName name="_IED1" localSheetId="47">#REF!</definedName>
    <definedName name="_IED1" localSheetId="48">#REF!</definedName>
    <definedName name="_IED1" localSheetId="50">#REF!</definedName>
    <definedName name="_IED1" localSheetId="51">#REF!</definedName>
    <definedName name="_IED1" localSheetId="52">#REF!</definedName>
    <definedName name="_IED1" localSheetId="53">#REF!</definedName>
    <definedName name="_IED1" localSheetId="54">#REF!</definedName>
    <definedName name="_IED1" localSheetId="37">#REF!</definedName>
    <definedName name="_IED1" localSheetId="38">#REF!</definedName>
    <definedName name="_IED1" localSheetId="34">#REF!</definedName>
    <definedName name="_IED1" localSheetId="35">#REF!</definedName>
    <definedName name="_IED1" localSheetId="36">#REF!</definedName>
    <definedName name="_IED1" localSheetId="39">#REF!</definedName>
    <definedName name="_IED1" localSheetId="40">#REF!</definedName>
    <definedName name="_IED1" localSheetId="69">#REF!</definedName>
    <definedName name="_IED1" localSheetId="70">#REF!</definedName>
    <definedName name="_IED1" localSheetId="71">#REF!</definedName>
    <definedName name="_IED1" localSheetId="72">#REF!</definedName>
    <definedName name="_IED1" localSheetId="60">#REF!</definedName>
    <definedName name="_IED1" localSheetId="61">#REF!</definedName>
    <definedName name="_IED1" localSheetId="62">#REF!</definedName>
    <definedName name="_IED1" localSheetId="63">#REF!</definedName>
    <definedName name="_IED1" localSheetId="64">#REF!</definedName>
    <definedName name="_IED1" localSheetId="66">#REF!</definedName>
    <definedName name="_IED1" localSheetId="67">#REF!</definedName>
    <definedName name="_IED1" localSheetId="68">#REF!</definedName>
    <definedName name="_IED1" localSheetId="74">#REF!</definedName>
    <definedName name="_IED1" localSheetId="75">#REF!</definedName>
    <definedName name="_IED1" localSheetId="76">#REF!</definedName>
    <definedName name="_IED1" localSheetId="77">#REF!</definedName>
    <definedName name="_IED1" localSheetId="78">#REF!</definedName>
    <definedName name="_IED1" localSheetId="79">#REF!</definedName>
    <definedName name="_IED1">#REF!</definedName>
    <definedName name="_IED2" localSheetId="13">#REF!</definedName>
    <definedName name="_IED2" localSheetId="14">#REF!</definedName>
    <definedName name="_IED2" localSheetId="7">#REF!</definedName>
    <definedName name="_IED2" localSheetId="9">#REF!</definedName>
    <definedName name="_IED2" localSheetId="10">#REF!</definedName>
    <definedName name="_IED2" localSheetId="11">#REF!</definedName>
    <definedName name="_IED2" localSheetId="12">#REF!</definedName>
    <definedName name="_IED2" localSheetId="43">#REF!</definedName>
    <definedName name="_IED2" localSheetId="44">#REF!</definedName>
    <definedName name="_IED2" localSheetId="45">#REF!</definedName>
    <definedName name="_IED2" localSheetId="46">#REF!</definedName>
    <definedName name="_IED2" localSheetId="47">#REF!</definedName>
    <definedName name="_IED2" localSheetId="48">#REF!</definedName>
    <definedName name="_IED2" localSheetId="50">#REF!</definedName>
    <definedName name="_IED2" localSheetId="51">#REF!</definedName>
    <definedName name="_IED2" localSheetId="52">#REF!</definedName>
    <definedName name="_IED2" localSheetId="53">#REF!</definedName>
    <definedName name="_IED2" localSheetId="54">#REF!</definedName>
    <definedName name="_IED2" localSheetId="37">#REF!</definedName>
    <definedName name="_IED2" localSheetId="38">#REF!</definedName>
    <definedName name="_IED2" localSheetId="34">#REF!</definedName>
    <definedName name="_IED2" localSheetId="35">#REF!</definedName>
    <definedName name="_IED2" localSheetId="36">#REF!</definedName>
    <definedName name="_IED2" localSheetId="39">#REF!</definedName>
    <definedName name="_IED2" localSheetId="40">#REF!</definedName>
    <definedName name="_IED2" localSheetId="69">#REF!</definedName>
    <definedName name="_IED2" localSheetId="70">#REF!</definedName>
    <definedName name="_IED2" localSheetId="71">#REF!</definedName>
    <definedName name="_IED2" localSheetId="72">#REF!</definedName>
    <definedName name="_IED2" localSheetId="60">#REF!</definedName>
    <definedName name="_IED2" localSheetId="61">#REF!</definedName>
    <definedName name="_IED2" localSheetId="62">#REF!</definedName>
    <definedName name="_IED2" localSheetId="63">#REF!</definedName>
    <definedName name="_IED2" localSheetId="64">#REF!</definedName>
    <definedName name="_IED2" localSheetId="66">#REF!</definedName>
    <definedName name="_IED2" localSheetId="67">#REF!</definedName>
    <definedName name="_IED2" localSheetId="68">#REF!</definedName>
    <definedName name="_IED2" localSheetId="74">#REF!</definedName>
    <definedName name="_IED2" localSheetId="75">#REF!</definedName>
    <definedName name="_IED2" localSheetId="76">#REF!</definedName>
    <definedName name="_IED2" localSheetId="77">#REF!</definedName>
    <definedName name="_IED2" localSheetId="78">#REF!</definedName>
    <definedName name="_IED2" localSheetId="79">#REF!</definedName>
    <definedName name="_IED2">#REF!</definedName>
    <definedName name="_LD1">[1]DLC!$K$59:$AF$8180</definedName>
    <definedName name="_LD2">[1]DLC!$GR$56:$HT$8181</definedName>
    <definedName name="_LD3">[1]DLC!$HV$57:$IO$8181</definedName>
    <definedName name="_LD4">[1]DLC!$AH$32:$BE$8180</definedName>
    <definedName name="_LD5">[1]DLC!$GR$53:$HK$8180</definedName>
    <definedName name="_LD6">[1]DLC!$GR$69:$HL$8180</definedName>
    <definedName name="_LR1" localSheetId="13">#REF!</definedName>
    <definedName name="_LR1" localSheetId="14">#REF!</definedName>
    <definedName name="_LR1" localSheetId="7">#REF!</definedName>
    <definedName name="_LR1" localSheetId="9">#REF!</definedName>
    <definedName name="_LR1" localSheetId="10">#REF!</definedName>
    <definedName name="_LR1" localSheetId="11">#REF!</definedName>
    <definedName name="_LR1" localSheetId="12">#REF!</definedName>
    <definedName name="_LR1" localSheetId="43">#REF!</definedName>
    <definedName name="_LR1" localSheetId="44">#REF!</definedName>
    <definedName name="_LR1" localSheetId="45">#REF!</definedName>
    <definedName name="_LR1" localSheetId="46">#REF!</definedName>
    <definedName name="_LR1" localSheetId="47">#REF!</definedName>
    <definedName name="_LR1" localSheetId="48">#REF!</definedName>
    <definedName name="_LR1" localSheetId="50">#REF!</definedName>
    <definedName name="_LR1" localSheetId="51">#REF!</definedName>
    <definedName name="_LR1" localSheetId="52">#REF!</definedName>
    <definedName name="_LR1" localSheetId="53">#REF!</definedName>
    <definedName name="_LR1" localSheetId="54">#REF!</definedName>
    <definedName name="_LR1" localSheetId="37">#REF!</definedName>
    <definedName name="_LR1" localSheetId="38">#REF!</definedName>
    <definedName name="_LR1" localSheetId="34">#REF!</definedName>
    <definedName name="_LR1" localSheetId="35">#REF!</definedName>
    <definedName name="_LR1" localSheetId="36">#REF!</definedName>
    <definedName name="_LR1" localSheetId="39">#REF!</definedName>
    <definedName name="_LR1" localSheetId="40">#REF!</definedName>
    <definedName name="_LR1" localSheetId="69">#REF!</definedName>
    <definedName name="_LR1" localSheetId="70">#REF!</definedName>
    <definedName name="_LR1" localSheetId="71">#REF!</definedName>
    <definedName name="_LR1" localSheetId="72">#REF!</definedName>
    <definedName name="_LR1" localSheetId="60">#REF!</definedName>
    <definedName name="_LR1" localSheetId="61">#REF!</definedName>
    <definedName name="_LR1" localSheetId="62">#REF!</definedName>
    <definedName name="_LR1" localSheetId="63">#REF!</definedName>
    <definedName name="_LR1" localSheetId="64">#REF!</definedName>
    <definedName name="_LR1" localSheetId="66">#REF!</definedName>
    <definedName name="_LR1" localSheetId="67">#REF!</definedName>
    <definedName name="_LR1" localSheetId="68">#REF!</definedName>
    <definedName name="_LR1" localSheetId="74">#REF!</definedName>
    <definedName name="_LR1" localSheetId="75">#REF!</definedName>
    <definedName name="_LR1" localSheetId="76">#REF!</definedName>
    <definedName name="_LR1" localSheetId="77">#REF!</definedName>
    <definedName name="_LR1" localSheetId="78">#REF!</definedName>
    <definedName name="_LR1" localSheetId="79">#REF!</definedName>
    <definedName name="_LR1">#REF!</definedName>
    <definedName name="_LR2" localSheetId="13">#REF!</definedName>
    <definedName name="_LR2" localSheetId="14">#REF!</definedName>
    <definedName name="_LR2" localSheetId="7">#REF!</definedName>
    <definedName name="_LR2" localSheetId="9">#REF!</definedName>
    <definedName name="_LR2" localSheetId="10">#REF!</definedName>
    <definedName name="_LR2" localSheetId="11">#REF!</definedName>
    <definedName name="_LR2" localSheetId="12">#REF!</definedName>
    <definedName name="_LR2" localSheetId="43">#REF!</definedName>
    <definedName name="_LR2" localSheetId="44">#REF!</definedName>
    <definedName name="_LR2" localSheetId="45">#REF!</definedName>
    <definedName name="_LR2" localSheetId="46">#REF!</definedName>
    <definedName name="_LR2" localSheetId="47">#REF!</definedName>
    <definedName name="_LR2" localSheetId="48">#REF!</definedName>
    <definedName name="_LR2" localSheetId="50">#REF!</definedName>
    <definedName name="_LR2" localSheetId="51">#REF!</definedName>
    <definedName name="_LR2" localSheetId="52">#REF!</definedName>
    <definedName name="_LR2" localSheetId="53">#REF!</definedName>
    <definedName name="_LR2" localSheetId="54">#REF!</definedName>
    <definedName name="_LR2" localSheetId="37">#REF!</definedName>
    <definedName name="_LR2" localSheetId="38">#REF!</definedName>
    <definedName name="_LR2" localSheetId="34">#REF!</definedName>
    <definedName name="_LR2" localSheetId="35">#REF!</definedName>
    <definedName name="_LR2" localSheetId="36">#REF!</definedName>
    <definedName name="_LR2" localSheetId="39">#REF!</definedName>
    <definedName name="_LR2" localSheetId="40">#REF!</definedName>
    <definedName name="_LR2" localSheetId="69">#REF!</definedName>
    <definedName name="_LR2" localSheetId="70">#REF!</definedName>
    <definedName name="_LR2" localSheetId="71">#REF!</definedName>
    <definedName name="_LR2" localSheetId="72">#REF!</definedName>
    <definedName name="_LR2" localSheetId="60">#REF!</definedName>
    <definedName name="_LR2" localSheetId="61">#REF!</definedName>
    <definedName name="_LR2" localSheetId="62">#REF!</definedName>
    <definedName name="_LR2" localSheetId="63">#REF!</definedName>
    <definedName name="_LR2" localSheetId="64">#REF!</definedName>
    <definedName name="_LR2" localSheetId="66">#REF!</definedName>
    <definedName name="_LR2" localSheetId="67">#REF!</definedName>
    <definedName name="_LR2" localSheetId="68">#REF!</definedName>
    <definedName name="_LR2" localSheetId="74">#REF!</definedName>
    <definedName name="_LR2" localSheetId="75">#REF!</definedName>
    <definedName name="_LR2" localSheetId="76">#REF!</definedName>
    <definedName name="_LR2" localSheetId="77">#REF!</definedName>
    <definedName name="_LR2" localSheetId="78">#REF!</definedName>
    <definedName name="_LR2" localSheetId="79">#REF!</definedName>
    <definedName name="_LR2">#REF!</definedName>
    <definedName name="_Order1" hidden="1">255</definedName>
    <definedName name="_Order2" hidden="1">0</definedName>
    <definedName name="_SCH6" localSheetId="13">'[10]04REL'!#REF!</definedName>
    <definedName name="_SCH6" localSheetId="14">'[10]04REL'!#REF!</definedName>
    <definedName name="_SCH6" localSheetId="7">'[10]04REL'!#REF!</definedName>
    <definedName name="_SCH6" localSheetId="9">'[10]04REL'!#REF!</definedName>
    <definedName name="_SCH6" localSheetId="10">'[10]04REL'!#REF!</definedName>
    <definedName name="_SCH6" localSheetId="11">'[10]04REL'!#REF!</definedName>
    <definedName name="_SCH6" localSheetId="12">'[10]04REL'!#REF!</definedName>
    <definedName name="_SCH6" localSheetId="43">'[10]04REL'!#REF!</definedName>
    <definedName name="_SCH6" localSheetId="44">'[10]04REL'!#REF!</definedName>
    <definedName name="_SCH6" localSheetId="45">'[10]04REL'!#REF!</definedName>
    <definedName name="_SCH6" localSheetId="46">'[10]04REL'!#REF!</definedName>
    <definedName name="_SCH6" localSheetId="47">'[10]04REL'!#REF!</definedName>
    <definedName name="_SCH6" localSheetId="48">'[10]04REL'!#REF!</definedName>
    <definedName name="_SCH6" localSheetId="50">'[10]04REL'!#REF!</definedName>
    <definedName name="_SCH6" localSheetId="51">'[10]04REL'!#REF!</definedName>
    <definedName name="_SCH6" localSheetId="52">'[10]04REL'!#REF!</definedName>
    <definedName name="_SCH6" localSheetId="53">'[10]04REL'!#REF!</definedName>
    <definedName name="_SCH6" localSheetId="54">'[10]04REL'!#REF!</definedName>
    <definedName name="_SCH6" localSheetId="37">'[10]04REL'!#REF!</definedName>
    <definedName name="_SCH6" localSheetId="38">'[10]04REL'!#REF!</definedName>
    <definedName name="_SCH6" localSheetId="34">'[10]04REL'!#REF!</definedName>
    <definedName name="_SCH6" localSheetId="35">'[10]04REL'!#REF!</definedName>
    <definedName name="_SCH6" localSheetId="36">'[10]04REL'!#REF!</definedName>
    <definedName name="_SCH6" localSheetId="39">'[10]04REL'!#REF!</definedName>
    <definedName name="_SCH6" localSheetId="40">'[10]04REL'!#REF!</definedName>
    <definedName name="_SCH6" localSheetId="69">'[10]04REL'!#REF!</definedName>
    <definedName name="_SCH6" localSheetId="70">'[10]04REL'!#REF!</definedName>
    <definedName name="_SCH6" localSheetId="71">'[10]04REL'!#REF!</definedName>
    <definedName name="_SCH6" localSheetId="72">'[10]04REL'!#REF!</definedName>
    <definedName name="_SCH6" localSheetId="60">'[10]04REL'!#REF!</definedName>
    <definedName name="_SCH6" localSheetId="61">'[10]04REL'!#REF!</definedName>
    <definedName name="_SCH6" localSheetId="62">'[10]04REL'!#REF!</definedName>
    <definedName name="_SCH6" localSheetId="63">'[10]04REL'!#REF!</definedName>
    <definedName name="_SCH6" localSheetId="64">'[10]04REL'!#REF!</definedName>
    <definedName name="_SCH6" localSheetId="66">'[10]04REL'!#REF!</definedName>
    <definedName name="_SCH6" localSheetId="67">'[10]04REL'!#REF!</definedName>
    <definedName name="_SCH6" localSheetId="68">'[10]04REL'!#REF!</definedName>
    <definedName name="_SCH6" localSheetId="74">'[10]04REL'!#REF!</definedName>
    <definedName name="_SCH6" localSheetId="75">'[10]04REL'!#REF!</definedName>
    <definedName name="_SCH6" localSheetId="76">'[10]04REL'!#REF!</definedName>
    <definedName name="_SCH6" localSheetId="77">'[10]04REL'!#REF!</definedName>
    <definedName name="_SCH6" localSheetId="78">'[10]04REL'!#REF!</definedName>
    <definedName name="_SCH6" localSheetId="79">'[10]04REL'!#REF!</definedName>
    <definedName name="_SCH6">'[10]04REL'!#REF!</definedName>
    <definedName name="_SH1">'[6]Executive Summary -Thermal'!$A$4:$H$108</definedName>
    <definedName name="_SH10">'[6]Executive Summary -Thermal'!$A$4:$G$118</definedName>
    <definedName name="_SH11">'[6]Executive Summary -Thermal'!$A$4:$H$167</definedName>
    <definedName name="_SH2">'[6]Executive Summary -Thermal'!$A$4:$H$157</definedName>
    <definedName name="_SH3">'[6]Executive Summary -Thermal'!$A$4:$H$136</definedName>
    <definedName name="_SH4">'[6]Executive Summary -Thermal'!$A$4:$H$96</definedName>
    <definedName name="_SH5">'[6]Executive Summary -Thermal'!$A$4:$H$96</definedName>
    <definedName name="_SH6">'[6]Executive Summary -Thermal'!$A$4:$H$95</definedName>
    <definedName name="_SH7">'[6]Executive Summary -Thermal'!$A$4:$H$163</definedName>
    <definedName name="_SH8">'[6]Executive Summary -Thermal'!$A$4:$H$133</definedName>
    <definedName name="_SH9">'[6]Executive Summary -Thermal'!$A$4:$H$194</definedName>
    <definedName name="A" localSheetId="13">#REF!</definedName>
    <definedName name="A" localSheetId="14">#REF!</definedName>
    <definedName name="A" localSheetId="7">#REF!</definedName>
    <definedName name="A" localSheetId="9">#REF!</definedName>
    <definedName name="A" localSheetId="10">#REF!</definedName>
    <definedName name="A" localSheetId="11">#REF!</definedName>
    <definedName name="A" localSheetId="1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37">#REF!</definedName>
    <definedName name="A" localSheetId="38">#REF!</definedName>
    <definedName name="A" localSheetId="34">#REF!</definedName>
    <definedName name="A" localSheetId="35">#REF!</definedName>
    <definedName name="A" localSheetId="36">#REF!</definedName>
    <definedName name="A" localSheetId="39">#REF!</definedName>
    <definedName name="A" localSheetId="40">#REF!</definedName>
    <definedName name="A" localSheetId="69">#REF!</definedName>
    <definedName name="A" localSheetId="70">#REF!</definedName>
    <definedName name="A" localSheetId="71">#REF!</definedName>
    <definedName name="A" localSheetId="72">#REF!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6">#REF!</definedName>
    <definedName name="A" localSheetId="67">#REF!</definedName>
    <definedName name="A" localSheetId="68">#REF!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#REF!</definedName>
    <definedName name="AA" localSheetId="13">#REF!</definedName>
    <definedName name="AA" localSheetId="14">#REF!</definedName>
    <definedName name="AA" localSheetId="7">#REF!</definedName>
    <definedName name="AA" localSheetId="9">#REF!</definedName>
    <definedName name="AA" localSheetId="10">#REF!</definedName>
    <definedName name="AA" localSheetId="11">#REF!</definedName>
    <definedName name="AA" localSheetId="1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8">#REF!</definedName>
    <definedName name="AA" localSheetId="50">#REF!</definedName>
    <definedName name="AA" localSheetId="51">#REF!</definedName>
    <definedName name="AA" localSheetId="52">#REF!</definedName>
    <definedName name="AA" localSheetId="53">#REF!</definedName>
    <definedName name="AA" localSheetId="54">#REF!</definedName>
    <definedName name="AA" localSheetId="37">#REF!</definedName>
    <definedName name="AA" localSheetId="38">#REF!</definedName>
    <definedName name="AA" localSheetId="34">#REF!</definedName>
    <definedName name="AA" localSheetId="35">#REF!</definedName>
    <definedName name="AA" localSheetId="36">#REF!</definedName>
    <definedName name="AA" localSheetId="39">#REF!</definedName>
    <definedName name="AA" localSheetId="40">#REF!</definedName>
    <definedName name="AA" localSheetId="69">#REF!</definedName>
    <definedName name="AA" localSheetId="70">#REF!</definedName>
    <definedName name="AA" localSheetId="71">#REF!</definedName>
    <definedName name="AA" localSheetId="72">#REF!</definedName>
    <definedName name="AA" localSheetId="60">#REF!</definedName>
    <definedName name="AA" localSheetId="61">#REF!</definedName>
    <definedName name="AA" localSheetId="62">#REF!</definedName>
    <definedName name="AA" localSheetId="63">#REF!</definedName>
    <definedName name="AA" localSheetId="64">#REF!</definedName>
    <definedName name="AA" localSheetId="66">#REF!</definedName>
    <definedName name="AA" localSheetId="67">#REF!</definedName>
    <definedName name="AA" localSheetId="68">#REF!</definedName>
    <definedName name="AA" localSheetId="74">#REF!</definedName>
    <definedName name="AA" localSheetId="75">#REF!</definedName>
    <definedName name="AA" localSheetId="76">#REF!</definedName>
    <definedName name="AA" localSheetId="77">#REF!</definedName>
    <definedName name="AA" localSheetId="78">#REF!</definedName>
    <definedName name="AA" localSheetId="79">#REF!</definedName>
    <definedName name="AA">#REF!</definedName>
    <definedName name="ab" localSheetId="13" hidden="1">{#N/A,#N/A,FALSE,"2000-01 Form 1.3a";#N/A,#N/A,FALSE,"H1 2001-02 Form 1.3a";#N/A,#N/A,FALSE,"H2 2001-02 Form 1.3a";#N/A,#N/A,FALSE,"2001-02 Form 1.3a";#N/A,#N/A,FALSE,"2002-03 Form 1.3a"}</definedName>
    <definedName name="ab" localSheetId="14" hidden="1">{#N/A,#N/A,FALSE,"2000-01 Form 1.3a";#N/A,#N/A,FALSE,"H1 2001-02 Form 1.3a";#N/A,#N/A,FALSE,"H2 2001-02 Form 1.3a";#N/A,#N/A,FALSE,"2001-02 Form 1.3a";#N/A,#N/A,FALSE,"2002-03 Form 1.3a"}</definedName>
    <definedName name="ab" localSheetId="7" hidden="1">{#N/A,#N/A,FALSE,"2000-01 Form 1.3a";#N/A,#N/A,FALSE,"H1 2001-02 Form 1.3a";#N/A,#N/A,FALSE,"H2 2001-02 Form 1.3a";#N/A,#N/A,FALSE,"2001-02 Form 1.3a";#N/A,#N/A,FALSE,"2002-03 Form 1.3a"}</definedName>
    <definedName name="ab" localSheetId="9" hidden="1">{#N/A,#N/A,FALSE,"2000-01 Form 1.3a";#N/A,#N/A,FALSE,"H1 2001-02 Form 1.3a";#N/A,#N/A,FALSE,"H2 2001-02 Form 1.3a";#N/A,#N/A,FALSE,"2001-02 Form 1.3a";#N/A,#N/A,FALSE,"2002-03 Form 1.3a"}</definedName>
    <definedName name="ab" localSheetId="10" hidden="1">{#N/A,#N/A,FALSE,"2000-01 Form 1.3a";#N/A,#N/A,FALSE,"H1 2001-02 Form 1.3a";#N/A,#N/A,FALSE,"H2 2001-02 Form 1.3a";#N/A,#N/A,FALSE,"2001-02 Form 1.3a";#N/A,#N/A,FALSE,"2002-03 Form 1.3a"}</definedName>
    <definedName name="ab" localSheetId="11" hidden="1">{#N/A,#N/A,FALSE,"2000-01 Form 1.3a";#N/A,#N/A,FALSE,"H1 2001-02 Form 1.3a";#N/A,#N/A,FALSE,"H2 2001-02 Form 1.3a";#N/A,#N/A,FALSE,"2001-02 Form 1.3a";#N/A,#N/A,FALSE,"2002-03 Form 1.3a"}</definedName>
    <definedName name="ab" localSheetId="12" hidden="1">{#N/A,#N/A,FALSE,"2000-01 Form 1.3a";#N/A,#N/A,FALSE,"H1 2001-02 Form 1.3a";#N/A,#N/A,FALSE,"H2 2001-02 Form 1.3a";#N/A,#N/A,FALSE,"2001-02 Form 1.3a";#N/A,#N/A,FALSE,"2002-03 Form 1.3a"}</definedName>
    <definedName name="ab" localSheetId="43" hidden="1">{#N/A,#N/A,FALSE,"2000-01 Form 1.3a";#N/A,#N/A,FALSE,"H1 2001-02 Form 1.3a";#N/A,#N/A,FALSE,"H2 2001-02 Form 1.3a";#N/A,#N/A,FALSE,"2001-02 Form 1.3a";#N/A,#N/A,FALSE,"2002-03 Form 1.3a"}</definedName>
    <definedName name="ab" localSheetId="44" hidden="1">{#N/A,#N/A,FALSE,"2000-01 Form 1.3a";#N/A,#N/A,FALSE,"H1 2001-02 Form 1.3a";#N/A,#N/A,FALSE,"H2 2001-02 Form 1.3a";#N/A,#N/A,FALSE,"2001-02 Form 1.3a";#N/A,#N/A,FALSE,"2002-03 Form 1.3a"}</definedName>
    <definedName name="ab" localSheetId="45" hidden="1">{#N/A,#N/A,FALSE,"2000-01 Form 1.3a";#N/A,#N/A,FALSE,"H1 2001-02 Form 1.3a";#N/A,#N/A,FALSE,"H2 2001-02 Form 1.3a";#N/A,#N/A,FALSE,"2001-02 Form 1.3a";#N/A,#N/A,FALSE,"2002-03 Form 1.3a"}</definedName>
    <definedName name="ab" localSheetId="46" hidden="1">{#N/A,#N/A,FALSE,"2000-01 Form 1.3a";#N/A,#N/A,FALSE,"H1 2001-02 Form 1.3a";#N/A,#N/A,FALSE,"H2 2001-02 Form 1.3a";#N/A,#N/A,FALSE,"2001-02 Form 1.3a";#N/A,#N/A,FALSE,"2002-03 Form 1.3a"}</definedName>
    <definedName name="ab" localSheetId="47" hidden="1">{#N/A,#N/A,FALSE,"2000-01 Form 1.3a";#N/A,#N/A,FALSE,"H1 2001-02 Form 1.3a";#N/A,#N/A,FALSE,"H2 2001-02 Form 1.3a";#N/A,#N/A,FALSE,"2001-02 Form 1.3a";#N/A,#N/A,FALSE,"2002-03 Form 1.3a"}</definedName>
    <definedName name="ab" localSheetId="48" hidden="1">{#N/A,#N/A,FALSE,"2000-01 Form 1.3a";#N/A,#N/A,FALSE,"H1 2001-02 Form 1.3a";#N/A,#N/A,FALSE,"H2 2001-02 Form 1.3a";#N/A,#N/A,FALSE,"2001-02 Form 1.3a";#N/A,#N/A,FALSE,"2002-03 Form 1.3a"}</definedName>
    <definedName name="ab" localSheetId="50" hidden="1">{#N/A,#N/A,FALSE,"2000-01 Form 1.3a";#N/A,#N/A,FALSE,"H1 2001-02 Form 1.3a";#N/A,#N/A,FALSE,"H2 2001-02 Form 1.3a";#N/A,#N/A,FALSE,"2001-02 Form 1.3a";#N/A,#N/A,FALSE,"2002-03 Form 1.3a"}</definedName>
    <definedName name="ab" localSheetId="51" hidden="1">{#N/A,#N/A,FALSE,"2000-01 Form 1.3a";#N/A,#N/A,FALSE,"H1 2001-02 Form 1.3a";#N/A,#N/A,FALSE,"H2 2001-02 Form 1.3a";#N/A,#N/A,FALSE,"2001-02 Form 1.3a";#N/A,#N/A,FALSE,"2002-03 Form 1.3a"}</definedName>
    <definedName name="ab" localSheetId="52" hidden="1">{#N/A,#N/A,FALSE,"2000-01 Form 1.3a";#N/A,#N/A,FALSE,"H1 2001-02 Form 1.3a";#N/A,#N/A,FALSE,"H2 2001-02 Form 1.3a";#N/A,#N/A,FALSE,"2001-02 Form 1.3a";#N/A,#N/A,FALSE,"2002-03 Form 1.3a"}</definedName>
    <definedName name="ab" localSheetId="53" hidden="1">{#N/A,#N/A,FALSE,"2000-01 Form 1.3a";#N/A,#N/A,FALSE,"H1 2001-02 Form 1.3a";#N/A,#N/A,FALSE,"H2 2001-02 Form 1.3a";#N/A,#N/A,FALSE,"2001-02 Form 1.3a";#N/A,#N/A,FALSE,"2002-03 Form 1.3a"}</definedName>
    <definedName name="ab" localSheetId="54" hidden="1">{#N/A,#N/A,FALSE,"2000-01 Form 1.3a";#N/A,#N/A,FALSE,"H1 2001-02 Form 1.3a";#N/A,#N/A,FALSE,"H2 2001-02 Form 1.3a";#N/A,#N/A,FALSE,"2001-02 Form 1.3a";#N/A,#N/A,FALSE,"2002-03 Form 1.3a"}</definedName>
    <definedName name="ab" localSheetId="37" hidden="1">{#N/A,#N/A,FALSE,"2000-01 Form 1.3a";#N/A,#N/A,FALSE,"H1 2001-02 Form 1.3a";#N/A,#N/A,FALSE,"H2 2001-02 Form 1.3a";#N/A,#N/A,FALSE,"2001-02 Form 1.3a";#N/A,#N/A,FALSE,"2002-03 Form 1.3a"}</definedName>
    <definedName name="ab" localSheetId="38" hidden="1">{#N/A,#N/A,FALSE,"2000-01 Form 1.3a";#N/A,#N/A,FALSE,"H1 2001-02 Form 1.3a";#N/A,#N/A,FALSE,"H2 2001-02 Form 1.3a";#N/A,#N/A,FALSE,"2001-02 Form 1.3a";#N/A,#N/A,FALSE,"2002-03 Form 1.3a"}</definedName>
    <definedName name="ab" localSheetId="34" hidden="1">{#N/A,#N/A,FALSE,"2000-01 Form 1.3a";#N/A,#N/A,FALSE,"H1 2001-02 Form 1.3a";#N/A,#N/A,FALSE,"H2 2001-02 Form 1.3a";#N/A,#N/A,FALSE,"2001-02 Form 1.3a";#N/A,#N/A,FALSE,"2002-03 Form 1.3a"}</definedName>
    <definedName name="ab" localSheetId="35" hidden="1">{#N/A,#N/A,FALSE,"2000-01 Form 1.3a";#N/A,#N/A,FALSE,"H1 2001-02 Form 1.3a";#N/A,#N/A,FALSE,"H2 2001-02 Form 1.3a";#N/A,#N/A,FALSE,"2001-02 Form 1.3a";#N/A,#N/A,FALSE,"2002-03 Form 1.3a"}</definedName>
    <definedName name="ab" localSheetId="36" hidden="1">{#N/A,#N/A,FALSE,"2000-01 Form 1.3a";#N/A,#N/A,FALSE,"H1 2001-02 Form 1.3a";#N/A,#N/A,FALSE,"H2 2001-02 Form 1.3a";#N/A,#N/A,FALSE,"2001-02 Form 1.3a";#N/A,#N/A,FALSE,"2002-03 Form 1.3a"}</definedName>
    <definedName name="ab" localSheetId="39" hidden="1">{#N/A,#N/A,FALSE,"2000-01 Form 1.3a";#N/A,#N/A,FALSE,"H1 2001-02 Form 1.3a";#N/A,#N/A,FALSE,"H2 2001-02 Form 1.3a";#N/A,#N/A,FALSE,"2001-02 Form 1.3a";#N/A,#N/A,FALSE,"2002-03 Form 1.3a"}</definedName>
    <definedName name="ab" localSheetId="40" hidden="1">{#N/A,#N/A,FALSE,"2000-01 Form 1.3a";#N/A,#N/A,FALSE,"H1 2001-02 Form 1.3a";#N/A,#N/A,FALSE,"H2 2001-02 Form 1.3a";#N/A,#N/A,FALSE,"2001-02 Form 1.3a";#N/A,#N/A,FALSE,"2002-03 Form 1.3a"}</definedName>
    <definedName name="ab" localSheetId="69" hidden="1">{#N/A,#N/A,FALSE,"2000-01 Form 1.3a";#N/A,#N/A,FALSE,"H1 2001-02 Form 1.3a";#N/A,#N/A,FALSE,"H2 2001-02 Form 1.3a";#N/A,#N/A,FALSE,"2001-02 Form 1.3a";#N/A,#N/A,FALSE,"2002-03 Form 1.3a"}</definedName>
    <definedName name="ab" localSheetId="70" hidden="1">{#N/A,#N/A,FALSE,"2000-01 Form 1.3a";#N/A,#N/A,FALSE,"H1 2001-02 Form 1.3a";#N/A,#N/A,FALSE,"H2 2001-02 Form 1.3a";#N/A,#N/A,FALSE,"2001-02 Form 1.3a";#N/A,#N/A,FALSE,"2002-03 Form 1.3a"}</definedName>
    <definedName name="ab" localSheetId="71" hidden="1">{#N/A,#N/A,FALSE,"2000-01 Form 1.3a";#N/A,#N/A,FALSE,"H1 2001-02 Form 1.3a";#N/A,#N/A,FALSE,"H2 2001-02 Form 1.3a";#N/A,#N/A,FALSE,"2001-02 Form 1.3a";#N/A,#N/A,FALSE,"2002-03 Form 1.3a"}</definedName>
    <definedName name="ab" localSheetId="72" hidden="1">{#N/A,#N/A,FALSE,"2000-01 Form 1.3a";#N/A,#N/A,FALSE,"H1 2001-02 Form 1.3a";#N/A,#N/A,FALSE,"H2 2001-02 Form 1.3a";#N/A,#N/A,FALSE,"2001-02 Form 1.3a";#N/A,#N/A,FALSE,"2002-03 Form 1.3a"}</definedName>
    <definedName name="ab" localSheetId="60" hidden="1">{#N/A,#N/A,FALSE,"2000-01 Form 1.3a";#N/A,#N/A,FALSE,"H1 2001-02 Form 1.3a";#N/A,#N/A,FALSE,"H2 2001-02 Form 1.3a";#N/A,#N/A,FALSE,"2001-02 Form 1.3a";#N/A,#N/A,FALSE,"2002-03 Form 1.3a"}</definedName>
    <definedName name="ab" localSheetId="61" hidden="1">{#N/A,#N/A,FALSE,"2000-01 Form 1.3a";#N/A,#N/A,FALSE,"H1 2001-02 Form 1.3a";#N/A,#N/A,FALSE,"H2 2001-02 Form 1.3a";#N/A,#N/A,FALSE,"2001-02 Form 1.3a";#N/A,#N/A,FALSE,"2002-03 Form 1.3a"}</definedName>
    <definedName name="ab" localSheetId="62" hidden="1">{#N/A,#N/A,FALSE,"2000-01 Form 1.3a";#N/A,#N/A,FALSE,"H1 2001-02 Form 1.3a";#N/A,#N/A,FALSE,"H2 2001-02 Form 1.3a";#N/A,#N/A,FALSE,"2001-02 Form 1.3a";#N/A,#N/A,FALSE,"2002-03 Form 1.3a"}</definedName>
    <definedName name="ab" localSheetId="63" hidden="1">{#N/A,#N/A,FALSE,"2000-01 Form 1.3a";#N/A,#N/A,FALSE,"H1 2001-02 Form 1.3a";#N/A,#N/A,FALSE,"H2 2001-02 Form 1.3a";#N/A,#N/A,FALSE,"2001-02 Form 1.3a";#N/A,#N/A,FALSE,"2002-03 Form 1.3a"}</definedName>
    <definedName name="ab" localSheetId="64" hidden="1">{#N/A,#N/A,FALSE,"2000-01 Form 1.3a";#N/A,#N/A,FALSE,"H1 2001-02 Form 1.3a";#N/A,#N/A,FALSE,"H2 2001-02 Form 1.3a";#N/A,#N/A,FALSE,"2001-02 Form 1.3a";#N/A,#N/A,FALSE,"2002-03 Form 1.3a"}</definedName>
    <definedName name="ab" localSheetId="66" hidden="1">{#N/A,#N/A,FALSE,"2000-01 Form 1.3a";#N/A,#N/A,FALSE,"H1 2001-02 Form 1.3a";#N/A,#N/A,FALSE,"H2 2001-02 Form 1.3a";#N/A,#N/A,FALSE,"2001-02 Form 1.3a";#N/A,#N/A,FALSE,"2002-03 Form 1.3a"}</definedName>
    <definedName name="ab" localSheetId="67" hidden="1">{#N/A,#N/A,FALSE,"2000-01 Form 1.3a";#N/A,#N/A,FALSE,"H1 2001-02 Form 1.3a";#N/A,#N/A,FALSE,"H2 2001-02 Form 1.3a";#N/A,#N/A,FALSE,"2001-02 Form 1.3a";#N/A,#N/A,FALSE,"2002-03 Form 1.3a"}</definedName>
    <definedName name="ab" localSheetId="68" hidden="1">{#N/A,#N/A,FALSE,"2000-01 Form 1.3a";#N/A,#N/A,FALSE,"H1 2001-02 Form 1.3a";#N/A,#N/A,FALSE,"H2 2001-02 Form 1.3a";#N/A,#N/A,FALSE,"2001-02 Form 1.3a";#N/A,#N/A,FALSE,"2002-03 Form 1.3a"}</definedName>
    <definedName name="ab" localSheetId="74" hidden="1">{#N/A,#N/A,FALSE,"2000-01 Form 1.3a";#N/A,#N/A,FALSE,"H1 2001-02 Form 1.3a";#N/A,#N/A,FALSE,"H2 2001-02 Form 1.3a";#N/A,#N/A,FALSE,"2001-02 Form 1.3a";#N/A,#N/A,FALSE,"2002-03 Form 1.3a"}</definedName>
    <definedName name="ab" localSheetId="75" hidden="1">{#N/A,#N/A,FALSE,"2000-01 Form 1.3a";#N/A,#N/A,FALSE,"H1 2001-02 Form 1.3a";#N/A,#N/A,FALSE,"H2 2001-02 Form 1.3a";#N/A,#N/A,FALSE,"2001-02 Form 1.3a";#N/A,#N/A,FALSE,"2002-03 Form 1.3a"}</definedName>
    <definedName name="ab" localSheetId="76" hidden="1">{#N/A,#N/A,FALSE,"2000-01 Form 1.3a";#N/A,#N/A,FALSE,"H1 2001-02 Form 1.3a";#N/A,#N/A,FALSE,"H2 2001-02 Form 1.3a";#N/A,#N/A,FALSE,"2001-02 Form 1.3a";#N/A,#N/A,FALSE,"2002-03 Form 1.3a"}</definedName>
    <definedName name="ab" localSheetId="77" hidden="1">{#N/A,#N/A,FALSE,"2000-01 Form 1.3a";#N/A,#N/A,FALSE,"H1 2001-02 Form 1.3a";#N/A,#N/A,FALSE,"H2 2001-02 Form 1.3a";#N/A,#N/A,FALSE,"2001-02 Form 1.3a";#N/A,#N/A,FALSE,"2002-03 Form 1.3a"}</definedName>
    <definedName name="ab" localSheetId="78" hidden="1">{#N/A,#N/A,FALSE,"2000-01 Form 1.3a";#N/A,#N/A,FALSE,"H1 2001-02 Form 1.3a";#N/A,#N/A,FALSE,"H2 2001-02 Form 1.3a";#N/A,#N/A,FALSE,"2001-02 Form 1.3a";#N/A,#N/A,FALSE,"2002-03 Form 1.3a"}</definedName>
    <definedName name="ab" localSheetId="79" hidden="1">{#N/A,#N/A,FALSE,"2000-01 Form 1.3a";#N/A,#N/A,FALSE,"H1 2001-02 Form 1.3a";#N/A,#N/A,FALSE,"H2 2001-02 Form 1.3a";#N/A,#N/A,FALSE,"2001-02 Form 1.3a";#N/A,#N/A,FALSE,"2002-03 Form 1.3a"}</definedName>
    <definedName name="ab" hidden="1">{#N/A,#N/A,FALSE,"2000-01 Form 1.3a";#N/A,#N/A,FALSE,"H1 2001-02 Form 1.3a";#N/A,#N/A,FALSE,"H2 2001-02 Form 1.3a";#N/A,#N/A,FALSE,"2001-02 Form 1.3a";#N/A,#N/A,FALSE,"2002-03 Form 1.3a"}</definedName>
    <definedName name="ADL.63">[11]Addl.40!$A$38:$I$284</definedName>
    <definedName name="agri" localSheetId="13">#REF!</definedName>
    <definedName name="agri" localSheetId="14">#REF!</definedName>
    <definedName name="agri" localSheetId="7">#REF!</definedName>
    <definedName name="agri" localSheetId="9">#REF!</definedName>
    <definedName name="agri" localSheetId="10">#REF!</definedName>
    <definedName name="agri" localSheetId="11">#REF!</definedName>
    <definedName name="agri" localSheetId="12">#REF!</definedName>
    <definedName name="agri" localSheetId="43">#REF!</definedName>
    <definedName name="agri" localSheetId="44">#REF!</definedName>
    <definedName name="agri" localSheetId="45">#REF!</definedName>
    <definedName name="agri" localSheetId="46">#REF!</definedName>
    <definedName name="agri" localSheetId="47">#REF!</definedName>
    <definedName name="agri" localSheetId="48">#REF!</definedName>
    <definedName name="agri" localSheetId="50">#REF!</definedName>
    <definedName name="agri" localSheetId="51">#REF!</definedName>
    <definedName name="agri" localSheetId="52">#REF!</definedName>
    <definedName name="agri" localSheetId="53">#REF!</definedName>
    <definedName name="agri" localSheetId="54">#REF!</definedName>
    <definedName name="agri" localSheetId="37">#REF!</definedName>
    <definedName name="agri" localSheetId="38">#REF!</definedName>
    <definedName name="agri" localSheetId="34">#REF!</definedName>
    <definedName name="agri" localSheetId="35">#REF!</definedName>
    <definedName name="agri" localSheetId="36">#REF!</definedName>
    <definedName name="agri" localSheetId="39">#REF!</definedName>
    <definedName name="agri" localSheetId="40">#REF!</definedName>
    <definedName name="agri" localSheetId="69">#REF!</definedName>
    <definedName name="agri" localSheetId="70">#REF!</definedName>
    <definedName name="agri" localSheetId="71">#REF!</definedName>
    <definedName name="agri" localSheetId="72">#REF!</definedName>
    <definedName name="agri" localSheetId="60">#REF!</definedName>
    <definedName name="agri" localSheetId="61">#REF!</definedName>
    <definedName name="agri" localSheetId="62">#REF!</definedName>
    <definedName name="agri" localSheetId="63">#REF!</definedName>
    <definedName name="agri" localSheetId="64">#REF!</definedName>
    <definedName name="agri" localSheetId="66">#REF!</definedName>
    <definedName name="agri" localSheetId="67">#REF!</definedName>
    <definedName name="agri" localSheetId="68">#REF!</definedName>
    <definedName name="agri" localSheetId="74">#REF!</definedName>
    <definedName name="agri" localSheetId="75">#REF!</definedName>
    <definedName name="agri" localSheetId="76">#REF!</definedName>
    <definedName name="agri" localSheetId="77">#REF!</definedName>
    <definedName name="agri" localSheetId="78">#REF!</definedName>
    <definedName name="agri" localSheetId="79">#REF!</definedName>
    <definedName name="agri">#REF!</definedName>
    <definedName name="annex" localSheetId="13" hidden="1">{#N/A,#N/A,FALSE,"1.1";#N/A,#N/A,FALSE,"1.1a";#N/A,#N/A,FALSE,"1.1b";#N/A,#N/A,FALSE,"1.1c";#N/A,#N/A,FALSE,"1.1e";#N/A,#N/A,FALSE,"1.1f";#N/A,#N/A,FALSE,"1.1g";#N/A,#N/A,FALSE,"1.1h_D";#N/A,#N/A,FALSE,"1.1h_T";#N/A,#N/A,FALSE,"1.2";#N/A,#N/A,FALSE,"1.3b";#N/A,#N/A,FALSE,"1.3";#N/A,#N/A,FALSE,"1.4";#N/A,#N/A,FALSE,"1.5";#N/A,#N/A,FALSE,"1.6";#N/A,#N/A,FALSE,"SOD";#N/A,#N/A,FALSE,"CF"}</definedName>
    <definedName name="annex" localSheetId="14" hidden="1">{#N/A,#N/A,FALSE,"1.1";#N/A,#N/A,FALSE,"1.1a";#N/A,#N/A,FALSE,"1.1b";#N/A,#N/A,FALSE,"1.1c";#N/A,#N/A,FALSE,"1.1e";#N/A,#N/A,FALSE,"1.1f";#N/A,#N/A,FALSE,"1.1g";#N/A,#N/A,FALSE,"1.1h_D";#N/A,#N/A,FALSE,"1.1h_T";#N/A,#N/A,FALSE,"1.2";#N/A,#N/A,FALSE,"1.3b";#N/A,#N/A,FALSE,"1.3";#N/A,#N/A,FALSE,"1.4";#N/A,#N/A,FALSE,"1.5";#N/A,#N/A,FALSE,"1.6";#N/A,#N/A,FALSE,"SOD";#N/A,#N/A,FALSE,"CF"}</definedName>
    <definedName name="annex" localSheetId="7" hidden="1">{#N/A,#N/A,FALSE,"1.1";#N/A,#N/A,FALSE,"1.1a";#N/A,#N/A,FALSE,"1.1b";#N/A,#N/A,FALSE,"1.1c";#N/A,#N/A,FALSE,"1.1e";#N/A,#N/A,FALSE,"1.1f";#N/A,#N/A,FALSE,"1.1g";#N/A,#N/A,FALSE,"1.1h_D";#N/A,#N/A,FALSE,"1.1h_T";#N/A,#N/A,FALSE,"1.2";#N/A,#N/A,FALSE,"1.3b";#N/A,#N/A,FALSE,"1.3";#N/A,#N/A,FALSE,"1.4";#N/A,#N/A,FALSE,"1.5";#N/A,#N/A,FALSE,"1.6";#N/A,#N/A,FALSE,"SOD";#N/A,#N/A,FALSE,"CF"}</definedName>
    <definedName name="annex" localSheetId="9" hidden="1">{#N/A,#N/A,FALSE,"1.1";#N/A,#N/A,FALSE,"1.1a";#N/A,#N/A,FALSE,"1.1b";#N/A,#N/A,FALSE,"1.1c";#N/A,#N/A,FALSE,"1.1e";#N/A,#N/A,FALSE,"1.1f";#N/A,#N/A,FALSE,"1.1g";#N/A,#N/A,FALSE,"1.1h_D";#N/A,#N/A,FALSE,"1.1h_T";#N/A,#N/A,FALSE,"1.2";#N/A,#N/A,FALSE,"1.3b";#N/A,#N/A,FALSE,"1.3";#N/A,#N/A,FALSE,"1.4";#N/A,#N/A,FALSE,"1.5";#N/A,#N/A,FALSE,"1.6";#N/A,#N/A,FALSE,"SOD";#N/A,#N/A,FALSE,"CF"}</definedName>
    <definedName name="annex" localSheetId="10" hidden="1">{#N/A,#N/A,FALSE,"1.1";#N/A,#N/A,FALSE,"1.1a";#N/A,#N/A,FALSE,"1.1b";#N/A,#N/A,FALSE,"1.1c";#N/A,#N/A,FALSE,"1.1e";#N/A,#N/A,FALSE,"1.1f";#N/A,#N/A,FALSE,"1.1g";#N/A,#N/A,FALSE,"1.1h_D";#N/A,#N/A,FALSE,"1.1h_T";#N/A,#N/A,FALSE,"1.2";#N/A,#N/A,FALSE,"1.3b";#N/A,#N/A,FALSE,"1.3";#N/A,#N/A,FALSE,"1.4";#N/A,#N/A,FALSE,"1.5";#N/A,#N/A,FALSE,"1.6";#N/A,#N/A,FALSE,"SOD";#N/A,#N/A,FALSE,"CF"}</definedName>
    <definedName name="annex" localSheetId="11" hidden="1">{#N/A,#N/A,FALSE,"1.1";#N/A,#N/A,FALSE,"1.1a";#N/A,#N/A,FALSE,"1.1b";#N/A,#N/A,FALSE,"1.1c";#N/A,#N/A,FALSE,"1.1e";#N/A,#N/A,FALSE,"1.1f";#N/A,#N/A,FALSE,"1.1g";#N/A,#N/A,FALSE,"1.1h_D";#N/A,#N/A,FALSE,"1.1h_T";#N/A,#N/A,FALSE,"1.2";#N/A,#N/A,FALSE,"1.3b";#N/A,#N/A,FALSE,"1.3";#N/A,#N/A,FALSE,"1.4";#N/A,#N/A,FALSE,"1.5";#N/A,#N/A,FALSE,"1.6";#N/A,#N/A,FALSE,"SOD";#N/A,#N/A,FALSE,"CF"}</definedName>
    <definedName name="annex" localSheetId="12" hidden="1">{#N/A,#N/A,FALSE,"1.1";#N/A,#N/A,FALSE,"1.1a";#N/A,#N/A,FALSE,"1.1b";#N/A,#N/A,FALSE,"1.1c";#N/A,#N/A,FALSE,"1.1e";#N/A,#N/A,FALSE,"1.1f";#N/A,#N/A,FALSE,"1.1g";#N/A,#N/A,FALSE,"1.1h_D";#N/A,#N/A,FALSE,"1.1h_T";#N/A,#N/A,FALSE,"1.2";#N/A,#N/A,FALSE,"1.3b";#N/A,#N/A,FALSE,"1.3";#N/A,#N/A,FALSE,"1.4";#N/A,#N/A,FALSE,"1.5";#N/A,#N/A,FALSE,"1.6";#N/A,#N/A,FALSE,"SOD";#N/A,#N/A,FALSE,"CF"}</definedName>
    <definedName name="annex" localSheetId="43" hidden="1">{#N/A,#N/A,FALSE,"1.1";#N/A,#N/A,FALSE,"1.1a";#N/A,#N/A,FALSE,"1.1b";#N/A,#N/A,FALSE,"1.1c";#N/A,#N/A,FALSE,"1.1e";#N/A,#N/A,FALSE,"1.1f";#N/A,#N/A,FALSE,"1.1g";#N/A,#N/A,FALSE,"1.1h_D";#N/A,#N/A,FALSE,"1.1h_T";#N/A,#N/A,FALSE,"1.2";#N/A,#N/A,FALSE,"1.3b";#N/A,#N/A,FALSE,"1.3";#N/A,#N/A,FALSE,"1.4";#N/A,#N/A,FALSE,"1.5";#N/A,#N/A,FALSE,"1.6";#N/A,#N/A,FALSE,"SOD";#N/A,#N/A,FALSE,"CF"}</definedName>
    <definedName name="annex" localSheetId="44" hidden="1">{#N/A,#N/A,FALSE,"1.1";#N/A,#N/A,FALSE,"1.1a";#N/A,#N/A,FALSE,"1.1b";#N/A,#N/A,FALSE,"1.1c";#N/A,#N/A,FALSE,"1.1e";#N/A,#N/A,FALSE,"1.1f";#N/A,#N/A,FALSE,"1.1g";#N/A,#N/A,FALSE,"1.1h_D";#N/A,#N/A,FALSE,"1.1h_T";#N/A,#N/A,FALSE,"1.2";#N/A,#N/A,FALSE,"1.3b";#N/A,#N/A,FALSE,"1.3";#N/A,#N/A,FALSE,"1.4";#N/A,#N/A,FALSE,"1.5";#N/A,#N/A,FALSE,"1.6";#N/A,#N/A,FALSE,"SOD";#N/A,#N/A,FALSE,"CF"}</definedName>
    <definedName name="annex" localSheetId="45" hidden="1">{#N/A,#N/A,FALSE,"1.1";#N/A,#N/A,FALSE,"1.1a";#N/A,#N/A,FALSE,"1.1b";#N/A,#N/A,FALSE,"1.1c";#N/A,#N/A,FALSE,"1.1e";#N/A,#N/A,FALSE,"1.1f";#N/A,#N/A,FALSE,"1.1g";#N/A,#N/A,FALSE,"1.1h_D";#N/A,#N/A,FALSE,"1.1h_T";#N/A,#N/A,FALSE,"1.2";#N/A,#N/A,FALSE,"1.3b";#N/A,#N/A,FALSE,"1.3";#N/A,#N/A,FALSE,"1.4";#N/A,#N/A,FALSE,"1.5";#N/A,#N/A,FALSE,"1.6";#N/A,#N/A,FALSE,"SOD";#N/A,#N/A,FALSE,"CF"}</definedName>
    <definedName name="annex" localSheetId="46" hidden="1">{#N/A,#N/A,FALSE,"1.1";#N/A,#N/A,FALSE,"1.1a";#N/A,#N/A,FALSE,"1.1b";#N/A,#N/A,FALSE,"1.1c";#N/A,#N/A,FALSE,"1.1e";#N/A,#N/A,FALSE,"1.1f";#N/A,#N/A,FALSE,"1.1g";#N/A,#N/A,FALSE,"1.1h_D";#N/A,#N/A,FALSE,"1.1h_T";#N/A,#N/A,FALSE,"1.2";#N/A,#N/A,FALSE,"1.3b";#N/A,#N/A,FALSE,"1.3";#N/A,#N/A,FALSE,"1.4";#N/A,#N/A,FALSE,"1.5";#N/A,#N/A,FALSE,"1.6";#N/A,#N/A,FALSE,"SOD";#N/A,#N/A,FALSE,"CF"}</definedName>
    <definedName name="annex" localSheetId="47" hidden="1">{#N/A,#N/A,FALSE,"1.1";#N/A,#N/A,FALSE,"1.1a";#N/A,#N/A,FALSE,"1.1b";#N/A,#N/A,FALSE,"1.1c";#N/A,#N/A,FALSE,"1.1e";#N/A,#N/A,FALSE,"1.1f";#N/A,#N/A,FALSE,"1.1g";#N/A,#N/A,FALSE,"1.1h_D";#N/A,#N/A,FALSE,"1.1h_T";#N/A,#N/A,FALSE,"1.2";#N/A,#N/A,FALSE,"1.3b";#N/A,#N/A,FALSE,"1.3";#N/A,#N/A,FALSE,"1.4";#N/A,#N/A,FALSE,"1.5";#N/A,#N/A,FALSE,"1.6";#N/A,#N/A,FALSE,"SOD";#N/A,#N/A,FALSE,"CF"}</definedName>
    <definedName name="annex" localSheetId="48" hidden="1">{#N/A,#N/A,FALSE,"1.1";#N/A,#N/A,FALSE,"1.1a";#N/A,#N/A,FALSE,"1.1b";#N/A,#N/A,FALSE,"1.1c";#N/A,#N/A,FALSE,"1.1e";#N/A,#N/A,FALSE,"1.1f";#N/A,#N/A,FALSE,"1.1g";#N/A,#N/A,FALSE,"1.1h_D";#N/A,#N/A,FALSE,"1.1h_T";#N/A,#N/A,FALSE,"1.2";#N/A,#N/A,FALSE,"1.3b";#N/A,#N/A,FALSE,"1.3";#N/A,#N/A,FALSE,"1.4";#N/A,#N/A,FALSE,"1.5";#N/A,#N/A,FALSE,"1.6";#N/A,#N/A,FALSE,"SOD";#N/A,#N/A,FALSE,"CF"}</definedName>
    <definedName name="annex" localSheetId="50" hidden="1">{#N/A,#N/A,FALSE,"1.1";#N/A,#N/A,FALSE,"1.1a";#N/A,#N/A,FALSE,"1.1b";#N/A,#N/A,FALSE,"1.1c";#N/A,#N/A,FALSE,"1.1e";#N/A,#N/A,FALSE,"1.1f";#N/A,#N/A,FALSE,"1.1g";#N/A,#N/A,FALSE,"1.1h_D";#N/A,#N/A,FALSE,"1.1h_T";#N/A,#N/A,FALSE,"1.2";#N/A,#N/A,FALSE,"1.3b";#N/A,#N/A,FALSE,"1.3";#N/A,#N/A,FALSE,"1.4";#N/A,#N/A,FALSE,"1.5";#N/A,#N/A,FALSE,"1.6";#N/A,#N/A,FALSE,"SOD";#N/A,#N/A,FALSE,"CF"}</definedName>
    <definedName name="annex" localSheetId="51" hidden="1">{#N/A,#N/A,FALSE,"1.1";#N/A,#N/A,FALSE,"1.1a";#N/A,#N/A,FALSE,"1.1b";#N/A,#N/A,FALSE,"1.1c";#N/A,#N/A,FALSE,"1.1e";#N/A,#N/A,FALSE,"1.1f";#N/A,#N/A,FALSE,"1.1g";#N/A,#N/A,FALSE,"1.1h_D";#N/A,#N/A,FALSE,"1.1h_T";#N/A,#N/A,FALSE,"1.2";#N/A,#N/A,FALSE,"1.3b";#N/A,#N/A,FALSE,"1.3";#N/A,#N/A,FALSE,"1.4";#N/A,#N/A,FALSE,"1.5";#N/A,#N/A,FALSE,"1.6";#N/A,#N/A,FALSE,"SOD";#N/A,#N/A,FALSE,"CF"}</definedName>
    <definedName name="annex" localSheetId="52" hidden="1">{#N/A,#N/A,FALSE,"1.1";#N/A,#N/A,FALSE,"1.1a";#N/A,#N/A,FALSE,"1.1b";#N/A,#N/A,FALSE,"1.1c";#N/A,#N/A,FALSE,"1.1e";#N/A,#N/A,FALSE,"1.1f";#N/A,#N/A,FALSE,"1.1g";#N/A,#N/A,FALSE,"1.1h_D";#N/A,#N/A,FALSE,"1.1h_T";#N/A,#N/A,FALSE,"1.2";#N/A,#N/A,FALSE,"1.3b";#N/A,#N/A,FALSE,"1.3";#N/A,#N/A,FALSE,"1.4";#N/A,#N/A,FALSE,"1.5";#N/A,#N/A,FALSE,"1.6";#N/A,#N/A,FALSE,"SOD";#N/A,#N/A,FALSE,"CF"}</definedName>
    <definedName name="annex" localSheetId="53" hidden="1">{#N/A,#N/A,FALSE,"1.1";#N/A,#N/A,FALSE,"1.1a";#N/A,#N/A,FALSE,"1.1b";#N/A,#N/A,FALSE,"1.1c";#N/A,#N/A,FALSE,"1.1e";#N/A,#N/A,FALSE,"1.1f";#N/A,#N/A,FALSE,"1.1g";#N/A,#N/A,FALSE,"1.1h_D";#N/A,#N/A,FALSE,"1.1h_T";#N/A,#N/A,FALSE,"1.2";#N/A,#N/A,FALSE,"1.3b";#N/A,#N/A,FALSE,"1.3";#N/A,#N/A,FALSE,"1.4";#N/A,#N/A,FALSE,"1.5";#N/A,#N/A,FALSE,"1.6";#N/A,#N/A,FALSE,"SOD";#N/A,#N/A,FALSE,"CF"}</definedName>
    <definedName name="annex" localSheetId="54" hidden="1">{#N/A,#N/A,FALSE,"1.1";#N/A,#N/A,FALSE,"1.1a";#N/A,#N/A,FALSE,"1.1b";#N/A,#N/A,FALSE,"1.1c";#N/A,#N/A,FALSE,"1.1e";#N/A,#N/A,FALSE,"1.1f";#N/A,#N/A,FALSE,"1.1g";#N/A,#N/A,FALSE,"1.1h_D";#N/A,#N/A,FALSE,"1.1h_T";#N/A,#N/A,FALSE,"1.2";#N/A,#N/A,FALSE,"1.3b";#N/A,#N/A,FALSE,"1.3";#N/A,#N/A,FALSE,"1.4";#N/A,#N/A,FALSE,"1.5";#N/A,#N/A,FALSE,"1.6";#N/A,#N/A,FALSE,"SOD";#N/A,#N/A,FALSE,"CF"}</definedName>
    <definedName name="annex" localSheetId="37" hidden="1">{#N/A,#N/A,FALSE,"1.1";#N/A,#N/A,FALSE,"1.1a";#N/A,#N/A,FALSE,"1.1b";#N/A,#N/A,FALSE,"1.1c";#N/A,#N/A,FALSE,"1.1e";#N/A,#N/A,FALSE,"1.1f";#N/A,#N/A,FALSE,"1.1g";#N/A,#N/A,FALSE,"1.1h_D";#N/A,#N/A,FALSE,"1.1h_T";#N/A,#N/A,FALSE,"1.2";#N/A,#N/A,FALSE,"1.3b";#N/A,#N/A,FALSE,"1.3";#N/A,#N/A,FALSE,"1.4";#N/A,#N/A,FALSE,"1.5";#N/A,#N/A,FALSE,"1.6";#N/A,#N/A,FALSE,"SOD";#N/A,#N/A,FALSE,"CF"}</definedName>
    <definedName name="annex" localSheetId="38" hidden="1">{#N/A,#N/A,FALSE,"1.1";#N/A,#N/A,FALSE,"1.1a";#N/A,#N/A,FALSE,"1.1b";#N/A,#N/A,FALSE,"1.1c";#N/A,#N/A,FALSE,"1.1e";#N/A,#N/A,FALSE,"1.1f";#N/A,#N/A,FALSE,"1.1g";#N/A,#N/A,FALSE,"1.1h_D";#N/A,#N/A,FALSE,"1.1h_T";#N/A,#N/A,FALSE,"1.2";#N/A,#N/A,FALSE,"1.3b";#N/A,#N/A,FALSE,"1.3";#N/A,#N/A,FALSE,"1.4";#N/A,#N/A,FALSE,"1.5";#N/A,#N/A,FALSE,"1.6";#N/A,#N/A,FALSE,"SOD";#N/A,#N/A,FALSE,"CF"}</definedName>
    <definedName name="annex" localSheetId="34" hidden="1">{#N/A,#N/A,FALSE,"1.1";#N/A,#N/A,FALSE,"1.1a";#N/A,#N/A,FALSE,"1.1b";#N/A,#N/A,FALSE,"1.1c";#N/A,#N/A,FALSE,"1.1e";#N/A,#N/A,FALSE,"1.1f";#N/A,#N/A,FALSE,"1.1g";#N/A,#N/A,FALSE,"1.1h_D";#N/A,#N/A,FALSE,"1.1h_T";#N/A,#N/A,FALSE,"1.2";#N/A,#N/A,FALSE,"1.3b";#N/A,#N/A,FALSE,"1.3";#N/A,#N/A,FALSE,"1.4";#N/A,#N/A,FALSE,"1.5";#N/A,#N/A,FALSE,"1.6";#N/A,#N/A,FALSE,"SOD";#N/A,#N/A,FALSE,"CF"}</definedName>
    <definedName name="annex" localSheetId="35" hidden="1">{#N/A,#N/A,FALSE,"1.1";#N/A,#N/A,FALSE,"1.1a";#N/A,#N/A,FALSE,"1.1b";#N/A,#N/A,FALSE,"1.1c";#N/A,#N/A,FALSE,"1.1e";#N/A,#N/A,FALSE,"1.1f";#N/A,#N/A,FALSE,"1.1g";#N/A,#N/A,FALSE,"1.1h_D";#N/A,#N/A,FALSE,"1.1h_T";#N/A,#N/A,FALSE,"1.2";#N/A,#N/A,FALSE,"1.3b";#N/A,#N/A,FALSE,"1.3";#N/A,#N/A,FALSE,"1.4";#N/A,#N/A,FALSE,"1.5";#N/A,#N/A,FALSE,"1.6";#N/A,#N/A,FALSE,"SOD";#N/A,#N/A,FALSE,"CF"}</definedName>
    <definedName name="annex" localSheetId="36" hidden="1">{#N/A,#N/A,FALSE,"1.1";#N/A,#N/A,FALSE,"1.1a";#N/A,#N/A,FALSE,"1.1b";#N/A,#N/A,FALSE,"1.1c";#N/A,#N/A,FALSE,"1.1e";#N/A,#N/A,FALSE,"1.1f";#N/A,#N/A,FALSE,"1.1g";#N/A,#N/A,FALSE,"1.1h_D";#N/A,#N/A,FALSE,"1.1h_T";#N/A,#N/A,FALSE,"1.2";#N/A,#N/A,FALSE,"1.3b";#N/A,#N/A,FALSE,"1.3";#N/A,#N/A,FALSE,"1.4";#N/A,#N/A,FALSE,"1.5";#N/A,#N/A,FALSE,"1.6";#N/A,#N/A,FALSE,"SOD";#N/A,#N/A,FALSE,"CF"}</definedName>
    <definedName name="annex" localSheetId="39" hidden="1">{#N/A,#N/A,FALSE,"1.1";#N/A,#N/A,FALSE,"1.1a";#N/A,#N/A,FALSE,"1.1b";#N/A,#N/A,FALSE,"1.1c";#N/A,#N/A,FALSE,"1.1e";#N/A,#N/A,FALSE,"1.1f";#N/A,#N/A,FALSE,"1.1g";#N/A,#N/A,FALSE,"1.1h_D";#N/A,#N/A,FALSE,"1.1h_T";#N/A,#N/A,FALSE,"1.2";#N/A,#N/A,FALSE,"1.3b";#N/A,#N/A,FALSE,"1.3";#N/A,#N/A,FALSE,"1.4";#N/A,#N/A,FALSE,"1.5";#N/A,#N/A,FALSE,"1.6";#N/A,#N/A,FALSE,"SOD";#N/A,#N/A,FALSE,"CF"}</definedName>
    <definedName name="annex" localSheetId="40" hidden="1">{#N/A,#N/A,FALSE,"1.1";#N/A,#N/A,FALSE,"1.1a";#N/A,#N/A,FALSE,"1.1b";#N/A,#N/A,FALSE,"1.1c";#N/A,#N/A,FALSE,"1.1e";#N/A,#N/A,FALSE,"1.1f";#N/A,#N/A,FALSE,"1.1g";#N/A,#N/A,FALSE,"1.1h_D";#N/A,#N/A,FALSE,"1.1h_T";#N/A,#N/A,FALSE,"1.2";#N/A,#N/A,FALSE,"1.3b";#N/A,#N/A,FALSE,"1.3";#N/A,#N/A,FALSE,"1.4";#N/A,#N/A,FALSE,"1.5";#N/A,#N/A,FALSE,"1.6";#N/A,#N/A,FALSE,"SOD";#N/A,#N/A,FALSE,"CF"}</definedName>
    <definedName name="annex" localSheetId="69" hidden="1">{#N/A,#N/A,FALSE,"1.1";#N/A,#N/A,FALSE,"1.1a";#N/A,#N/A,FALSE,"1.1b";#N/A,#N/A,FALSE,"1.1c";#N/A,#N/A,FALSE,"1.1e";#N/A,#N/A,FALSE,"1.1f";#N/A,#N/A,FALSE,"1.1g";#N/A,#N/A,FALSE,"1.1h_D";#N/A,#N/A,FALSE,"1.1h_T";#N/A,#N/A,FALSE,"1.2";#N/A,#N/A,FALSE,"1.3b";#N/A,#N/A,FALSE,"1.3";#N/A,#N/A,FALSE,"1.4";#N/A,#N/A,FALSE,"1.5";#N/A,#N/A,FALSE,"1.6";#N/A,#N/A,FALSE,"SOD";#N/A,#N/A,FALSE,"CF"}</definedName>
    <definedName name="annex" localSheetId="70" hidden="1">{#N/A,#N/A,FALSE,"1.1";#N/A,#N/A,FALSE,"1.1a";#N/A,#N/A,FALSE,"1.1b";#N/A,#N/A,FALSE,"1.1c";#N/A,#N/A,FALSE,"1.1e";#N/A,#N/A,FALSE,"1.1f";#N/A,#N/A,FALSE,"1.1g";#N/A,#N/A,FALSE,"1.1h_D";#N/A,#N/A,FALSE,"1.1h_T";#N/A,#N/A,FALSE,"1.2";#N/A,#N/A,FALSE,"1.3b";#N/A,#N/A,FALSE,"1.3";#N/A,#N/A,FALSE,"1.4";#N/A,#N/A,FALSE,"1.5";#N/A,#N/A,FALSE,"1.6";#N/A,#N/A,FALSE,"SOD";#N/A,#N/A,FALSE,"CF"}</definedName>
    <definedName name="annex" localSheetId="71" hidden="1">{#N/A,#N/A,FALSE,"1.1";#N/A,#N/A,FALSE,"1.1a";#N/A,#N/A,FALSE,"1.1b";#N/A,#N/A,FALSE,"1.1c";#N/A,#N/A,FALSE,"1.1e";#N/A,#N/A,FALSE,"1.1f";#N/A,#N/A,FALSE,"1.1g";#N/A,#N/A,FALSE,"1.1h_D";#N/A,#N/A,FALSE,"1.1h_T";#N/A,#N/A,FALSE,"1.2";#N/A,#N/A,FALSE,"1.3b";#N/A,#N/A,FALSE,"1.3";#N/A,#N/A,FALSE,"1.4";#N/A,#N/A,FALSE,"1.5";#N/A,#N/A,FALSE,"1.6";#N/A,#N/A,FALSE,"SOD";#N/A,#N/A,FALSE,"CF"}</definedName>
    <definedName name="annex" localSheetId="72" hidden="1">{#N/A,#N/A,FALSE,"1.1";#N/A,#N/A,FALSE,"1.1a";#N/A,#N/A,FALSE,"1.1b";#N/A,#N/A,FALSE,"1.1c";#N/A,#N/A,FALSE,"1.1e";#N/A,#N/A,FALSE,"1.1f";#N/A,#N/A,FALSE,"1.1g";#N/A,#N/A,FALSE,"1.1h_D";#N/A,#N/A,FALSE,"1.1h_T";#N/A,#N/A,FALSE,"1.2";#N/A,#N/A,FALSE,"1.3b";#N/A,#N/A,FALSE,"1.3";#N/A,#N/A,FALSE,"1.4";#N/A,#N/A,FALSE,"1.5";#N/A,#N/A,FALSE,"1.6";#N/A,#N/A,FALSE,"SOD";#N/A,#N/A,FALSE,"CF"}</definedName>
    <definedName name="annex" localSheetId="60" hidden="1">{#N/A,#N/A,FALSE,"1.1";#N/A,#N/A,FALSE,"1.1a";#N/A,#N/A,FALSE,"1.1b";#N/A,#N/A,FALSE,"1.1c";#N/A,#N/A,FALSE,"1.1e";#N/A,#N/A,FALSE,"1.1f";#N/A,#N/A,FALSE,"1.1g";#N/A,#N/A,FALSE,"1.1h_D";#N/A,#N/A,FALSE,"1.1h_T";#N/A,#N/A,FALSE,"1.2";#N/A,#N/A,FALSE,"1.3b";#N/A,#N/A,FALSE,"1.3";#N/A,#N/A,FALSE,"1.4";#N/A,#N/A,FALSE,"1.5";#N/A,#N/A,FALSE,"1.6";#N/A,#N/A,FALSE,"SOD";#N/A,#N/A,FALSE,"CF"}</definedName>
    <definedName name="annex" localSheetId="61" hidden="1">{#N/A,#N/A,FALSE,"1.1";#N/A,#N/A,FALSE,"1.1a";#N/A,#N/A,FALSE,"1.1b";#N/A,#N/A,FALSE,"1.1c";#N/A,#N/A,FALSE,"1.1e";#N/A,#N/A,FALSE,"1.1f";#N/A,#N/A,FALSE,"1.1g";#N/A,#N/A,FALSE,"1.1h_D";#N/A,#N/A,FALSE,"1.1h_T";#N/A,#N/A,FALSE,"1.2";#N/A,#N/A,FALSE,"1.3b";#N/A,#N/A,FALSE,"1.3";#N/A,#N/A,FALSE,"1.4";#N/A,#N/A,FALSE,"1.5";#N/A,#N/A,FALSE,"1.6";#N/A,#N/A,FALSE,"SOD";#N/A,#N/A,FALSE,"CF"}</definedName>
    <definedName name="annex" localSheetId="62" hidden="1">{#N/A,#N/A,FALSE,"1.1";#N/A,#N/A,FALSE,"1.1a";#N/A,#N/A,FALSE,"1.1b";#N/A,#N/A,FALSE,"1.1c";#N/A,#N/A,FALSE,"1.1e";#N/A,#N/A,FALSE,"1.1f";#N/A,#N/A,FALSE,"1.1g";#N/A,#N/A,FALSE,"1.1h_D";#N/A,#N/A,FALSE,"1.1h_T";#N/A,#N/A,FALSE,"1.2";#N/A,#N/A,FALSE,"1.3b";#N/A,#N/A,FALSE,"1.3";#N/A,#N/A,FALSE,"1.4";#N/A,#N/A,FALSE,"1.5";#N/A,#N/A,FALSE,"1.6";#N/A,#N/A,FALSE,"SOD";#N/A,#N/A,FALSE,"CF"}</definedName>
    <definedName name="annex" localSheetId="63" hidden="1">{#N/A,#N/A,FALSE,"1.1";#N/A,#N/A,FALSE,"1.1a";#N/A,#N/A,FALSE,"1.1b";#N/A,#N/A,FALSE,"1.1c";#N/A,#N/A,FALSE,"1.1e";#N/A,#N/A,FALSE,"1.1f";#N/A,#N/A,FALSE,"1.1g";#N/A,#N/A,FALSE,"1.1h_D";#N/A,#N/A,FALSE,"1.1h_T";#N/A,#N/A,FALSE,"1.2";#N/A,#N/A,FALSE,"1.3b";#N/A,#N/A,FALSE,"1.3";#N/A,#N/A,FALSE,"1.4";#N/A,#N/A,FALSE,"1.5";#N/A,#N/A,FALSE,"1.6";#N/A,#N/A,FALSE,"SOD";#N/A,#N/A,FALSE,"CF"}</definedName>
    <definedName name="annex" localSheetId="64" hidden="1">{#N/A,#N/A,FALSE,"1.1";#N/A,#N/A,FALSE,"1.1a";#N/A,#N/A,FALSE,"1.1b";#N/A,#N/A,FALSE,"1.1c";#N/A,#N/A,FALSE,"1.1e";#N/A,#N/A,FALSE,"1.1f";#N/A,#N/A,FALSE,"1.1g";#N/A,#N/A,FALSE,"1.1h_D";#N/A,#N/A,FALSE,"1.1h_T";#N/A,#N/A,FALSE,"1.2";#N/A,#N/A,FALSE,"1.3b";#N/A,#N/A,FALSE,"1.3";#N/A,#N/A,FALSE,"1.4";#N/A,#N/A,FALSE,"1.5";#N/A,#N/A,FALSE,"1.6";#N/A,#N/A,FALSE,"SOD";#N/A,#N/A,FALSE,"CF"}</definedName>
    <definedName name="annex" localSheetId="66" hidden="1">{#N/A,#N/A,FALSE,"1.1";#N/A,#N/A,FALSE,"1.1a";#N/A,#N/A,FALSE,"1.1b";#N/A,#N/A,FALSE,"1.1c";#N/A,#N/A,FALSE,"1.1e";#N/A,#N/A,FALSE,"1.1f";#N/A,#N/A,FALSE,"1.1g";#N/A,#N/A,FALSE,"1.1h_D";#N/A,#N/A,FALSE,"1.1h_T";#N/A,#N/A,FALSE,"1.2";#N/A,#N/A,FALSE,"1.3b";#N/A,#N/A,FALSE,"1.3";#N/A,#N/A,FALSE,"1.4";#N/A,#N/A,FALSE,"1.5";#N/A,#N/A,FALSE,"1.6";#N/A,#N/A,FALSE,"SOD";#N/A,#N/A,FALSE,"CF"}</definedName>
    <definedName name="annex" localSheetId="67" hidden="1">{#N/A,#N/A,FALSE,"1.1";#N/A,#N/A,FALSE,"1.1a";#N/A,#N/A,FALSE,"1.1b";#N/A,#N/A,FALSE,"1.1c";#N/A,#N/A,FALSE,"1.1e";#N/A,#N/A,FALSE,"1.1f";#N/A,#N/A,FALSE,"1.1g";#N/A,#N/A,FALSE,"1.1h_D";#N/A,#N/A,FALSE,"1.1h_T";#N/A,#N/A,FALSE,"1.2";#N/A,#N/A,FALSE,"1.3b";#N/A,#N/A,FALSE,"1.3";#N/A,#N/A,FALSE,"1.4";#N/A,#N/A,FALSE,"1.5";#N/A,#N/A,FALSE,"1.6";#N/A,#N/A,FALSE,"SOD";#N/A,#N/A,FALSE,"CF"}</definedName>
    <definedName name="annex" localSheetId="68" hidden="1">{#N/A,#N/A,FALSE,"1.1";#N/A,#N/A,FALSE,"1.1a";#N/A,#N/A,FALSE,"1.1b";#N/A,#N/A,FALSE,"1.1c";#N/A,#N/A,FALSE,"1.1e";#N/A,#N/A,FALSE,"1.1f";#N/A,#N/A,FALSE,"1.1g";#N/A,#N/A,FALSE,"1.1h_D";#N/A,#N/A,FALSE,"1.1h_T";#N/A,#N/A,FALSE,"1.2";#N/A,#N/A,FALSE,"1.3b";#N/A,#N/A,FALSE,"1.3";#N/A,#N/A,FALSE,"1.4";#N/A,#N/A,FALSE,"1.5";#N/A,#N/A,FALSE,"1.6";#N/A,#N/A,FALSE,"SOD";#N/A,#N/A,FALSE,"CF"}</definedName>
    <definedName name="annex" localSheetId="74" hidden="1">{#N/A,#N/A,FALSE,"1.1";#N/A,#N/A,FALSE,"1.1a";#N/A,#N/A,FALSE,"1.1b";#N/A,#N/A,FALSE,"1.1c";#N/A,#N/A,FALSE,"1.1e";#N/A,#N/A,FALSE,"1.1f";#N/A,#N/A,FALSE,"1.1g";#N/A,#N/A,FALSE,"1.1h_D";#N/A,#N/A,FALSE,"1.1h_T";#N/A,#N/A,FALSE,"1.2";#N/A,#N/A,FALSE,"1.3b";#N/A,#N/A,FALSE,"1.3";#N/A,#N/A,FALSE,"1.4";#N/A,#N/A,FALSE,"1.5";#N/A,#N/A,FALSE,"1.6";#N/A,#N/A,FALSE,"SOD";#N/A,#N/A,FALSE,"CF"}</definedName>
    <definedName name="annex" localSheetId="75" hidden="1">{#N/A,#N/A,FALSE,"1.1";#N/A,#N/A,FALSE,"1.1a";#N/A,#N/A,FALSE,"1.1b";#N/A,#N/A,FALSE,"1.1c";#N/A,#N/A,FALSE,"1.1e";#N/A,#N/A,FALSE,"1.1f";#N/A,#N/A,FALSE,"1.1g";#N/A,#N/A,FALSE,"1.1h_D";#N/A,#N/A,FALSE,"1.1h_T";#N/A,#N/A,FALSE,"1.2";#N/A,#N/A,FALSE,"1.3b";#N/A,#N/A,FALSE,"1.3";#N/A,#N/A,FALSE,"1.4";#N/A,#N/A,FALSE,"1.5";#N/A,#N/A,FALSE,"1.6";#N/A,#N/A,FALSE,"SOD";#N/A,#N/A,FALSE,"CF"}</definedName>
    <definedName name="annex" localSheetId="76" hidden="1">{#N/A,#N/A,FALSE,"1.1";#N/A,#N/A,FALSE,"1.1a";#N/A,#N/A,FALSE,"1.1b";#N/A,#N/A,FALSE,"1.1c";#N/A,#N/A,FALSE,"1.1e";#N/A,#N/A,FALSE,"1.1f";#N/A,#N/A,FALSE,"1.1g";#N/A,#N/A,FALSE,"1.1h_D";#N/A,#N/A,FALSE,"1.1h_T";#N/A,#N/A,FALSE,"1.2";#N/A,#N/A,FALSE,"1.3b";#N/A,#N/A,FALSE,"1.3";#N/A,#N/A,FALSE,"1.4";#N/A,#N/A,FALSE,"1.5";#N/A,#N/A,FALSE,"1.6";#N/A,#N/A,FALSE,"SOD";#N/A,#N/A,FALSE,"CF"}</definedName>
    <definedName name="annex" localSheetId="77" hidden="1">{#N/A,#N/A,FALSE,"1.1";#N/A,#N/A,FALSE,"1.1a";#N/A,#N/A,FALSE,"1.1b";#N/A,#N/A,FALSE,"1.1c";#N/A,#N/A,FALSE,"1.1e";#N/A,#N/A,FALSE,"1.1f";#N/A,#N/A,FALSE,"1.1g";#N/A,#N/A,FALSE,"1.1h_D";#N/A,#N/A,FALSE,"1.1h_T";#N/A,#N/A,FALSE,"1.2";#N/A,#N/A,FALSE,"1.3b";#N/A,#N/A,FALSE,"1.3";#N/A,#N/A,FALSE,"1.4";#N/A,#N/A,FALSE,"1.5";#N/A,#N/A,FALSE,"1.6";#N/A,#N/A,FALSE,"SOD";#N/A,#N/A,FALSE,"CF"}</definedName>
    <definedName name="annex" localSheetId="78" hidden="1">{#N/A,#N/A,FALSE,"1.1";#N/A,#N/A,FALSE,"1.1a";#N/A,#N/A,FALSE,"1.1b";#N/A,#N/A,FALSE,"1.1c";#N/A,#N/A,FALSE,"1.1e";#N/A,#N/A,FALSE,"1.1f";#N/A,#N/A,FALSE,"1.1g";#N/A,#N/A,FALSE,"1.1h_D";#N/A,#N/A,FALSE,"1.1h_T";#N/A,#N/A,FALSE,"1.2";#N/A,#N/A,FALSE,"1.3b";#N/A,#N/A,FALSE,"1.3";#N/A,#N/A,FALSE,"1.4";#N/A,#N/A,FALSE,"1.5";#N/A,#N/A,FALSE,"1.6";#N/A,#N/A,FALSE,"SOD";#N/A,#N/A,FALSE,"CF"}</definedName>
    <definedName name="annex" localSheetId="79" hidden="1">{#N/A,#N/A,FALSE,"1.1";#N/A,#N/A,FALSE,"1.1a";#N/A,#N/A,FALSE,"1.1b";#N/A,#N/A,FALSE,"1.1c";#N/A,#N/A,FALSE,"1.1e";#N/A,#N/A,FALSE,"1.1f";#N/A,#N/A,FALSE,"1.1g";#N/A,#N/A,FALSE,"1.1h_D";#N/A,#N/A,FALSE,"1.1h_T";#N/A,#N/A,FALSE,"1.2";#N/A,#N/A,FALSE,"1.3b";#N/A,#N/A,FALSE,"1.3";#N/A,#N/A,FALSE,"1.4";#N/A,#N/A,FALSE,"1.5";#N/A,#N/A,FALSE,"1.6";#N/A,#N/A,FALSE,"SOD";#N/A,#N/A,FALSE,"CF"}</definedName>
    <definedName name="annex" hidden="1">{#N/A,#N/A,FALSE,"1.1";#N/A,#N/A,FALSE,"1.1a";#N/A,#N/A,FALSE,"1.1b";#N/A,#N/A,FALSE,"1.1c";#N/A,#N/A,FALSE,"1.1e";#N/A,#N/A,FALSE,"1.1f";#N/A,#N/A,FALSE,"1.1g";#N/A,#N/A,FALSE,"1.1h_D";#N/A,#N/A,FALSE,"1.1h_T";#N/A,#N/A,FALSE,"1.2";#N/A,#N/A,FALSE,"1.3b";#N/A,#N/A,FALSE,"1.3";#N/A,#N/A,FALSE,"1.4";#N/A,#N/A,FALSE,"1.5";#N/A,#N/A,FALSE,"1.6";#N/A,#N/A,FALSE,"SOD";#N/A,#N/A,FALSE,"CF"}</definedName>
    <definedName name="AS">'[6]Executive Summary -Thermal'!$I$4:$AY$144</definedName>
    <definedName name="ASSUMPTIONS" localSheetId="13">#REF!</definedName>
    <definedName name="ASSUMPTIONS" localSheetId="14">#REF!</definedName>
    <definedName name="ASSUMPTIONS" localSheetId="7">#REF!</definedName>
    <definedName name="ASSUMPTIONS" localSheetId="9">#REF!</definedName>
    <definedName name="ASSUMPTIONS" localSheetId="10">#REF!</definedName>
    <definedName name="ASSUMPTIONS" localSheetId="11">#REF!</definedName>
    <definedName name="ASSUMPTIONS" localSheetId="12">#REF!</definedName>
    <definedName name="ASSUMPTIONS" localSheetId="43">#REF!</definedName>
    <definedName name="ASSUMPTIONS" localSheetId="44">#REF!</definedName>
    <definedName name="ASSUMPTIONS" localSheetId="45">#REF!</definedName>
    <definedName name="ASSUMPTIONS" localSheetId="46">#REF!</definedName>
    <definedName name="ASSUMPTIONS" localSheetId="47">#REF!</definedName>
    <definedName name="ASSUMPTIONS" localSheetId="48">#REF!</definedName>
    <definedName name="ASSUMPTIONS" localSheetId="50">#REF!</definedName>
    <definedName name="ASSUMPTIONS" localSheetId="51">#REF!</definedName>
    <definedName name="ASSUMPTIONS" localSheetId="52">#REF!</definedName>
    <definedName name="ASSUMPTIONS" localSheetId="53">#REF!</definedName>
    <definedName name="ASSUMPTIONS" localSheetId="54">#REF!</definedName>
    <definedName name="ASSUMPTIONS" localSheetId="37">#REF!</definedName>
    <definedName name="ASSUMPTIONS" localSheetId="38">#REF!</definedName>
    <definedName name="ASSUMPTIONS" localSheetId="34">#REF!</definedName>
    <definedName name="ASSUMPTIONS" localSheetId="35">#REF!</definedName>
    <definedName name="ASSUMPTIONS" localSheetId="36">#REF!</definedName>
    <definedName name="ASSUMPTIONS" localSheetId="39">#REF!</definedName>
    <definedName name="ASSUMPTIONS" localSheetId="40">#REF!</definedName>
    <definedName name="ASSUMPTIONS" localSheetId="69">#REF!</definedName>
    <definedName name="ASSUMPTIONS" localSheetId="70">#REF!</definedName>
    <definedName name="ASSUMPTIONS" localSheetId="71">#REF!</definedName>
    <definedName name="ASSUMPTIONS" localSheetId="72">#REF!</definedName>
    <definedName name="ASSUMPTIONS" localSheetId="60">#REF!</definedName>
    <definedName name="ASSUMPTIONS" localSheetId="61">#REF!</definedName>
    <definedName name="ASSUMPTIONS" localSheetId="62">#REF!</definedName>
    <definedName name="ASSUMPTIONS" localSheetId="63">#REF!</definedName>
    <definedName name="ASSUMPTIONS" localSheetId="64">#REF!</definedName>
    <definedName name="ASSUMPTIONS" localSheetId="66">#REF!</definedName>
    <definedName name="ASSUMPTIONS" localSheetId="67">#REF!</definedName>
    <definedName name="ASSUMPTIONS" localSheetId="68">#REF!</definedName>
    <definedName name="ASSUMPTIONS" localSheetId="74">#REF!</definedName>
    <definedName name="ASSUMPTIONS" localSheetId="75">#REF!</definedName>
    <definedName name="ASSUMPTIONS" localSheetId="76">#REF!</definedName>
    <definedName name="ASSUMPTIONS" localSheetId="77">#REF!</definedName>
    <definedName name="ASSUMPTIONS" localSheetId="78">#REF!</definedName>
    <definedName name="ASSUMPTIONS" localSheetId="79">#REF!</definedName>
    <definedName name="ASSUMPTIONS">#REF!</definedName>
    <definedName name="AUX">'[6]Executive Summary -Thermal'!$A$4:$H$95</definedName>
    <definedName name="b" localSheetId="13" hidden="1">{#N/A,#N/A,FALSE,"1.1";#N/A,#N/A,FALSE,"1.1a";#N/A,#N/A,FALSE,"1.1b";#N/A,#N/A,FALSE,"1.1c";#N/A,#N/A,FALSE,"1.1e";#N/A,#N/A,FALSE,"1.1f";#N/A,#N/A,FALSE,"1.1g";#N/A,#N/A,FALSE,"1.1h_D";#N/A,#N/A,FALSE,"1.1h_T";#N/A,#N/A,FALSE,"1.2";#N/A,#N/A,FALSE,"1.3b";#N/A,#N/A,FALSE,"1.3";#N/A,#N/A,FALSE,"1.4";#N/A,#N/A,FALSE,"1.5";#N/A,#N/A,FALSE,"1.6";#N/A,#N/A,FALSE,"SOD";#N/A,#N/A,FALSE,"CF"}</definedName>
    <definedName name="b" localSheetId="14" hidden="1">{#N/A,#N/A,FALSE,"1.1";#N/A,#N/A,FALSE,"1.1a";#N/A,#N/A,FALSE,"1.1b";#N/A,#N/A,FALSE,"1.1c";#N/A,#N/A,FALSE,"1.1e";#N/A,#N/A,FALSE,"1.1f";#N/A,#N/A,FALSE,"1.1g";#N/A,#N/A,FALSE,"1.1h_D";#N/A,#N/A,FALSE,"1.1h_T";#N/A,#N/A,FALSE,"1.2";#N/A,#N/A,FALSE,"1.3b";#N/A,#N/A,FALSE,"1.3";#N/A,#N/A,FALSE,"1.4";#N/A,#N/A,FALSE,"1.5";#N/A,#N/A,FALSE,"1.6";#N/A,#N/A,FALSE,"SOD";#N/A,#N/A,FALSE,"CF"}</definedName>
    <definedName name="b" localSheetId="7" hidden="1">{#N/A,#N/A,FALSE,"1.1";#N/A,#N/A,FALSE,"1.1a";#N/A,#N/A,FALSE,"1.1b";#N/A,#N/A,FALSE,"1.1c";#N/A,#N/A,FALSE,"1.1e";#N/A,#N/A,FALSE,"1.1f";#N/A,#N/A,FALSE,"1.1g";#N/A,#N/A,FALSE,"1.1h_D";#N/A,#N/A,FALSE,"1.1h_T";#N/A,#N/A,FALSE,"1.2";#N/A,#N/A,FALSE,"1.3b";#N/A,#N/A,FALSE,"1.3";#N/A,#N/A,FALSE,"1.4";#N/A,#N/A,FALSE,"1.5";#N/A,#N/A,FALSE,"1.6";#N/A,#N/A,FALSE,"SOD";#N/A,#N/A,FALSE,"CF"}</definedName>
    <definedName name="b" localSheetId="9" hidden="1">{#N/A,#N/A,FALSE,"1.1";#N/A,#N/A,FALSE,"1.1a";#N/A,#N/A,FALSE,"1.1b";#N/A,#N/A,FALSE,"1.1c";#N/A,#N/A,FALSE,"1.1e";#N/A,#N/A,FALSE,"1.1f";#N/A,#N/A,FALSE,"1.1g";#N/A,#N/A,FALSE,"1.1h_D";#N/A,#N/A,FALSE,"1.1h_T";#N/A,#N/A,FALSE,"1.2";#N/A,#N/A,FALSE,"1.3b";#N/A,#N/A,FALSE,"1.3";#N/A,#N/A,FALSE,"1.4";#N/A,#N/A,FALSE,"1.5";#N/A,#N/A,FALSE,"1.6";#N/A,#N/A,FALSE,"SOD";#N/A,#N/A,FALSE,"CF"}</definedName>
    <definedName name="b" localSheetId="10" hidden="1">{#N/A,#N/A,FALSE,"1.1";#N/A,#N/A,FALSE,"1.1a";#N/A,#N/A,FALSE,"1.1b";#N/A,#N/A,FALSE,"1.1c";#N/A,#N/A,FALSE,"1.1e";#N/A,#N/A,FALSE,"1.1f";#N/A,#N/A,FALSE,"1.1g";#N/A,#N/A,FALSE,"1.1h_D";#N/A,#N/A,FALSE,"1.1h_T";#N/A,#N/A,FALSE,"1.2";#N/A,#N/A,FALSE,"1.3b";#N/A,#N/A,FALSE,"1.3";#N/A,#N/A,FALSE,"1.4";#N/A,#N/A,FALSE,"1.5";#N/A,#N/A,FALSE,"1.6";#N/A,#N/A,FALSE,"SOD";#N/A,#N/A,FALSE,"CF"}</definedName>
    <definedName name="b" localSheetId="11" hidden="1">{#N/A,#N/A,FALSE,"1.1";#N/A,#N/A,FALSE,"1.1a";#N/A,#N/A,FALSE,"1.1b";#N/A,#N/A,FALSE,"1.1c";#N/A,#N/A,FALSE,"1.1e";#N/A,#N/A,FALSE,"1.1f";#N/A,#N/A,FALSE,"1.1g";#N/A,#N/A,FALSE,"1.1h_D";#N/A,#N/A,FALSE,"1.1h_T";#N/A,#N/A,FALSE,"1.2";#N/A,#N/A,FALSE,"1.3b";#N/A,#N/A,FALSE,"1.3";#N/A,#N/A,FALSE,"1.4";#N/A,#N/A,FALSE,"1.5";#N/A,#N/A,FALSE,"1.6";#N/A,#N/A,FALSE,"SOD";#N/A,#N/A,FALSE,"CF"}</definedName>
    <definedName name="b" localSheetId="12" hidden="1">{#N/A,#N/A,FALSE,"1.1";#N/A,#N/A,FALSE,"1.1a";#N/A,#N/A,FALSE,"1.1b";#N/A,#N/A,FALSE,"1.1c";#N/A,#N/A,FALSE,"1.1e";#N/A,#N/A,FALSE,"1.1f";#N/A,#N/A,FALSE,"1.1g";#N/A,#N/A,FALSE,"1.1h_D";#N/A,#N/A,FALSE,"1.1h_T";#N/A,#N/A,FALSE,"1.2";#N/A,#N/A,FALSE,"1.3b";#N/A,#N/A,FALSE,"1.3";#N/A,#N/A,FALSE,"1.4";#N/A,#N/A,FALSE,"1.5";#N/A,#N/A,FALSE,"1.6";#N/A,#N/A,FALSE,"SOD";#N/A,#N/A,FALSE,"CF"}</definedName>
    <definedName name="b" localSheetId="43" hidden="1">{#N/A,#N/A,FALSE,"1.1";#N/A,#N/A,FALSE,"1.1a";#N/A,#N/A,FALSE,"1.1b";#N/A,#N/A,FALSE,"1.1c";#N/A,#N/A,FALSE,"1.1e";#N/A,#N/A,FALSE,"1.1f";#N/A,#N/A,FALSE,"1.1g";#N/A,#N/A,FALSE,"1.1h_D";#N/A,#N/A,FALSE,"1.1h_T";#N/A,#N/A,FALSE,"1.2";#N/A,#N/A,FALSE,"1.3b";#N/A,#N/A,FALSE,"1.3";#N/A,#N/A,FALSE,"1.4";#N/A,#N/A,FALSE,"1.5";#N/A,#N/A,FALSE,"1.6";#N/A,#N/A,FALSE,"SOD";#N/A,#N/A,FALSE,"CF"}</definedName>
    <definedName name="b" localSheetId="44" hidden="1">{#N/A,#N/A,FALSE,"1.1";#N/A,#N/A,FALSE,"1.1a";#N/A,#N/A,FALSE,"1.1b";#N/A,#N/A,FALSE,"1.1c";#N/A,#N/A,FALSE,"1.1e";#N/A,#N/A,FALSE,"1.1f";#N/A,#N/A,FALSE,"1.1g";#N/A,#N/A,FALSE,"1.1h_D";#N/A,#N/A,FALSE,"1.1h_T";#N/A,#N/A,FALSE,"1.2";#N/A,#N/A,FALSE,"1.3b";#N/A,#N/A,FALSE,"1.3";#N/A,#N/A,FALSE,"1.4";#N/A,#N/A,FALSE,"1.5";#N/A,#N/A,FALSE,"1.6";#N/A,#N/A,FALSE,"SOD";#N/A,#N/A,FALSE,"CF"}</definedName>
    <definedName name="b" localSheetId="45" hidden="1">{#N/A,#N/A,FALSE,"1.1";#N/A,#N/A,FALSE,"1.1a";#N/A,#N/A,FALSE,"1.1b";#N/A,#N/A,FALSE,"1.1c";#N/A,#N/A,FALSE,"1.1e";#N/A,#N/A,FALSE,"1.1f";#N/A,#N/A,FALSE,"1.1g";#N/A,#N/A,FALSE,"1.1h_D";#N/A,#N/A,FALSE,"1.1h_T";#N/A,#N/A,FALSE,"1.2";#N/A,#N/A,FALSE,"1.3b";#N/A,#N/A,FALSE,"1.3";#N/A,#N/A,FALSE,"1.4";#N/A,#N/A,FALSE,"1.5";#N/A,#N/A,FALSE,"1.6";#N/A,#N/A,FALSE,"SOD";#N/A,#N/A,FALSE,"CF"}</definedName>
    <definedName name="b" localSheetId="46" hidden="1">{#N/A,#N/A,FALSE,"1.1";#N/A,#N/A,FALSE,"1.1a";#N/A,#N/A,FALSE,"1.1b";#N/A,#N/A,FALSE,"1.1c";#N/A,#N/A,FALSE,"1.1e";#N/A,#N/A,FALSE,"1.1f";#N/A,#N/A,FALSE,"1.1g";#N/A,#N/A,FALSE,"1.1h_D";#N/A,#N/A,FALSE,"1.1h_T";#N/A,#N/A,FALSE,"1.2";#N/A,#N/A,FALSE,"1.3b";#N/A,#N/A,FALSE,"1.3";#N/A,#N/A,FALSE,"1.4";#N/A,#N/A,FALSE,"1.5";#N/A,#N/A,FALSE,"1.6";#N/A,#N/A,FALSE,"SOD";#N/A,#N/A,FALSE,"CF"}</definedName>
    <definedName name="b" localSheetId="47" hidden="1">{#N/A,#N/A,FALSE,"1.1";#N/A,#N/A,FALSE,"1.1a";#N/A,#N/A,FALSE,"1.1b";#N/A,#N/A,FALSE,"1.1c";#N/A,#N/A,FALSE,"1.1e";#N/A,#N/A,FALSE,"1.1f";#N/A,#N/A,FALSE,"1.1g";#N/A,#N/A,FALSE,"1.1h_D";#N/A,#N/A,FALSE,"1.1h_T";#N/A,#N/A,FALSE,"1.2";#N/A,#N/A,FALSE,"1.3b";#N/A,#N/A,FALSE,"1.3";#N/A,#N/A,FALSE,"1.4";#N/A,#N/A,FALSE,"1.5";#N/A,#N/A,FALSE,"1.6";#N/A,#N/A,FALSE,"SOD";#N/A,#N/A,FALSE,"CF"}</definedName>
    <definedName name="b" localSheetId="48" hidden="1">{#N/A,#N/A,FALSE,"1.1";#N/A,#N/A,FALSE,"1.1a";#N/A,#N/A,FALSE,"1.1b";#N/A,#N/A,FALSE,"1.1c";#N/A,#N/A,FALSE,"1.1e";#N/A,#N/A,FALSE,"1.1f";#N/A,#N/A,FALSE,"1.1g";#N/A,#N/A,FALSE,"1.1h_D";#N/A,#N/A,FALSE,"1.1h_T";#N/A,#N/A,FALSE,"1.2";#N/A,#N/A,FALSE,"1.3b";#N/A,#N/A,FALSE,"1.3";#N/A,#N/A,FALSE,"1.4";#N/A,#N/A,FALSE,"1.5";#N/A,#N/A,FALSE,"1.6";#N/A,#N/A,FALSE,"SOD";#N/A,#N/A,FALSE,"CF"}</definedName>
    <definedName name="b" localSheetId="50" hidden="1">{#N/A,#N/A,FALSE,"1.1";#N/A,#N/A,FALSE,"1.1a";#N/A,#N/A,FALSE,"1.1b";#N/A,#N/A,FALSE,"1.1c";#N/A,#N/A,FALSE,"1.1e";#N/A,#N/A,FALSE,"1.1f";#N/A,#N/A,FALSE,"1.1g";#N/A,#N/A,FALSE,"1.1h_D";#N/A,#N/A,FALSE,"1.1h_T";#N/A,#N/A,FALSE,"1.2";#N/A,#N/A,FALSE,"1.3b";#N/A,#N/A,FALSE,"1.3";#N/A,#N/A,FALSE,"1.4";#N/A,#N/A,FALSE,"1.5";#N/A,#N/A,FALSE,"1.6";#N/A,#N/A,FALSE,"SOD";#N/A,#N/A,FALSE,"CF"}</definedName>
    <definedName name="b" localSheetId="51" hidden="1">{#N/A,#N/A,FALSE,"1.1";#N/A,#N/A,FALSE,"1.1a";#N/A,#N/A,FALSE,"1.1b";#N/A,#N/A,FALSE,"1.1c";#N/A,#N/A,FALSE,"1.1e";#N/A,#N/A,FALSE,"1.1f";#N/A,#N/A,FALSE,"1.1g";#N/A,#N/A,FALSE,"1.1h_D";#N/A,#N/A,FALSE,"1.1h_T";#N/A,#N/A,FALSE,"1.2";#N/A,#N/A,FALSE,"1.3b";#N/A,#N/A,FALSE,"1.3";#N/A,#N/A,FALSE,"1.4";#N/A,#N/A,FALSE,"1.5";#N/A,#N/A,FALSE,"1.6";#N/A,#N/A,FALSE,"SOD";#N/A,#N/A,FALSE,"CF"}</definedName>
    <definedName name="b" localSheetId="52" hidden="1">{#N/A,#N/A,FALSE,"1.1";#N/A,#N/A,FALSE,"1.1a";#N/A,#N/A,FALSE,"1.1b";#N/A,#N/A,FALSE,"1.1c";#N/A,#N/A,FALSE,"1.1e";#N/A,#N/A,FALSE,"1.1f";#N/A,#N/A,FALSE,"1.1g";#N/A,#N/A,FALSE,"1.1h_D";#N/A,#N/A,FALSE,"1.1h_T";#N/A,#N/A,FALSE,"1.2";#N/A,#N/A,FALSE,"1.3b";#N/A,#N/A,FALSE,"1.3";#N/A,#N/A,FALSE,"1.4";#N/A,#N/A,FALSE,"1.5";#N/A,#N/A,FALSE,"1.6";#N/A,#N/A,FALSE,"SOD";#N/A,#N/A,FALSE,"CF"}</definedName>
    <definedName name="b" localSheetId="53" hidden="1">{#N/A,#N/A,FALSE,"1.1";#N/A,#N/A,FALSE,"1.1a";#N/A,#N/A,FALSE,"1.1b";#N/A,#N/A,FALSE,"1.1c";#N/A,#N/A,FALSE,"1.1e";#N/A,#N/A,FALSE,"1.1f";#N/A,#N/A,FALSE,"1.1g";#N/A,#N/A,FALSE,"1.1h_D";#N/A,#N/A,FALSE,"1.1h_T";#N/A,#N/A,FALSE,"1.2";#N/A,#N/A,FALSE,"1.3b";#N/A,#N/A,FALSE,"1.3";#N/A,#N/A,FALSE,"1.4";#N/A,#N/A,FALSE,"1.5";#N/A,#N/A,FALSE,"1.6";#N/A,#N/A,FALSE,"SOD";#N/A,#N/A,FALSE,"CF"}</definedName>
    <definedName name="b" localSheetId="54" hidden="1">{#N/A,#N/A,FALSE,"1.1";#N/A,#N/A,FALSE,"1.1a";#N/A,#N/A,FALSE,"1.1b";#N/A,#N/A,FALSE,"1.1c";#N/A,#N/A,FALSE,"1.1e";#N/A,#N/A,FALSE,"1.1f";#N/A,#N/A,FALSE,"1.1g";#N/A,#N/A,FALSE,"1.1h_D";#N/A,#N/A,FALSE,"1.1h_T";#N/A,#N/A,FALSE,"1.2";#N/A,#N/A,FALSE,"1.3b";#N/A,#N/A,FALSE,"1.3";#N/A,#N/A,FALSE,"1.4";#N/A,#N/A,FALSE,"1.5";#N/A,#N/A,FALSE,"1.6";#N/A,#N/A,FALSE,"SOD";#N/A,#N/A,FALSE,"CF"}</definedName>
    <definedName name="b" localSheetId="37" hidden="1">{#N/A,#N/A,FALSE,"1.1";#N/A,#N/A,FALSE,"1.1a";#N/A,#N/A,FALSE,"1.1b";#N/A,#N/A,FALSE,"1.1c";#N/A,#N/A,FALSE,"1.1e";#N/A,#N/A,FALSE,"1.1f";#N/A,#N/A,FALSE,"1.1g";#N/A,#N/A,FALSE,"1.1h_D";#N/A,#N/A,FALSE,"1.1h_T";#N/A,#N/A,FALSE,"1.2";#N/A,#N/A,FALSE,"1.3b";#N/A,#N/A,FALSE,"1.3";#N/A,#N/A,FALSE,"1.4";#N/A,#N/A,FALSE,"1.5";#N/A,#N/A,FALSE,"1.6";#N/A,#N/A,FALSE,"SOD";#N/A,#N/A,FALSE,"CF"}</definedName>
    <definedName name="b" localSheetId="38" hidden="1">{#N/A,#N/A,FALSE,"1.1";#N/A,#N/A,FALSE,"1.1a";#N/A,#N/A,FALSE,"1.1b";#N/A,#N/A,FALSE,"1.1c";#N/A,#N/A,FALSE,"1.1e";#N/A,#N/A,FALSE,"1.1f";#N/A,#N/A,FALSE,"1.1g";#N/A,#N/A,FALSE,"1.1h_D";#N/A,#N/A,FALSE,"1.1h_T";#N/A,#N/A,FALSE,"1.2";#N/A,#N/A,FALSE,"1.3b";#N/A,#N/A,FALSE,"1.3";#N/A,#N/A,FALSE,"1.4";#N/A,#N/A,FALSE,"1.5";#N/A,#N/A,FALSE,"1.6";#N/A,#N/A,FALSE,"SOD";#N/A,#N/A,FALSE,"CF"}</definedName>
    <definedName name="b" localSheetId="34" hidden="1">{#N/A,#N/A,FALSE,"1.1";#N/A,#N/A,FALSE,"1.1a";#N/A,#N/A,FALSE,"1.1b";#N/A,#N/A,FALSE,"1.1c";#N/A,#N/A,FALSE,"1.1e";#N/A,#N/A,FALSE,"1.1f";#N/A,#N/A,FALSE,"1.1g";#N/A,#N/A,FALSE,"1.1h_D";#N/A,#N/A,FALSE,"1.1h_T";#N/A,#N/A,FALSE,"1.2";#N/A,#N/A,FALSE,"1.3b";#N/A,#N/A,FALSE,"1.3";#N/A,#N/A,FALSE,"1.4";#N/A,#N/A,FALSE,"1.5";#N/A,#N/A,FALSE,"1.6";#N/A,#N/A,FALSE,"SOD";#N/A,#N/A,FALSE,"CF"}</definedName>
    <definedName name="b" localSheetId="35" hidden="1">{#N/A,#N/A,FALSE,"1.1";#N/A,#N/A,FALSE,"1.1a";#N/A,#N/A,FALSE,"1.1b";#N/A,#N/A,FALSE,"1.1c";#N/A,#N/A,FALSE,"1.1e";#N/A,#N/A,FALSE,"1.1f";#N/A,#N/A,FALSE,"1.1g";#N/A,#N/A,FALSE,"1.1h_D";#N/A,#N/A,FALSE,"1.1h_T";#N/A,#N/A,FALSE,"1.2";#N/A,#N/A,FALSE,"1.3b";#N/A,#N/A,FALSE,"1.3";#N/A,#N/A,FALSE,"1.4";#N/A,#N/A,FALSE,"1.5";#N/A,#N/A,FALSE,"1.6";#N/A,#N/A,FALSE,"SOD";#N/A,#N/A,FALSE,"CF"}</definedName>
    <definedName name="b" localSheetId="36" hidden="1">{#N/A,#N/A,FALSE,"1.1";#N/A,#N/A,FALSE,"1.1a";#N/A,#N/A,FALSE,"1.1b";#N/A,#N/A,FALSE,"1.1c";#N/A,#N/A,FALSE,"1.1e";#N/A,#N/A,FALSE,"1.1f";#N/A,#N/A,FALSE,"1.1g";#N/A,#N/A,FALSE,"1.1h_D";#N/A,#N/A,FALSE,"1.1h_T";#N/A,#N/A,FALSE,"1.2";#N/A,#N/A,FALSE,"1.3b";#N/A,#N/A,FALSE,"1.3";#N/A,#N/A,FALSE,"1.4";#N/A,#N/A,FALSE,"1.5";#N/A,#N/A,FALSE,"1.6";#N/A,#N/A,FALSE,"SOD";#N/A,#N/A,FALSE,"CF"}</definedName>
    <definedName name="b" localSheetId="39" hidden="1">{#N/A,#N/A,FALSE,"1.1";#N/A,#N/A,FALSE,"1.1a";#N/A,#N/A,FALSE,"1.1b";#N/A,#N/A,FALSE,"1.1c";#N/A,#N/A,FALSE,"1.1e";#N/A,#N/A,FALSE,"1.1f";#N/A,#N/A,FALSE,"1.1g";#N/A,#N/A,FALSE,"1.1h_D";#N/A,#N/A,FALSE,"1.1h_T";#N/A,#N/A,FALSE,"1.2";#N/A,#N/A,FALSE,"1.3b";#N/A,#N/A,FALSE,"1.3";#N/A,#N/A,FALSE,"1.4";#N/A,#N/A,FALSE,"1.5";#N/A,#N/A,FALSE,"1.6";#N/A,#N/A,FALSE,"SOD";#N/A,#N/A,FALSE,"CF"}</definedName>
    <definedName name="b" localSheetId="40" hidden="1">{#N/A,#N/A,FALSE,"1.1";#N/A,#N/A,FALSE,"1.1a";#N/A,#N/A,FALSE,"1.1b";#N/A,#N/A,FALSE,"1.1c";#N/A,#N/A,FALSE,"1.1e";#N/A,#N/A,FALSE,"1.1f";#N/A,#N/A,FALSE,"1.1g";#N/A,#N/A,FALSE,"1.1h_D";#N/A,#N/A,FALSE,"1.1h_T";#N/A,#N/A,FALSE,"1.2";#N/A,#N/A,FALSE,"1.3b";#N/A,#N/A,FALSE,"1.3";#N/A,#N/A,FALSE,"1.4";#N/A,#N/A,FALSE,"1.5";#N/A,#N/A,FALSE,"1.6";#N/A,#N/A,FALSE,"SOD";#N/A,#N/A,FALSE,"CF"}</definedName>
    <definedName name="b" localSheetId="69" hidden="1">{#N/A,#N/A,FALSE,"1.1";#N/A,#N/A,FALSE,"1.1a";#N/A,#N/A,FALSE,"1.1b";#N/A,#N/A,FALSE,"1.1c";#N/A,#N/A,FALSE,"1.1e";#N/A,#N/A,FALSE,"1.1f";#N/A,#N/A,FALSE,"1.1g";#N/A,#N/A,FALSE,"1.1h_D";#N/A,#N/A,FALSE,"1.1h_T";#N/A,#N/A,FALSE,"1.2";#N/A,#N/A,FALSE,"1.3b";#N/A,#N/A,FALSE,"1.3";#N/A,#N/A,FALSE,"1.4";#N/A,#N/A,FALSE,"1.5";#N/A,#N/A,FALSE,"1.6";#N/A,#N/A,FALSE,"SOD";#N/A,#N/A,FALSE,"CF"}</definedName>
    <definedName name="b" localSheetId="70" hidden="1">{#N/A,#N/A,FALSE,"1.1";#N/A,#N/A,FALSE,"1.1a";#N/A,#N/A,FALSE,"1.1b";#N/A,#N/A,FALSE,"1.1c";#N/A,#N/A,FALSE,"1.1e";#N/A,#N/A,FALSE,"1.1f";#N/A,#N/A,FALSE,"1.1g";#N/A,#N/A,FALSE,"1.1h_D";#N/A,#N/A,FALSE,"1.1h_T";#N/A,#N/A,FALSE,"1.2";#N/A,#N/A,FALSE,"1.3b";#N/A,#N/A,FALSE,"1.3";#N/A,#N/A,FALSE,"1.4";#N/A,#N/A,FALSE,"1.5";#N/A,#N/A,FALSE,"1.6";#N/A,#N/A,FALSE,"SOD";#N/A,#N/A,FALSE,"CF"}</definedName>
    <definedName name="b" localSheetId="71" hidden="1">{#N/A,#N/A,FALSE,"1.1";#N/A,#N/A,FALSE,"1.1a";#N/A,#N/A,FALSE,"1.1b";#N/A,#N/A,FALSE,"1.1c";#N/A,#N/A,FALSE,"1.1e";#N/A,#N/A,FALSE,"1.1f";#N/A,#N/A,FALSE,"1.1g";#N/A,#N/A,FALSE,"1.1h_D";#N/A,#N/A,FALSE,"1.1h_T";#N/A,#N/A,FALSE,"1.2";#N/A,#N/A,FALSE,"1.3b";#N/A,#N/A,FALSE,"1.3";#N/A,#N/A,FALSE,"1.4";#N/A,#N/A,FALSE,"1.5";#N/A,#N/A,FALSE,"1.6";#N/A,#N/A,FALSE,"SOD";#N/A,#N/A,FALSE,"CF"}</definedName>
    <definedName name="b" localSheetId="72" hidden="1">{#N/A,#N/A,FALSE,"1.1";#N/A,#N/A,FALSE,"1.1a";#N/A,#N/A,FALSE,"1.1b";#N/A,#N/A,FALSE,"1.1c";#N/A,#N/A,FALSE,"1.1e";#N/A,#N/A,FALSE,"1.1f";#N/A,#N/A,FALSE,"1.1g";#N/A,#N/A,FALSE,"1.1h_D";#N/A,#N/A,FALSE,"1.1h_T";#N/A,#N/A,FALSE,"1.2";#N/A,#N/A,FALSE,"1.3b";#N/A,#N/A,FALSE,"1.3";#N/A,#N/A,FALSE,"1.4";#N/A,#N/A,FALSE,"1.5";#N/A,#N/A,FALSE,"1.6";#N/A,#N/A,FALSE,"SOD";#N/A,#N/A,FALSE,"CF"}</definedName>
    <definedName name="b" localSheetId="60" hidden="1">{#N/A,#N/A,FALSE,"1.1";#N/A,#N/A,FALSE,"1.1a";#N/A,#N/A,FALSE,"1.1b";#N/A,#N/A,FALSE,"1.1c";#N/A,#N/A,FALSE,"1.1e";#N/A,#N/A,FALSE,"1.1f";#N/A,#N/A,FALSE,"1.1g";#N/A,#N/A,FALSE,"1.1h_D";#N/A,#N/A,FALSE,"1.1h_T";#N/A,#N/A,FALSE,"1.2";#N/A,#N/A,FALSE,"1.3b";#N/A,#N/A,FALSE,"1.3";#N/A,#N/A,FALSE,"1.4";#N/A,#N/A,FALSE,"1.5";#N/A,#N/A,FALSE,"1.6";#N/A,#N/A,FALSE,"SOD";#N/A,#N/A,FALSE,"CF"}</definedName>
    <definedName name="b" localSheetId="61" hidden="1">{#N/A,#N/A,FALSE,"1.1";#N/A,#N/A,FALSE,"1.1a";#N/A,#N/A,FALSE,"1.1b";#N/A,#N/A,FALSE,"1.1c";#N/A,#N/A,FALSE,"1.1e";#N/A,#N/A,FALSE,"1.1f";#N/A,#N/A,FALSE,"1.1g";#N/A,#N/A,FALSE,"1.1h_D";#N/A,#N/A,FALSE,"1.1h_T";#N/A,#N/A,FALSE,"1.2";#N/A,#N/A,FALSE,"1.3b";#N/A,#N/A,FALSE,"1.3";#N/A,#N/A,FALSE,"1.4";#N/A,#N/A,FALSE,"1.5";#N/A,#N/A,FALSE,"1.6";#N/A,#N/A,FALSE,"SOD";#N/A,#N/A,FALSE,"CF"}</definedName>
    <definedName name="b" localSheetId="62" hidden="1">{#N/A,#N/A,FALSE,"1.1";#N/A,#N/A,FALSE,"1.1a";#N/A,#N/A,FALSE,"1.1b";#N/A,#N/A,FALSE,"1.1c";#N/A,#N/A,FALSE,"1.1e";#N/A,#N/A,FALSE,"1.1f";#N/A,#N/A,FALSE,"1.1g";#N/A,#N/A,FALSE,"1.1h_D";#N/A,#N/A,FALSE,"1.1h_T";#N/A,#N/A,FALSE,"1.2";#N/A,#N/A,FALSE,"1.3b";#N/A,#N/A,FALSE,"1.3";#N/A,#N/A,FALSE,"1.4";#N/A,#N/A,FALSE,"1.5";#N/A,#N/A,FALSE,"1.6";#N/A,#N/A,FALSE,"SOD";#N/A,#N/A,FALSE,"CF"}</definedName>
    <definedName name="b" localSheetId="63" hidden="1">{#N/A,#N/A,FALSE,"1.1";#N/A,#N/A,FALSE,"1.1a";#N/A,#N/A,FALSE,"1.1b";#N/A,#N/A,FALSE,"1.1c";#N/A,#N/A,FALSE,"1.1e";#N/A,#N/A,FALSE,"1.1f";#N/A,#N/A,FALSE,"1.1g";#N/A,#N/A,FALSE,"1.1h_D";#N/A,#N/A,FALSE,"1.1h_T";#N/A,#N/A,FALSE,"1.2";#N/A,#N/A,FALSE,"1.3b";#N/A,#N/A,FALSE,"1.3";#N/A,#N/A,FALSE,"1.4";#N/A,#N/A,FALSE,"1.5";#N/A,#N/A,FALSE,"1.6";#N/A,#N/A,FALSE,"SOD";#N/A,#N/A,FALSE,"CF"}</definedName>
    <definedName name="b" localSheetId="64" hidden="1">{#N/A,#N/A,FALSE,"1.1";#N/A,#N/A,FALSE,"1.1a";#N/A,#N/A,FALSE,"1.1b";#N/A,#N/A,FALSE,"1.1c";#N/A,#N/A,FALSE,"1.1e";#N/A,#N/A,FALSE,"1.1f";#N/A,#N/A,FALSE,"1.1g";#N/A,#N/A,FALSE,"1.1h_D";#N/A,#N/A,FALSE,"1.1h_T";#N/A,#N/A,FALSE,"1.2";#N/A,#N/A,FALSE,"1.3b";#N/A,#N/A,FALSE,"1.3";#N/A,#N/A,FALSE,"1.4";#N/A,#N/A,FALSE,"1.5";#N/A,#N/A,FALSE,"1.6";#N/A,#N/A,FALSE,"SOD";#N/A,#N/A,FALSE,"CF"}</definedName>
    <definedName name="b" localSheetId="66" hidden="1">{#N/A,#N/A,FALSE,"1.1";#N/A,#N/A,FALSE,"1.1a";#N/A,#N/A,FALSE,"1.1b";#N/A,#N/A,FALSE,"1.1c";#N/A,#N/A,FALSE,"1.1e";#N/A,#N/A,FALSE,"1.1f";#N/A,#N/A,FALSE,"1.1g";#N/A,#N/A,FALSE,"1.1h_D";#N/A,#N/A,FALSE,"1.1h_T";#N/A,#N/A,FALSE,"1.2";#N/A,#N/A,FALSE,"1.3b";#N/A,#N/A,FALSE,"1.3";#N/A,#N/A,FALSE,"1.4";#N/A,#N/A,FALSE,"1.5";#N/A,#N/A,FALSE,"1.6";#N/A,#N/A,FALSE,"SOD";#N/A,#N/A,FALSE,"CF"}</definedName>
    <definedName name="b" localSheetId="67" hidden="1">{#N/A,#N/A,FALSE,"1.1";#N/A,#N/A,FALSE,"1.1a";#N/A,#N/A,FALSE,"1.1b";#N/A,#N/A,FALSE,"1.1c";#N/A,#N/A,FALSE,"1.1e";#N/A,#N/A,FALSE,"1.1f";#N/A,#N/A,FALSE,"1.1g";#N/A,#N/A,FALSE,"1.1h_D";#N/A,#N/A,FALSE,"1.1h_T";#N/A,#N/A,FALSE,"1.2";#N/A,#N/A,FALSE,"1.3b";#N/A,#N/A,FALSE,"1.3";#N/A,#N/A,FALSE,"1.4";#N/A,#N/A,FALSE,"1.5";#N/A,#N/A,FALSE,"1.6";#N/A,#N/A,FALSE,"SOD";#N/A,#N/A,FALSE,"CF"}</definedName>
    <definedName name="b" localSheetId="68" hidden="1">{#N/A,#N/A,FALSE,"1.1";#N/A,#N/A,FALSE,"1.1a";#N/A,#N/A,FALSE,"1.1b";#N/A,#N/A,FALSE,"1.1c";#N/A,#N/A,FALSE,"1.1e";#N/A,#N/A,FALSE,"1.1f";#N/A,#N/A,FALSE,"1.1g";#N/A,#N/A,FALSE,"1.1h_D";#N/A,#N/A,FALSE,"1.1h_T";#N/A,#N/A,FALSE,"1.2";#N/A,#N/A,FALSE,"1.3b";#N/A,#N/A,FALSE,"1.3";#N/A,#N/A,FALSE,"1.4";#N/A,#N/A,FALSE,"1.5";#N/A,#N/A,FALSE,"1.6";#N/A,#N/A,FALSE,"SOD";#N/A,#N/A,FALSE,"CF"}</definedName>
    <definedName name="b" localSheetId="74" hidden="1">{#N/A,#N/A,FALSE,"1.1";#N/A,#N/A,FALSE,"1.1a";#N/A,#N/A,FALSE,"1.1b";#N/A,#N/A,FALSE,"1.1c";#N/A,#N/A,FALSE,"1.1e";#N/A,#N/A,FALSE,"1.1f";#N/A,#N/A,FALSE,"1.1g";#N/A,#N/A,FALSE,"1.1h_D";#N/A,#N/A,FALSE,"1.1h_T";#N/A,#N/A,FALSE,"1.2";#N/A,#N/A,FALSE,"1.3b";#N/A,#N/A,FALSE,"1.3";#N/A,#N/A,FALSE,"1.4";#N/A,#N/A,FALSE,"1.5";#N/A,#N/A,FALSE,"1.6";#N/A,#N/A,FALSE,"SOD";#N/A,#N/A,FALSE,"CF"}</definedName>
    <definedName name="b" localSheetId="75" hidden="1">{#N/A,#N/A,FALSE,"1.1";#N/A,#N/A,FALSE,"1.1a";#N/A,#N/A,FALSE,"1.1b";#N/A,#N/A,FALSE,"1.1c";#N/A,#N/A,FALSE,"1.1e";#N/A,#N/A,FALSE,"1.1f";#N/A,#N/A,FALSE,"1.1g";#N/A,#N/A,FALSE,"1.1h_D";#N/A,#N/A,FALSE,"1.1h_T";#N/A,#N/A,FALSE,"1.2";#N/A,#N/A,FALSE,"1.3b";#N/A,#N/A,FALSE,"1.3";#N/A,#N/A,FALSE,"1.4";#N/A,#N/A,FALSE,"1.5";#N/A,#N/A,FALSE,"1.6";#N/A,#N/A,FALSE,"SOD";#N/A,#N/A,FALSE,"CF"}</definedName>
    <definedName name="b" localSheetId="76" hidden="1">{#N/A,#N/A,FALSE,"1.1";#N/A,#N/A,FALSE,"1.1a";#N/A,#N/A,FALSE,"1.1b";#N/A,#N/A,FALSE,"1.1c";#N/A,#N/A,FALSE,"1.1e";#N/A,#N/A,FALSE,"1.1f";#N/A,#N/A,FALSE,"1.1g";#N/A,#N/A,FALSE,"1.1h_D";#N/A,#N/A,FALSE,"1.1h_T";#N/A,#N/A,FALSE,"1.2";#N/A,#N/A,FALSE,"1.3b";#N/A,#N/A,FALSE,"1.3";#N/A,#N/A,FALSE,"1.4";#N/A,#N/A,FALSE,"1.5";#N/A,#N/A,FALSE,"1.6";#N/A,#N/A,FALSE,"SOD";#N/A,#N/A,FALSE,"CF"}</definedName>
    <definedName name="b" localSheetId="77" hidden="1">{#N/A,#N/A,FALSE,"1.1";#N/A,#N/A,FALSE,"1.1a";#N/A,#N/A,FALSE,"1.1b";#N/A,#N/A,FALSE,"1.1c";#N/A,#N/A,FALSE,"1.1e";#N/A,#N/A,FALSE,"1.1f";#N/A,#N/A,FALSE,"1.1g";#N/A,#N/A,FALSE,"1.1h_D";#N/A,#N/A,FALSE,"1.1h_T";#N/A,#N/A,FALSE,"1.2";#N/A,#N/A,FALSE,"1.3b";#N/A,#N/A,FALSE,"1.3";#N/A,#N/A,FALSE,"1.4";#N/A,#N/A,FALSE,"1.5";#N/A,#N/A,FALSE,"1.6";#N/A,#N/A,FALSE,"SOD";#N/A,#N/A,FALSE,"CF"}</definedName>
    <definedName name="b" localSheetId="78" hidden="1">{#N/A,#N/A,FALSE,"1.1";#N/A,#N/A,FALSE,"1.1a";#N/A,#N/A,FALSE,"1.1b";#N/A,#N/A,FALSE,"1.1c";#N/A,#N/A,FALSE,"1.1e";#N/A,#N/A,FALSE,"1.1f";#N/A,#N/A,FALSE,"1.1g";#N/A,#N/A,FALSE,"1.1h_D";#N/A,#N/A,FALSE,"1.1h_T";#N/A,#N/A,FALSE,"1.2";#N/A,#N/A,FALSE,"1.3b";#N/A,#N/A,FALSE,"1.3";#N/A,#N/A,FALSE,"1.4";#N/A,#N/A,FALSE,"1.5";#N/A,#N/A,FALSE,"1.6";#N/A,#N/A,FALSE,"SOD";#N/A,#N/A,FALSE,"CF"}</definedName>
    <definedName name="b" localSheetId="79" hidden="1">{#N/A,#N/A,FALSE,"1.1";#N/A,#N/A,FALSE,"1.1a";#N/A,#N/A,FALSE,"1.1b";#N/A,#N/A,FALSE,"1.1c";#N/A,#N/A,FALSE,"1.1e";#N/A,#N/A,FALSE,"1.1f";#N/A,#N/A,FALSE,"1.1g";#N/A,#N/A,FALSE,"1.1h_D";#N/A,#N/A,FALSE,"1.1h_T";#N/A,#N/A,FALSE,"1.2";#N/A,#N/A,FALSE,"1.3b";#N/A,#N/A,FALSE,"1.3";#N/A,#N/A,FALSE,"1.4";#N/A,#N/A,FALSE,"1.5";#N/A,#N/A,FALSE,"1.6";#N/A,#N/A,FALSE,"SOD";#N/A,#N/A,FALSE,"CF"}</definedName>
    <definedName name="b" hidden="1">{#N/A,#N/A,FALSE,"1.1";#N/A,#N/A,FALSE,"1.1a";#N/A,#N/A,FALSE,"1.1b";#N/A,#N/A,FALSE,"1.1c";#N/A,#N/A,FALSE,"1.1e";#N/A,#N/A,FALSE,"1.1f";#N/A,#N/A,FALSE,"1.1g";#N/A,#N/A,FALSE,"1.1h_D";#N/A,#N/A,FALSE,"1.1h_T";#N/A,#N/A,FALSE,"1.2";#N/A,#N/A,FALSE,"1.3b";#N/A,#N/A,FALSE,"1.3";#N/A,#N/A,FALSE,"1.4";#N/A,#N/A,FALSE,"1.5";#N/A,#N/A,FALSE,"1.6";#N/A,#N/A,FALSE,"SOD";#N/A,#N/A,FALSE,"CF"}</definedName>
    <definedName name="ba" localSheetId="13">'[12]STN WISE EMR'!#REF!</definedName>
    <definedName name="ba" localSheetId="14">'[12]STN WISE EMR'!#REF!</definedName>
    <definedName name="ba" localSheetId="7">'[12]STN WISE EMR'!#REF!</definedName>
    <definedName name="ba" localSheetId="9">'[12]STN WISE EMR'!#REF!</definedName>
    <definedName name="ba" localSheetId="10">'[12]STN WISE EMR'!#REF!</definedName>
    <definedName name="ba" localSheetId="11">'[12]STN WISE EMR'!#REF!</definedName>
    <definedName name="ba" localSheetId="12">'[12]STN WISE EMR'!#REF!</definedName>
    <definedName name="ba" localSheetId="43">'[12]STN WISE EMR'!#REF!</definedName>
    <definedName name="ba" localSheetId="44">'[12]STN WISE EMR'!#REF!</definedName>
    <definedName name="ba" localSheetId="45">'[12]STN WISE EMR'!#REF!</definedName>
    <definedName name="ba" localSheetId="46">'[12]STN WISE EMR'!#REF!</definedName>
    <definedName name="ba" localSheetId="47">'[12]STN WISE EMR'!#REF!</definedName>
    <definedName name="ba" localSheetId="48">'[12]STN WISE EMR'!#REF!</definedName>
    <definedName name="ba" localSheetId="50">'[12]STN WISE EMR'!#REF!</definedName>
    <definedName name="ba" localSheetId="51">'[12]STN WISE EMR'!#REF!</definedName>
    <definedName name="ba" localSheetId="52">'[12]STN WISE EMR'!#REF!</definedName>
    <definedName name="ba" localSheetId="53">'[12]STN WISE EMR'!#REF!</definedName>
    <definedName name="ba" localSheetId="54">'[12]STN WISE EMR'!#REF!</definedName>
    <definedName name="ba" localSheetId="37">'[12]STN WISE EMR'!#REF!</definedName>
    <definedName name="ba" localSheetId="38">'[12]STN WISE EMR'!#REF!</definedName>
    <definedName name="ba" localSheetId="34">'[12]STN WISE EMR'!#REF!</definedName>
    <definedName name="ba" localSheetId="35">'[12]STN WISE EMR'!#REF!</definedName>
    <definedName name="ba" localSheetId="36">'[12]STN WISE EMR'!#REF!</definedName>
    <definedName name="ba" localSheetId="39">'[12]STN WISE EMR'!#REF!</definedName>
    <definedName name="ba" localSheetId="40">'[12]STN WISE EMR'!#REF!</definedName>
    <definedName name="ba" localSheetId="69">'[12]STN WISE EMR'!#REF!</definedName>
    <definedName name="ba" localSheetId="70">'[12]STN WISE EMR'!#REF!</definedName>
    <definedName name="ba" localSheetId="71">'[12]STN WISE EMR'!#REF!</definedName>
    <definedName name="ba" localSheetId="72">'[12]STN WISE EMR'!#REF!</definedName>
    <definedName name="ba" localSheetId="60">'[12]STN WISE EMR'!#REF!</definedName>
    <definedName name="ba" localSheetId="61">'[12]STN WISE EMR'!#REF!</definedName>
    <definedName name="ba" localSheetId="62">'[12]STN WISE EMR'!#REF!</definedName>
    <definedName name="ba" localSheetId="63">'[12]STN WISE EMR'!#REF!</definedName>
    <definedName name="ba" localSheetId="64">'[12]STN WISE EMR'!#REF!</definedName>
    <definedName name="ba" localSheetId="66">'[12]STN WISE EMR'!#REF!</definedName>
    <definedName name="ba" localSheetId="67">'[12]STN WISE EMR'!#REF!</definedName>
    <definedName name="ba" localSheetId="68">'[12]STN WISE EMR'!#REF!</definedName>
    <definedName name="ba" localSheetId="74">'[12]STN WISE EMR'!#REF!</definedName>
    <definedName name="ba" localSheetId="75">'[12]STN WISE EMR'!#REF!</definedName>
    <definedName name="ba" localSheetId="76">'[12]STN WISE EMR'!#REF!</definedName>
    <definedName name="ba" localSheetId="77">'[12]STN WISE EMR'!#REF!</definedName>
    <definedName name="ba" localSheetId="78">'[12]STN WISE EMR'!#REF!</definedName>
    <definedName name="ba" localSheetId="79">'[12]STN WISE EMR'!#REF!</definedName>
    <definedName name="ba">'[12]STN WISE EMR'!#REF!</definedName>
    <definedName name="barwala" localSheetId="13">'[12]STN WISE EMR'!#REF!</definedName>
    <definedName name="barwala" localSheetId="14">'[12]STN WISE EMR'!#REF!</definedName>
    <definedName name="barwala" localSheetId="7">'[12]STN WISE EMR'!#REF!</definedName>
    <definedName name="barwala" localSheetId="9">'[12]STN WISE EMR'!#REF!</definedName>
    <definedName name="barwala" localSheetId="10">'[12]STN WISE EMR'!#REF!</definedName>
    <definedName name="barwala" localSheetId="11">'[12]STN WISE EMR'!#REF!</definedName>
    <definedName name="barwala" localSheetId="12">'[12]STN WISE EMR'!#REF!</definedName>
    <definedName name="barwala" localSheetId="43">'[12]STN WISE EMR'!#REF!</definedName>
    <definedName name="barwala" localSheetId="44">'[12]STN WISE EMR'!#REF!</definedName>
    <definedName name="barwala" localSheetId="45">'[12]STN WISE EMR'!#REF!</definedName>
    <definedName name="barwala" localSheetId="46">'[12]STN WISE EMR'!#REF!</definedName>
    <definedName name="barwala" localSheetId="47">'[12]STN WISE EMR'!#REF!</definedName>
    <definedName name="barwala" localSheetId="48">'[12]STN WISE EMR'!#REF!</definedName>
    <definedName name="barwala" localSheetId="50">'[12]STN WISE EMR'!#REF!</definedName>
    <definedName name="barwala" localSheetId="51">'[12]STN WISE EMR'!#REF!</definedName>
    <definedName name="barwala" localSheetId="52">'[12]STN WISE EMR'!#REF!</definedName>
    <definedName name="barwala" localSheetId="53">'[12]STN WISE EMR'!#REF!</definedName>
    <definedName name="barwala" localSheetId="54">'[12]STN WISE EMR'!#REF!</definedName>
    <definedName name="barwala" localSheetId="37">'[12]STN WISE EMR'!#REF!</definedName>
    <definedName name="barwala" localSheetId="38">'[12]STN WISE EMR'!#REF!</definedName>
    <definedName name="barwala" localSheetId="34">'[12]STN WISE EMR'!#REF!</definedName>
    <definedName name="barwala" localSheetId="35">'[12]STN WISE EMR'!#REF!</definedName>
    <definedName name="barwala" localSheetId="36">'[12]STN WISE EMR'!#REF!</definedName>
    <definedName name="barwala" localSheetId="39">'[12]STN WISE EMR'!#REF!</definedName>
    <definedName name="barwala" localSheetId="40">'[12]STN WISE EMR'!#REF!</definedName>
    <definedName name="barwala" localSheetId="69">'[12]STN WISE EMR'!#REF!</definedName>
    <definedName name="barwala" localSheetId="70">'[12]STN WISE EMR'!#REF!</definedName>
    <definedName name="barwala" localSheetId="71">'[12]STN WISE EMR'!#REF!</definedName>
    <definedName name="barwala" localSheetId="72">'[12]STN WISE EMR'!#REF!</definedName>
    <definedName name="barwala" localSheetId="60">'[12]STN WISE EMR'!#REF!</definedName>
    <definedName name="barwala" localSheetId="61">'[12]STN WISE EMR'!#REF!</definedName>
    <definedName name="barwala" localSheetId="62">'[12]STN WISE EMR'!#REF!</definedName>
    <definedName name="barwala" localSheetId="63">'[12]STN WISE EMR'!#REF!</definedName>
    <definedName name="barwala" localSheetId="64">'[12]STN WISE EMR'!#REF!</definedName>
    <definedName name="barwala" localSheetId="66">'[12]STN WISE EMR'!#REF!</definedName>
    <definedName name="barwala" localSheetId="67">'[12]STN WISE EMR'!#REF!</definedName>
    <definedName name="barwala" localSheetId="68">'[12]STN WISE EMR'!#REF!</definedName>
    <definedName name="barwala" localSheetId="74">'[12]STN WISE EMR'!#REF!</definedName>
    <definedName name="barwala" localSheetId="75">'[12]STN WISE EMR'!#REF!</definedName>
    <definedName name="barwala" localSheetId="76">'[12]STN WISE EMR'!#REF!</definedName>
    <definedName name="barwala" localSheetId="77">'[12]STN WISE EMR'!#REF!</definedName>
    <definedName name="barwala" localSheetId="78">'[12]STN WISE EMR'!#REF!</definedName>
    <definedName name="barwala" localSheetId="79">'[12]STN WISE EMR'!#REF!</definedName>
    <definedName name="barwala">'[12]STN WISE EMR'!#REF!</definedName>
    <definedName name="Barwani">'[13]Format-A (B)'!$C$41</definedName>
    <definedName name="Barwani_Division">[13]Sheet1!$C$102</definedName>
    <definedName name="Barwanicircle">'[13]Format-A'!$C$41</definedName>
    <definedName name="BarwaniDHQ">'[13]Format-A (HQ)'!$C$41</definedName>
    <definedName name="BH" localSheetId="13">'[2]STN WISE EMR'!#REF!</definedName>
    <definedName name="BH" localSheetId="14">'[2]STN WISE EMR'!#REF!</definedName>
    <definedName name="BH" localSheetId="7">'[2]STN WISE EMR'!#REF!</definedName>
    <definedName name="BH" localSheetId="9">'[2]STN WISE EMR'!#REF!</definedName>
    <definedName name="BH" localSheetId="10">'[2]STN WISE EMR'!#REF!</definedName>
    <definedName name="BH" localSheetId="11">'[2]STN WISE EMR'!#REF!</definedName>
    <definedName name="BH" localSheetId="12">'[2]STN WISE EMR'!#REF!</definedName>
    <definedName name="BH" localSheetId="43">'[2]STN WISE EMR'!#REF!</definedName>
    <definedName name="BH" localSheetId="44">'[2]STN WISE EMR'!#REF!</definedName>
    <definedName name="BH" localSheetId="45">'[2]STN WISE EMR'!#REF!</definedName>
    <definedName name="BH" localSheetId="46">'[2]STN WISE EMR'!#REF!</definedName>
    <definedName name="BH" localSheetId="47">'[2]STN WISE EMR'!#REF!</definedName>
    <definedName name="BH" localSheetId="48">'[2]STN WISE EMR'!#REF!</definedName>
    <definedName name="BH" localSheetId="50">'[2]STN WISE EMR'!#REF!</definedName>
    <definedName name="BH" localSheetId="51">'[2]STN WISE EMR'!#REF!</definedName>
    <definedName name="BH" localSheetId="52">'[2]STN WISE EMR'!#REF!</definedName>
    <definedName name="BH" localSheetId="53">'[2]STN WISE EMR'!#REF!</definedName>
    <definedName name="BH" localSheetId="54">'[2]STN WISE EMR'!#REF!</definedName>
    <definedName name="BH" localSheetId="37">'[2]STN WISE EMR'!#REF!</definedName>
    <definedName name="BH" localSheetId="38">'[2]STN WISE EMR'!#REF!</definedName>
    <definedName name="BH" localSheetId="34">'[2]STN WISE EMR'!#REF!</definedName>
    <definedName name="BH" localSheetId="35">'[2]STN WISE EMR'!#REF!</definedName>
    <definedName name="BH" localSheetId="36">'[2]STN WISE EMR'!#REF!</definedName>
    <definedName name="BH" localSheetId="39">'[2]STN WISE EMR'!#REF!</definedName>
    <definedName name="BH" localSheetId="40">'[2]STN WISE EMR'!#REF!</definedName>
    <definedName name="BH" localSheetId="69">'[2]STN WISE EMR'!#REF!</definedName>
    <definedName name="BH" localSheetId="70">'[2]STN WISE EMR'!#REF!</definedName>
    <definedName name="BH" localSheetId="71">'[2]STN WISE EMR'!#REF!</definedName>
    <definedName name="BH" localSheetId="72">'[2]STN WISE EMR'!#REF!</definedName>
    <definedName name="BH" localSheetId="60">'[2]STN WISE EMR'!#REF!</definedName>
    <definedName name="BH" localSheetId="61">'[2]STN WISE EMR'!#REF!</definedName>
    <definedName name="BH" localSheetId="62">'[2]STN WISE EMR'!#REF!</definedName>
    <definedName name="BH" localSheetId="63">'[2]STN WISE EMR'!#REF!</definedName>
    <definedName name="BH" localSheetId="64">'[2]STN WISE EMR'!#REF!</definedName>
    <definedName name="BH" localSheetId="66">'[2]STN WISE EMR'!#REF!</definedName>
    <definedName name="BH" localSheetId="67">'[2]STN WISE EMR'!#REF!</definedName>
    <definedName name="BH" localSheetId="68">'[2]STN WISE EMR'!#REF!</definedName>
    <definedName name="BH" localSheetId="74">'[2]STN WISE EMR'!#REF!</definedName>
    <definedName name="BH" localSheetId="75">'[2]STN WISE EMR'!#REF!</definedName>
    <definedName name="BH" localSheetId="76">'[2]STN WISE EMR'!#REF!</definedName>
    <definedName name="BH" localSheetId="77">'[2]STN WISE EMR'!#REF!</definedName>
    <definedName name="BH" localSheetId="78">'[2]STN WISE EMR'!#REF!</definedName>
    <definedName name="BH" localSheetId="79">'[2]STN WISE EMR'!#REF!</definedName>
    <definedName name="BH">'[2]STN WISE EMR'!#REF!</definedName>
    <definedName name="BRH" localSheetId="13">'[2]STN WISE EMR'!#REF!</definedName>
    <definedName name="BRH" localSheetId="14">'[2]STN WISE EMR'!#REF!</definedName>
    <definedName name="BRH" localSheetId="7">'[2]STN WISE EMR'!#REF!</definedName>
    <definedName name="BRH" localSheetId="9">'[2]STN WISE EMR'!#REF!</definedName>
    <definedName name="BRH" localSheetId="10">'[2]STN WISE EMR'!#REF!</definedName>
    <definedName name="BRH" localSheetId="11">'[2]STN WISE EMR'!#REF!</definedName>
    <definedName name="BRH" localSheetId="12">'[2]STN WISE EMR'!#REF!</definedName>
    <definedName name="BRH" localSheetId="43">'[2]STN WISE EMR'!#REF!</definedName>
    <definedName name="BRH" localSheetId="44">'[2]STN WISE EMR'!#REF!</definedName>
    <definedName name="BRH" localSheetId="45">'[2]STN WISE EMR'!#REF!</definedName>
    <definedName name="BRH" localSheetId="46">'[2]STN WISE EMR'!#REF!</definedName>
    <definedName name="BRH" localSheetId="47">'[2]STN WISE EMR'!#REF!</definedName>
    <definedName name="BRH" localSheetId="48">'[2]STN WISE EMR'!#REF!</definedName>
    <definedName name="BRH" localSheetId="50">'[2]STN WISE EMR'!#REF!</definedName>
    <definedName name="BRH" localSheetId="51">'[2]STN WISE EMR'!#REF!</definedName>
    <definedName name="BRH" localSheetId="52">'[2]STN WISE EMR'!#REF!</definedName>
    <definedName name="BRH" localSheetId="53">'[2]STN WISE EMR'!#REF!</definedName>
    <definedName name="BRH" localSheetId="54">'[2]STN WISE EMR'!#REF!</definedName>
    <definedName name="BRH" localSheetId="37">'[2]STN WISE EMR'!#REF!</definedName>
    <definedName name="BRH" localSheetId="38">'[2]STN WISE EMR'!#REF!</definedName>
    <definedName name="BRH" localSheetId="34">'[2]STN WISE EMR'!#REF!</definedName>
    <definedName name="BRH" localSheetId="35">'[2]STN WISE EMR'!#REF!</definedName>
    <definedName name="BRH" localSheetId="36">'[2]STN WISE EMR'!#REF!</definedName>
    <definedName name="BRH" localSheetId="39">'[2]STN WISE EMR'!#REF!</definedName>
    <definedName name="BRH" localSheetId="40">'[2]STN WISE EMR'!#REF!</definedName>
    <definedName name="BRH" localSheetId="69">'[2]STN WISE EMR'!#REF!</definedName>
    <definedName name="BRH" localSheetId="70">'[2]STN WISE EMR'!#REF!</definedName>
    <definedName name="BRH" localSheetId="71">'[2]STN WISE EMR'!#REF!</definedName>
    <definedName name="BRH" localSheetId="72">'[2]STN WISE EMR'!#REF!</definedName>
    <definedName name="BRH" localSheetId="60">'[2]STN WISE EMR'!#REF!</definedName>
    <definedName name="BRH" localSheetId="61">'[2]STN WISE EMR'!#REF!</definedName>
    <definedName name="BRH" localSheetId="62">'[2]STN WISE EMR'!#REF!</definedName>
    <definedName name="BRH" localSheetId="63">'[2]STN WISE EMR'!#REF!</definedName>
    <definedName name="BRH" localSheetId="64">'[2]STN WISE EMR'!#REF!</definedName>
    <definedName name="BRH" localSheetId="66">'[2]STN WISE EMR'!#REF!</definedName>
    <definedName name="BRH" localSheetId="67">'[2]STN WISE EMR'!#REF!</definedName>
    <definedName name="BRH" localSheetId="68">'[2]STN WISE EMR'!#REF!</definedName>
    <definedName name="BRH" localSheetId="74">'[2]STN WISE EMR'!#REF!</definedName>
    <definedName name="BRH" localSheetId="75">'[2]STN WISE EMR'!#REF!</definedName>
    <definedName name="BRH" localSheetId="76">'[2]STN WISE EMR'!#REF!</definedName>
    <definedName name="BRH" localSheetId="77">'[2]STN WISE EMR'!#REF!</definedName>
    <definedName name="BRH" localSheetId="78">'[2]STN WISE EMR'!#REF!</definedName>
    <definedName name="BRH" localSheetId="79">'[2]STN WISE EMR'!#REF!</definedName>
    <definedName name="BRH">'[2]STN WISE EMR'!#REF!</definedName>
    <definedName name="BUS" localSheetId="13">#REF!</definedName>
    <definedName name="BUS" localSheetId="14">#REF!</definedName>
    <definedName name="BUS" localSheetId="7">#REF!</definedName>
    <definedName name="BUS" localSheetId="9">#REF!</definedName>
    <definedName name="BUS" localSheetId="10">#REF!</definedName>
    <definedName name="BUS" localSheetId="11">#REF!</definedName>
    <definedName name="BUS" localSheetId="12">#REF!</definedName>
    <definedName name="BUS" localSheetId="43">#REF!</definedName>
    <definedName name="BUS" localSheetId="44">#REF!</definedName>
    <definedName name="BUS" localSheetId="45">#REF!</definedName>
    <definedName name="BUS" localSheetId="46">#REF!</definedName>
    <definedName name="BUS" localSheetId="47">#REF!</definedName>
    <definedName name="BUS" localSheetId="48">#REF!</definedName>
    <definedName name="BUS" localSheetId="50">#REF!</definedName>
    <definedName name="BUS" localSheetId="51">#REF!</definedName>
    <definedName name="BUS" localSheetId="52">#REF!</definedName>
    <definedName name="BUS" localSheetId="53">#REF!</definedName>
    <definedName name="BUS" localSheetId="54">#REF!</definedName>
    <definedName name="BUS" localSheetId="37">#REF!</definedName>
    <definedName name="BUS" localSheetId="38">#REF!</definedName>
    <definedName name="BUS" localSheetId="34">#REF!</definedName>
    <definedName name="BUS" localSheetId="35">#REF!</definedName>
    <definedName name="BUS" localSheetId="36">#REF!</definedName>
    <definedName name="BUS" localSheetId="39">#REF!</definedName>
    <definedName name="BUS" localSheetId="40">#REF!</definedName>
    <definedName name="BUS" localSheetId="69">#REF!</definedName>
    <definedName name="BUS" localSheetId="70">#REF!</definedName>
    <definedName name="BUS" localSheetId="71">#REF!</definedName>
    <definedName name="BUS" localSheetId="72">#REF!</definedName>
    <definedName name="BUS" localSheetId="60">#REF!</definedName>
    <definedName name="BUS" localSheetId="61">#REF!</definedName>
    <definedName name="BUS" localSheetId="62">#REF!</definedName>
    <definedName name="BUS" localSheetId="63">#REF!</definedName>
    <definedName name="BUS" localSheetId="64">#REF!</definedName>
    <definedName name="BUS" localSheetId="66">#REF!</definedName>
    <definedName name="BUS" localSheetId="67">#REF!</definedName>
    <definedName name="BUS" localSheetId="68">#REF!</definedName>
    <definedName name="BUS" localSheetId="74">#REF!</definedName>
    <definedName name="BUS" localSheetId="75">#REF!</definedName>
    <definedName name="BUS" localSheetId="76">#REF!</definedName>
    <definedName name="BUS" localSheetId="77">#REF!</definedName>
    <definedName name="BUS" localSheetId="78">#REF!</definedName>
    <definedName name="BUS" localSheetId="79">#REF!</definedName>
    <definedName name="BUS">#REF!</definedName>
    <definedName name="Cap_add_and_loss_assumptions" localSheetId="13">#REF!</definedName>
    <definedName name="Cap_add_and_loss_assumptions" localSheetId="14">#REF!</definedName>
    <definedName name="Cap_add_and_loss_assumptions" localSheetId="7">#REF!</definedName>
    <definedName name="Cap_add_and_loss_assumptions" localSheetId="9">#REF!</definedName>
    <definedName name="Cap_add_and_loss_assumptions" localSheetId="10">#REF!</definedName>
    <definedName name="Cap_add_and_loss_assumptions" localSheetId="11">#REF!</definedName>
    <definedName name="Cap_add_and_loss_assumptions" localSheetId="12">#REF!</definedName>
    <definedName name="Cap_add_and_loss_assumptions" localSheetId="43">#REF!</definedName>
    <definedName name="Cap_add_and_loss_assumptions" localSheetId="44">#REF!</definedName>
    <definedName name="Cap_add_and_loss_assumptions" localSheetId="45">#REF!</definedName>
    <definedName name="Cap_add_and_loss_assumptions" localSheetId="46">#REF!</definedName>
    <definedName name="Cap_add_and_loss_assumptions" localSheetId="47">#REF!</definedName>
    <definedName name="Cap_add_and_loss_assumptions" localSheetId="48">#REF!</definedName>
    <definedName name="Cap_add_and_loss_assumptions" localSheetId="50">#REF!</definedName>
    <definedName name="Cap_add_and_loss_assumptions" localSheetId="51">#REF!</definedName>
    <definedName name="Cap_add_and_loss_assumptions" localSheetId="52">#REF!</definedName>
    <definedName name="Cap_add_and_loss_assumptions" localSheetId="53">#REF!</definedName>
    <definedName name="Cap_add_and_loss_assumptions" localSheetId="54">#REF!</definedName>
    <definedName name="Cap_add_and_loss_assumptions" localSheetId="37">#REF!</definedName>
    <definedName name="Cap_add_and_loss_assumptions" localSheetId="38">#REF!</definedName>
    <definedName name="Cap_add_and_loss_assumptions" localSheetId="34">#REF!</definedName>
    <definedName name="Cap_add_and_loss_assumptions" localSheetId="35">#REF!</definedName>
    <definedName name="Cap_add_and_loss_assumptions" localSheetId="36">#REF!</definedName>
    <definedName name="Cap_add_and_loss_assumptions" localSheetId="39">#REF!</definedName>
    <definedName name="Cap_add_and_loss_assumptions" localSheetId="40">#REF!</definedName>
    <definedName name="Cap_add_and_loss_assumptions" localSheetId="69">#REF!</definedName>
    <definedName name="Cap_add_and_loss_assumptions" localSheetId="70">#REF!</definedName>
    <definedName name="Cap_add_and_loss_assumptions" localSheetId="71">#REF!</definedName>
    <definedName name="Cap_add_and_loss_assumptions" localSheetId="72">#REF!</definedName>
    <definedName name="Cap_add_and_loss_assumptions" localSheetId="60">#REF!</definedName>
    <definedName name="Cap_add_and_loss_assumptions" localSheetId="61">#REF!</definedName>
    <definedName name="Cap_add_and_loss_assumptions" localSheetId="62">#REF!</definedName>
    <definedName name="Cap_add_and_loss_assumptions" localSheetId="63">#REF!</definedName>
    <definedName name="Cap_add_and_loss_assumptions" localSheetId="64">#REF!</definedName>
    <definedName name="Cap_add_and_loss_assumptions" localSheetId="66">#REF!</definedName>
    <definedName name="Cap_add_and_loss_assumptions" localSheetId="67">#REF!</definedName>
    <definedName name="Cap_add_and_loss_assumptions" localSheetId="68">#REF!</definedName>
    <definedName name="Cap_add_and_loss_assumptions" localSheetId="74">#REF!</definedName>
    <definedName name="Cap_add_and_loss_assumptions" localSheetId="75">#REF!</definedName>
    <definedName name="Cap_add_and_loss_assumptions" localSheetId="76">#REF!</definedName>
    <definedName name="Cap_add_and_loss_assumptions" localSheetId="77">#REF!</definedName>
    <definedName name="Cap_add_and_loss_assumptions" localSheetId="78">#REF!</definedName>
    <definedName name="Cap_add_and_loss_assumptions" localSheetId="79">#REF!</definedName>
    <definedName name="Cap_add_and_loss_assumptions">#REF!</definedName>
    <definedName name="cc" localSheetId="13" hidden="1">{#N/A,#N/A,FALSE,"1.1";#N/A,#N/A,FALSE,"1.1a";#N/A,#N/A,FALSE,"1.1b";#N/A,#N/A,FALSE,"1.1c";#N/A,#N/A,FALSE,"1.1e";#N/A,#N/A,FALSE,"1.1f";#N/A,#N/A,FALSE,"1.1g";#N/A,#N/A,FALSE,"1.1h_D";#N/A,#N/A,FALSE,"1.1h_T";#N/A,#N/A,FALSE,"1.2";#N/A,#N/A,FALSE,"1.3b";#N/A,#N/A,FALSE,"1.3";#N/A,#N/A,FALSE,"1.4";#N/A,#N/A,FALSE,"1.5";#N/A,#N/A,FALSE,"1.6";#N/A,#N/A,FALSE,"SOD";#N/A,#N/A,FALSE,"CF"}</definedName>
    <definedName name="cc" localSheetId="14" hidden="1">{#N/A,#N/A,FALSE,"1.1";#N/A,#N/A,FALSE,"1.1a";#N/A,#N/A,FALSE,"1.1b";#N/A,#N/A,FALSE,"1.1c";#N/A,#N/A,FALSE,"1.1e";#N/A,#N/A,FALSE,"1.1f";#N/A,#N/A,FALSE,"1.1g";#N/A,#N/A,FALSE,"1.1h_D";#N/A,#N/A,FALSE,"1.1h_T";#N/A,#N/A,FALSE,"1.2";#N/A,#N/A,FALSE,"1.3b";#N/A,#N/A,FALSE,"1.3";#N/A,#N/A,FALSE,"1.4";#N/A,#N/A,FALSE,"1.5";#N/A,#N/A,FALSE,"1.6";#N/A,#N/A,FALSE,"SOD";#N/A,#N/A,FALSE,"CF"}</definedName>
    <definedName name="cc" localSheetId="7" hidden="1">{#N/A,#N/A,FALSE,"1.1";#N/A,#N/A,FALSE,"1.1a";#N/A,#N/A,FALSE,"1.1b";#N/A,#N/A,FALSE,"1.1c";#N/A,#N/A,FALSE,"1.1e";#N/A,#N/A,FALSE,"1.1f";#N/A,#N/A,FALSE,"1.1g";#N/A,#N/A,FALSE,"1.1h_D";#N/A,#N/A,FALSE,"1.1h_T";#N/A,#N/A,FALSE,"1.2";#N/A,#N/A,FALSE,"1.3b";#N/A,#N/A,FALSE,"1.3";#N/A,#N/A,FALSE,"1.4";#N/A,#N/A,FALSE,"1.5";#N/A,#N/A,FALSE,"1.6";#N/A,#N/A,FALSE,"SOD";#N/A,#N/A,FALSE,"CF"}</definedName>
    <definedName name="cc" localSheetId="9" hidden="1">{#N/A,#N/A,FALSE,"1.1";#N/A,#N/A,FALSE,"1.1a";#N/A,#N/A,FALSE,"1.1b";#N/A,#N/A,FALSE,"1.1c";#N/A,#N/A,FALSE,"1.1e";#N/A,#N/A,FALSE,"1.1f";#N/A,#N/A,FALSE,"1.1g";#N/A,#N/A,FALSE,"1.1h_D";#N/A,#N/A,FALSE,"1.1h_T";#N/A,#N/A,FALSE,"1.2";#N/A,#N/A,FALSE,"1.3b";#N/A,#N/A,FALSE,"1.3";#N/A,#N/A,FALSE,"1.4";#N/A,#N/A,FALSE,"1.5";#N/A,#N/A,FALSE,"1.6";#N/A,#N/A,FALSE,"SOD";#N/A,#N/A,FALSE,"CF"}</definedName>
    <definedName name="cc" localSheetId="10" hidden="1">{#N/A,#N/A,FALSE,"1.1";#N/A,#N/A,FALSE,"1.1a";#N/A,#N/A,FALSE,"1.1b";#N/A,#N/A,FALSE,"1.1c";#N/A,#N/A,FALSE,"1.1e";#N/A,#N/A,FALSE,"1.1f";#N/A,#N/A,FALSE,"1.1g";#N/A,#N/A,FALSE,"1.1h_D";#N/A,#N/A,FALSE,"1.1h_T";#N/A,#N/A,FALSE,"1.2";#N/A,#N/A,FALSE,"1.3b";#N/A,#N/A,FALSE,"1.3";#N/A,#N/A,FALSE,"1.4";#N/A,#N/A,FALSE,"1.5";#N/A,#N/A,FALSE,"1.6";#N/A,#N/A,FALSE,"SOD";#N/A,#N/A,FALSE,"CF"}</definedName>
    <definedName name="cc" localSheetId="11" hidden="1">{#N/A,#N/A,FALSE,"1.1";#N/A,#N/A,FALSE,"1.1a";#N/A,#N/A,FALSE,"1.1b";#N/A,#N/A,FALSE,"1.1c";#N/A,#N/A,FALSE,"1.1e";#N/A,#N/A,FALSE,"1.1f";#N/A,#N/A,FALSE,"1.1g";#N/A,#N/A,FALSE,"1.1h_D";#N/A,#N/A,FALSE,"1.1h_T";#N/A,#N/A,FALSE,"1.2";#N/A,#N/A,FALSE,"1.3b";#N/A,#N/A,FALSE,"1.3";#N/A,#N/A,FALSE,"1.4";#N/A,#N/A,FALSE,"1.5";#N/A,#N/A,FALSE,"1.6";#N/A,#N/A,FALSE,"SOD";#N/A,#N/A,FALSE,"CF"}</definedName>
    <definedName name="cc" localSheetId="12" hidden="1">{#N/A,#N/A,FALSE,"1.1";#N/A,#N/A,FALSE,"1.1a";#N/A,#N/A,FALSE,"1.1b";#N/A,#N/A,FALSE,"1.1c";#N/A,#N/A,FALSE,"1.1e";#N/A,#N/A,FALSE,"1.1f";#N/A,#N/A,FALSE,"1.1g";#N/A,#N/A,FALSE,"1.1h_D";#N/A,#N/A,FALSE,"1.1h_T";#N/A,#N/A,FALSE,"1.2";#N/A,#N/A,FALSE,"1.3b";#N/A,#N/A,FALSE,"1.3";#N/A,#N/A,FALSE,"1.4";#N/A,#N/A,FALSE,"1.5";#N/A,#N/A,FALSE,"1.6";#N/A,#N/A,FALSE,"SOD";#N/A,#N/A,FALSE,"CF"}</definedName>
    <definedName name="cc" localSheetId="43" hidden="1">{#N/A,#N/A,FALSE,"1.1";#N/A,#N/A,FALSE,"1.1a";#N/A,#N/A,FALSE,"1.1b";#N/A,#N/A,FALSE,"1.1c";#N/A,#N/A,FALSE,"1.1e";#N/A,#N/A,FALSE,"1.1f";#N/A,#N/A,FALSE,"1.1g";#N/A,#N/A,FALSE,"1.1h_D";#N/A,#N/A,FALSE,"1.1h_T";#N/A,#N/A,FALSE,"1.2";#N/A,#N/A,FALSE,"1.3b";#N/A,#N/A,FALSE,"1.3";#N/A,#N/A,FALSE,"1.4";#N/A,#N/A,FALSE,"1.5";#N/A,#N/A,FALSE,"1.6";#N/A,#N/A,FALSE,"SOD";#N/A,#N/A,FALSE,"CF"}</definedName>
    <definedName name="cc" localSheetId="44" hidden="1">{#N/A,#N/A,FALSE,"1.1";#N/A,#N/A,FALSE,"1.1a";#N/A,#N/A,FALSE,"1.1b";#N/A,#N/A,FALSE,"1.1c";#N/A,#N/A,FALSE,"1.1e";#N/A,#N/A,FALSE,"1.1f";#N/A,#N/A,FALSE,"1.1g";#N/A,#N/A,FALSE,"1.1h_D";#N/A,#N/A,FALSE,"1.1h_T";#N/A,#N/A,FALSE,"1.2";#N/A,#N/A,FALSE,"1.3b";#N/A,#N/A,FALSE,"1.3";#N/A,#N/A,FALSE,"1.4";#N/A,#N/A,FALSE,"1.5";#N/A,#N/A,FALSE,"1.6";#N/A,#N/A,FALSE,"SOD";#N/A,#N/A,FALSE,"CF"}</definedName>
    <definedName name="cc" localSheetId="45" hidden="1">{#N/A,#N/A,FALSE,"1.1";#N/A,#N/A,FALSE,"1.1a";#N/A,#N/A,FALSE,"1.1b";#N/A,#N/A,FALSE,"1.1c";#N/A,#N/A,FALSE,"1.1e";#N/A,#N/A,FALSE,"1.1f";#N/A,#N/A,FALSE,"1.1g";#N/A,#N/A,FALSE,"1.1h_D";#N/A,#N/A,FALSE,"1.1h_T";#N/A,#N/A,FALSE,"1.2";#N/A,#N/A,FALSE,"1.3b";#N/A,#N/A,FALSE,"1.3";#N/A,#N/A,FALSE,"1.4";#N/A,#N/A,FALSE,"1.5";#N/A,#N/A,FALSE,"1.6";#N/A,#N/A,FALSE,"SOD";#N/A,#N/A,FALSE,"CF"}</definedName>
    <definedName name="cc" localSheetId="46" hidden="1">{#N/A,#N/A,FALSE,"1.1";#N/A,#N/A,FALSE,"1.1a";#N/A,#N/A,FALSE,"1.1b";#N/A,#N/A,FALSE,"1.1c";#N/A,#N/A,FALSE,"1.1e";#N/A,#N/A,FALSE,"1.1f";#N/A,#N/A,FALSE,"1.1g";#N/A,#N/A,FALSE,"1.1h_D";#N/A,#N/A,FALSE,"1.1h_T";#N/A,#N/A,FALSE,"1.2";#N/A,#N/A,FALSE,"1.3b";#N/A,#N/A,FALSE,"1.3";#N/A,#N/A,FALSE,"1.4";#N/A,#N/A,FALSE,"1.5";#N/A,#N/A,FALSE,"1.6";#N/A,#N/A,FALSE,"SOD";#N/A,#N/A,FALSE,"CF"}</definedName>
    <definedName name="cc" localSheetId="47" hidden="1">{#N/A,#N/A,FALSE,"1.1";#N/A,#N/A,FALSE,"1.1a";#N/A,#N/A,FALSE,"1.1b";#N/A,#N/A,FALSE,"1.1c";#N/A,#N/A,FALSE,"1.1e";#N/A,#N/A,FALSE,"1.1f";#N/A,#N/A,FALSE,"1.1g";#N/A,#N/A,FALSE,"1.1h_D";#N/A,#N/A,FALSE,"1.1h_T";#N/A,#N/A,FALSE,"1.2";#N/A,#N/A,FALSE,"1.3b";#N/A,#N/A,FALSE,"1.3";#N/A,#N/A,FALSE,"1.4";#N/A,#N/A,FALSE,"1.5";#N/A,#N/A,FALSE,"1.6";#N/A,#N/A,FALSE,"SOD";#N/A,#N/A,FALSE,"CF"}</definedName>
    <definedName name="cc" localSheetId="48" hidden="1">{#N/A,#N/A,FALSE,"1.1";#N/A,#N/A,FALSE,"1.1a";#N/A,#N/A,FALSE,"1.1b";#N/A,#N/A,FALSE,"1.1c";#N/A,#N/A,FALSE,"1.1e";#N/A,#N/A,FALSE,"1.1f";#N/A,#N/A,FALSE,"1.1g";#N/A,#N/A,FALSE,"1.1h_D";#N/A,#N/A,FALSE,"1.1h_T";#N/A,#N/A,FALSE,"1.2";#N/A,#N/A,FALSE,"1.3b";#N/A,#N/A,FALSE,"1.3";#N/A,#N/A,FALSE,"1.4";#N/A,#N/A,FALSE,"1.5";#N/A,#N/A,FALSE,"1.6";#N/A,#N/A,FALSE,"SOD";#N/A,#N/A,FALSE,"CF"}</definedName>
    <definedName name="cc" localSheetId="50" hidden="1">{#N/A,#N/A,FALSE,"1.1";#N/A,#N/A,FALSE,"1.1a";#N/A,#N/A,FALSE,"1.1b";#N/A,#N/A,FALSE,"1.1c";#N/A,#N/A,FALSE,"1.1e";#N/A,#N/A,FALSE,"1.1f";#N/A,#N/A,FALSE,"1.1g";#N/A,#N/A,FALSE,"1.1h_D";#N/A,#N/A,FALSE,"1.1h_T";#N/A,#N/A,FALSE,"1.2";#N/A,#N/A,FALSE,"1.3b";#N/A,#N/A,FALSE,"1.3";#N/A,#N/A,FALSE,"1.4";#N/A,#N/A,FALSE,"1.5";#N/A,#N/A,FALSE,"1.6";#N/A,#N/A,FALSE,"SOD";#N/A,#N/A,FALSE,"CF"}</definedName>
    <definedName name="cc" localSheetId="51" hidden="1">{#N/A,#N/A,FALSE,"1.1";#N/A,#N/A,FALSE,"1.1a";#N/A,#N/A,FALSE,"1.1b";#N/A,#N/A,FALSE,"1.1c";#N/A,#N/A,FALSE,"1.1e";#N/A,#N/A,FALSE,"1.1f";#N/A,#N/A,FALSE,"1.1g";#N/A,#N/A,FALSE,"1.1h_D";#N/A,#N/A,FALSE,"1.1h_T";#N/A,#N/A,FALSE,"1.2";#N/A,#N/A,FALSE,"1.3b";#N/A,#N/A,FALSE,"1.3";#N/A,#N/A,FALSE,"1.4";#N/A,#N/A,FALSE,"1.5";#N/A,#N/A,FALSE,"1.6";#N/A,#N/A,FALSE,"SOD";#N/A,#N/A,FALSE,"CF"}</definedName>
    <definedName name="cc" localSheetId="52" hidden="1">{#N/A,#N/A,FALSE,"1.1";#N/A,#N/A,FALSE,"1.1a";#N/A,#N/A,FALSE,"1.1b";#N/A,#N/A,FALSE,"1.1c";#N/A,#N/A,FALSE,"1.1e";#N/A,#N/A,FALSE,"1.1f";#N/A,#N/A,FALSE,"1.1g";#N/A,#N/A,FALSE,"1.1h_D";#N/A,#N/A,FALSE,"1.1h_T";#N/A,#N/A,FALSE,"1.2";#N/A,#N/A,FALSE,"1.3b";#N/A,#N/A,FALSE,"1.3";#N/A,#N/A,FALSE,"1.4";#N/A,#N/A,FALSE,"1.5";#N/A,#N/A,FALSE,"1.6";#N/A,#N/A,FALSE,"SOD";#N/A,#N/A,FALSE,"CF"}</definedName>
    <definedName name="cc" localSheetId="53" hidden="1">{#N/A,#N/A,FALSE,"1.1";#N/A,#N/A,FALSE,"1.1a";#N/A,#N/A,FALSE,"1.1b";#N/A,#N/A,FALSE,"1.1c";#N/A,#N/A,FALSE,"1.1e";#N/A,#N/A,FALSE,"1.1f";#N/A,#N/A,FALSE,"1.1g";#N/A,#N/A,FALSE,"1.1h_D";#N/A,#N/A,FALSE,"1.1h_T";#N/A,#N/A,FALSE,"1.2";#N/A,#N/A,FALSE,"1.3b";#N/A,#N/A,FALSE,"1.3";#N/A,#N/A,FALSE,"1.4";#N/A,#N/A,FALSE,"1.5";#N/A,#N/A,FALSE,"1.6";#N/A,#N/A,FALSE,"SOD";#N/A,#N/A,FALSE,"CF"}</definedName>
    <definedName name="cc" localSheetId="54" hidden="1">{#N/A,#N/A,FALSE,"1.1";#N/A,#N/A,FALSE,"1.1a";#N/A,#N/A,FALSE,"1.1b";#N/A,#N/A,FALSE,"1.1c";#N/A,#N/A,FALSE,"1.1e";#N/A,#N/A,FALSE,"1.1f";#N/A,#N/A,FALSE,"1.1g";#N/A,#N/A,FALSE,"1.1h_D";#N/A,#N/A,FALSE,"1.1h_T";#N/A,#N/A,FALSE,"1.2";#N/A,#N/A,FALSE,"1.3b";#N/A,#N/A,FALSE,"1.3";#N/A,#N/A,FALSE,"1.4";#N/A,#N/A,FALSE,"1.5";#N/A,#N/A,FALSE,"1.6";#N/A,#N/A,FALSE,"SOD";#N/A,#N/A,FALSE,"CF"}</definedName>
    <definedName name="cc" localSheetId="37" hidden="1">{#N/A,#N/A,FALSE,"1.1";#N/A,#N/A,FALSE,"1.1a";#N/A,#N/A,FALSE,"1.1b";#N/A,#N/A,FALSE,"1.1c";#N/A,#N/A,FALSE,"1.1e";#N/A,#N/A,FALSE,"1.1f";#N/A,#N/A,FALSE,"1.1g";#N/A,#N/A,FALSE,"1.1h_D";#N/A,#N/A,FALSE,"1.1h_T";#N/A,#N/A,FALSE,"1.2";#N/A,#N/A,FALSE,"1.3b";#N/A,#N/A,FALSE,"1.3";#N/A,#N/A,FALSE,"1.4";#N/A,#N/A,FALSE,"1.5";#N/A,#N/A,FALSE,"1.6";#N/A,#N/A,FALSE,"SOD";#N/A,#N/A,FALSE,"CF"}</definedName>
    <definedName name="cc" localSheetId="38" hidden="1">{#N/A,#N/A,FALSE,"1.1";#N/A,#N/A,FALSE,"1.1a";#N/A,#N/A,FALSE,"1.1b";#N/A,#N/A,FALSE,"1.1c";#N/A,#N/A,FALSE,"1.1e";#N/A,#N/A,FALSE,"1.1f";#N/A,#N/A,FALSE,"1.1g";#N/A,#N/A,FALSE,"1.1h_D";#N/A,#N/A,FALSE,"1.1h_T";#N/A,#N/A,FALSE,"1.2";#N/A,#N/A,FALSE,"1.3b";#N/A,#N/A,FALSE,"1.3";#N/A,#N/A,FALSE,"1.4";#N/A,#N/A,FALSE,"1.5";#N/A,#N/A,FALSE,"1.6";#N/A,#N/A,FALSE,"SOD";#N/A,#N/A,FALSE,"CF"}</definedName>
    <definedName name="cc" localSheetId="34" hidden="1">{#N/A,#N/A,FALSE,"1.1";#N/A,#N/A,FALSE,"1.1a";#N/A,#N/A,FALSE,"1.1b";#N/A,#N/A,FALSE,"1.1c";#N/A,#N/A,FALSE,"1.1e";#N/A,#N/A,FALSE,"1.1f";#N/A,#N/A,FALSE,"1.1g";#N/A,#N/A,FALSE,"1.1h_D";#N/A,#N/A,FALSE,"1.1h_T";#N/A,#N/A,FALSE,"1.2";#N/A,#N/A,FALSE,"1.3b";#N/A,#N/A,FALSE,"1.3";#N/A,#N/A,FALSE,"1.4";#N/A,#N/A,FALSE,"1.5";#N/A,#N/A,FALSE,"1.6";#N/A,#N/A,FALSE,"SOD";#N/A,#N/A,FALSE,"CF"}</definedName>
    <definedName name="cc" localSheetId="35" hidden="1">{#N/A,#N/A,FALSE,"1.1";#N/A,#N/A,FALSE,"1.1a";#N/A,#N/A,FALSE,"1.1b";#N/A,#N/A,FALSE,"1.1c";#N/A,#N/A,FALSE,"1.1e";#N/A,#N/A,FALSE,"1.1f";#N/A,#N/A,FALSE,"1.1g";#N/A,#N/A,FALSE,"1.1h_D";#N/A,#N/A,FALSE,"1.1h_T";#N/A,#N/A,FALSE,"1.2";#N/A,#N/A,FALSE,"1.3b";#N/A,#N/A,FALSE,"1.3";#N/A,#N/A,FALSE,"1.4";#N/A,#N/A,FALSE,"1.5";#N/A,#N/A,FALSE,"1.6";#N/A,#N/A,FALSE,"SOD";#N/A,#N/A,FALSE,"CF"}</definedName>
    <definedName name="cc" localSheetId="36" hidden="1">{#N/A,#N/A,FALSE,"1.1";#N/A,#N/A,FALSE,"1.1a";#N/A,#N/A,FALSE,"1.1b";#N/A,#N/A,FALSE,"1.1c";#N/A,#N/A,FALSE,"1.1e";#N/A,#N/A,FALSE,"1.1f";#N/A,#N/A,FALSE,"1.1g";#N/A,#N/A,FALSE,"1.1h_D";#N/A,#N/A,FALSE,"1.1h_T";#N/A,#N/A,FALSE,"1.2";#N/A,#N/A,FALSE,"1.3b";#N/A,#N/A,FALSE,"1.3";#N/A,#N/A,FALSE,"1.4";#N/A,#N/A,FALSE,"1.5";#N/A,#N/A,FALSE,"1.6";#N/A,#N/A,FALSE,"SOD";#N/A,#N/A,FALSE,"CF"}</definedName>
    <definedName name="cc" localSheetId="39" hidden="1">{#N/A,#N/A,FALSE,"1.1";#N/A,#N/A,FALSE,"1.1a";#N/A,#N/A,FALSE,"1.1b";#N/A,#N/A,FALSE,"1.1c";#N/A,#N/A,FALSE,"1.1e";#N/A,#N/A,FALSE,"1.1f";#N/A,#N/A,FALSE,"1.1g";#N/A,#N/A,FALSE,"1.1h_D";#N/A,#N/A,FALSE,"1.1h_T";#N/A,#N/A,FALSE,"1.2";#N/A,#N/A,FALSE,"1.3b";#N/A,#N/A,FALSE,"1.3";#N/A,#N/A,FALSE,"1.4";#N/A,#N/A,FALSE,"1.5";#N/A,#N/A,FALSE,"1.6";#N/A,#N/A,FALSE,"SOD";#N/A,#N/A,FALSE,"CF"}</definedName>
    <definedName name="cc" localSheetId="40" hidden="1">{#N/A,#N/A,FALSE,"1.1";#N/A,#N/A,FALSE,"1.1a";#N/A,#N/A,FALSE,"1.1b";#N/A,#N/A,FALSE,"1.1c";#N/A,#N/A,FALSE,"1.1e";#N/A,#N/A,FALSE,"1.1f";#N/A,#N/A,FALSE,"1.1g";#N/A,#N/A,FALSE,"1.1h_D";#N/A,#N/A,FALSE,"1.1h_T";#N/A,#N/A,FALSE,"1.2";#N/A,#N/A,FALSE,"1.3b";#N/A,#N/A,FALSE,"1.3";#N/A,#N/A,FALSE,"1.4";#N/A,#N/A,FALSE,"1.5";#N/A,#N/A,FALSE,"1.6";#N/A,#N/A,FALSE,"SOD";#N/A,#N/A,FALSE,"CF"}</definedName>
    <definedName name="cc" localSheetId="69" hidden="1">{#N/A,#N/A,FALSE,"1.1";#N/A,#N/A,FALSE,"1.1a";#N/A,#N/A,FALSE,"1.1b";#N/A,#N/A,FALSE,"1.1c";#N/A,#N/A,FALSE,"1.1e";#N/A,#N/A,FALSE,"1.1f";#N/A,#N/A,FALSE,"1.1g";#N/A,#N/A,FALSE,"1.1h_D";#N/A,#N/A,FALSE,"1.1h_T";#N/A,#N/A,FALSE,"1.2";#N/A,#N/A,FALSE,"1.3b";#N/A,#N/A,FALSE,"1.3";#N/A,#N/A,FALSE,"1.4";#N/A,#N/A,FALSE,"1.5";#N/A,#N/A,FALSE,"1.6";#N/A,#N/A,FALSE,"SOD";#N/A,#N/A,FALSE,"CF"}</definedName>
    <definedName name="cc" localSheetId="70" hidden="1">{#N/A,#N/A,FALSE,"1.1";#N/A,#N/A,FALSE,"1.1a";#N/A,#N/A,FALSE,"1.1b";#N/A,#N/A,FALSE,"1.1c";#N/A,#N/A,FALSE,"1.1e";#N/A,#N/A,FALSE,"1.1f";#N/A,#N/A,FALSE,"1.1g";#N/A,#N/A,FALSE,"1.1h_D";#N/A,#N/A,FALSE,"1.1h_T";#N/A,#N/A,FALSE,"1.2";#N/A,#N/A,FALSE,"1.3b";#N/A,#N/A,FALSE,"1.3";#N/A,#N/A,FALSE,"1.4";#N/A,#N/A,FALSE,"1.5";#N/A,#N/A,FALSE,"1.6";#N/A,#N/A,FALSE,"SOD";#N/A,#N/A,FALSE,"CF"}</definedName>
    <definedName name="cc" localSheetId="71" hidden="1">{#N/A,#N/A,FALSE,"1.1";#N/A,#N/A,FALSE,"1.1a";#N/A,#N/A,FALSE,"1.1b";#N/A,#N/A,FALSE,"1.1c";#N/A,#N/A,FALSE,"1.1e";#N/A,#N/A,FALSE,"1.1f";#N/A,#N/A,FALSE,"1.1g";#N/A,#N/A,FALSE,"1.1h_D";#N/A,#N/A,FALSE,"1.1h_T";#N/A,#N/A,FALSE,"1.2";#N/A,#N/A,FALSE,"1.3b";#N/A,#N/A,FALSE,"1.3";#N/A,#N/A,FALSE,"1.4";#N/A,#N/A,FALSE,"1.5";#N/A,#N/A,FALSE,"1.6";#N/A,#N/A,FALSE,"SOD";#N/A,#N/A,FALSE,"CF"}</definedName>
    <definedName name="cc" localSheetId="72" hidden="1">{#N/A,#N/A,FALSE,"1.1";#N/A,#N/A,FALSE,"1.1a";#N/A,#N/A,FALSE,"1.1b";#N/A,#N/A,FALSE,"1.1c";#N/A,#N/A,FALSE,"1.1e";#N/A,#N/A,FALSE,"1.1f";#N/A,#N/A,FALSE,"1.1g";#N/A,#N/A,FALSE,"1.1h_D";#N/A,#N/A,FALSE,"1.1h_T";#N/A,#N/A,FALSE,"1.2";#N/A,#N/A,FALSE,"1.3b";#N/A,#N/A,FALSE,"1.3";#N/A,#N/A,FALSE,"1.4";#N/A,#N/A,FALSE,"1.5";#N/A,#N/A,FALSE,"1.6";#N/A,#N/A,FALSE,"SOD";#N/A,#N/A,FALSE,"CF"}</definedName>
    <definedName name="cc" localSheetId="60" hidden="1">{#N/A,#N/A,FALSE,"1.1";#N/A,#N/A,FALSE,"1.1a";#N/A,#N/A,FALSE,"1.1b";#N/A,#N/A,FALSE,"1.1c";#N/A,#N/A,FALSE,"1.1e";#N/A,#N/A,FALSE,"1.1f";#N/A,#N/A,FALSE,"1.1g";#N/A,#N/A,FALSE,"1.1h_D";#N/A,#N/A,FALSE,"1.1h_T";#N/A,#N/A,FALSE,"1.2";#N/A,#N/A,FALSE,"1.3b";#N/A,#N/A,FALSE,"1.3";#N/A,#N/A,FALSE,"1.4";#N/A,#N/A,FALSE,"1.5";#N/A,#N/A,FALSE,"1.6";#N/A,#N/A,FALSE,"SOD";#N/A,#N/A,FALSE,"CF"}</definedName>
    <definedName name="cc" localSheetId="61" hidden="1">{#N/A,#N/A,FALSE,"1.1";#N/A,#N/A,FALSE,"1.1a";#N/A,#N/A,FALSE,"1.1b";#N/A,#N/A,FALSE,"1.1c";#N/A,#N/A,FALSE,"1.1e";#N/A,#N/A,FALSE,"1.1f";#N/A,#N/A,FALSE,"1.1g";#N/A,#N/A,FALSE,"1.1h_D";#N/A,#N/A,FALSE,"1.1h_T";#N/A,#N/A,FALSE,"1.2";#N/A,#N/A,FALSE,"1.3b";#N/A,#N/A,FALSE,"1.3";#N/A,#N/A,FALSE,"1.4";#N/A,#N/A,FALSE,"1.5";#N/A,#N/A,FALSE,"1.6";#N/A,#N/A,FALSE,"SOD";#N/A,#N/A,FALSE,"CF"}</definedName>
    <definedName name="cc" localSheetId="62" hidden="1">{#N/A,#N/A,FALSE,"1.1";#N/A,#N/A,FALSE,"1.1a";#N/A,#N/A,FALSE,"1.1b";#N/A,#N/A,FALSE,"1.1c";#N/A,#N/A,FALSE,"1.1e";#N/A,#N/A,FALSE,"1.1f";#N/A,#N/A,FALSE,"1.1g";#N/A,#N/A,FALSE,"1.1h_D";#N/A,#N/A,FALSE,"1.1h_T";#N/A,#N/A,FALSE,"1.2";#N/A,#N/A,FALSE,"1.3b";#N/A,#N/A,FALSE,"1.3";#N/A,#N/A,FALSE,"1.4";#N/A,#N/A,FALSE,"1.5";#N/A,#N/A,FALSE,"1.6";#N/A,#N/A,FALSE,"SOD";#N/A,#N/A,FALSE,"CF"}</definedName>
    <definedName name="cc" localSheetId="63" hidden="1">{#N/A,#N/A,FALSE,"1.1";#N/A,#N/A,FALSE,"1.1a";#N/A,#N/A,FALSE,"1.1b";#N/A,#N/A,FALSE,"1.1c";#N/A,#N/A,FALSE,"1.1e";#N/A,#N/A,FALSE,"1.1f";#N/A,#N/A,FALSE,"1.1g";#N/A,#N/A,FALSE,"1.1h_D";#N/A,#N/A,FALSE,"1.1h_T";#N/A,#N/A,FALSE,"1.2";#N/A,#N/A,FALSE,"1.3b";#N/A,#N/A,FALSE,"1.3";#N/A,#N/A,FALSE,"1.4";#N/A,#N/A,FALSE,"1.5";#N/A,#N/A,FALSE,"1.6";#N/A,#N/A,FALSE,"SOD";#N/A,#N/A,FALSE,"CF"}</definedName>
    <definedName name="cc" localSheetId="64" hidden="1">{#N/A,#N/A,FALSE,"1.1";#N/A,#N/A,FALSE,"1.1a";#N/A,#N/A,FALSE,"1.1b";#N/A,#N/A,FALSE,"1.1c";#N/A,#N/A,FALSE,"1.1e";#N/A,#N/A,FALSE,"1.1f";#N/A,#N/A,FALSE,"1.1g";#N/A,#N/A,FALSE,"1.1h_D";#N/A,#N/A,FALSE,"1.1h_T";#N/A,#N/A,FALSE,"1.2";#N/A,#N/A,FALSE,"1.3b";#N/A,#N/A,FALSE,"1.3";#N/A,#N/A,FALSE,"1.4";#N/A,#N/A,FALSE,"1.5";#N/A,#N/A,FALSE,"1.6";#N/A,#N/A,FALSE,"SOD";#N/A,#N/A,FALSE,"CF"}</definedName>
    <definedName name="cc" localSheetId="66" hidden="1">{#N/A,#N/A,FALSE,"1.1";#N/A,#N/A,FALSE,"1.1a";#N/A,#N/A,FALSE,"1.1b";#N/A,#N/A,FALSE,"1.1c";#N/A,#N/A,FALSE,"1.1e";#N/A,#N/A,FALSE,"1.1f";#N/A,#N/A,FALSE,"1.1g";#N/A,#N/A,FALSE,"1.1h_D";#N/A,#N/A,FALSE,"1.1h_T";#N/A,#N/A,FALSE,"1.2";#N/A,#N/A,FALSE,"1.3b";#N/A,#N/A,FALSE,"1.3";#N/A,#N/A,FALSE,"1.4";#N/A,#N/A,FALSE,"1.5";#N/A,#N/A,FALSE,"1.6";#N/A,#N/A,FALSE,"SOD";#N/A,#N/A,FALSE,"CF"}</definedName>
    <definedName name="cc" localSheetId="67" hidden="1">{#N/A,#N/A,FALSE,"1.1";#N/A,#N/A,FALSE,"1.1a";#N/A,#N/A,FALSE,"1.1b";#N/A,#N/A,FALSE,"1.1c";#N/A,#N/A,FALSE,"1.1e";#N/A,#N/A,FALSE,"1.1f";#N/A,#N/A,FALSE,"1.1g";#N/A,#N/A,FALSE,"1.1h_D";#N/A,#N/A,FALSE,"1.1h_T";#N/A,#N/A,FALSE,"1.2";#N/A,#N/A,FALSE,"1.3b";#N/A,#N/A,FALSE,"1.3";#N/A,#N/A,FALSE,"1.4";#N/A,#N/A,FALSE,"1.5";#N/A,#N/A,FALSE,"1.6";#N/A,#N/A,FALSE,"SOD";#N/A,#N/A,FALSE,"CF"}</definedName>
    <definedName name="cc" localSheetId="68" hidden="1">{#N/A,#N/A,FALSE,"1.1";#N/A,#N/A,FALSE,"1.1a";#N/A,#N/A,FALSE,"1.1b";#N/A,#N/A,FALSE,"1.1c";#N/A,#N/A,FALSE,"1.1e";#N/A,#N/A,FALSE,"1.1f";#N/A,#N/A,FALSE,"1.1g";#N/A,#N/A,FALSE,"1.1h_D";#N/A,#N/A,FALSE,"1.1h_T";#N/A,#N/A,FALSE,"1.2";#N/A,#N/A,FALSE,"1.3b";#N/A,#N/A,FALSE,"1.3";#N/A,#N/A,FALSE,"1.4";#N/A,#N/A,FALSE,"1.5";#N/A,#N/A,FALSE,"1.6";#N/A,#N/A,FALSE,"SOD";#N/A,#N/A,FALSE,"CF"}</definedName>
    <definedName name="cc" localSheetId="74" hidden="1">{#N/A,#N/A,FALSE,"1.1";#N/A,#N/A,FALSE,"1.1a";#N/A,#N/A,FALSE,"1.1b";#N/A,#N/A,FALSE,"1.1c";#N/A,#N/A,FALSE,"1.1e";#N/A,#N/A,FALSE,"1.1f";#N/A,#N/A,FALSE,"1.1g";#N/A,#N/A,FALSE,"1.1h_D";#N/A,#N/A,FALSE,"1.1h_T";#N/A,#N/A,FALSE,"1.2";#N/A,#N/A,FALSE,"1.3b";#N/A,#N/A,FALSE,"1.3";#N/A,#N/A,FALSE,"1.4";#N/A,#N/A,FALSE,"1.5";#N/A,#N/A,FALSE,"1.6";#N/A,#N/A,FALSE,"SOD";#N/A,#N/A,FALSE,"CF"}</definedName>
    <definedName name="cc" localSheetId="75" hidden="1">{#N/A,#N/A,FALSE,"1.1";#N/A,#N/A,FALSE,"1.1a";#N/A,#N/A,FALSE,"1.1b";#N/A,#N/A,FALSE,"1.1c";#N/A,#N/A,FALSE,"1.1e";#N/A,#N/A,FALSE,"1.1f";#N/A,#N/A,FALSE,"1.1g";#N/A,#N/A,FALSE,"1.1h_D";#N/A,#N/A,FALSE,"1.1h_T";#N/A,#N/A,FALSE,"1.2";#N/A,#N/A,FALSE,"1.3b";#N/A,#N/A,FALSE,"1.3";#N/A,#N/A,FALSE,"1.4";#N/A,#N/A,FALSE,"1.5";#N/A,#N/A,FALSE,"1.6";#N/A,#N/A,FALSE,"SOD";#N/A,#N/A,FALSE,"CF"}</definedName>
    <definedName name="cc" localSheetId="76" hidden="1">{#N/A,#N/A,FALSE,"1.1";#N/A,#N/A,FALSE,"1.1a";#N/A,#N/A,FALSE,"1.1b";#N/A,#N/A,FALSE,"1.1c";#N/A,#N/A,FALSE,"1.1e";#N/A,#N/A,FALSE,"1.1f";#N/A,#N/A,FALSE,"1.1g";#N/A,#N/A,FALSE,"1.1h_D";#N/A,#N/A,FALSE,"1.1h_T";#N/A,#N/A,FALSE,"1.2";#N/A,#N/A,FALSE,"1.3b";#N/A,#N/A,FALSE,"1.3";#N/A,#N/A,FALSE,"1.4";#N/A,#N/A,FALSE,"1.5";#N/A,#N/A,FALSE,"1.6";#N/A,#N/A,FALSE,"SOD";#N/A,#N/A,FALSE,"CF"}</definedName>
    <definedName name="cc" localSheetId="77" hidden="1">{#N/A,#N/A,FALSE,"1.1";#N/A,#N/A,FALSE,"1.1a";#N/A,#N/A,FALSE,"1.1b";#N/A,#N/A,FALSE,"1.1c";#N/A,#N/A,FALSE,"1.1e";#N/A,#N/A,FALSE,"1.1f";#N/A,#N/A,FALSE,"1.1g";#N/A,#N/A,FALSE,"1.1h_D";#N/A,#N/A,FALSE,"1.1h_T";#N/A,#N/A,FALSE,"1.2";#N/A,#N/A,FALSE,"1.3b";#N/A,#N/A,FALSE,"1.3";#N/A,#N/A,FALSE,"1.4";#N/A,#N/A,FALSE,"1.5";#N/A,#N/A,FALSE,"1.6";#N/A,#N/A,FALSE,"SOD";#N/A,#N/A,FALSE,"CF"}</definedName>
    <definedName name="cc" localSheetId="78" hidden="1">{#N/A,#N/A,FALSE,"1.1";#N/A,#N/A,FALSE,"1.1a";#N/A,#N/A,FALSE,"1.1b";#N/A,#N/A,FALSE,"1.1c";#N/A,#N/A,FALSE,"1.1e";#N/A,#N/A,FALSE,"1.1f";#N/A,#N/A,FALSE,"1.1g";#N/A,#N/A,FALSE,"1.1h_D";#N/A,#N/A,FALSE,"1.1h_T";#N/A,#N/A,FALSE,"1.2";#N/A,#N/A,FALSE,"1.3b";#N/A,#N/A,FALSE,"1.3";#N/A,#N/A,FALSE,"1.4";#N/A,#N/A,FALSE,"1.5";#N/A,#N/A,FALSE,"1.6";#N/A,#N/A,FALSE,"SOD";#N/A,#N/A,FALSE,"CF"}</definedName>
    <definedName name="cc" localSheetId="79" hidden="1">{#N/A,#N/A,FALSE,"1.1";#N/A,#N/A,FALSE,"1.1a";#N/A,#N/A,FALSE,"1.1b";#N/A,#N/A,FALSE,"1.1c";#N/A,#N/A,FALSE,"1.1e";#N/A,#N/A,FALSE,"1.1f";#N/A,#N/A,FALSE,"1.1g";#N/A,#N/A,FALSE,"1.1h_D";#N/A,#N/A,FALSE,"1.1h_T";#N/A,#N/A,FALSE,"1.2";#N/A,#N/A,FALSE,"1.3b";#N/A,#N/A,FALSE,"1.3";#N/A,#N/A,FALSE,"1.4";#N/A,#N/A,FALSE,"1.5";#N/A,#N/A,FALSE,"1.6";#N/A,#N/A,FALSE,"SOD";#N/A,#N/A,FALSE,"CF"}</definedName>
    <definedName name="cc" hidden="1">{#N/A,#N/A,FALSE,"1.1";#N/A,#N/A,FALSE,"1.1a";#N/A,#N/A,FALSE,"1.1b";#N/A,#N/A,FALSE,"1.1c";#N/A,#N/A,FALSE,"1.1e";#N/A,#N/A,FALSE,"1.1f";#N/A,#N/A,FALSE,"1.1g";#N/A,#N/A,FALSE,"1.1h_D";#N/A,#N/A,FALSE,"1.1h_T";#N/A,#N/A,FALSE,"1.2";#N/A,#N/A,FALSE,"1.3b";#N/A,#N/A,FALSE,"1.3";#N/A,#N/A,FALSE,"1.4";#N/A,#N/A,FALSE,"1.5";#N/A,#N/A,FALSE,"1.6";#N/A,#N/A,FALSE,"SOD";#N/A,#N/A,FALSE,"CF"}</definedName>
    <definedName name="CDGD" localSheetId="13">'[14]C.S.GENERATION'!#REF!</definedName>
    <definedName name="CDGD" localSheetId="14">'[14]C.S.GENERATION'!#REF!</definedName>
    <definedName name="CDGD" localSheetId="7">'[14]C.S.GENERATION'!#REF!</definedName>
    <definedName name="CDGD" localSheetId="9">'[14]C.S.GENERATION'!#REF!</definedName>
    <definedName name="CDGD" localSheetId="10">'[14]C.S.GENERATION'!#REF!</definedName>
    <definedName name="CDGD" localSheetId="11">'[14]C.S.GENERATION'!#REF!</definedName>
    <definedName name="CDGD" localSheetId="12">'[14]C.S.GENERATION'!#REF!</definedName>
    <definedName name="CDGD" localSheetId="43">'[14]C.S.GENERATION'!#REF!</definedName>
    <definedName name="CDGD" localSheetId="44">'[14]C.S.GENERATION'!#REF!</definedName>
    <definedName name="CDGD" localSheetId="45">'[14]C.S.GENERATION'!#REF!</definedName>
    <definedName name="CDGD" localSheetId="46">'[14]C.S.GENERATION'!#REF!</definedName>
    <definedName name="CDGD" localSheetId="47">'[14]C.S.GENERATION'!#REF!</definedName>
    <definedName name="CDGD" localSheetId="48">'[14]C.S.GENERATION'!#REF!</definedName>
    <definedName name="CDGD" localSheetId="50">'[14]C.S.GENERATION'!#REF!</definedName>
    <definedName name="CDGD" localSheetId="51">'[14]C.S.GENERATION'!#REF!</definedName>
    <definedName name="CDGD" localSheetId="52">'[14]C.S.GENERATION'!#REF!</definedName>
    <definedName name="CDGD" localSheetId="53">'[14]C.S.GENERATION'!#REF!</definedName>
    <definedName name="CDGD" localSheetId="54">'[14]C.S.GENERATION'!#REF!</definedName>
    <definedName name="CDGD" localSheetId="37">'[14]C.S.GENERATION'!#REF!</definedName>
    <definedName name="CDGD" localSheetId="38">'[14]C.S.GENERATION'!#REF!</definedName>
    <definedName name="CDGD" localSheetId="34">'[14]C.S.GENERATION'!#REF!</definedName>
    <definedName name="CDGD" localSheetId="35">'[14]C.S.GENERATION'!#REF!</definedName>
    <definedName name="CDGD" localSheetId="36">'[14]C.S.GENERATION'!#REF!</definedName>
    <definedName name="CDGD" localSheetId="39">'[14]C.S.GENERATION'!#REF!</definedName>
    <definedName name="CDGD" localSheetId="40">'[14]C.S.GENERATION'!#REF!</definedName>
    <definedName name="CDGD" localSheetId="69">'[14]C.S.GENERATION'!#REF!</definedName>
    <definedName name="CDGD" localSheetId="70">'[14]C.S.GENERATION'!#REF!</definedName>
    <definedName name="CDGD" localSheetId="71">'[14]C.S.GENERATION'!#REF!</definedName>
    <definedName name="CDGD" localSheetId="72">'[14]C.S.GENERATION'!#REF!</definedName>
    <definedName name="CDGD" localSheetId="60">'[14]C.S.GENERATION'!#REF!</definedName>
    <definedName name="CDGD" localSheetId="61">'[14]C.S.GENERATION'!#REF!</definedName>
    <definedName name="CDGD" localSheetId="62">'[14]C.S.GENERATION'!#REF!</definedName>
    <definedName name="CDGD" localSheetId="63">'[14]C.S.GENERATION'!#REF!</definedName>
    <definedName name="CDGD" localSheetId="64">'[14]C.S.GENERATION'!#REF!</definedName>
    <definedName name="CDGD" localSheetId="66">'[14]C.S.GENERATION'!#REF!</definedName>
    <definedName name="CDGD" localSheetId="67">'[14]C.S.GENERATION'!#REF!</definedName>
    <definedName name="CDGD" localSheetId="68">'[14]C.S.GENERATION'!#REF!</definedName>
    <definedName name="CDGD" localSheetId="74">'[14]C.S.GENERATION'!#REF!</definedName>
    <definedName name="CDGD" localSheetId="75">'[14]C.S.GENERATION'!#REF!</definedName>
    <definedName name="CDGD" localSheetId="76">'[14]C.S.GENERATION'!#REF!</definedName>
    <definedName name="CDGD" localSheetId="77">'[14]C.S.GENERATION'!#REF!</definedName>
    <definedName name="CDGD" localSheetId="78">'[14]C.S.GENERATION'!#REF!</definedName>
    <definedName name="CDGD" localSheetId="79">'[14]C.S.GENERATION'!#REF!</definedName>
    <definedName name="CDGD">'[14]C.S.GENERATION'!#REF!</definedName>
    <definedName name="Census_of_India_2001" localSheetId="13">#REF!</definedName>
    <definedName name="Census_of_India_2001" localSheetId="14">#REF!</definedName>
    <definedName name="Census_of_India_2001" localSheetId="7">#REF!</definedName>
    <definedName name="Census_of_India_2001" localSheetId="9">#REF!</definedName>
    <definedName name="Census_of_India_2001" localSheetId="10">#REF!</definedName>
    <definedName name="Census_of_India_2001" localSheetId="11">#REF!</definedName>
    <definedName name="Census_of_India_2001" localSheetId="12">#REF!</definedName>
    <definedName name="Census_of_India_2001" localSheetId="43">#REF!</definedName>
    <definedName name="Census_of_India_2001" localSheetId="44">#REF!</definedName>
    <definedName name="Census_of_India_2001" localSheetId="45">#REF!</definedName>
    <definedName name="Census_of_India_2001" localSheetId="46">#REF!</definedName>
    <definedName name="Census_of_India_2001" localSheetId="47">#REF!</definedName>
    <definedName name="Census_of_India_2001" localSheetId="48">#REF!</definedName>
    <definedName name="Census_of_India_2001" localSheetId="50">#REF!</definedName>
    <definedName name="Census_of_India_2001" localSheetId="51">#REF!</definedName>
    <definedName name="Census_of_India_2001" localSheetId="52">#REF!</definedName>
    <definedName name="Census_of_India_2001" localSheetId="53">#REF!</definedName>
    <definedName name="Census_of_India_2001" localSheetId="54">#REF!</definedName>
    <definedName name="Census_of_India_2001" localSheetId="37">#REF!</definedName>
    <definedName name="Census_of_India_2001" localSheetId="38">#REF!</definedName>
    <definedName name="Census_of_India_2001" localSheetId="34">#REF!</definedName>
    <definedName name="Census_of_India_2001" localSheetId="35">#REF!</definedName>
    <definedName name="Census_of_India_2001" localSheetId="36">#REF!</definedName>
    <definedName name="Census_of_India_2001" localSheetId="39">#REF!</definedName>
    <definedName name="Census_of_India_2001" localSheetId="40">#REF!</definedName>
    <definedName name="Census_of_India_2001" localSheetId="69">#REF!</definedName>
    <definedName name="Census_of_India_2001" localSheetId="70">#REF!</definedName>
    <definedName name="Census_of_India_2001" localSheetId="71">#REF!</definedName>
    <definedName name="Census_of_India_2001" localSheetId="72">#REF!</definedName>
    <definedName name="Census_of_India_2001" localSheetId="60">#REF!</definedName>
    <definedName name="Census_of_India_2001" localSheetId="61">#REF!</definedName>
    <definedName name="Census_of_India_2001" localSheetId="62">#REF!</definedName>
    <definedName name="Census_of_India_2001" localSheetId="63">#REF!</definedName>
    <definedName name="Census_of_India_2001" localSheetId="64">#REF!</definedName>
    <definedName name="Census_of_India_2001" localSheetId="66">#REF!</definedName>
    <definedName name="Census_of_India_2001" localSheetId="67">#REF!</definedName>
    <definedName name="Census_of_India_2001" localSheetId="68">#REF!</definedName>
    <definedName name="Census_of_India_2001" localSheetId="74">#REF!</definedName>
    <definedName name="Census_of_India_2001" localSheetId="75">#REF!</definedName>
    <definedName name="Census_of_India_2001" localSheetId="76">#REF!</definedName>
    <definedName name="Census_of_India_2001" localSheetId="77">#REF!</definedName>
    <definedName name="Census_of_India_2001" localSheetId="78">#REF!</definedName>
    <definedName name="Census_of_India_2001" localSheetId="79">#REF!</definedName>
    <definedName name="Census_of_India_2001">#REF!</definedName>
    <definedName name="COAL">'[6]Executive Summary -Thermal'!$A$4:$H$96</definedName>
    <definedName name="Consumers" localSheetId="13">#REF!</definedName>
    <definedName name="Consumers" localSheetId="14">#REF!</definedName>
    <definedName name="Consumers" localSheetId="7">#REF!</definedName>
    <definedName name="Consumers" localSheetId="9">#REF!</definedName>
    <definedName name="Consumers" localSheetId="10">#REF!</definedName>
    <definedName name="Consumers" localSheetId="11">#REF!</definedName>
    <definedName name="Consumers" localSheetId="12">#REF!</definedName>
    <definedName name="Consumers" localSheetId="43">#REF!</definedName>
    <definedName name="Consumers" localSheetId="44">#REF!</definedName>
    <definedName name="Consumers" localSheetId="45">#REF!</definedName>
    <definedName name="Consumers" localSheetId="46">#REF!</definedName>
    <definedName name="Consumers" localSheetId="47">#REF!</definedName>
    <definedName name="Consumers" localSheetId="48">#REF!</definedName>
    <definedName name="Consumers" localSheetId="50">#REF!</definedName>
    <definedName name="Consumers" localSheetId="51">#REF!</definedName>
    <definedName name="Consumers" localSheetId="52">#REF!</definedName>
    <definedName name="Consumers" localSheetId="53">#REF!</definedName>
    <definedName name="Consumers" localSheetId="54">#REF!</definedName>
    <definedName name="Consumers" localSheetId="37">#REF!</definedName>
    <definedName name="Consumers" localSheetId="38">#REF!</definedName>
    <definedName name="Consumers" localSheetId="34">#REF!</definedName>
    <definedName name="Consumers" localSheetId="35">#REF!</definedName>
    <definedName name="Consumers" localSheetId="36">#REF!</definedName>
    <definedName name="Consumers" localSheetId="39">#REF!</definedName>
    <definedName name="Consumers" localSheetId="40">#REF!</definedName>
    <definedName name="Consumers" localSheetId="69">#REF!</definedName>
    <definedName name="Consumers" localSheetId="70">#REF!</definedName>
    <definedName name="Consumers" localSheetId="71">#REF!</definedName>
    <definedName name="Consumers" localSheetId="72">#REF!</definedName>
    <definedName name="Consumers" localSheetId="60">#REF!</definedName>
    <definedName name="Consumers" localSheetId="61">#REF!</definedName>
    <definedName name="Consumers" localSheetId="62">#REF!</definedName>
    <definedName name="Consumers" localSheetId="63">#REF!</definedName>
    <definedName name="Consumers" localSheetId="64">#REF!</definedName>
    <definedName name="Consumers" localSheetId="66">#REF!</definedName>
    <definedName name="Consumers" localSheetId="67">#REF!</definedName>
    <definedName name="Consumers" localSheetId="68">#REF!</definedName>
    <definedName name="Consumers" localSheetId="74">#REF!</definedName>
    <definedName name="Consumers" localSheetId="75">#REF!</definedName>
    <definedName name="Consumers" localSheetId="76">#REF!</definedName>
    <definedName name="Consumers" localSheetId="77">#REF!</definedName>
    <definedName name="Consumers" localSheetId="78">#REF!</definedName>
    <definedName name="Consumers" localSheetId="79">#REF!</definedName>
    <definedName name="Consumers">#REF!</definedName>
    <definedName name="CR">[1]DLC!$GS$40:$HM$87</definedName>
    <definedName name="_xlnm.Criteria">[1]DLC!$GS$304:$HF$305</definedName>
    <definedName name="CSMPD" localSheetId="13">'[14]C.S.GENERATION'!#REF!</definedName>
    <definedName name="CSMPD" localSheetId="14">'[14]C.S.GENERATION'!#REF!</definedName>
    <definedName name="CSMPD" localSheetId="7">'[14]C.S.GENERATION'!#REF!</definedName>
    <definedName name="CSMPD" localSheetId="9">'[14]C.S.GENERATION'!#REF!</definedName>
    <definedName name="CSMPD" localSheetId="10">'[14]C.S.GENERATION'!#REF!</definedName>
    <definedName name="CSMPD" localSheetId="11">'[14]C.S.GENERATION'!#REF!</definedName>
    <definedName name="CSMPD" localSheetId="12">'[14]C.S.GENERATION'!#REF!</definedName>
    <definedName name="CSMPD" localSheetId="43">'[14]C.S.GENERATION'!#REF!</definedName>
    <definedName name="CSMPD" localSheetId="44">'[14]C.S.GENERATION'!#REF!</definedName>
    <definedName name="CSMPD" localSheetId="45">'[14]C.S.GENERATION'!#REF!</definedName>
    <definedName name="CSMPD" localSheetId="46">'[14]C.S.GENERATION'!#REF!</definedName>
    <definedName name="CSMPD" localSheetId="47">'[14]C.S.GENERATION'!#REF!</definedName>
    <definedName name="CSMPD" localSheetId="48">'[14]C.S.GENERATION'!#REF!</definedName>
    <definedName name="CSMPD" localSheetId="50">'[14]C.S.GENERATION'!#REF!</definedName>
    <definedName name="CSMPD" localSheetId="51">'[14]C.S.GENERATION'!#REF!</definedName>
    <definedName name="CSMPD" localSheetId="52">'[14]C.S.GENERATION'!#REF!</definedName>
    <definedName name="CSMPD" localSheetId="53">'[14]C.S.GENERATION'!#REF!</definedName>
    <definedName name="CSMPD" localSheetId="54">'[14]C.S.GENERATION'!#REF!</definedName>
    <definedName name="CSMPD" localSheetId="37">'[14]C.S.GENERATION'!#REF!</definedName>
    <definedName name="CSMPD" localSheetId="38">'[14]C.S.GENERATION'!#REF!</definedName>
    <definedName name="CSMPD" localSheetId="34">'[14]C.S.GENERATION'!#REF!</definedName>
    <definedName name="CSMPD" localSheetId="35">'[14]C.S.GENERATION'!#REF!</definedName>
    <definedName name="CSMPD" localSheetId="36">'[14]C.S.GENERATION'!#REF!</definedName>
    <definedName name="CSMPD" localSheetId="39">'[14]C.S.GENERATION'!#REF!</definedName>
    <definedName name="CSMPD" localSheetId="40">'[14]C.S.GENERATION'!#REF!</definedName>
    <definedName name="CSMPD" localSheetId="69">'[14]C.S.GENERATION'!#REF!</definedName>
    <definedName name="CSMPD" localSheetId="70">'[14]C.S.GENERATION'!#REF!</definedName>
    <definedName name="CSMPD" localSheetId="71">'[14]C.S.GENERATION'!#REF!</definedName>
    <definedName name="CSMPD" localSheetId="72">'[14]C.S.GENERATION'!#REF!</definedName>
    <definedName name="CSMPD" localSheetId="60">'[14]C.S.GENERATION'!#REF!</definedName>
    <definedName name="CSMPD" localSheetId="61">'[14]C.S.GENERATION'!#REF!</definedName>
    <definedName name="CSMPD" localSheetId="62">'[14]C.S.GENERATION'!#REF!</definedName>
    <definedName name="CSMPD" localSheetId="63">'[14]C.S.GENERATION'!#REF!</definedName>
    <definedName name="CSMPD" localSheetId="64">'[14]C.S.GENERATION'!#REF!</definedName>
    <definedName name="CSMPD" localSheetId="66">'[14]C.S.GENERATION'!#REF!</definedName>
    <definedName name="CSMPD" localSheetId="67">'[14]C.S.GENERATION'!#REF!</definedName>
    <definedName name="CSMPD" localSheetId="68">'[14]C.S.GENERATION'!#REF!</definedName>
    <definedName name="CSMPD" localSheetId="74">'[14]C.S.GENERATION'!#REF!</definedName>
    <definedName name="CSMPD" localSheetId="75">'[14]C.S.GENERATION'!#REF!</definedName>
    <definedName name="CSMPD" localSheetId="76">'[14]C.S.GENERATION'!#REF!</definedName>
    <definedName name="CSMPD" localSheetId="77">'[14]C.S.GENERATION'!#REF!</definedName>
    <definedName name="CSMPD" localSheetId="78">'[14]C.S.GENERATION'!#REF!</definedName>
    <definedName name="CSMPD" localSheetId="79">'[14]C.S.GENERATION'!#REF!</definedName>
    <definedName name="CSMPD">'[14]C.S.GENERATION'!#REF!</definedName>
    <definedName name="D">#N/A</definedName>
    <definedName name="D_T">'[15]Discom Details'!$F$721</definedName>
    <definedName name="DateTimeStamp" localSheetId="13">#REF!</definedName>
    <definedName name="DateTimeStamp" localSheetId="14">#REF!</definedName>
    <definedName name="DateTimeStamp" localSheetId="7">#REF!</definedName>
    <definedName name="DateTimeStamp" localSheetId="9">#REF!</definedName>
    <definedName name="DateTimeStamp" localSheetId="10">#REF!</definedName>
    <definedName name="DateTimeStamp" localSheetId="11">#REF!</definedName>
    <definedName name="DateTimeStamp" localSheetId="12">#REF!</definedName>
    <definedName name="DateTimeStamp" localSheetId="43">#REF!</definedName>
    <definedName name="DateTimeStamp" localSheetId="44">#REF!</definedName>
    <definedName name="DateTimeStamp" localSheetId="45">#REF!</definedName>
    <definedName name="DateTimeStamp" localSheetId="46">#REF!</definedName>
    <definedName name="DateTimeStamp" localSheetId="47">#REF!</definedName>
    <definedName name="DateTimeStamp" localSheetId="48">#REF!</definedName>
    <definedName name="DateTimeStamp" localSheetId="50">#REF!</definedName>
    <definedName name="DateTimeStamp" localSheetId="51">#REF!</definedName>
    <definedName name="DateTimeStamp" localSheetId="52">#REF!</definedName>
    <definedName name="DateTimeStamp" localSheetId="53">#REF!</definedName>
    <definedName name="DateTimeStamp" localSheetId="54">#REF!</definedName>
    <definedName name="DateTimeStamp" localSheetId="37">#REF!</definedName>
    <definedName name="DateTimeStamp" localSheetId="38">#REF!</definedName>
    <definedName name="DateTimeStamp" localSheetId="34">#REF!</definedName>
    <definedName name="DateTimeStamp" localSheetId="35">#REF!</definedName>
    <definedName name="DateTimeStamp" localSheetId="36">#REF!</definedName>
    <definedName name="DateTimeStamp" localSheetId="39">#REF!</definedName>
    <definedName name="DateTimeStamp" localSheetId="40">#REF!</definedName>
    <definedName name="DateTimeStamp" localSheetId="69">#REF!</definedName>
    <definedName name="DateTimeStamp" localSheetId="70">#REF!</definedName>
    <definedName name="DateTimeStamp" localSheetId="71">#REF!</definedName>
    <definedName name="DateTimeStamp" localSheetId="72">#REF!</definedName>
    <definedName name="DateTimeStamp" localSheetId="60">#REF!</definedName>
    <definedName name="DateTimeStamp" localSheetId="61">#REF!</definedName>
    <definedName name="DateTimeStamp" localSheetId="62">#REF!</definedName>
    <definedName name="DateTimeStamp" localSheetId="63">#REF!</definedName>
    <definedName name="DateTimeStamp" localSheetId="64">#REF!</definedName>
    <definedName name="DateTimeStamp" localSheetId="66">#REF!</definedName>
    <definedName name="DateTimeStamp" localSheetId="67">#REF!</definedName>
    <definedName name="DateTimeStamp" localSheetId="68">#REF!</definedName>
    <definedName name="DateTimeStamp" localSheetId="74">#REF!</definedName>
    <definedName name="DateTimeStamp" localSheetId="75">#REF!</definedName>
    <definedName name="DateTimeStamp" localSheetId="76">#REF!</definedName>
    <definedName name="DateTimeStamp" localSheetId="77">#REF!</definedName>
    <definedName name="DateTimeStamp" localSheetId="78">#REF!</definedName>
    <definedName name="DateTimeStamp" localSheetId="79">#REF!</definedName>
    <definedName name="DateTimeStamp">#REF!</definedName>
    <definedName name="Demographic_data" localSheetId="13">#REF!</definedName>
    <definedName name="Demographic_data" localSheetId="14">#REF!</definedName>
    <definedName name="Demographic_data" localSheetId="7">#REF!</definedName>
    <definedName name="Demographic_data" localSheetId="9">#REF!</definedName>
    <definedName name="Demographic_data" localSheetId="10">#REF!</definedName>
    <definedName name="Demographic_data" localSheetId="11">#REF!</definedName>
    <definedName name="Demographic_data" localSheetId="12">#REF!</definedName>
    <definedName name="Demographic_data" localSheetId="43">#REF!</definedName>
    <definedName name="Demographic_data" localSheetId="44">#REF!</definedName>
    <definedName name="Demographic_data" localSheetId="45">#REF!</definedName>
    <definedName name="Demographic_data" localSheetId="46">#REF!</definedName>
    <definedName name="Demographic_data" localSheetId="47">#REF!</definedName>
    <definedName name="Demographic_data" localSheetId="48">#REF!</definedName>
    <definedName name="Demographic_data" localSheetId="50">#REF!</definedName>
    <definedName name="Demographic_data" localSheetId="51">#REF!</definedName>
    <definedName name="Demographic_data" localSheetId="52">#REF!</definedName>
    <definedName name="Demographic_data" localSheetId="53">#REF!</definedName>
    <definedName name="Demographic_data" localSheetId="54">#REF!</definedName>
    <definedName name="Demographic_data" localSheetId="37">#REF!</definedName>
    <definedName name="Demographic_data" localSheetId="38">#REF!</definedName>
    <definedName name="Demographic_data" localSheetId="34">#REF!</definedName>
    <definedName name="Demographic_data" localSheetId="35">#REF!</definedName>
    <definedName name="Demographic_data" localSheetId="36">#REF!</definedName>
    <definedName name="Demographic_data" localSheetId="39">#REF!</definedName>
    <definedName name="Demographic_data" localSheetId="40">#REF!</definedName>
    <definedName name="Demographic_data" localSheetId="69">#REF!</definedName>
    <definedName name="Demographic_data" localSheetId="70">#REF!</definedName>
    <definedName name="Demographic_data" localSheetId="71">#REF!</definedName>
    <definedName name="Demographic_data" localSheetId="72">#REF!</definedName>
    <definedName name="Demographic_data" localSheetId="60">#REF!</definedName>
    <definedName name="Demographic_data" localSheetId="61">#REF!</definedName>
    <definedName name="Demographic_data" localSheetId="62">#REF!</definedName>
    <definedName name="Demographic_data" localSheetId="63">#REF!</definedName>
    <definedName name="Demographic_data" localSheetId="64">#REF!</definedName>
    <definedName name="Demographic_data" localSheetId="66">#REF!</definedName>
    <definedName name="Demographic_data" localSheetId="67">#REF!</definedName>
    <definedName name="Demographic_data" localSheetId="68">#REF!</definedName>
    <definedName name="Demographic_data" localSheetId="74">#REF!</definedName>
    <definedName name="Demographic_data" localSheetId="75">#REF!</definedName>
    <definedName name="Demographic_data" localSheetId="76">#REF!</definedName>
    <definedName name="Demographic_data" localSheetId="77">#REF!</definedName>
    <definedName name="Demographic_data" localSheetId="78">#REF!</definedName>
    <definedName name="Demographic_data" localSheetId="79">#REF!</definedName>
    <definedName name="Demographic_data">#REF!</definedName>
    <definedName name="Difference">'[13]Sheet2 (2)'!$R$8:$R$12</definedName>
    <definedName name="Discom1F1" localSheetId="13">#REF!</definedName>
    <definedName name="Discom1F1" localSheetId="14">#REF!</definedName>
    <definedName name="Discom1F1" localSheetId="7">#REF!</definedName>
    <definedName name="Discom1F1" localSheetId="9">#REF!</definedName>
    <definedName name="Discom1F1" localSheetId="10">#REF!</definedName>
    <definedName name="Discom1F1" localSheetId="11">#REF!</definedName>
    <definedName name="Discom1F1" localSheetId="12">#REF!</definedName>
    <definedName name="Discom1F1" localSheetId="43">#REF!</definedName>
    <definedName name="Discom1F1" localSheetId="44">#REF!</definedName>
    <definedName name="Discom1F1" localSheetId="45">#REF!</definedName>
    <definedName name="Discom1F1" localSheetId="46">#REF!</definedName>
    <definedName name="Discom1F1" localSheetId="47">#REF!</definedName>
    <definedName name="Discom1F1" localSheetId="48">#REF!</definedName>
    <definedName name="Discom1F1" localSheetId="50">#REF!</definedName>
    <definedName name="Discom1F1" localSheetId="51">#REF!</definedName>
    <definedName name="Discom1F1" localSheetId="52">#REF!</definedName>
    <definedName name="Discom1F1" localSheetId="53">#REF!</definedName>
    <definedName name="Discom1F1" localSheetId="54">#REF!</definedName>
    <definedName name="Discom1F1" localSheetId="37">#REF!</definedName>
    <definedName name="Discom1F1" localSheetId="38">#REF!</definedName>
    <definedName name="Discom1F1" localSheetId="34">#REF!</definedName>
    <definedName name="Discom1F1" localSheetId="35">#REF!</definedName>
    <definedName name="Discom1F1" localSheetId="36">#REF!</definedName>
    <definedName name="Discom1F1" localSheetId="39">#REF!</definedName>
    <definedName name="Discom1F1" localSheetId="40">#REF!</definedName>
    <definedName name="Discom1F1" localSheetId="69">#REF!</definedName>
    <definedName name="Discom1F1" localSheetId="70">#REF!</definedName>
    <definedName name="Discom1F1" localSheetId="71">#REF!</definedName>
    <definedName name="Discom1F1" localSheetId="72">#REF!</definedName>
    <definedName name="Discom1F1" localSheetId="60">#REF!</definedName>
    <definedName name="Discom1F1" localSheetId="61">#REF!</definedName>
    <definedName name="Discom1F1" localSheetId="62">#REF!</definedName>
    <definedName name="Discom1F1" localSheetId="63">#REF!</definedName>
    <definedName name="Discom1F1" localSheetId="64">#REF!</definedName>
    <definedName name="Discom1F1" localSheetId="66">#REF!</definedName>
    <definedName name="Discom1F1" localSheetId="67">#REF!</definedName>
    <definedName name="Discom1F1" localSheetId="68">#REF!</definedName>
    <definedName name="Discom1F1" localSheetId="74">#REF!</definedName>
    <definedName name="Discom1F1" localSheetId="75">#REF!</definedName>
    <definedName name="Discom1F1" localSheetId="76">#REF!</definedName>
    <definedName name="Discom1F1" localSheetId="77">#REF!</definedName>
    <definedName name="Discom1F1" localSheetId="78">#REF!</definedName>
    <definedName name="Discom1F1" localSheetId="79">#REF!</definedName>
    <definedName name="Discom1F1">#REF!</definedName>
    <definedName name="Discom1F2" localSheetId="13">#REF!</definedName>
    <definedName name="Discom1F2" localSheetId="14">#REF!</definedName>
    <definedName name="Discom1F2" localSheetId="7">#REF!</definedName>
    <definedName name="Discom1F2" localSheetId="9">#REF!</definedName>
    <definedName name="Discom1F2" localSheetId="10">#REF!</definedName>
    <definedName name="Discom1F2" localSheetId="11">#REF!</definedName>
    <definedName name="Discom1F2" localSheetId="12">#REF!</definedName>
    <definedName name="Discom1F2" localSheetId="43">#REF!</definedName>
    <definedName name="Discom1F2" localSheetId="44">#REF!</definedName>
    <definedName name="Discom1F2" localSheetId="45">#REF!</definedName>
    <definedName name="Discom1F2" localSheetId="46">#REF!</definedName>
    <definedName name="Discom1F2" localSheetId="47">#REF!</definedName>
    <definedName name="Discom1F2" localSheetId="48">#REF!</definedName>
    <definedName name="Discom1F2" localSheetId="50">#REF!</definedName>
    <definedName name="Discom1F2" localSheetId="51">#REF!</definedName>
    <definedName name="Discom1F2" localSheetId="52">#REF!</definedName>
    <definedName name="Discom1F2" localSheetId="53">#REF!</definedName>
    <definedName name="Discom1F2" localSheetId="54">#REF!</definedName>
    <definedName name="Discom1F2" localSheetId="37">#REF!</definedName>
    <definedName name="Discom1F2" localSheetId="38">#REF!</definedName>
    <definedName name="Discom1F2" localSheetId="34">#REF!</definedName>
    <definedName name="Discom1F2" localSheetId="35">#REF!</definedName>
    <definedName name="Discom1F2" localSheetId="36">#REF!</definedName>
    <definedName name="Discom1F2" localSheetId="39">#REF!</definedName>
    <definedName name="Discom1F2" localSheetId="40">#REF!</definedName>
    <definedName name="Discom1F2" localSheetId="69">#REF!</definedName>
    <definedName name="Discom1F2" localSheetId="70">#REF!</definedName>
    <definedName name="Discom1F2" localSheetId="71">#REF!</definedName>
    <definedName name="Discom1F2" localSheetId="72">#REF!</definedName>
    <definedName name="Discom1F2" localSheetId="60">#REF!</definedName>
    <definedName name="Discom1F2" localSheetId="61">#REF!</definedName>
    <definedName name="Discom1F2" localSheetId="62">#REF!</definedName>
    <definedName name="Discom1F2" localSheetId="63">#REF!</definedName>
    <definedName name="Discom1F2" localSheetId="64">#REF!</definedName>
    <definedName name="Discom1F2" localSheetId="66">#REF!</definedName>
    <definedName name="Discom1F2" localSheetId="67">#REF!</definedName>
    <definedName name="Discom1F2" localSheetId="68">#REF!</definedName>
    <definedName name="Discom1F2" localSheetId="74">#REF!</definedName>
    <definedName name="Discom1F2" localSheetId="75">#REF!</definedName>
    <definedName name="Discom1F2" localSheetId="76">#REF!</definedName>
    <definedName name="Discom1F2" localSheetId="77">#REF!</definedName>
    <definedName name="Discom1F2" localSheetId="78">#REF!</definedName>
    <definedName name="Discom1F2" localSheetId="79">#REF!</definedName>
    <definedName name="Discom1F2">#REF!</definedName>
    <definedName name="Discom1F3" localSheetId="13">#REF!</definedName>
    <definedName name="Discom1F3" localSheetId="14">#REF!</definedName>
    <definedName name="Discom1F3" localSheetId="7">#REF!</definedName>
    <definedName name="Discom1F3" localSheetId="9">#REF!</definedName>
    <definedName name="Discom1F3" localSheetId="10">#REF!</definedName>
    <definedName name="Discom1F3" localSheetId="11">#REF!</definedName>
    <definedName name="Discom1F3" localSheetId="12">#REF!</definedName>
    <definedName name="Discom1F3" localSheetId="43">#REF!</definedName>
    <definedName name="Discom1F3" localSheetId="44">#REF!</definedName>
    <definedName name="Discom1F3" localSheetId="45">#REF!</definedName>
    <definedName name="Discom1F3" localSheetId="46">#REF!</definedName>
    <definedName name="Discom1F3" localSheetId="47">#REF!</definedName>
    <definedName name="Discom1F3" localSheetId="48">#REF!</definedName>
    <definedName name="Discom1F3" localSheetId="50">#REF!</definedName>
    <definedName name="Discom1F3" localSheetId="51">#REF!</definedName>
    <definedName name="Discom1F3" localSheetId="52">#REF!</definedName>
    <definedName name="Discom1F3" localSheetId="53">#REF!</definedName>
    <definedName name="Discom1F3" localSheetId="54">#REF!</definedName>
    <definedName name="Discom1F3" localSheetId="37">#REF!</definedName>
    <definedName name="Discom1F3" localSheetId="38">#REF!</definedName>
    <definedName name="Discom1F3" localSheetId="34">#REF!</definedName>
    <definedName name="Discom1F3" localSheetId="35">#REF!</definedName>
    <definedName name="Discom1F3" localSheetId="36">#REF!</definedName>
    <definedName name="Discom1F3" localSheetId="39">#REF!</definedName>
    <definedName name="Discom1F3" localSheetId="40">#REF!</definedName>
    <definedName name="Discom1F3" localSheetId="69">#REF!</definedName>
    <definedName name="Discom1F3" localSheetId="70">#REF!</definedName>
    <definedName name="Discom1F3" localSheetId="71">#REF!</definedName>
    <definedName name="Discom1F3" localSheetId="72">#REF!</definedName>
    <definedName name="Discom1F3" localSheetId="60">#REF!</definedName>
    <definedName name="Discom1F3" localSheetId="61">#REF!</definedName>
    <definedName name="Discom1F3" localSheetId="62">#REF!</definedName>
    <definedName name="Discom1F3" localSheetId="63">#REF!</definedName>
    <definedName name="Discom1F3" localSheetId="64">#REF!</definedName>
    <definedName name="Discom1F3" localSheetId="66">#REF!</definedName>
    <definedName name="Discom1F3" localSheetId="67">#REF!</definedName>
    <definedName name="Discom1F3" localSheetId="68">#REF!</definedName>
    <definedName name="Discom1F3" localSheetId="74">#REF!</definedName>
    <definedName name="Discom1F3" localSheetId="75">#REF!</definedName>
    <definedName name="Discom1F3" localSheetId="76">#REF!</definedName>
    <definedName name="Discom1F3" localSheetId="77">#REF!</definedName>
    <definedName name="Discom1F3" localSheetId="78">#REF!</definedName>
    <definedName name="Discom1F3" localSheetId="79">#REF!</definedName>
    <definedName name="Discom1F3">#REF!</definedName>
    <definedName name="Discom1F4" localSheetId="13">#REF!</definedName>
    <definedName name="Discom1F4" localSheetId="14">#REF!</definedName>
    <definedName name="Discom1F4" localSheetId="7">#REF!</definedName>
    <definedName name="Discom1F4" localSheetId="9">#REF!</definedName>
    <definedName name="Discom1F4" localSheetId="10">#REF!</definedName>
    <definedName name="Discom1F4" localSheetId="11">#REF!</definedName>
    <definedName name="Discom1F4" localSheetId="12">#REF!</definedName>
    <definedName name="Discom1F4" localSheetId="43">#REF!</definedName>
    <definedName name="Discom1F4" localSheetId="44">#REF!</definedName>
    <definedName name="Discom1F4" localSheetId="45">#REF!</definedName>
    <definedName name="Discom1F4" localSheetId="46">#REF!</definedName>
    <definedName name="Discom1F4" localSheetId="47">#REF!</definedName>
    <definedName name="Discom1F4" localSheetId="48">#REF!</definedName>
    <definedName name="Discom1F4" localSheetId="50">#REF!</definedName>
    <definedName name="Discom1F4" localSheetId="51">#REF!</definedName>
    <definedName name="Discom1F4" localSheetId="52">#REF!</definedName>
    <definedName name="Discom1F4" localSheetId="53">#REF!</definedName>
    <definedName name="Discom1F4" localSheetId="54">#REF!</definedName>
    <definedName name="Discom1F4" localSheetId="37">#REF!</definedName>
    <definedName name="Discom1F4" localSheetId="38">#REF!</definedName>
    <definedName name="Discom1F4" localSheetId="34">#REF!</definedName>
    <definedName name="Discom1F4" localSheetId="35">#REF!</definedName>
    <definedName name="Discom1F4" localSheetId="36">#REF!</definedName>
    <definedName name="Discom1F4" localSheetId="39">#REF!</definedName>
    <definedName name="Discom1F4" localSheetId="40">#REF!</definedName>
    <definedName name="Discom1F4" localSheetId="69">#REF!</definedName>
    <definedName name="Discom1F4" localSheetId="70">#REF!</definedName>
    <definedName name="Discom1F4" localSheetId="71">#REF!</definedName>
    <definedName name="Discom1F4" localSheetId="72">#REF!</definedName>
    <definedName name="Discom1F4" localSheetId="60">#REF!</definedName>
    <definedName name="Discom1F4" localSheetId="61">#REF!</definedName>
    <definedName name="Discom1F4" localSheetId="62">#REF!</definedName>
    <definedName name="Discom1F4" localSheetId="63">#REF!</definedName>
    <definedName name="Discom1F4" localSheetId="64">#REF!</definedName>
    <definedName name="Discom1F4" localSheetId="66">#REF!</definedName>
    <definedName name="Discom1F4" localSheetId="67">#REF!</definedName>
    <definedName name="Discom1F4" localSheetId="68">#REF!</definedName>
    <definedName name="Discom1F4" localSheetId="74">#REF!</definedName>
    <definedName name="Discom1F4" localSheetId="75">#REF!</definedName>
    <definedName name="Discom1F4" localSheetId="76">#REF!</definedName>
    <definedName name="Discom1F4" localSheetId="77">#REF!</definedName>
    <definedName name="Discom1F4" localSheetId="78">#REF!</definedName>
    <definedName name="Discom1F4" localSheetId="79">#REF!</definedName>
    <definedName name="Discom1F4">#REF!</definedName>
    <definedName name="Discom1F6" localSheetId="13">#REF!</definedName>
    <definedName name="Discom1F6" localSheetId="14">#REF!</definedName>
    <definedName name="Discom1F6" localSheetId="7">#REF!</definedName>
    <definedName name="Discom1F6" localSheetId="9">#REF!</definedName>
    <definedName name="Discom1F6" localSheetId="10">#REF!</definedName>
    <definedName name="Discom1F6" localSheetId="11">#REF!</definedName>
    <definedName name="Discom1F6" localSheetId="12">#REF!</definedName>
    <definedName name="Discom1F6" localSheetId="43">#REF!</definedName>
    <definedName name="Discom1F6" localSheetId="44">#REF!</definedName>
    <definedName name="Discom1F6" localSheetId="45">#REF!</definedName>
    <definedName name="Discom1F6" localSheetId="46">#REF!</definedName>
    <definedName name="Discom1F6" localSheetId="47">#REF!</definedName>
    <definedName name="Discom1F6" localSheetId="48">#REF!</definedName>
    <definedName name="Discom1F6" localSheetId="50">#REF!</definedName>
    <definedName name="Discom1F6" localSheetId="51">#REF!</definedName>
    <definedName name="Discom1F6" localSheetId="52">#REF!</definedName>
    <definedName name="Discom1F6" localSheetId="53">#REF!</definedName>
    <definedName name="Discom1F6" localSheetId="54">#REF!</definedName>
    <definedName name="Discom1F6" localSheetId="37">#REF!</definedName>
    <definedName name="Discom1F6" localSheetId="38">#REF!</definedName>
    <definedName name="Discom1F6" localSheetId="34">#REF!</definedName>
    <definedName name="Discom1F6" localSheetId="35">#REF!</definedName>
    <definedName name="Discom1F6" localSheetId="36">#REF!</definedName>
    <definedName name="Discom1F6" localSheetId="39">#REF!</definedName>
    <definedName name="Discom1F6" localSheetId="40">#REF!</definedName>
    <definedName name="Discom1F6" localSheetId="69">#REF!</definedName>
    <definedName name="Discom1F6" localSheetId="70">#REF!</definedName>
    <definedName name="Discom1F6" localSheetId="71">#REF!</definedName>
    <definedName name="Discom1F6" localSheetId="72">#REF!</definedName>
    <definedName name="Discom1F6" localSheetId="60">#REF!</definedName>
    <definedName name="Discom1F6" localSheetId="61">#REF!</definedName>
    <definedName name="Discom1F6" localSheetId="62">#REF!</definedName>
    <definedName name="Discom1F6" localSheetId="63">#REF!</definedName>
    <definedName name="Discom1F6" localSheetId="64">#REF!</definedName>
    <definedName name="Discom1F6" localSheetId="66">#REF!</definedName>
    <definedName name="Discom1F6" localSheetId="67">#REF!</definedName>
    <definedName name="Discom1F6" localSheetId="68">#REF!</definedName>
    <definedName name="Discom1F6" localSheetId="74">#REF!</definedName>
    <definedName name="Discom1F6" localSheetId="75">#REF!</definedName>
    <definedName name="Discom1F6" localSheetId="76">#REF!</definedName>
    <definedName name="Discom1F6" localSheetId="77">#REF!</definedName>
    <definedName name="Discom1F6" localSheetId="78">#REF!</definedName>
    <definedName name="Discom1F6" localSheetId="79">#REF!</definedName>
    <definedName name="Discom1F6">#REF!</definedName>
    <definedName name="Discom2F1" localSheetId="13">#REF!</definedName>
    <definedName name="Discom2F1" localSheetId="14">#REF!</definedName>
    <definedName name="Discom2F1" localSheetId="7">#REF!</definedName>
    <definedName name="Discom2F1" localSheetId="9">#REF!</definedName>
    <definedName name="Discom2F1" localSheetId="10">#REF!</definedName>
    <definedName name="Discom2F1" localSheetId="11">#REF!</definedName>
    <definedName name="Discom2F1" localSheetId="12">#REF!</definedName>
    <definedName name="Discom2F1" localSheetId="43">#REF!</definedName>
    <definedName name="Discom2F1" localSheetId="44">#REF!</definedName>
    <definedName name="Discom2F1" localSheetId="45">#REF!</definedName>
    <definedName name="Discom2F1" localSheetId="46">#REF!</definedName>
    <definedName name="Discom2F1" localSheetId="47">#REF!</definedName>
    <definedName name="Discom2F1" localSheetId="48">#REF!</definedName>
    <definedName name="Discom2F1" localSheetId="50">#REF!</definedName>
    <definedName name="Discom2F1" localSheetId="51">#REF!</definedName>
    <definedName name="Discom2F1" localSheetId="52">#REF!</definedName>
    <definedName name="Discom2F1" localSheetId="53">#REF!</definedName>
    <definedName name="Discom2F1" localSheetId="54">#REF!</definedName>
    <definedName name="Discom2F1" localSheetId="37">#REF!</definedName>
    <definedName name="Discom2F1" localSheetId="38">#REF!</definedName>
    <definedName name="Discom2F1" localSheetId="34">#REF!</definedName>
    <definedName name="Discom2F1" localSheetId="35">#REF!</definedName>
    <definedName name="Discom2F1" localSheetId="36">#REF!</definedName>
    <definedName name="Discom2F1" localSheetId="39">#REF!</definedName>
    <definedName name="Discom2F1" localSheetId="40">#REF!</definedName>
    <definedName name="Discom2F1" localSheetId="69">#REF!</definedName>
    <definedName name="Discom2F1" localSheetId="70">#REF!</definedName>
    <definedName name="Discom2F1" localSheetId="71">#REF!</definedName>
    <definedName name="Discom2F1" localSheetId="72">#REF!</definedName>
    <definedName name="Discom2F1" localSheetId="60">#REF!</definedName>
    <definedName name="Discom2F1" localSheetId="61">#REF!</definedName>
    <definedName name="Discom2F1" localSheetId="62">#REF!</definedName>
    <definedName name="Discom2F1" localSheetId="63">#REF!</definedName>
    <definedName name="Discom2F1" localSheetId="64">#REF!</definedName>
    <definedName name="Discom2F1" localSheetId="66">#REF!</definedName>
    <definedName name="Discom2F1" localSheetId="67">#REF!</definedName>
    <definedName name="Discom2F1" localSheetId="68">#REF!</definedName>
    <definedName name="Discom2F1" localSheetId="74">#REF!</definedName>
    <definedName name="Discom2F1" localSheetId="75">#REF!</definedName>
    <definedName name="Discom2F1" localSheetId="76">#REF!</definedName>
    <definedName name="Discom2F1" localSheetId="77">#REF!</definedName>
    <definedName name="Discom2F1" localSheetId="78">#REF!</definedName>
    <definedName name="Discom2F1" localSheetId="79">#REF!</definedName>
    <definedName name="Discom2F1">#REF!</definedName>
    <definedName name="Discom2F2" localSheetId="13">#REF!</definedName>
    <definedName name="Discom2F2" localSheetId="14">#REF!</definedName>
    <definedName name="Discom2F2" localSheetId="7">#REF!</definedName>
    <definedName name="Discom2F2" localSheetId="9">#REF!</definedName>
    <definedName name="Discom2F2" localSheetId="10">#REF!</definedName>
    <definedName name="Discom2F2" localSheetId="11">#REF!</definedName>
    <definedName name="Discom2F2" localSheetId="12">#REF!</definedName>
    <definedName name="Discom2F2" localSheetId="43">#REF!</definedName>
    <definedName name="Discom2F2" localSheetId="44">#REF!</definedName>
    <definedName name="Discom2F2" localSheetId="45">#REF!</definedName>
    <definedName name="Discom2F2" localSheetId="46">#REF!</definedName>
    <definedName name="Discom2F2" localSheetId="47">#REF!</definedName>
    <definedName name="Discom2F2" localSheetId="48">#REF!</definedName>
    <definedName name="Discom2F2" localSheetId="50">#REF!</definedName>
    <definedName name="Discom2F2" localSheetId="51">#REF!</definedName>
    <definedName name="Discom2F2" localSheetId="52">#REF!</definedName>
    <definedName name="Discom2F2" localSheetId="53">#REF!</definedName>
    <definedName name="Discom2F2" localSheetId="54">#REF!</definedName>
    <definedName name="Discom2F2" localSheetId="37">#REF!</definedName>
    <definedName name="Discom2F2" localSheetId="38">#REF!</definedName>
    <definedName name="Discom2F2" localSheetId="34">#REF!</definedName>
    <definedName name="Discom2F2" localSheetId="35">#REF!</definedName>
    <definedName name="Discom2F2" localSheetId="36">#REF!</definedName>
    <definedName name="Discom2F2" localSheetId="39">#REF!</definedName>
    <definedName name="Discom2F2" localSheetId="40">#REF!</definedName>
    <definedName name="Discom2F2" localSheetId="69">#REF!</definedName>
    <definedName name="Discom2F2" localSheetId="70">#REF!</definedName>
    <definedName name="Discom2F2" localSheetId="71">#REF!</definedName>
    <definedName name="Discom2F2" localSheetId="72">#REF!</definedName>
    <definedName name="Discom2F2" localSheetId="60">#REF!</definedName>
    <definedName name="Discom2F2" localSheetId="61">#REF!</definedName>
    <definedName name="Discom2F2" localSheetId="62">#REF!</definedName>
    <definedName name="Discom2F2" localSheetId="63">#REF!</definedName>
    <definedName name="Discom2F2" localSheetId="64">#REF!</definedName>
    <definedName name="Discom2F2" localSheetId="66">#REF!</definedName>
    <definedName name="Discom2F2" localSheetId="67">#REF!</definedName>
    <definedName name="Discom2F2" localSheetId="68">#REF!</definedName>
    <definedName name="Discom2F2" localSheetId="74">#REF!</definedName>
    <definedName name="Discom2F2" localSheetId="75">#REF!</definedName>
    <definedName name="Discom2F2" localSheetId="76">#REF!</definedName>
    <definedName name="Discom2F2" localSheetId="77">#REF!</definedName>
    <definedName name="Discom2F2" localSheetId="78">#REF!</definedName>
    <definedName name="Discom2F2" localSheetId="79">#REF!</definedName>
    <definedName name="Discom2F2">#REF!</definedName>
    <definedName name="Discom2F3" localSheetId="13">#REF!</definedName>
    <definedName name="Discom2F3" localSheetId="14">#REF!</definedName>
    <definedName name="Discom2F3" localSheetId="7">#REF!</definedName>
    <definedName name="Discom2F3" localSheetId="9">#REF!</definedName>
    <definedName name="Discom2F3" localSheetId="10">#REF!</definedName>
    <definedName name="Discom2F3" localSheetId="11">#REF!</definedName>
    <definedName name="Discom2F3" localSheetId="12">#REF!</definedName>
    <definedName name="Discom2F3" localSheetId="43">#REF!</definedName>
    <definedName name="Discom2F3" localSheetId="44">#REF!</definedName>
    <definedName name="Discom2F3" localSheetId="45">#REF!</definedName>
    <definedName name="Discom2F3" localSheetId="46">#REF!</definedName>
    <definedName name="Discom2F3" localSheetId="47">#REF!</definedName>
    <definedName name="Discom2F3" localSheetId="48">#REF!</definedName>
    <definedName name="Discom2F3" localSheetId="50">#REF!</definedName>
    <definedName name="Discom2F3" localSheetId="51">#REF!</definedName>
    <definedName name="Discom2F3" localSheetId="52">#REF!</definedName>
    <definedName name="Discom2F3" localSheetId="53">#REF!</definedName>
    <definedName name="Discom2F3" localSheetId="54">#REF!</definedName>
    <definedName name="Discom2F3" localSheetId="37">#REF!</definedName>
    <definedName name="Discom2F3" localSheetId="38">#REF!</definedName>
    <definedName name="Discom2F3" localSheetId="34">#REF!</definedName>
    <definedName name="Discom2F3" localSheetId="35">#REF!</definedName>
    <definedName name="Discom2F3" localSheetId="36">#REF!</definedName>
    <definedName name="Discom2F3" localSheetId="39">#REF!</definedName>
    <definedName name="Discom2F3" localSheetId="40">#REF!</definedName>
    <definedName name="Discom2F3" localSheetId="69">#REF!</definedName>
    <definedName name="Discom2F3" localSheetId="70">#REF!</definedName>
    <definedName name="Discom2F3" localSheetId="71">#REF!</definedName>
    <definedName name="Discom2F3" localSheetId="72">#REF!</definedName>
    <definedName name="Discom2F3" localSheetId="60">#REF!</definedName>
    <definedName name="Discom2F3" localSheetId="61">#REF!</definedName>
    <definedName name="Discom2F3" localSheetId="62">#REF!</definedName>
    <definedName name="Discom2F3" localSheetId="63">#REF!</definedName>
    <definedName name="Discom2F3" localSheetId="64">#REF!</definedName>
    <definedName name="Discom2F3" localSheetId="66">#REF!</definedName>
    <definedName name="Discom2F3" localSheetId="67">#REF!</definedName>
    <definedName name="Discom2F3" localSheetId="68">#REF!</definedName>
    <definedName name="Discom2F3" localSheetId="74">#REF!</definedName>
    <definedName name="Discom2F3" localSheetId="75">#REF!</definedName>
    <definedName name="Discom2F3" localSheetId="76">#REF!</definedName>
    <definedName name="Discom2F3" localSheetId="77">#REF!</definedName>
    <definedName name="Discom2F3" localSheetId="78">#REF!</definedName>
    <definedName name="Discom2F3" localSheetId="79">#REF!</definedName>
    <definedName name="Discom2F3">#REF!</definedName>
    <definedName name="Discom2F4" localSheetId="13">#REF!</definedName>
    <definedName name="Discom2F4" localSheetId="14">#REF!</definedName>
    <definedName name="Discom2F4" localSheetId="7">#REF!</definedName>
    <definedName name="Discom2F4" localSheetId="9">#REF!</definedName>
    <definedName name="Discom2F4" localSheetId="10">#REF!</definedName>
    <definedName name="Discom2F4" localSheetId="11">#REF!</definedName>
    <definedName name="Discom2F4" localSheetId="12">#REF!</definedName>
    <definedName name="Discom2F4" localSheetId="43">#REF!</definedName>
    <definedName name="Discom2F4" localSheetId="44">#REF!</definedName>
    <definedName name="Discom2F4" localSheetId="45">#REF!</definedName>
    <definedName name="Discom2F4" localSheetId="46">#REF!</definedName>
    <definedName name="Discom2F4" localSheetId="47">#REF!</definedName>
    <definedName name="Discom2F4" localSheetId="48">#REF!</definedName>
    <definedName name="Discom2F4" localSheetId="50">#REF!</definedName>
    <definedName name="Discom2F4" localSheetId="51">#REF!</definedName>
    <definedName name="Discom2F4" localSheetId="52">#REF!</definedName>
    <definedName name="Discom2F4" localSheetId="53">#REF!</definedName>
    <definedName name="Discom2F4" localSheetId="54">#REF!</definedName>
    <definedName name="Discom2F4" localSheetId="37">#REF!</definedName>
    <definedName name="Discom2F4" localSheetId="38">#REF!</definedName>
    <definedName name="Discom2F4" localSheetId="34">#REF!</definedName>
    <definedName name="Discom2F4" localSheetId="35">#REF!</definedName>
    <definedName name="Discom2F4" localSheetId="36">#REF!</definedName>
    <definedName name="Discom2F4" localSheetId="39">#REF!</definedName>
    <definedName name="Discom2F4" localSheetId="40">#REF!</definedName>
    <definedName name="Discom2F4" localSheetId="69">#REF!</definedName>
    <definedName name="Discom2F4" localSheetId="70">#REF!</definedName>
    <definedName name="Discom2F4" localSheetId="71">#REF!</definedName>
    <definedName name="Discom2F4" localSheetId="72">#REF!</definedName>
    <definedName name="Discom2F4" localSheetId="60">#REF!</definedName>
    <definedName name="Discom2F4" localSheetId="61">#REF!</definedName>
    <definedName name="Discom2F4" localSheetId="62">#REF!</definedName>
    <definedName name="Discom2F4" localSheetId="63">#REF!</definedName>
    <definedName name="Discom2F4" localSheetId="64">#REF!</definedName>
    <definedName name="Discom2F4" localSheetId="66">#REF!</definedName>
    <definedName name="Discom2F4" localSheetId="67">#REF!</definedName>
    <definedName name="Discom2F4" localSheetId="68">#REF!</definedName>
    <definedName name="Discom2F4" localSheetId="74">#REF!</definedName>
    <definedName name="Discom2F4" localSheetId="75">#REF!</definedName>
    <definedName name="Discom2F4" localSheetId="76">#REF!</definedName>
    <definedName name="Discom2F4" localSheetId="77">#REF!</definedName>
    <definedName name="Discom2F4" localSheetId="78">#REF!</definedName>
    <definedName name="Discom2F4" localSheetId="79">#REF!</definedName>
    <definedName name="Discom2F4">#REF!</definedName>
    <definedName name="Discom2F6" localSheetId="13">#REF!</definedName>
    <definedName name="Discom2F6" localSheetId="14">#REF!</definedName>
    <definedName name="Discom2F6" localSheetId="7">#REF!</definedName>
    <definedName name="Discom2F6" localSheetId="9">#REF!</definedName>
    <definedName name="Discom2F6" localSheetId="10">#REF!</definedName>
    <definedName name="Discom2F6" localSheetId="11">#REF!</definedName>
    <definedName name="Discom2F6" localSheetId="12">#REF!</definedName>
    <definedName name="Discom2F6" localSheetId="43">#REF!</definedName>
    <definedName name="Discom2F6" localSheetId="44">#REF!</definedName>
    <definedName name="Discom2F6" localSheetId="45">#REF!</definedName>
    <definedName name="Discom2F6" localSheetId="46">#REF!</definedName>
    <definedName name="Discom2F6" localSheetId="47">#REF!</definedName>
    <definedName name="Discom2F6" localSheetId="48">#REF!</definedName>
    <definedName name="Discom2F6" localSheetId="50">#REF!</definedName>
    <definedName name="Discom2F6" localSheetId="51">#REF!</definedName>
    <definedName name="Discom2F6" localSheetId="52">#REF!</definedName>
    <definedName name="Discom2F6" localSheetId="53">#REF!</definedName>
    <definedName name="Discom2F6" localSheetId="54">#REF!</definedName>
    <definedName name="Discom2F6" localSheetId="37">#REF!</definedName>
    <definedName name="Discom2F6" localSheetId="38">#REF!</definedName>
    <definedName name="Discom2F6" localSheetId="34">#REF!</definedName>
    <definedName name="Discom2F6" localSheetId="35">#REF!</definedName>
    <definedName name="Discom2F6" localSheetId="36">#REF!</definedName>
    <definedName name="Discom2F6" localSheetId="39">#REF!</definedName>
    <definedName name="Discom2F6" localSheetId="40">#REF!</definedName>
    <definedName name="Discom2F6" localSheetId="69">#REF!</definedName>
    <definedName name="Discom2F6" localSheetId="70">#REF!</definedName>
    <definedName name="Discom2F6" localSheetId="71">#REF!</definedName>
    <definedName name="Discom2F6" localSheetId="72">#REF!</definedName>
    <definedName name="Discom2F6" localSheetId="60">#REF!</definedName>
    <definedName name="Discom2F6" localSheetId="61">#REF!</definedName>
    <definedName name="Discom2F6" localSheetId="62">#REF!</definedName>
    <definedName name="Discom2F6" localSheetId="63">#REF!</definedName>
    <definedName name="Discom2F6" localSheetId="64">#REF!</definedName>
    <definedName name="Discom2F6" localSheetId="66">#REF!</definedName>
    <definedName name="Discom2F6" localSheetId="67">#REF!</definedName>
    <definedName name="Discom2F6" localSheetId="68">#REF!</definedName>
    <definedName name="Discom2F6" localSheetId="74">#REF!</definedName>
    <definedName name="Discom2F6" localSheetId="75">#REF!</definedName>
    <definedName name="Discom2F6" localSheetId="76">#REF!</definedName>
    <definedName name="Discom2F6" localSheetId="77">#REF!</definedName>
    <definedName name="Discom2F6" localSheetId="78">#REF!</definedName>
    <definedName name="Discom2F6" localSheetId="79">#REF!</definedName>
    <definedName name="Discom2F6">#REF!</definedName>
    <definedName name="dom" localSheetId="13">#REF!</definedName>
    <definedName name="dom" localSheetId="14">#REF!</definedName>
    <definedName name="dom" localSheetId="7">#REF!</definedName>
    <definedName name="dom" localSheetId="9">#REF!</definedName>
    <definedName name="dom" localSheetId="10">#REF!</definedName>
    <definedName name="dom" localSheetId="11">#REF!</definedName>
    <definedName name="dom" localSheetId="12">#REF!</definedName>
    <definedName name="dom" localSheetId="43">#REF!</definedName>
    <definedName name="dom" localSheetId="44">#REF!</definedName>
    <definedName name="dom" localSheetId="45">#REF!</definedName>
    <definedName name="dom" localSheetId="46">#REF!</definedName>
    <definedName name="dom" localSheetId="47">#REF!</definedName>
    <definedName name="dom" localSheetId="48">#REF!</definedName>
    <definedName name="dom" localSheetId="50">#REF!</definedName>
    <definedName name="dom" localSheetId="51">#REF!</definedName>
    <definedName name="dom" localSheetId="52">#REF!</definedName>
    <definedName name="dom" localSheetId="53">#REF!</definedName>
    <definedName name="dom" localSheetId="54">#REF!</definedName>
    <definedName name="dom" localSheetId="37">#REF!</definedName>
    <definedName name="dom" localSheetId="38">#REF!</definedName>
    <definedName name="dom" localSheetId="34">#REF!</definedName>
    <definedName name="dom" localSheetId="35">#REF!</definedName>
    <definedName name="dom" localSheetId="36">#REF!</definedName>
    <definedName name="dom" localSheetId="39">#REF!</definedName>
    <definedName name="dom" localSheetId="40">#REF!</definedName>
    <definedName name="dom" localSheetId="69">#REF!</definedName>
    <definedName name="dom" localSheetId="70">#REF!</definedName>
    <definedName name="dom" localSheetId="71">#REF!</definedName>
    <definedName name="dom" localSheetId="72">#REF!</definedName>
    <definedName name="dom" localSheetId="60">#REF!</definedName>
    <definedName name="dom" localSheetId="61">#REF!</definedName>
    <definedName name="dom" localSheetId="62">#REF!</definedName>
    <definedName name="dom" localSheetId="63">#REF!</definedName>
    <definedName name="dom" localSheetId="64">#REF!</definedName>
    <definedName name="dom" localSheetId="66">#REF!</definedName>
    <definedName name="dom" localSheetId="67">#REF!</definedName>
    <definedName name="dom" localSheetId="68">#REF!</definedName>
    <definedName name="dom" localSheetId="74">#REF!</definedName>
    <definedName name="dom" localSheetId="75">#REF!</definedName>
    <definedName name="dom" localSheetId="76">#REF!</definedName>
    <definedName name="dom" localSheetId="77">#REF!</definedName>
    <definedName name="dom" localSheetId="78">#REF!</definedName>
    <definedName name="dom" localSheetId="79">#REF!</definedName>
    <definedName name="dom">#REF!</definedName>
    <definedName name="dpc">'[16]dpc cost'!$D$1</definedName>
    <definedName name="DSAD" localSheetId="13" hidden="1">{#N/A,#N/A,FALSE,"2002-03 Form 1.3a";#N/A,#N/A,FALSE,"2003-04 Form 1.3a";#N/A,#N/A,FALSE,"Avai- CY";#N/A,#N/A,FALSE,"Avai- EY";#N/A,#N/A,FALSE,"Demand vs Availability"}</definedName>
    <definedName name="DSAD" localSheetId="14" hidden="1">{#N/A,#N/A,FALSE,"2002-03 Form 1.3a";#N/A,#N/A,FALSE,"2003-04 Form 1.3a";#N/A,#N/A,FALSE,"Avai- CY";#N/A,#N/A,FALSE,"Avai- EY";#N/A,#N/A,FALSE,"Demand vs Availability"}</definedName>
    <definedName name="DSAD" localSheetId="7" hidden="1">{#N/A,#N/A,FALSE,"2002-03 Form 1.3a";#N/A,#N/A,FALSE,"2003-04 Form 1.3a";#N/A,#N/A,FALSE,"Avai- CY";#N/A,#N/A,FALSE,"Avai- EY";#N/A,#N/A,FALSE,"Demand vs Availability"}</definedName>
    <definedName name="DSAD" localSheetId="9" hidden="1">{#N/A,#N/A,FALSE,"2002-03 Form 1.3a";#N/A,#N/A,FALSE,"2003-04 Form 1.3a";#N/A,#N/A,FALSE,"Avai- CY";#N/A,#N/A,FALSE,"Avai- EY";#N/A,#N/A,FALSE,"Demand vs Availability"}</definedName>
    <definedName name="DSAD" localSheetId="10" hidden="1">{#N/A,#N/A,FALSE,"2002-03 Form 1.3a";#N/A,#N/A,FALSE,"2003-04 Form 1.3a";#N/A,#N/A,FALSE,"Avai- CY";#N/A,#N/A,FALSE,"Avai- EY";#N/A,#N/A,FALSE,"Demand vs Availability"}</definedName>
    <definedName name="DSAD" localSheetId="11" hidden="1">{#N/A,#N/A,FALSE,"2002-03 Form 1.3a";#N/A,#N/A,FALSE,"2003-04 Form 1.3a";#N/A,#N/A,FALSE,"Avai- CY";#N/A,#N/A,FALSE,"Avai- EY";#N/A,#N/A,FALSE,"Demand vs Availability"}</definedName>
    <definedName name="DSAD" localSheetId="12" hidden="1">{#N/A,#N/A,FALSE,"2002-03 Form 1.3a";#N/A,#N/A,FALSE,"2003-04 Form 1.3a";#N/A,#N/A,FALSE,"Avai- CY";#N/A,#N/A,FALSE,"Avai- EY";#N/A,#N/A,FALSE,"Demand vs Availability"}</definedName>
    <definedName name="DSAD" localSheetId="43" hidden="1">{#N/A,#N/A,FALSE,"2002-03 Form 1.3a";#N/A,#N/A,FALSE,"2003-04 Form 1.3a";#N/A,#N/A,FALSE,"Avai- CY";#N/A,#N/A,FALSE,"Avai- EY";#N/A,#N/A,FALSE,"Demand vs Availability"}</definedName>
    <definedName name="DSAD" localSheetId="44" hidden="1">{#N/A,#N/A,FALSE,"2002-03 Form 1.3a";#N/A,#N/A,FALSE,"2003-04 Form 1.3a";#N/A,#N/A,FALSE,"Avai- CY";#N/A,#N/A,FALSE,"Avai- EY";#N/A,#N/A,FALSE,"Demand vs Availability"}</definedName>
    <definedName name="DSAD" localSheetId="45" hidden="1">{#N/A,#N/A,FALSE,"2002-03 Form 1.3a";#N/A,#N/A,FALSE,"2003-04 Form 1.3a";#N/A,#N/A,FALSE,"Avai- CY";#N/A,#N/A,FALSE,"Avai- EY";#N/A,#N/A,FALSE,"Demand vs Availability"}</definedName>
    <definedName name="DSAD" localSheetId="46" hidden="1">{#N/A,#N/A,FALSE,"2002-03 Form 1.3a";#N/A,#N/A,FALSE,"2003-04 Form 1.3a";#N/A,#N/A,FALSE,"Avai- CY";#N/A,#N/A,FALSE,"Avai- EY";#N/A,#N/A,FALSE,"Demand vs Availability"}</definedName>
    <definedName name="DSAD" localSheetId="47" hidden="1">{#N/A,#N/A,FALSE,"2002-03 Form 1.3a";#N/A,#N/A,FALSE,"2003-04 Form 1.3a";#N/A,#N/A,FALSE,"Avai- CY";#N/A,#N/A,FALSE,"Avai- EY";#N/A,#N/A,FALSE,"Demand vs Availability"}</definedName>
    <definedName name="DSAD" localSheetId="48" hidden="1">{#N/A,#N/A,FALSE,"2002-03 Form 1.3a";#N/A,#N/A,FALSE,"2003-04 Form 1.3a";#N/A,#N/A,FALSE,"Avai- CY";#N/A,#N/A,FALSE,"Avai- EY";#N/A,#N/A,FALSE,"Demand vs Availability"}</definedName>
    <definedName name="DSAD" localSheetId="50" hidden="1">{#N/A,#N/A,FALSE,"2002-03 Form 1.3a";#N/A,#N/A,FALSE,"2003-04 Form 1.3a";#N/A,#N/A,FALSE,"Avai- CY";#N/A,#N/A,FALSE,"Avai- EY";#N/A,#N/A,FALSE,"Demand vs Availability"}</definedName>
    <definedName name="DSAD" localSheetId="51" hidden="1">{#N/A,#N/A,FALSE,"2002-03 Form 1.3a";#N/A,#N/A,FALSE,"2003-04 Form 1.3a";#N/A,#N/A,FALSE,"Avai- CY";#N/A,#N/A,FALSE,"Avai- EY";#N/A,#N/A,FALSE,"Demand vs Availability"}</definedName>
    <definedName name="DSAD" localSheetId="52" hidden="1">{#N/A,#N/A,FALSE,"2002-03 Form 1.3a";#N/A,#N/A,FALSE,"2003-04 Form 1.3a";#N/A,#N/A,FALSE,"Avai- CY";#N/A,#N/A,FALSE,"Avai- EY";#N/A,#N/A,FALSE,"Demand vs Availability"}</definedName>
    <definedName name="DSAD" localSheetId="53" hidden="1">{#N/A,#N/A,FALSE,"2002-03 Form 1.3a";#N/A,#N/A,FALSE,"2003-04 Form 1.3a";#N/A,#N/A,FALSE,"Avai- CY";#N/A,#N/A,FALSE,"Avai- EY";#N/A,#N/A,FALSE,"Demand vs Availability"}</definedName>
    <definedName name="DSAD" localSheetId="54" hidden="1">{#N/A,#N/A,FALSE,"2002-03 Form 1.3a";#N/A,#N/A,FALSE,"2003-04 Form 1.3a";#N/A,#N/A,FALSE,"Avai- CY";#N/A,#N/A,FALSE,"Avai- EY";#N/A,#N/A,FALSE,"Demand vs Availability"}</definedName>
    <definedName name="DSAD" localSheetId="37" hidden="1">{#N/A,#N/A,FALSE,"2002-03 Form 1.3a";#N/A,#N/A,FALSE,"2003-04 Form 1.3a";#N/A,#N/A,FALSE,"Avai- CY";#N/A,#N/A,FALSE,"Avai- EY";#N/A,#N/A,FALSE,"Demand vs Availability"}</definedName>
    <definedName name="DSAD" localSheetId="38" hidden="1">{#N/A,#N/A,FALSE,"2002-03 Form 1.3a";#N/A,#N/A,FALSE,"2003-04 Form 1.3a";#N/A,#N/A,FALSE,"Avai- CY";#N/A,#N/A,FALSE,"Avai- EY";#N/A,#N/A,FALSE,"Demand vs Availability"}</definedName>
    <definedName name="DSAD" localSheetId="34" hidden="1">{#N/A,#N/A,FALSE,"2002-03 Form 1.3a";#N/A,#N/A,FALSE,"2003-04 Form 1.3a";#N/A,#N/A,FALSE,"Avai- CY";#N/A,#N/A,FALSE,"Avai- EY";#N/A,#N/A,FALSE,"Demand vs Availability"}</definedName>
    <definedName name="DSAD" localSheetId="35" hidden="1">{#N/A,#N/A,FALSE,"2002-03 Form 1.3a";#N/A,#N/A,FALSE,"2003-04 Form 1.3a";#N/A,#N/A,FALSE,"Avai- CY";#N/A,#N/A,FALSE,"Avai- EY";#N/A,#N/A,FALSE,"Demand vs Availability"}</definedName>
    <definedName name="DSAD" localSheetId="36" hidden="1">{#N/A,#N/A,FALSE,"2002-03 Form 1.3a";#N/A,#N/A,FALSE,"2003-04 Form 1.3a";#N/A,#N/A,FALSE,"Avai- CY";#N/A,#N/A,FALSE,"Avai- EY";#N/A,#N/A,FALSE,"Demand vs Availability"}</definedName>
    <definedName name="DSAD" localSheetId="39" hidden="1">{#N/A,#N/A,FALSE,"2002-03 Form 1.3a";#N/A,#N/A,FALSE,"2003-04 Form 1.3a";#N/A,#N/A,FALSE,"Avai- CY";#N/A,#N/A,FALSE,"Avai- EY";#N/A,#N/A,FALSE,"Demand vs Availability"}</definedName>
    <definedName name="DSAD" localSheetId="40" hidden="1">{#N/A,#N/A,FALSE,"2002-03 Form 1.3a";#N/A,#N/A,FALSE,"2003-04 Form 1.3a";#N/A,#N/A,FALSE,"Avai- CY";#N/A,#N/A,FALSE,"Avai- EY";#N/A,#N/A,FALSE,"Demand vs Availability"}</definedName>
    <definedName name="DSAD" localSheetId="69" hidden="1">{#N/A,#N/A,FALSE,"2002-03 Form 1.3a";#N/A,#N/A,FALSE,"2003-04 Form 1.3a";#N/A,#N/A,FALSE,"Avai- CY";#N/A,#N/A,FALSE,"Avai- EY";#N/A,#N/A,FALSE,"Demand vs Availability"}</definedName>
    <definedName name="DSAD" localSheetId="70" hidden="1">{#N/A,#N/A,FALSE,"2002-03 Form 1.3a";#N/A,#N/A,FALSE,"2003-04 Form 1.3a";#N/A,#N/A,FALSE,"Avai- CY";#N/A,#N/A,FALSE,"Avai- EY";#N/A,#N/A,FALSE,"Demand vs Availability"}</definedName>
    <definedName name="DSAD" localSheetId="71" hidden="1">{#N/A,#N/A,FALSE,"2002-03 Form 1.3a";#N/A,#N/A,FALSE,"2003-04 Form 1.3a";#N/A,#N/A,FALSE,"Avai- CY";#N/A,#N/A,FALSE,"Avai- EY";#N/A,#N/A,FALSE,"Demand vs Availability"}</definedName>
    <definedName name="DSAD" localSheetId="72" hidden="1">{#N/A,#N/A,FALSE,"2002-03 Form 1.3a";#N/A,#N/A,FALSE,"2003-04 Form 1.3a";#N/A,#N/A,FALSE,"Avai- CY";#N/A,#N/A,FALSE,"Avai- EY";#N/A,#N/A,FALSE,"Demand vs Availability"}</definedName>
    <definedName name="DSAD" localSheetId="60" hidden="1">{#N/A,#N/A,FALSE,"2002-03 Form 1.3a";#N/A,#N/A,FALSE,"2003-04 Form 1.3a";#N/A,#N/A,FALSE,"Avai- CY";#N/A,#N/A,FALSE,"Avai- EY";#N/A,#N/A,FALSE,"Demand vs Availability"}</definedName>
    <definedName name="DSAD" localSheetId="61" hidden="1">{#N/A,#N/A,FALSE,"2002-03 Form 1.3a";#N/A,#N/A,FALSE,"2003-04 Form 1.3a";#N/A,#N/A,FALSE,"Avai- CY";#N/A,#N/A,FALSE,"Avai- EY";#N/A,#N/A,FALSE,"Demand vs Availability"}</definedName>
    <definedName name="DSAD" localSheetId="62" hidden="1">{#N/A,#N/A,FALSE,"2002-03 Form 1.3a";#N/A,#N/A,FALSE,"2003-04 Form 1.3a";#N/A,#N/A,FALSE,"Avai- CY";#N/A,#N/A,FALSE,"Avai- EY";#N/A,#N/A,FALSE,"Demand vs Availability"}</definedName>
    <definedName name="DSAD" localSheetId="63" hidden="1">{#N/A,#N/A,FALSE,"2002-03 Form 1.3a";#N/A,#N/A,FALSE,"2003-04 Form 1.3a";#N/A,#N/A,FALSE,"Avai- CY";#N/A,#N/A,FALSE,"Avai- EY";#N/A,#N/A,FALSE,"Demand vs Availability"}</definedName>
    <definedName name="DSAD" localSheetId="64" hidden="1">{#N/A,#N/A,FALSE,"2002-03 Form 1.3a";#N/A,#N/A,FALSE,"2003-04 Form 1.3a";#N/A,#N/A,FALSE,"Avai- CY";#N/A,#N/A,FALSE,"Avai- EY";#N/A,#N/A,FALSE,"Demand vs Availability"}</definedName>
    <definedName name="DSAD" localSheetId="66" hidden="1">{#N/A,#N/A,FALSE,"2002-03 Form 1.3a";#N/A,#N/A,FALSE,"2003-04 Form 1.3a";#N/A,#N/A,FALSE,"Avai- CY";#N/A,#N/A,FALSE,"Avai- EY";#N/A,#N/A,FALSE,"Demand vs Availability"}</definedName>
    <definedName name="DSAD" localSheetId="67" hidden="1">{#N/A,#N/A,FALSE,"2002-03 Form 1.3a";#N/A,#N/A,FALSE,"2003-04 Form 1.3a";#N/A,#N/A,FALSE,"Avai- CY";#N/A,#N/A,FALSE,"Avai- EY";#N/A,#N/A,FALSE,"Demand vs Availability"}</definedName>
    <definedName name="DSAD" localSheetId="68" hidden="1">{#N/A,#N/A,FALSE,"2002-03 Form 1.3a";#N/A,#N/A,FALSE,"2003-04 Form 1.3a";#N/A,#N/A,FALSE,"Avai- CY";#N/A,#N/A,FALSE,"Avai- EY";#N/A,#N/A,FALSE,"Demand vs Availability"}</definedName>
    <definedName name="DSAD" localSheetId="74" hidden="1">{#N/A,#N/A,FALSE,"2002-03 Form 1.3a";#N/A,#N/A,FALSE,"2003-04 Form 1.3a";#N/A,#N/A,FALSE,"Avai- CY";#N/A,#N/A,FALSE,"Avai- EY";#N/A,#N/A,FALSE,"Demand vs Availability"}</definedName>
    <definedName name="DSAD" localSheetId="75" hidden="1">{#N/A,#N/A,FALSE,"2002-03 Form 1.3a";#N/A,#N/A,FALSE,"2003-04 Form 1.3a";#N/A,#N/A,FALSE,"Avai- CY";#N/A,#N/A,FALSE,"Avai- EY";#N/A,#N/A,FALSE,"Demand vs Availability"}</definedName>
    <definedName name="DSAD" localSheetId="76" hidden="1">{#N/A,#N/A,FALSE,"2002-03 Form 1.3a";#N/A,#N/A,FALSE,"2003-04 Form 1.3a";#N/A,#N/A,FALSE,"Avai- CY";#N/A,#N/A,FALSE,"Avai- EY";#N/A,#N/A,FALSE,"Demand vs Availability"}</definedName>
    <definedName name="DSAD" localSheetId="77" hidden="1">{#N/A,#N/A,FALSE,"2002-03 Form 1.3a";#N/A,#N/A,FALSE,"2003-04 Form 1.3a";#N/A,#N/A,FALSE,"Avai- CY";#N/A,#N/A,FALSE,"Avai- EY";#N/A,#N/A,FALSE,"Demand vs Availability"}</definedName>
    <definedName name="DSAD" localSheetId="78" hidden="1">{#N/A,#N/A,FALSE,"2002-03 Form 1.3a";#N/A,#N/A,FALSE,"2003-04 Form 1.3a";#N/A,#N/A,FALSE,"Avai- CY";#N/A,#N/A,FALSE,"Avai- EY";#N/A,#N/A,FALSE,"Demand vs Availability"}</definedName>
    <definedName name="DSAD" localSheetId="79" hidden="1">{#N/A,#N/A,FALSE,"2002-03 Form 1.3a";#N/A,#N/A,FALSE,"2003-04 Form 1.3a";#N/A,#N/A,FALSE,"Avai- CY";#N/A,#N/A,FALSE,"Avai- EY";#N/A,#N/A,FALSE,"Demand vs Availability"}</definedName>
    <definedName name="DSAD" hidden="1">{#N/A,#N/A,FALSE,"2002-03 Form 1.3a";#N/A,#N/A,FALSE,"2003-04 Form 1.3a";#N/A,#N/A,FALSE,"Avai- CY";#N/A,#N/A,FALSE,"Avai- EY";#N/A,#N/A,FALSE,"Demand vs Availability"}</definedName>
    <definedName name="E_315MVA_Addl_Page1" localSheetId="13">#REF!</definedName>
    <definedName name="E_315MVA_Addl_Page1" localSheetId="14">#REF!</definedName>
    <definedName name="E_315MVA_Addl_Page1" localSheetId="7">#REF!</definedName>
    <definedName name="E_315MVA_Addl_Page1" localSheetId="9">#REF!</definedName>
    <definedName name="E_315MVA_Addl_Page1" localSheetId="10">#REF!</definedName>
    <definedName name="E_315MVA_Addl_Page1" localSheetId="11">#REF!</definedName>
    <definedName name="E_315MVA_Addl_Page1" localSheetId="12">#REF!</definedName>
    <definedName name="E_315MVA_Addl_Page1" localSheetId="43">#REF!</definedName>
    <definedName name="E_315MVA_Addl_Page1" localSheetId="44">#REF!</definedName>
    <definedName name="E_315MVA_Addl_Page1" localSheetId="45">#REF!</definedName>
    <definedName name="E_315MVA_Addl_Page1" localSheetId="46">#REF!</definedName>
    <definedName name="E_315MVA_Addl_Page1" localSheetId="47">#REF!</definedName>
    <definedName name="E_315MVA_Addl_Page1" localSheetId="48">#REF!</definedName>
    <definedName name="E_315MVA_Addl_Page1" localSheetId="50">#REF!</definedName>
    <definedName name="E_315MVA_Addl_Page1" localSheetId="51">#REF!</definedName>
    <definedName name="E_315MVA_Addl_Page1" localSheetId="52">#REF!</definedName>
    <definedName name="E_315MVA_Addl_Page1" localSheetId="53">#REF!</definedName>
    <definedName name="E_315MVA_Addl_Page1" localSheetId="54">#REF!</definedName>
    <definedName name="E_315MVA_Addl_Page1" localSheetId="37">#REF!</definedName>
    <definedName name="E_315MVA_Addl_Page1" localSheetId="38">#REF!</definedName>
    <definedName name="E_315MVA_Addl_Page1" localSheetId="34">#REF!</definedName>
    <definedName name="E_315MVA_Addl_Page1" localSheetId="35">#REF!</definedName>
    <definedName name="E_315MVA_Addl_Page1" localSheetId="36">#REF!</definedName>
    <definedName name="E_315MVA_Addl_Page1" localSheetId="39">#REF!</definedName>
    <definedName name="E_315MVA_Addl_Page1" localSheetId="40">#REF!</definedName>
    <definedName name="E_315MVA_Addl_Page1" localSheetId="69">#REF!</definedName>
    <definedName name="E_315MVA_Addl_Page1" localSheetId="70">#REF!</definedName>
    <definedName name="E_315MVA_Addl_Page1" localSheetId="71">#REF!</definedName>
    <definedName name="E_315MVA_Addl_Page1" localSheetId="72">#REF!</definedName>
    <definedName name="E_315MVA_Addl_Page1" localSheetId="60">#REF!</definedName>
    <definedName name="E_315MVA_Addl_Page1" localSheetId="61">#REF!</definedName>
    <definedName name="E_315MVA_Addl_Page1" localSheetId="62">#REF!</definedName>
    <definedName name="E_315MVA_Addl_Page1" localSheetId="63">#REF!</definedName>
    <definedName name="E_315MVA_Addl_Page1" localSheetId="64">#REF!</definedName>
    <definedName name="E_315MVA_Addl_Page1" localSheetId="66">#REF!</definedName>
    <definedName name="E_315MVA_Addl_Page1" localSheetId="67">#REF!</definedName>
    <definedName name="E_315MVA_Addl_Page1" localSheetId="68">#REF!</definedName>
    <definedName name="E_315MVA_Addl_Page1" localSheetId="74">#REF!</definedName>
    <definedName name="E_315MVA_Addl_Page1" localSheetId="75">#REF!</definedName>
    <definedName name="E_315MVA_Addl_Page1" localSheetId="76">#REF!</definedName>
    <definedName name="E_315MVA_Addl_Page1" localSheetId="77">#REF!</definedName>
    <definedName name="E_315MVA_Addl_Page1" localSheetId="78">#REF!</definedName>
    <definedName name="E_315MVA_Addl_Page1" localSheetId="79">#REF!</definedName>
    <definedName name="E_315MVA_Addl_Page1">#REF!</definedName>
    <definedName name="E_315MVA_Addl_Page2" localSheetId="13">#REF!</definedName>
    <definedName name="E_315MVA_Addl_Page2" localSheetId="14">#REF!</definedName>
    <definedName name="E_315MVA_Addl_Page2" localSheetId="7">#REF!</definedName>
    <definedName name="E_315MVA_Addl_Page2" localSheetId="9">#REF!</definedName>
    <definedName name="E_315MVA_Addl_Page2" localSheetId="10">#REF!</definedName>
    <definedName name="E_315MVA_Addl_Page2" localSheetId="11">#REF!</definedName>
    <definedName name="E_315MVA_Addl_Page2" localSheetId="12">#REF!</definedName>
    <definedName name="E_315MVA_Addl_Page2" localSheetId="43">#REF!</definedName>
    <definedName name="E_315MVA_Addl_Page2" localSheetId="44">#REF!</definedName>
    <definedName name="E_315MVA_Addl_Page2" localSheetId="45">#REF!</definedName>
    <definedName name="E_315MVA_Addl_Page2" localSheetId="46">#REF!</definedName>
    <definedName name="E_315MVA_Addl_Page2" localSheetId="47">#REF!</definedName>
    <definedName name="E_315MVA_Addl_Page2" localSheetId="48">#REF!</definedName>
    <definedName name="E_315MVA_Addl_Page2" localSheetId="50">#REF!</definedName>
    <definedName name="E_315MVA_Addl_Page2" localSheetId="51">#REF!</definedName>
    <definedName name="E_315MVA_Addl_Page2" localSheetId="52">#REF!</definedName>
    <definedName name="E_315MVA_Addl_Page2" localSheetId="53">#REF!</definedName>
    <definedName name="E_315MVA_Addl_Page2" localSheetId="54">#REF!</definedName>
    <definedName name="E_315MVA_Addl_Page2" localSheetId="37">#REF!</definedName>
    <definedName name="E_315MVA_Addl_Page2" localSheetId="38">#REF!</definedName>
    <definedName name="E_315MVA_Addl_Page2" localSheetId="34">#REF!</definedName>
    <definedName name="E_315MVA_Addl_Page2" localSheetId="35">#REF!</definedName>
    <definedName name="E_315MVA_Addl_Page2" localSheetId="36">#REF!</definedName>
    <definedName name="E_315MVA_Addl_Page2" localSheetId="39">#REF!</definedName>
    <definedName name="E_315MVA_Addl_Page2" localSheetId="40">#REF!</definedName>
    <definedName name="E_315MVA_Addl_Page2" localSheetId="69">#REF!</definedName>
    <definedName name="E_315MVA_Addl_Page2" localSheetId="70">#REF!</definedName>
    <definedName name="E_315MVA_Addl_Page2" localSheetId="71">#REF!</definedName>
    <definedName name="E_315MVA_Addl_Page2" localSheetId="72">#REF!</definedName>
    <definedName name="E_315MVA_Addl_Page2" localSheetId="60">#REF!</definedName>
    <definedName name="E_315MVA_Addl_Page2" localSheetId="61">#REF!</definedName>
    <definedName name="E_315MVA_Addl_Page2" localSheetId="62">#REF!</definedName>
    <definedName name="E_315MVA_Addl_Page2" localSheetId="63">#REF!</definedName>
    <definedName name="E_315MVA_Addl_Page2" localSheetId="64">#REF!</definedName>
    <definedName name="E_315MVA_Addl_Page2" localSheetId="66">#REF!</definedName>
    <definedName name="E_315MVA_Addl_Page2" localSheetId="67">#REF!</definedName>
    <definedName name="E_315MVA_Addl_Page2" localSheetId="68">#REF!</definedName>
    <definedName name="E_315MVA_Addl_Page2" localSheetId="74">#REF!</definedName>
    <definedName name="E_315MVA_Addl_Page2" localSheetId="75">#REF!</definedName>
    <definedName name="E_315MVA_Addl_Page2" localSheetId="76">#REF!</definedName>
    <definedName name="E_315MVA_Addl_Page2" localSheetId="77">#REF!</definedName>
    <definedName name="E_315MVA_Addl_Page2" localSheetId="78">#REF!</definedName>
    <definedName name="E_315MVA_Addl_Page2" localSheetId="79">#REF!</definedName>
    <definedName name="E_315MVA_Addl_Page2">#REF!</definedName>
    <definedName name="ED" localSheetId="13">#REF!</definedName>
    <definedName name="ED" localSheetId="14">#REF!</definedName>
    <definedName name="ED" localSheetId="7">#REF!</definedName>
    <definedName name="ED" localSheetId="9">#REF!</definedName>
    <definedName name="ED" localSheetId="10">#REF!</definedName>
    <definedName name="ED" localSheetId="11">#REF!</definedName>
    <definedName name="ED" localSheetId="12">#REF!</definedName>
    <definedName name="ED" localSheetId="43">#REF!</definedName>
    <definedName name="ED" localSheetId="44">#REF!</definedName>
    <definedName name="ED" localSheetId="45">#REF!</definedName>
    <definedName name="ED" localSheetId="46">#REF!</definedName>
    <definedName name="ED" localSheetId="47">#REF!</definedName>
    <definedName name="ED" localSheetId="48">#REF!</definedName>
    <definedName name="ED" localSheetId="50">#REF!</definedName>
    <definedName name="ED" localSheetId="51">#REF!</definedName>
    <definedName name="ED" localSheetId="52">#REF!</definedName>
    <definedName name="ED" localSheetId="53">#REF!</definedName>
    <definedName name="ED" localSheetId="54">#REF!</definedName>
    <definedName name="ED" localSheetId="37">#REF!</definedName>
    <definedName name="ED" localSheetId="38">#REF!</definedName>
    <definedName name="ED" localSheetId="34">#REF!</definedName>
    <definedName name="ED" localSheetId="35">#REF!</definedName>
    <definedName name="ED" localSheetId="36">#REF!</definedName>
    <definedName name="ED" localSheetId="39">#REF!</definedName>
    <definedName name="ED" localSheetId="40">#REF!</definedName>
    <definedName name="ED" localSheetId="69">#REF!</definedName>
    <definedName name="ED" localSheetId="70">#REF!</definedName>
    <definedName name="ED" localSheetId="71">#REF!</definedName>
    <definedName name="ED" localSheetId="72">#REF!</definedName>
    <definedName name="ED" localSheetId="60">#REF!</definedName>
    <definedName name="ED" localSheetId="61">#REF!</definedName>
    <definedName name="ED" localSheetId="62">#REF!</definedName>
    <definedName name="ED" localSheetId="63">#REF!</definedName>
    <definedName name="ED" localSheetId="64">#REF!</definedName>
    <definedName name="ED" localSheetId="66">#REF!</definedName>
    <definedName name="ED" localSheetId="67">#REF!</definedName>
    <definedName name="ED" localSheetId="68">#REF!</definedName>
    <definedName name="ED" localSheetId="74">#REF!</definedName>
    <definedName name="ED" localSheetId="75">#REF!</definedName>
    <definedName name="ED" localSheetId="76">#REF!</definedName>
    <definedName name="ED" localSheetId="77">#REF!</definedName>
    <definedName name="ED" localSheetId="78">#REF!</definedName>
    <definedName name="ED" localSheetId="79">#REF!</definedName>
    <definedName name="ED">#REF!</definedName>
    <definedName name="EHV" localSheetId="13">#REF!</definedName>
    <definedName name="EHV" localSheetId="14">#REF!</definedName>
    <definedName name="EHV" localSheetId="7">#REF!</definedName>
    <definedName name="EHV" localSheetId="9">#REF!</definedName>
    <definedName name="EHV" localSheetId="10">#REF!</definedName>
    <definedName name="EHV" localSheetId="11">#REF!</definedName>
    <definedName name="EHV" localSheetId="12">#REF!</definedName>
    <definedName name="EHV" localSheetId="43">#REF!</definedName>
    <definedName name="EHV" localSheetId="44">#REF!</definedName>
    <definedName name="EHV" localSheetId="45">#REF!</definedName>
    <definedName name="EHV" localSheetId="46">#REF!</definedName>
    <definedName name="EHV" localSheetId="47">#REF!</definedName>
    <definedName name="EHV" localSheetId="48">#REF!</definedName>
    <definedName name="EHV" localSheetId="50">#REF!</definedName>
    <definedName name="EHV" localSheetId="51">#REF!</definedName>
    <definedName name="EHV" localSheetId="52">#REF!</definedName>
    <definedName name="EHV" localSheetId="53">#REF!</definedName>
    <definedName name="EHV" localSheetId="54">#REF!</definedName>
    <definedName name="EHV" localSheetId="37">#REF!</definedName>
    <definedName name="EHV" localSheetId="38">#REF!</definedName>
    <definedName name="EHV" localSheetId="34">#REF!</definedName>
    <definedName name="EHV" localSheetId="35">#REF!</definedName>
    <definedName name="EHV" localSheetId="36">#REF!</definedName>
    <definedName name="EHV" localSheetId="39">#REF!</definedName>
    <definedName name="EHV" localSheetId="40">#REF!</definedName>
    <definedName name="EHV" localSheetId="69">#REF!</definedName>
    <definedName name="EHV" localSheetId="70">#REF!</definedName>
    <definedName name="EHV" localSheetId="71">#REF!</definedName>
    <definedName name="EHV" localSheetId="72">#REF!</definedName>
    <definedName name="EHV" localSheetId="60">#REF!</definedName>
    <definedName name="EHV" localSheetId="61">#REF!</definedName>
    <definedName name="EHV" localSheetId="62">#REF!</definedName>
    <definedName name="EHV" localSheetId="63">#REF!</definedName>
    <definedName name="EHV" localSheetId="64">#REF!</definedName>
    <definedName name="EHV" localSheetId="66">#REF!</definedName>
    <definedName name="EHV" localSheetId="67">#REF!</definedName>
    <definedName name="EHV" localSheetId="68">#REF!</definedName>
    <definedName name="EHV" localSheetId="74">#REF!</definedName>
    <definedName name="EHV" localSheetId="75">#REF!</definedName>
    <definedName name="EHV" localSheetId="76">#REF!</definedName>
    <definedName name="EHV" localSheetId="77">#REF!</definedName>
    <definedName name="EHV" localSheetId="78">#REF!</definedName>
    <definedName name="EHV" localSheetId="79">#REF!</definedName>
    <definedName name="EHV">#REF!</definedName>
    <definedName name="Energy_sales" localSheetId="13">#REF!</definedName>
    <definedName name="Energy_sales" localSheetId="14">#REF!</definedName>
    <definedName name="Energy_sales" localSheetId="7">#REF!</definedName>
    <definedName name="Energy_sales" localSheetId="9">#REF!</definedName>
    <definedName name="Energy_sales" localSheetId="10">#REF!</definedName>
    <definedName name="Energy_sales" localSheetId="11">#REF!</definedName>
    <definedName name="Energy_sales" localSheetId="12">#REF!</definedName>
    <definedName name="Energy_sales" localSheetId="43">#REF!</definedName>
    <definedName name="Energy_sales" localSheetId="44">#REF!</definedName>
    <definedName name="Energy_sales" localSheetId="45">#REF!</definedName>
    <definedName name="Energy_sales" localSheetId="46">#REF!</definedName>
    <definedName name="Energy_sales" localSheetId="47">#REF!</definedName>
    <definedName name="Energy_sales" localSheetId="48">#REF!</definedName>
    <definedName name="Energy_sales" localSheetId="50">#REF!</definedName>
    <definedName name="Energy_sales" localSheetId="51">#REF!</definedName>
    <definedName name="Energy_sales" localSheetId="52">#REF!</definedName>
    <definedName name="Energy_sales" localSheetId="53">#REF!</definedName>
    <definedName name="Energy_sales" localSheetId="54">#REF!</definedName>
    <definedName name="Energy_sales" localSheetId="37">#REF!</definedName>
    <definedName name="Energy_sales" localSheetId="38">#REF!</definedName>
    <definedName name="Energy_sales" localSheetId="34">#REF!</definedName>
    <definedName name="Energy_sales" localSheetId="35">#REF!</definedName>
    <definedName name="Energy_sales" localSheetId="36">#REF!</definedName>
    <definedName name="Energy_sales" localSheetId="39">#REF!</definedName>
    <definedName name="Energy_sales" localSheetId="40">#REF!</definedName>
    <definedName name="Energy_sales" localSheetId="69">#REF!</definedName>
    <definedName name="Energy_sales" localSheetId="70">#REF!</definedName>
    <definedName name="Energy_sales" localSheetId="71">#REF!</definedName>
    <definedName name="Energy_sales" localSheetId="72">#REF!</definedName>
    <definedName name="Energy_sales" localSheetId="60">#REF!</definedName>
    <definedName name="Energy_sales" localSheetId="61">#REF!</definedName>
    <definedName name="Energy_sales" localSheetId="62">#REF!</definedName>
    <definedName name="Energy_sales" localSheetId="63">#REF!</definedName>
    <definedName name="Energy_sales" localSheetId="64">#REF!</definedName>
    <definedName name="Energy_sales" localSheetId="66">#REF!</definedName>
    <definedName name="Energy_sales" localSheetId="67">#REF!</definedName>
    <definedName name="Energy_sales" localSheetId="68">#REF!</definedName>
    <definedName name="Energy_sales" localSheetId="74">#REF!</definedName>
    <definedName name="Energy_sales" localSheetId="75">#REF!</definedName>
    <definedName name="Energy_sales" localSheetId="76">#REF!</definedName>
    <definedName name="Energy_sales" localSheetId="77">#REF!</definedName>
    <definedName name="Energy_sales" localSheetId="78">#REF!</definedName>
    <definedName name="Energy_sales" localSheetId="79">#REF!</definedName>
    <definedName name="Energy_sales">#REF!</definedName>
    <definedName name="Error_Types" localSheetId="13">#REF!</definedName>
    <definedName name="Error_Types" localSheetId="14">#REF!</definedName>
    <definedName name="Error_Types" localSheetId="7">#REF!</definedName>
    <definedName name="Error_Types" localSheetId="9">#REF!</definedName>
    <definedName name="Error_Types" localSheetId="10">#REF!</definedName>
    <definedName name="Error_Types" localSheetId="11">#REF!</definedName>
    <definedName name="Error_Types" localSheetId="12">#REF!</definedName>
    <definedName name="Error_Types" localSheetId="43">#REF!</definedName>
    <definedName name="Error_Types" localSheetId="44">#REF!</definedName>
    <definedName name="Error_Types" localSheetId="45">#REF!</definedName>
    <definedName name="Error_Types" localSheetId="46">#REF!</definedName>
    <definedName name="Error_Types" localSheetId="47">#REF!</definedName>
    <definedName name="Error_Types" localSheetId="48">#REF!</definedName>
    <definedName name="Error_Types" localSheetId="50">#REF!</definedName>
    <definedName name="Error_Types" localSheetId="51">#REF!</definedName>
    <definedName name="Error_Types" localSheetId="52">#REF!</definedName>
    <definedName name="Error_Types" localSheetId="53">#REF!</definedName>
    <definedName name="Error_Types" localSheetId="54">#REF!</definedName>
    <definedName name="Error_Types" localSheetId="37">#REF!</definedName>
    <definedName name="Error_Types" localSheetId="38">#REF!</definedName>
    <definedName name="Error_Types" localSheetId="34">#REF!</definedName>
    <definedName name="Error_Types" localSheetId="35">#REF!</definedName>
    <definedName name="Error_Types" localSheetId="36">#REF!</definedName>
    <definedName name="Error_Types" localSheetId="39">#REF!</definedName>
    <definedName name="Error_Types" localSheetId="40">#REF!</definedName>
    <definedName name="Error_Types" localSheetId="69">#REF!</definedName>
    <definedName name="Error_Types" localSheetId="70">#REF!</definedName>
    <definedName name="Error_Types" localSheetId="71">#REF!</definedName>
    <definedName name="Error_Types" localSheetId="72">#REF!</definedName>
    <definedName name="Error_Types" localSheetId="60">#REF!</definedName>
    <definedName name="Error_Types" localSheetId="61">#REF!</definedName>
    <definedName name="Error_Types" localSheetId="62">#REF!</definedName>
    <definedName name="Error_Types" localSheetId="63">#REF!</definedName>
    <definedName name="Error_Types" localSheetId="64">#REF!</definedName>
    <definedName name="Error_Types" localSheetId="66">#REF!</definedName>
    <definedName name="Error_Types" localSheetId="67">#REF!</definedName>
    <definedName name="Error_Types" localSheetId="68">#REF!</definedName>
    <definedName name="Error_Types" localSheetId="74">#REF!</definedName>
    <definedName name="Error_Types" localSheetId="75">#REF!</definedName>
    <definedName name="Error_Types" localSheetId="76">#REF!</definedName>
    <definedName name="Error_Types" localSheetId="77">#REF!</definedName>
    <definedName name="Error_Types" localSheetId="78">#REF!</definedName>
    <definedName name="Error_Types" localSheetId="79">#REF!</definedName>
    <definedName name="Error_Types">#REF!</definedName>
    <definedName name="_xlnm.Extract">[1]DLC!$GS$307:$HF$322</definedName>
    <definedName name="Fuel_Exp_CY" localSheetId="13">#REF!</definedName>
    <definedName name="Fuel_Exp_CY" localSheetId="14">#REF!</definedName>
    <definedName name="Fuel_Exp_CY" localSheetId="7">#REF!</definedName>
    <definedName name="Fuel_Exp_CY" localSheetId="9">#REF!</definedName>
    <definedName name="Fuel_Exp_CY" localSheetId="10">#REF!</definedName>
    <definedName name="Fuel_Exp_CY" localSheetId="11">#REF!</definedName>
    <definedName name="Fuel_Exp_CY" localSheetId="12">#REF!</definedName>
    <definedName name="Fuel_Exp_CY" localSheetId="43">#REF!</definedName>
    <definedName name="Fuel_Exp_CY" localSheetId="44">#REF!</definedName>
    <definedName name="Fuel_Exp_CY" localSheetId="45">#REF!</definedName>
    <definedName name="Fuel_Exp_CY" localSheetId="46">#REF!</definedName>
    <definedName name="Fuel_Exp_CY" localSheetId="47">#REF!</definedName>
    <definedName name="Fuel_Exp_CY" localSheetId="48">#REF!</definedName>
    <definedName name="Fuel_Exp_CY" localSheetId="50">#REF!</definedName>
    <definedName name="Fuel_Exp_CY" localSheetId="51">#REF!</definedName>
    <definedName name="Fuel_Exp_CY" localSheetId="52">#REF!</definedName>
    <definedName name="Fuel_Exp_CY" localSheetId="53">#REF!</definedName>
    <definedName name="Fuel_Exp_CY" localSheetId="54">#REF!</definedName>
    <definedName name="Fuel_Exp_CY" localSheetId="37">#REF!</definedName>
    <definedName name="Fuel_Exp_CY" localSheetId="38">#REF!</definedName>
    <definedName name="Fuel_Exp_CY" localSheetId="34">#REF!</definedName>
    <definedName name="Fuel_Exp_CY" localSheetId="35">#REF!</definedName>
    <definedName name="Fuel_Exp_CY" localSheetId="36">#REF!</definedName>
    <definedName name="Fuel_Exp_CY" localSheetId="39">#REF!</definedName>
    <definedName name="Fuel_Exp_CY" localSheetId="40">#REF!</definedName>
    <definedName name="Fuel_Exp_CY" localSheetId="69">#REF!</definedName>
    <definedName name="Fuel_Exp_CY" localSheetId="70">#REF!</definedName>
    <definedName name="Fuel_Exp_CY" localSheetId="71">#REF!</definedName>
    <definedName name="Fuel_Exp_CY" localSheetId="72">#REF!</definedName>
    <definedName name="Fuel_Exp_CY" localSheetId="60">#REF!</definedName>
    <definedName name="Fuel_Exp_CY" localSheetId="61">#REF!</definedName>
    <definedName name="Fuel_Exp_CY" localSheetId="62">#REF!</definedName>
    <definedName name="Fuel_Exp_CY" localSheetId="63">#REF!</definedName>
    <definedName name="Fuel_Exp_CY" localSheetId="64">#REF!</definedName>
    <definedName name="Fuel_Exp_CY" localSheetId="66">#REF!</definedName>
    <definedName name="Fuel_Exp_CY" localSheetId="67">#REF!</definedName>
    <definedName name="Fuel_Exp_CY" localSheetId="68">#REF!</definedName>
    <definedName name="Fuel_Exp_CY" localSheetId="74">#REF!</definedName>
    <definedName name="Fuel_Exp_CY" localSheetId="75">#REF!</definedName>
    <definedName name="Fuel_Exp_CY" localSheetId="76">#REF!</definedName>
    <definedName name="Fuel_Exp_CY" localSheetId="77">#REF!</definedName>
    <definedName name="Fuel_Exp_CY" localSheetId="78">#REF!</definedName>
    <definedName name="Fuel_Exp_CY" localSheetId="79">#REF!</definedName>
    <definedName name="Fuel_Exp_CY">#REF!</definedName>
    <definedName name="Fuel_Exp_EY" localSheetId="13">#REF!</definedName>
    <definedName name="Fuel_Exp_EY" localSheetId="14">#REF!</definedName>
    <definedName name="Fuel_Exp_EY" localSheetId="7">#REF!</definedName>
    <definedName name="Fuel_Exp_EY" localSheetId="9">#REF!</definedName>
    <definedName name="Fuel_Exp_EY" localSheetId="10">#REF!</definedName>
    <definedName name="Fuel_Exp_EY" localSheetId="11">#REF!</definedName>
    <definedName name="Fuel_Exp_EY" localSheetId="12">#REF!</definedName>
    <definedName name="Fuel_Exp_EY" localSheetId="43">#REF!</definedName>
    <definedName name="Fuel_Exp_EY" localSheetId="44">#REF!</definedName>
    <definedName name="Fuel_Exp_EY" localSheetId="45">#REF!</definedName>
    <definedName name="Fuel_Exp_EY" localSheetId="46">#REF!</definedName>
    <definedName name="Fuel_Exp_EY" localSheetId="47">#REF!</definedName>
    <definedName name="Fuel_Exp_EY" localSheetId="48">#REF!</definedName>
    <definedName name="Fuel_Exp_EY" localSheetId="50">#REF!</definedName>
    <definedName name="Fuel_Exp_EY" localSheetId="51">#REF!</definedName>
    <definedName name="Fuel_Exp_EY" localSheetId="52">#REF!</definedName>
    <definedName name="Fuel_Exp_EY" localSheetId="53">#REF!</definedName>
    <definedName name="Fuel_Exp_EY" localSheetId="54">#REF!</definedName>
    <definedName name="Fuel_Exp_EY" localSheetId="37">#REF!</definedName>
    <definedName name="Fuel_Exp_EY" localSheetId="38">#REF!</definedName>
    <definedName name="Fuel_Exp_EY" localSheetId="34">#REF!</definedName>
    <definedName name="Fuel_Exp_EY" localSheetId="35">#REF!</definedName>
    <definedName name="Fuel_Exp_EY" localSheetId="36">#REF!</definedName>
    <definedName name="Fuel_Exp_EY" localSheetId="39">#REF!</definedName>
    <definedName name="Fuel_Exp_EY" localSheetId="40">#REF!</definedName>
    <definedName name="Fuel_Exp_EY" localSheetId="69">#REF!</definedName>
    <definedName name="Fuel_Exp_EY" localSheetId="70">#REF!</definedName>
    <definedName name="Fuel_Exp_EY" localSheetId="71">#REF!</definedName>
    <definedName name="Fuel_Exp_EY" localSheetId="72">#REF!</definedName>
    <definedName name="Fuel_Exp_EY" localSheetId="60">#REF!</definedName>
    <definedName name="Fuel_Exp_EY" localSheetId="61">#REF!</definedName>
    <definedName name="Fuel_Exp_EY" localSheetId="62">#REF!</definedName>
    <definedName name="Fuel_Exp_EY" localSheetId="63">#REF!</definedName>
    <definedName name="Fuel_Exp_EY" localSheetId="64">#REF!</definedName>
    <definedName name="Fuel_Exp_EY" localSheetId="66">#REF!</definedName>
    <definedName name="Fuel_Exp_EY" localSheetId="67">#REF!</definedName>
    <definedName name="Fuel_Exp_EY" localSheetId="68">#REF!</definedName>
    <definedName name="Fuel_Exp_EY" localSheetId="74">#REF!</definedName>
    <definedName name="Fuel_Exp_EY" localSheetId="75">#REF!</definedName>
    <definedName name="Fuel_Exp_EY" localSheetId="76">#REF!</definedName>
    <definedName name="Fuel_Exp_EY" localSheetId="77">#REF!</definedName>
    <definedName name="Fuel_Exp_EY" localSheetId="78">#REF!</definedName>
    <definedName name="Fuel_Exp_EY" localSheetId="79">#REF!</definedName>
    <definedName name="Fuel_Exp_EY">#REF!</definedName>
    <definedName name="Fuel_Exp_PY" localSheetId="13">#REF!</definedName>
    <definedName name="Fuel_Exp_PY" localSheetId="14">#REF!</definedName>
    <definedName name="Fuel_Exp_PY" localSheetId="7">#REF!</definedName>
    <definedName name="Fuel_Exp_PY" localSheetId="9">#REF!</definedName>
    <definedName name="Fuel_Exp_PY" localSheetId="10">#REF!</definedName>
    <definedName name="Fuel_Exp_PY" localSheetId="11">#REF!</definedName>
    <definedName name="Fuel_Exp_PY" localSheetId="12">#REF!</definedName>
    <definedName name="Fuel_Exp_PY" localSheetId="43">#REF!</definedName>
    <definedName name="Fuel_Exp_PY" localSheetId="44">#REF!</definedName>
    <definedName name="Fuel_Exp_PY" localSheetId="45">#REF!</definedName>
    <definedName name="Fuel_Exp_PY" localSheetId="46">#REF!</definedName>
    <definedName name="Fuel_Exp_PY" localSheetId="47">#REF!</definedName>
    <definedName name="Fuel_Exp_PY" localSheetId="48">#REF!</definedName>
    <definedName name="Fuel_Exp_PY" localSheetId="50">#REF!</definedName>
    <definedName name="Fuel_Exp_PY" localSheetId="51">#REF!</definedName>
    <definedName name="Fuel_Exp_PY" localSheetId="52">#REF!</definedName>
    <definedName name="Fuel_Exp_PY" localSheetId="53">#REF!</definedName>
    <definedName name="Fuel_Exp_PY" localSheetId="54">#REF!</definedName>
    <definedName name="Fuel_Exp_PY" localSheetId="37">#REF!</definedName>
    <definedName name="Fuel_Exp_PY" localSheetId="38">#REF!</definedName>
    <definedName name="Fuel_Exp_PY" localSheetId="34">#REF!</definedName>
    <definedName name="Fuel_Exp_PY" localSheetId="35">#REF!</definedName>
    <definedName name="Fuel_Exp_PY" localSheetId="36">#REF!</definedName>
    <definedName name="Fuel_Exp_PY" localSheetId="39">#REF!</definedName>
    <definedName name="Fuel_Exp_PY" localSheetId="40">#REF!</definedName>
    <definedName name="Fuel_Exp_PY" localSheetId="69">#REF!</definedName>
    <definedName name="Fuel_Exp_PY" localSheetId="70">#REF!</definedName>
    <definedName name="Fuel_Exp_PY" localSheetId="71">#REF!</definedName>
    <definedName name="Fuel_Exp_PY" localSheetId="72">#REF!</definedName>
    <definedName name="Fuel_Exp_PY" localSheetId="60">#REF!</definedName>
    <definedName name="Fuel_Exp_PY" localSheetId="61">#REF!</definedName>
    <definedName name="Fuel_Exp_PY" localSheetId="62">#REF!</definedName>
    <definedName name="Fuel_Exp_PY" localSheetId="63">#REF!</definedName>
    <definedName name="Fuel_Exp_PY" localSheetId="64">#REF!</definedName>
    <definedName name="Fuel_Exp_PY" localSheetId="66">#REF!</definedName>
    <definedName name="Fuel_Exp_PY" localSheetId="67">#REF!</definedName>
    <definedName name="Fuel_Exp_PY" localSheetId="68">#REF!</definedName>
    <definedName name="Fuel_Exp_PY" localSheetId="74">#REF!</definedName>
    <definedName name="Fuel_Exp_PY" localSheetId="75">#REF!</definedName>
    <definedName name="Fuel_Exp_PY" localSheetId="76">#REF!</definedName>
    <definedName name="Fuel_Exp_PY" localSheetId="77">#REF!</definedName>
    <definedName name="Fuel_Exp_PY" localSheetId="78">#REF!</definedName>
    <definedName name="Fuel_Exp_PY" localSheetId="79">#REF!</definedName>
    <definedName name="Fuel_Exp_PY">#REF!</definedName>
    <definedName name="GENPUF">'[6]Executive Summary -Thermal'!$A$4:$H$161</definedName>
    <definedName name="GH" localSheetId="13">'[2]STN WISE EMR'!#REF!</definedName>
    <definedName name="GH" localSheetId="14">'[2]STN WISE EMR'!#REF!</definedName>
    <definedName name="GH" localSheetId="7">'[2]STN WISE EMR'!#REF!</definedName>
    <definedName name="GH" localSheetId="9">'[2]STN WISE EMR'!#REF!</definedName>
    <definedName name="GH" localSheetId="10">'[2]STN WISE EMR'!#REF!</definedName>
    <definedName name="GH" localSheetId="11">'[2]STN WISE EMR'!#REF!</definedName>
    <definedName name="GH" localSheetId="12">'[2]STN WISE EMR'!#REF!</definedName>
    <definedName name="GH" localSheetId="43">'[2]STN WISE EMR'!#REF!</definedName>
    <definedName name="GH" localSheetId="44">'[2]STN WISE EMR'!#REF!</definedName>
    <definedName name="GH" localSheetId="45">'[2]STN WISE EMR'!#REF!</definedName>
    <definedName name="GH" localSheetId="46">'[2]STN WISE EMR'!#REF!</definedName>
    <definedName name="GH" localSheetId="47">'[2]STN WISE EMR'!#REF!</definedName>
    <definedName name="GH" localSheetId="48">'[2]STN WISE EMR'!#REF!</definedName>
    <definedName name="GH" localSheetId="50">'[2]STN WISE EMR'!#REF!</definedName>
    <definedName name="GH" localSheetId="51">'[2]STN WISE EMR'!#REF!</definedName>
    <definedName name="GH" localSheetId="52">'[2]STN WISE EMR'!#REF!</definedName>
    <definedName name="GH" localSheetId="53">'[2]STN WISE EMR'!#REF!</definedName>
    <definedName name="GH" localSheetId="54">'[2]STN WISE EMR'!#REF!</definedName>
    <definedName name="GH" localSheetId="37">'[2]STN WISE EMR'!#REF!</definedName>
    <definedName name="GH" localSheetId="38">'[2]STN WISE EMR'!#REF!</definedName>
    <definedName name="GH" localSheetId="34">'[2]STN WISE EMR'!#REF!</definedName>
    <definedName name="GH" localSheetId="35">'[2]STN WISE EMR'!#REF!</definedName>
    <definedName name="GH" localSheetId="36">'[2]STN WISE EMR'!#REF!</definedName>
    <definedName name="GH" localSheetId="39">'[2]STN WISE EMR'!#REF!</definedName>
    <definedName name="GH" localSheetId="40">'[2]STN WISE EMR'!#REF!</definedName>
    <definedName name="GH" localSheetId="69">'[2]STN WISE EMR'!#REF!</definedName>
    <definedName name="GH" localSheetId="70">'[2]STN WISE EMR'!#REF!</definedName>
    <definedName name="GH" localSheetId="71">'[2]STN WISE EMR'!#REF!</definedName>
    <definedName name="GH" localSheetId="72">'[2]STN WISE EMR'!#REF!</definedName>
    <definedName name="GH" localSheetId="60">'[2]STN WISE EMR'!#REF!</definedName>
    <definedName name="GH" localSheetId="61">'[2]STN WISE EMR'!#REF!</definedName>
    <definedName name="GH" localSheetId="62">'[2]STN WISE EMR'!#REF!</definedName>
    <definedName name="GH" localSheetId="63">'[2]STN WISE EMR'!#REF!</definedName>
    <definedName name="GH" localSheetId="64">'[2]STN WISE EMR'!#REF!</definedName>
    <definedName name="GH" localSheetId="66">'[2]STN WISE EMR'!#REF!</definedName>
    <definedName name="GH" localSheetId="67">'[2]STN WISE EMR'!#REF!</definedName>
    <definedName name="GH" localSheetId="68">'[2]STN WISE EMR'!#REF!</definedName>
    <definedName name="GH" localSheetId="74">'[2]STN WISE EMR'!#REF!</definedName>
    <definedName name="GH" localSheetId="75">'[2]STN WISE EMR'!#REF!</definedName>
    <definedName name="GH" localSheetId="76">'[2]STN WISE EMR'!#REF!</definedName>
    <definedName name="GH" localSheetId="77">'[2]STN WISE EMR'!#REF!</definedName>
    <definedName name="GH" localSheetId="78">'[2]STN WISE EMR'!#REF!</definedName>
    <definedName name="GH" localSheetId="79">'[2]STN WISE EMR'!#REF!</definedName>
    <definedName name="GH">'[2]STN WISE EMR'!#REF!</definedName>
    <definedName name="HFOHSD">'[6]Executive Summary -Thermal'!$A$4:$H$96</definedName>
    <definedName name="Horizontal_Not_Selected" localSheetId="13">#REF!</definedName>
    <definedName name="Horizontal_Not_Selected" localSheetId="14">#REF!</definedName>
    <definedName name="Horizontal_Not_Selected" localSheetId="7">#REF!</definedName>
    <definedName name="Horizontal_Not_Selected" localSheetId="9">#REF!</definedName>
    <definedName name="Horizontal_Not_Selected" localSheetId="10">#REF!</definedName>
    <definedName name="Horizontal_Not_Selected" localSheetId="11">#REF!</definedName>
    <definedName name="Horizontal_Not_Selected" localSheetId="12">#REF!</definedName>
    <definedName name="Horizontal_Not_Selected" localSheetId="43">#REF!</definedName>
    <definedName name="Horizontal_Not_Selected" localSheetId="44">#REF!</definedName>
    <definedName name="Horizontal_Not_Selected" localSheetId="45">#REF!</definedName>
    <definedName name="Horizontal_Not_Selected" localSheetId="46">#REF!</definedName>
    <definedName name="Horizontal_Not_Selected" localSheetId="47">#REF!</definedName>
    <definedName name="Horizontal_Not_Selected" localSheetId="48">#REF!</definedName>
    <definedName name="Horizontal_Not_Selected" localSheetId="50">#REF!</definedName>
    <definedName name="Horizontal_Not_Selected" localSheetId="51">#REF!</definedName>
    <definedName name="Horizontal_Not_Selected" localSheetId="52">#REF!</definedName>
    <definedName name="Horizontal_Not_Selected" localSheetId="53">#REF!</definedName>
    <definedName name="Horizontal_Not_Selected" localSheetId="54">#REF!</definedName>
    <definedName name="Horizontal_Not_Selected" localSheetId="37">#REF!</definedName>
    <definedName name="Horizontal_Not_Selected" localSheetId="38">#REF!</definedName>
    <definedName name="Horizontal_Not_Selected" localSheetId="34">#REF!</definedName>
    <definedName name="Horizontal_Not_Selected" localSheetId="35">#REF!</definedName>
    <definedName name="Horizontal_Not_Selected" localSheetId="36">#REF!</definedName>
    <definedName name="Horizontal_Not_Selected" localSheetId="39">#REF!</definedName>
    <definedName name="Horizontal_Not_Selected" localSheetId="40">#REF!</definedName>
    <definedName name="Horizontal_Not_Selected" localSheetId="69">#REF!</definedName>
    <definedName name="Horizontal_Not_Selected" localSheetId="70">#REF!</definedName>
    <definedName name="Horizontal_Not_Selected" localSheetId="71">#REF!</definedName>
    <definedName name="Horizontal_Not_Selected" localSheetId="72">#REF!</definedName>
    <definedName name="Horizontal_Not_Selected" localSheetId="60">#REF!</definedName>
    <definedName name="Horizontal_Not_Selected" localSheetId="61">#REF!</definedName>
    <definedName name="Horizontal_Not_Selected" localSheetId="62">#REF!</definedName>
    <definedName name="Horizontal_Not_Selected" localSheetId="63">#REF!</definedName>
    <definedName name="Horizontal_Not_Selected" localSheetId="64">#REF!</definedName>
    <definedName name="Horizontal_Not_Selected" localSheetId="66">#REF!</definedName>
    <definedName name="Horizontal_Not_Selected" localSheetId="67">#REF!</definedName>
    <definedName name="Horizontal_Not_Selected" localSheetId="68">#REF!</definedName>
    <definedName name="Horizontal_Not_Selected" localSheetId="74">#REF!</definedName>
    <definedName name="Horizontal_Not_Selected" localSheetId="75">#REF!</definedName>
    <definedName name="Horizontal_Not_Selected" localSheetId="76">#REF!</definedName>
    <definedName name="Horizontal_Not_Selected" localSheetId="77">#REF!</definedName>
    <definedName name="Horizontal_Not_Selected" localSheetId="78">#REF!</definedName>
    <definedName name="Horizontal_Not_Selected" localSheetId="79">#REF!</definedName>
    <definedName name="Horizontal_Not_Selected">#REF!</definedName>
    <definedName name="HT">[13]Sheet1!$D$90</definedName>
    <definedName name="if" localSheetId="13">'[17]annexture-g1'!#REF!</definedName>
    <definedName name="if" localSheetId="14">'[17]annexture-g1'!#REF!</definedName>
    <definedName name="if" localSheetId="7">'[17]annexture-g1'!#REF!</definedName>
    <definedName name="if" localSheetId="9">'[17]annexture-g1'!#REF!</definedName>
    <definedName name="if" localSheetId="10">'[17]annexture-g1'!#REF!</definedName>
    <definedName name="if" localSheetId="11">'[17]annexture-g1'!#REF!</definedName>
    <definedName name="if" localSheetId="12">'[17]annexture-g1'!#REF!</definedName>
    <definedName name="if" localSheetId="43">'[17]annexture-g1'!#REF!</definedName>
    <definedName name="if" localSheetId="44">'[17]annexture-g1'!#REF!</definedName>
    <definedName name="if" localSheetId="45">'[17]annexture-g1'!#REF!</definedName>
    <definedName name="if" localSheetId="46">'[17]annexture-g1'!#REF!</definedName>
    <definedName name="if" localSheetId="47">'[17]annexture-g1'!#REF!</definedName>
    <definedName name="if" localSheetId="48">'[17]annexture-g1'!#REF!</definedName>
    <definedName name="if" localSheetId="50">'[17]annexture-g1'!#REF!</definedName>
    <definedName name="if" localSheetId="51">'[17]annexture-g1'!#REF!</definedName>
    <definedName name="if" localSheetId="52">'[17]annexture-g1'!#REF!</definedName>
    <definedName name="if" localSheetId="53">'[17]annexture-g1'!#REF!</definedName>
    <definedName name="if" localSheetId="54">'[17]annexture-g1'!#REF!</definedName>
    <definedName name="if" localSheetId="37">'[17]annexture-g1'!#REF!</definedName>
    <definedName name="if" localSheetId="38">'[17]annexture-g1'!#REF!</definedName>
    <definedName name="if" localSheetId="34">'[17]annexture-g1'!#REF!</definedName>
    <definedName name="if" localSheetId="35">'[17]annexture-g1'!#REF!</definedName>
    <definedName name="if" localSheetId="36">'[17]annexture-g1'!#REF!</definedName>
    <definedName name="if" localSheetId="39">'[17]annexture-g1'!#REF!</definedName>
    <definedName name="if" localSheetId="40">'[17]annexture-g1'!#REF!</definedName>
    <definedName name="if" localSheetId="69">'[17]annexture-g1'!#REF!</definedName>
    <definedName name="if" localSheetId="70">'[17]annexture-g1'!#REF!</definedName>
    <definedName name="if" localSheetId="71">'[17]annexture-g1'!#REF!</definedName>
    <definedName name="if" localSheetId="72">'[17]annexture-g1'!#REF!</definedName>
    <definedName name="if" localSheetId="60">'[17]annexture-g1'!#REF!</definedName>
    <definedName name="if" localSheetId="61">'[17]annexture-g1'!#REF!</definedName>
    <definedName name="if" localSheetId="62">'[17]annexture-g1'!#REF!</definedName>
    <definedName name="if" localSheetId="63">'[17]annexture-g1'!#REF!</definedName>
    <definedName name="if" localSheetId="64">'[17]annexture-g1'!#REF!</definedName>
    <definedName name="if" localSheetId="66">'[17]annexture-g1'!#REF!</definedName>
    <definedName name="if" localSheetId="67">'[17]annexture-g1'!#REF!</definedName>
    <definedName name="if" localSheetId="68">'[17]annexture-g1'!#REF!</definedName>
    <definedName name="if" localSheetId="74">'[17]annexture-g1'!#REF!</definedName>
    <definedName name="if" localSheetId="75">'[17]annexture-g1'!#REF!</definedName>
    <definedName name="if" localSheetId="76">'[17]annexture-g1'!#REF!</definedName>
    <definedName name="if" localSheetId="77">'[17]annexture-g1'!#REF!</definedName>
    <definedName name="if" localSheetId="78">'[17]annexture-g1'!#REF!</definedName>
    <definedName name="if" localSheetId="79">'[17]annexture-g1'!#REF!</definedName>
    <definedName name="if">'[17]annexture-g1'!#REF!</definedName>
    <definedName name="IN">[1]DLC!$GS$2:$HF$22</definedName>
    <definedName name="Input">[13]Sheet1!$D$35</definedName>
    <definedName name="Intt_Charge_cY" localSheetId="13">#REF!,#REF!</definedName>
    <definedName name="Intt_Charge_cY" localSheetId="14">#REF!,#REF!</definedName>
    <definedName name="Intt_Charge_cY" localSheetId="7">#REF!,#REF!</definedName>
    <definedName name="Intt_Charge_cY" localSheetId="9">#REF!,#REF!</definedName>
    <definedName name="Intt_Charge_cY" localSheetId="10">#REF!,#REF!</definedName>
    <definedName name="Intt_Charge_cY" localSheetId="11">#REF!,#REF!</definedName>
    <definedName name="Intt_Charge_cY" localSheetId="12">#REF!,#REF!</definedName>
    <definedName name="Intt_Charge_cY" localSheetId="43">#REF!,#REF!</definedName>
    <definedName name="Intt_Charge_cY" localSheetId="44">#REF!,#REF!</definedName>
    <definedName name="Intt_Charge_cY" localSheetId="45">#REF!,#REF!</definedName>
    <definedName name="Intt_Charge_cY" localSheetId="46">#REF!,#REF!</definedName>
    <definedName name="Intt_Charge_cY" localSheetId="47">#REF!,#REF!</definedName>
    <definedName name="Intt_Charge_cY" localSheetId="48">#REF!,#REF!</definedName>
    <definedName name="Intt_Charge_cY" localSheetId="50">#REF!,#REF!</definedName>
    <definedName name="Intt_Charge_cY" localSheetId="51">#REF!,#REF!</definedName>
    <definedName name="Intt_Charge_cY" localSheetId="52">#REF!,#REF!</definedName>
    <definedName name="Intt_Charge_cY" localSheetId="53">#REF!,#REF!</definedName>
    <definedName name="Intt_Charge_cY" localSheetId="54">#REF!,#REF!</definedName>
    <definedName name="Intt_Charge_cY" localSheetId="37">#REF!,#REF!</definedName>
    <definedName name="Intt_Charge_cY" localSheetId="38">#REF!,#REF!</definedName>
    <definedName name="Intt_Charge_cY" localSheetId="34">#REF!,#REF!</definedName>
    <definedName name="Intt_Charge_cY" localSheetId="35">#REF!,#REF!</definedName>
    <definedName name="Intt_Charge_cY" localSheetId="36">#REF!,#REF!</definedName>
    <definedName name="Intt_Charge_cY" localSheetId="39">#REF!,#REF!</definedName>
    <definedName name="Intt_Charge_cY" localSheetId="40">#REF!,#REF!</definedName>
    <definedName name="Intt_Charge_cY" localSheetId="69">#REF!,#REF!</definedName>
    <definedName name="Intt_Charge_cY" localSheetId="70">#REF!,#REF!</definedName>
    <definedName name="Intt_Charge_cY" localSheetId="71">#REF!,#REF!</definedName>
    <definedName name="Intt_Charge_cY" localSheetId="72">#REF!,#REF!</definedName>
    <definedName name="Intt_Charge_cY" localSheetId="60">#REF!,#REF!</definedName>
    <definedName name="Intt_Charge_cY" localSheetId="61">#REF!,#REF!</definedName>
    <definedName name="Intt_Charge_cY" localSheetId="62">#REF!,#REF!</definedName>
    <definedName name="Intt_Charge_cY" localSheetId="63">#REF!,#REF!</definedName>
    <definedName name="Intt_Charge_cY" localSheetId="64">#REF!,#REF!</definedName>
    <definedName name="Intt_Charge_cY" localSheetId="66">#REF!,#REF!</definedName>
    <definedName name="Intt_Charge_cY" localSheetId="67">#REF!,#REF!</definedName>
    <definedName name="Intt_Charge_cY" localSheetId="68">#REF!,#REF!</definedName>
    <definedName name="Intt_Charge_cY" localSheetId="74">#REF!,#REF!</definedName>
    <definedName name="Intt_Charge_cY" localSheetId="75">#REF!,#REF!</definedName>
    <definedName name="Intt_Charge_cY" localSheetId="76">#REF!,#REF!</definedName>
    <definedName name="Intt_Charge_cY" localSheetId="77">#REF!,#REF!</definedName>
    <definedName name="Intt_Charge_cY" localSheetId="78">#REF!,#REF!</definedName>
    <definedName name="Intt_Charge_cY" localSheetId="79">#REF!,#REF!</definedName>
    <definedName name="Intt_Charge_cY">#REF!,#REF!</definedName>
    <definedName name="Intt_Charge_cy_1">'[18]A 3.7'!$H$35,'[18]A 3.7'!$H$44</definedName>
    <definedName name="Intt_Charge_eY" localSheetId="13">#REF!,#REF!</definedName>
    <definedName name="Intt_Charge_eY" localSheetId="14">#REF!,#REF!</definedName>
    <definedName name="Intt_Charge_eY" localSheetId="7">#REF!,#REF!</definedName>
    <definedName name="Intt_Charge_eY" localSheetId="9">#REF!,#REF!</definedName>
    <definedName name="Intt_Charge_eY" localSheetId="10">#REF!,#REF!</definedName>
    <definedName name="Intt_Charge_eY" localSheetId="11">#REF!,#REF!</definedName>
    <definedName name="Intt_Charge_eY" localSheetId="12">#REF!,#REF!</definedName>
    <definedName name="Intt_Charge_eY" localSheetId="43">#REF!,#REF!</definedName>
    <definedName name="Intt_Charge_eY" localSheetId="44">#REF!,#REF!</definedName>
    <definedName name="Intt_Charge_eY" localSheetId="45">#REF!,#REF!</definedName>
    <definedName name="Intt_Charge_eY" localSheetId="46">#REF!,#REF!</definedName>
    <definedName name="Intt_Charge_eY" localSheetId="47">#REF!,#REF!</definedName>
    <definedName name="Intt_Charge_eY" localSheetId="48">#REF!,#REF!</definedName>
    <definedName name="Intt_Charge_eY" localSheetId="50">#REF!,#REF!</definedName>
    <definedName name="Intt_Charge_eY" localSheetId="51">#REF!,#REF!</definedName>
    <definedName name="Intt_Charge_eY" localSheetId="52">#REF!,#REF!</definedName>
    <definedName name="Intt_Charge_eY" localSheetId="53">#REF!,#REF!</definedName>
    <definedName name="Intt_Charge_eY" localSheetId="54">#REF!,#REF!</definedName>
    <definedName name="Intt_Charge_eY" localSheetId="37">#REF!,#REF!</definedName>
    <definedName name="Intt_Charge_eY" localSheetId="38">#REF!,#REF!</definedName>
    <definedName name="Intt_Charge_eY" localSheetId="34">#REF!,#REF!</definedName>
    <definedName name="Intt_Charge_eY" localSheetId="35">#REF!,#REF!</definedName>
    <definedName name="Intt_Charge_eY" localSheetId="36">#REF!,#REF!</definedName>
    <definedName name="Intt_Charge_eY" localSheetId="39">#REF!,#REF!</definedName>
    <definedName name="Intt_Charge_eY" localSheetId="40">#REF!,#REF!</definedName>
    <definedName name="Intt_Charge_eY" localSheetId="69">#REF!,#REF!</definedName>
    <definedName name="Intt_Charge_eY" localSheetId="70">#REF!,#REF!</definedName>
    <definedName name="Intt_Charge_eY" localSheetId="71">#REF!,#REF!</definedName>
    <definedName name="Intt_Charge_eY" localSheetId="72">#REF!,#REF!</definedName>
    <definedName name="Intt_Charge_eY" localSheetId="60">#REF!,#REF!</definedName>
    <definedName name="Intt_Charge_eY" localSheetId="61">#REF!,#REF!</definedName>
    <definedName name="Intt_Charge_eY" localSheetId="62">#REF!,#REF!</definedName>
    <definedName name="Intt_Charge_eY" localSheetId="63">#REF!,#REF!</definedName>
    <definedName name="Intt_Charge_eY" localSheetId="64">#REF!,#REF!</definedName>
    <definedName name="Intt_Charge_eY" localSheetId="66">#REF!,#REF!</definedName>
    <definedName name="Intt_Charge_eY" localSheetId="67">#REF!,#REF!</definedName>
    <definedName name="Intt_Charge_eY" localSheetId="68">#REF!,#REF!</definedName>
    <definedName name="Intt_Charge_eY" localSheetId="74">#REF!,#REF!</definedName>
    <definedName name="Intt_Charge_eY" localSheetId="75">#REF!,#REF!</definedName>
    <definedName name="Intt_Charge_eY" localSheetId="76">#REF!,#REF!</definedName>
    <definedName name="Intt_Charge_eY" localSheetId="77">#REF!,#REF!</definedName>
    <definedName name="Intt_Charge_eY" localSheetId="78">#REF!,#REF!</definedName>
    <definedName name="Intt_Charge_eY" localSheetId="79">#REF!,#REF!</definedName>
    <definedName name="Intt_Charge_eY">#REF!,#REF!</definedName>
    <definedName name="Intt_Charge_ey_1">'[18]A 3.7'!$I$35,'[18]A 3.7'!$I$44</definedName>
    <definedName name="Intt_Charge_PY" localSheetId="13">#REF!,#REF!</definedName>
    <definedName name="Intt_Charge_PY" localSheetId="14">#REF!,#REF!</definedName>
    <definedName name="Intt_Charge_PY" localSheetId="7">#REF!,#REF!</definedName>
    <definedName name="Intt_Charge_PY" localSheetId="9">#REF!,#REF!</definedName>
    <definedName name="Intt_Charge_PY" localSheetId="10">#REF!,#REF!</definedName>
    <definedName name="Intt_Charge_PY" localSheetId="11">#REF!,#REF!</definedName>
    <definedName name="Intt_Charge_PY" localSheetId="12">#REF!,#REF!</definedName>
    <definedName name="Intt_Charge_PY" localSheetId="43">#REF!,#REF!</definedName>
    <definedName name="Intt_Charge_PY" localSheetId="44">#REF!,#REF!</definedName>
    <definedName name="Intt_Charge_PY" localSheetId="45">#REF!,#REF!</definedName>
    <definedName name="Intt_Charge_PY" localSheetId="46">#REF!,#REF!</definedName>
    <definedName name="Intt_Charge_PY" localSheetId="47">#REF!,#REF!</definedName>
    <definedName name="Intt_Charge_PY" localSheetId="48">#REF!,#REF!</definedName>
    <definedName name="Intt_Charge_PY" localSheetId="50">#REF!,#REF!</definedName>
    <definedName name="Intt_Charge_PY" localSheetId="51">#REF!,#REF!</definedName>
    <definedName name="Intt_Charge_PY" localSheetId="52">#REF!,#REF!</definedName>
    <definedName name="Intt_Charge_PY" localSheetId="53">#REF!,#REF!</definedName>
    <definedName name="Intt_Charge_PY" localSheetId="54">#REF!,#REF!</definedName>
    <definedName name="Intt_Charge_PY" localSheetId="37">#REF!,#REF!</definedName>
    <definedName name="Intt_Charge_PY" localSheetId="38">#REF!,#REF!</definedName>
    <definedName name="Intt_Charge_PY" localSheetId="34">#REF!,#REF!</definedName>
    <definedName name="Intt_Charge_PY" localSheetId="35">#REF!,#REF!</definedName>
    <definedName name="Intt_Charge_PY" localSheetId="36">#REF!,#REF!</definedName>
    <definedName name="Intt_Charge_PY" localSheetId="39">#REF!,#REF!</definedName>
    <definedName name="Intt_Charge_PY" localSheetId="40">#REF!,#REF!</definedName>
    <definedName name="Intt_Charge_PY" localSheetId="69">#REF!,#REF!</definedName>
    <definedName name="Intt_Charge_PY" localSheetId="70">#REF!,#REF!</definedName>
    <definedName name="Intt_Charge_PY" localSheetId="71">#REF!,#REF!</definedName>
    <definedName name="Intt_Charge_PY" localSheetId="72">#REF!,#REF!</definedName>
    <definedName name="Intt_Charge_PY" localSheetId="60">#REF!,#REF!</definedName>
    <definedName name="Intt_Charge_PY" localSheetId="61">#REF!,#REF!</definedName>
    <definedName name="Intt_Charge_PY" localSheetId="62">#REF!,#REF!</definedName>
    <definedName name="Intt_Charge_PY" localSheetId="63">#REF!,#REF!</definedName>
    <definedName name="Intt_Charge_PY" localSheetId="64">#REF!,#REF!</definedName>
    <definedName name="Intt_Charge_PY" localSheetId="66">#REF!,#REF!</definedName>
    <definedName name="Intt_Charge_PY" localSheetId="67">#REF!,#REF!</definedName>
    <definedName name="Intt_Charge_PY" localSheetId="68">#REF!,#REF!</definedName>
    <definedName name="Intt_Charge_PY" localSheetId="74">#REF!,#REF!</definedName>
    <definedName name="Intt_Charge_PY" localSheetId="75">#REF!,#REF!</definedName>
    <definedName name="Intt_Charge_PY" localSheetId="76">#REF!,#REF!</definedName>
    <definedName name="Intt_Charge_PY" localSheetId="77">#REF!,#REF!</definedName>
    <definedName name="Intt_Charge_PY" localSheetId="78">#REF!,#REF!</definedName>
    <definedName name="Intt_Charge_PY" localSheetId="79">#REF!,#REF!</definedName>
    <definedName name="Intt_Charge_PY">#REF!,#REF!</definedName>
    <definedName name="Intt_Charge_py_1">'[18]A 3.7'!$G$35,'[18]A 3.7'!$G$44</definedName>
    <definedName name="Investment_Plan" localSheetId="13">#REF!,#REF!</definedName>
    <definedName name="Investment_Plan" localSheetId="14">#REF!,#REF!</definedName>
    <definedName name="Investment_Plan" localSheetId="7">#REF!,#REF!</definedName>
    <definedName name="Investment_Plan" localSheetId="9">#REF!,#REF!</definedName>
    <definedName name="Investment_Plan" localSheetId="10">#REF!,#REF!</definedName>
    <definedName name="Investment_Plan" localSheetId="11">#REF!,#REF!</definedName>
    <definedName name="Investment_Plan" localSheetId="12">#REF!,#REF!</definedName>
    <definedName name="Investment_Plan" localSheetId="43">#REF!,#REF!</definedName>
    <definedName name="Investment_Plan" localSheetId="44">#REF!,#REF!</definedName>
    <definedName name="Investment_Plan" localSheetId="45">#REF!,#REF!</definedName>
    <definedName name="Investment_Plan" localSheetId="46">#REF!,#REF!</definedName>
    <definedName name="Investment_Plan" localSheetId="47">#REF!,#REF!</definedName>
    <definedName name="Investment_Plan" localSheetId="48">#REF!,#REF!</definedName>
    <definedName name="Investment_Plan" localSheetId="50">#REF!,#REF!</definedName>
    <definedName name="Investment_Plan" localSheetId="51">#REF!,#REF!</definedName>
    <definedName name="Investment_Plan" localSheetId="52">#REF!,#REF!</definedName>
    <definedName name="Investment_Plan" localSheetId="53">#REF!,#REF!</definedName>
    <definedName name="Investment_Plan" localSheetId="54">#REF!,#REF!</definedName>
    <definedName name="Investment_Plan" localSheetId="37">#REF!,#REF!</definedName>
    <definedName name="Investment_Plan" localSheetId="38">#REF!,#REF!</definedName>
    <definedName name="Investment_Plan" localSheetId="34">#REF!,#REF!</definedName>
    <definedName name="Investment_Plan" localSheetId="35">#REF!,#REF!</definedName>
    <definedName name="Investment_Plan" localSheetId="36">#REF!,#REF!</definedName>
    <definedName name="Investment_Plan" localSheetId="39">#REF!,#REF!</definedName>
    <definedName name="Investment_Plan" localSheetId="40">#REF!,#REF!</definedName>
    <definedName name="Investment_Plan" localSheetId="69">#REF!,#REF!</definedName>
    <definedName name="Investment_Plan" localSheetId="70">#REF!,#REF!</definedName>
    <definedName name="Investment_Plan" localSheetId="71">#REF!,#REF!</definedName>
    <definedName name="Investment_Plan" localSheetId="72">#REF!,#REF!</definedName>
    <definedName name="Investment_Plan" localSheetId="60">#REF!,#REF!</definedName>
    <definedName name="Investment_Plan" localSheetId="61">#REF!,#REF!</definedName>
    <definedName name="Investment_Plan" localSheetId="62">#REF!,#REF!</definedName>
    <definedName name="Investment_Plan" localSheetId="63">#REF!,#REF!</definedName>
    <definedName name="Investment_Plan" localSheetId="64">#REF!,#REF!</definedName>
    <definedName name="Investment_Plan" localSheetId="66">#REF!,#REF!</definedName>
    <definedName name="Investment_Plan" localSheetId="67">#REF!,#REF!</definedName>
    <definedName name="Investment_Plan" localSheetId="68">#REF!,#REF!</definedName>
    <definedName name="Investment_Plan" localSheetId="74">#REF!,#REF!</definedName>
    <definedName name="Investment_Plan" localSheetId="75">#REF!,#REF!</definedName>
    <definedName name="Investment_Plan" localSheetId="76">#REF!,#REF!</definedName>
    <definedName name="Investment_Plan" localSheetId="77">#REF!,#REF!</definedName>
    <definedName name="Investment_Plan" localSheetId="78">#REF!,#REF!</definedName>
    <definedName name="Investment_Plan" localSheetId="79">#REF!,#REF!</definedName>
    <definedName name="Investment_Plan">#REF!,#REF!</definedName>
    <definedName name="JV10Group_944" localSheetId="13">#REF!</definedName>
    <definedName name="JV10Group_944" localSheetId="14">#REF!</definedName>
    <definedName name="JV10Group_944" localSheetId="7">#REF!</definedName>
    <definedName name="JV10Group_944" localSheetId="9">#REF!</definedName>
    <definedName name="JV10Group_944" localSheetId="10">#REF!</definedName>
    <definedName name="JV10Group_944" localSheetId="11">#REF!</definedName>
    <definedName name="JV10Group_944" localSheetId="12">#REF!</definedName>
    <definedName name="JV10Group_944" localSheetId="43">#REF!</definedName>
    <definedName name="JV10Group_944" localSheetId="44">#REF!</definedName>
    <definedName name="JV10Group_944" localSheetId="45">#REF!</definedName>
    <definedName name="JV10Group_944" localSheetId="46">#REF!</definedName>
    <definedName name="JV10Group_944" localSheetId="47">#REF!</definedName>
    <definedName name="JV10Group_944" localSheetId="48">#REF!</definedName>
    <definedName name="JV10Group_944" localSheetId="50">#REF!</definedName>
    <definedName name="JV10Group_944" localSheetId="51">#REF!</definedName>
    <definedName name="JV10Group_944" localSheetId="52">#REF!</definedName>
    <definedName name="JV10Group_944" localSheetId="53">#REF!</definedName>
    <definedName name="JV10Group_944" localSheetId="54">#REF!</definedName>
    <definedName name="JV10Group_944" localSheetId="37">#REF!</definedName>
    <definedName name="JV10Group_944" localSheetId="38">#REF!</definedName>
    <definedName name="JV10Group_944" localSheetId="34">#REF!</definedName>
    <definedName name="JV10Group_944" localSheetId="35">#REF!</definedName>
    <definedName name="JV10Group_944" localSheetId="36">#REF!</definedName>
    <definedName name="JV10Group_944" localSheetId="39">#REF!</definedName>
    <definedName name="JV10Group_944" localSheetId="40">#REF!</definedName>
    <definedName name="JV10Group_944" localSheetId="69">#REF!</definedName>
    <definedName name="JV10Group_944" localSheetId="70">#REF!</definedName>
    <definedName name="JV10Group_944" localSheetId="71">#REF!</definedName>
    <definedName name="JV10Group_944" localSheetId="72">#REF!</definedName>
    <definedName name="JV10Group_944" localSheetId="60">#REF!</definedName>
    <definedName name="JV10Group_944" localSheetId="61">#REF!</definedName>
    <definedName name="JV10Group_944" localSheetId="62">#REF!</definedName>
    <definedName name="JV10Group_944" localSheetId="63">#REF!</definedName>
    <definedName name="JV10Group_944" localSheetId="64">#REF!</definedName>
    <definedName name="JV10Group_944" localSheetId="66">#REF!</definedName>
    <definedName name="JV10Group_944" localSheetId="67">#REF!</definedName>
    <definedName name="JV10Group_944" localSheetId="68">#REF!</definedName>
    <definedName name="JV10Group_944" localSheetId="74">#REF!</definedName>
    <definedName name="JV10Group_944" localSheetId="75">#REF!</definedName>
    <definedName name="JV10Group_944" localSheetId="76">#REF!</definedName>
    <definedName name="JV10Group_944" localSheetId="77">#REF!</definedName>
    <definedName name="JV10Group_944" localSheetId="78">#REF!</definedName>
    <definedName name="JV10Group_944" localSheetId="79">#REF!</definedName>
    <definedName name="JV10Group_944">#REF!</definedName>
    <definedName name="JV14Group_944" localSheetId="13">#REF!</definedName>
    <definedName name="JV14Group_944" localSheetId="14">#REF!</definedName>
    <definedName name="JV14Group_944" localSheetId="7">#REF!</definedName>
    <definedName name="JV14Group_944" localSheetId="9">#REF!</definedName>
    <definedName name="JV14Group_944" localSheetId="10">#REF!</definedName>
    <definedName name="JV14Group_944" localSheetId="11">#REF!</definedName>
    <definedName name="JV14Group_944" localSheetId="12">#REF!</definedName>
    <definedName name="JV14Group_944" localSheetId="43">#REF!</definedName>
    <definedName name="JV14Group_944" localSheetId="44">#REF!</definedName>
    <definedName name="JV14Group_944" localSheetId="45">#REF!</definedName>
    <definedName name="JV14Group_944" localSheetId="46">#REF!</definedName>
    <definedName name="JV14Group_944" localSheetId="47">#REF!</definedName>
    <definedName name="JV14Group_944" localSheetId="48">#REF!</definedName>
    <definedName name="JV14Group_944" localSheetId="50">#REF!</definedName>
    <definedName name="JV14Group_944" localSheetId="51">#REF!</definedName>
    <definedName name="JV14Group_944" localSheetId="52">#REF!</definedName>
    <definedName name="JV14Group_944" localSheetId="53">#REF!</definedName>
    <definedName name="JV14Group_944" localSheetId="54">#REF!</definedName>
    <definedName name="JV14Group_944" localSheetId="37">#REF!</definedName>
    <definedName name="JV14Group_944" localSheetId="38">#REF!</definedName>
    <definedName name="JV14Group_944" localSheetId="34">#REF!</definedName>
    <definedName name="JV14Group_944" localSheetId="35">#REF!</definedName>
    <definedName name="JV14Group_944" localSheetId="36">#REF!</definedName>
    <definedName name="JV14Group_944" localSheetId="39">#REF!</definedName>
    <definedName name="JV14Group_944" localSheetId="40">#REF!</definedName>
    <definedName name="JV14Group_944" localSheetId="69">#REF!</definedName>
    <definedName name="JV14Group_944" localSheetId="70">#REF!</definedName>
    <definedName name="JV14Group_944" localSheetId="71">#REF!</definedName>
    <definedName name="JV14Group_944" localSheetId="72">#REF!</definedName>
    <definedName name="JV14Group_944" localSheetId="60">#REF!</definedName>
    <definedName name="JV14Group_944" localSheetId="61">#REF!</definedName>
    <definedName name="JV14Group_944" localSheetId="62">#REF!</definedName>
    <definedName name="JV14Group_944" localSheetId="63">#REF!</definedName>
    <definedName name="JV14Group_944" localSheetId="64">#REF!</definedName>
    <definedName name="JV14Group_944" localSheetId="66">#REF!</definedName>
    <definedName name="JV14Group_944" localSheetId="67">#REF!</definedName>
    <definedName name="JV14Group_944" localSheetId="68">#REF!</definedName>
    <definedName name="JV14Group_944" localSheetId="74">#REF!</definedName>
    <definedName name="JV14Group_944" localSheetId="75">#REF!</definedName>
    <definedName name="JV14Group_944" localSheetId="76">#REF!</definedName>
    <definedName name="JV14Group_944" localSheetId="77">#REF!</definedName>
    <definedName name="JV14Group_944" localSheetId="78">#REF!</definedName>
    <definedName name="JV14Group_944" localSheetId="79">#REF!</definedName>
    <definedName name="JV14Group_944">#REF!</definedName>
    <definedName name="K2000_">#N/A</definedName>
    <definedName name="KEII">'[6]Executive Summary -Thermal'!$H$4:$I$31</definedName>
    <definedName name="KEIIU">'[6]Executive Summary -Thermal'!$A$4:$F$31</definedName>
    <definedName name="L1M10" localSheetId="13">#REF!</definedName>
    <definedName name="L1M10" localSheetId="14">#REF!</definedName>
    <definedName name="L1M10" localSheetId="7">#REF!</definedName>
    <definedName name="L1M10" localSheetId="9">#REF!</definedName>
    <definedName name="L1M10" localSheetId="10">#REF!</definedName>
    <definedName name="L1M10" localSheetId="11">#REF!</definedName>
    <definedName name="L1M10" localSheetId="12">#REF!</definedName>
    <definedName name="L1M10" localSheetId="43">#REF!</definedName>
    <definedName name="L1M10" localSheetId="44">#REF!</definedName>
    <definedName name="L1M10" localSheetId="45">#REF!</definedName>
    <definedName name="L1M10" localSheetId="46">#REF!</definedName>
    <definedName name="L1M10" localSheetId="47">#REF!</definedName>
    <definedName name="L1M10" localSheetId="48">#REF!</definedName>
    <definedName name="L1M10" localSheetId="50">#REF!</definedName>
    <definedName name="L1M10" localSheetId="51">#REF!</definedName>
    <definedName name="L1M10" localSheetId="52">#REF!</definedName>
    <definedName name="L1M10" localSheetId="53">#REF!</definedName>
    <definedName name="L1M10" localSheetId="54">#REF!</definedName>
    <definedName name="L1M10" localSheetId="37">#REF!</definedName>
    <definedName name="L1M10" localSheetId="38">#REF!</definedName>
    <definedName name="L1M10" localSheetId="34">#REF!</definedName>
    <definedName name="L1M10" localSheetId="35">#REF!</definedName>
    <definedName name="L1M10" localSheetId="36">#REF!</definedName>
    <definedName name="L1M10" localSheetId="39">#REF!</definedName>
    <definedName name="L1M10" localSheetId="40">#REF!</definedName>
    <definedName name="L1M10" localSheetId="69">#REF!</definedName>
    <definedName name="L1M10" localSheetId="70">#REF!</definedName>
    <definedName name="L1M10" localSheetId="71">#REF!</definedName>
    <definedName name="L1M10" localSheetId="72">#REF!</definedName>
    <definedName name="L1M10" localSheetId="60">#REF!</definedName>
    <definedName name="L1M10" localSheetId="61">#REF!</definedName>
    <definedName name="L1M10" localSheetId="62">#REF!</definedName>
    <definedName name="L1M10" localSheetId="63">#REF!</definedName>
    <definedName name="L1M10" localSheetId="64">#REF!</definedName>
    <definedName name="L1M10" localSheetId="66">#REF!</definedName>
    <definedName name="L1M10" localSheetId="67">#REF!</definedName>
    <definedName name="L1M10" localSheetId="68">#REF!</definedName>
    <definedName name="L1M10" localSheetId="74">#REF!</definedName>
    <definedName name="L1M10" localSheetId="75">#REF!</definedName>
    <definedName name="L1M10" localSheetId="76">#REF!</definedName>
    <definedName name="L1M10" localSheetId="77">#REF!</definedName>
    <definedName name="L1M10" localSheetId="78">#REF!</definedName>
    <definedName name="L1M10" localSheetId="79">#REF!</definedName>
    <definedName name="L1M10">#REF!</definedName>
    <definedName name="L1M2" localSheetId="13">#REF!</definedName>
    <definedName name="L1M2" localSheetId="14">#REF!</definedName>
    <definedName name="L1M2" localSheetId="7">#REF!</definedName>
    <definedName name="L1M2" localSheetId="9">#REF!</definedName>
    <definedName name="L1M2" localSheetId="10">#REF!</definedName>
    <definedName name="L1M2" localSheetId="11">#REF!</definedName>
    <definedName name="L1M2" localSheetId="12">#REF!</definedName>
    <definedName name="L1M2" localSheetId="43">#REF!</definedName>
    <definedName name="L1M2" localSheetId="44">#REF!</definedName>
    <definedName name="L1M2" localSheetId="45">#REF!</definedName>
    <definedName name="L1M2" localSheetId="46">#REF!</definedName>
    <definedName name="L1M2" localSheetId="47">#REF!</definedName>
    <definedName name="L1M2" localSheetId="48">#REF!</definedName>
    <definedName name="L1M2" localSheetId="50">#REF!</definedName>
    <definedName name="L1M2" localSheetId="51">#REF!</definedName>
    <definedName name="L1M2" localSheetId="52">#REF!</definedName>
    <definedName name="L1M2" localSheetId="53">#REF!</definedName>
    <definedName name="L1M2" localSheetId="54">#REF!</definedName>
    <definedName name="L1M2" localSheetId="37">#REF!</definedName>
    <definedName name="L1M2" localSheetId="38">#REF!</definedName>
    <definedName name="L1M2" localSheetId="34">#REF!</definedName>
    <definedName name="L1M2" localSheetId="35">#REF!</definedName>
    <definedName name="L1M2" localSheetId="36">#REF!</definedName>
    <definedName name="L1M2" localSheetId="39">#REF!</definedName>
    <definedName name="L1M2" localSheetId="40">#REF!</definedName>
    <definedName name="L1M2" localSheetId="69">#REF!</definedName>
    <definedName name="L1M2" localSheetId="70">#REF!</definedName>
    <definedName name="L1M2" localSheetId="71">#REF!</definedName>
    <definedName name="L1M2" localSheetId="72">#REF!</definedName>
    <definedName name="L1M2" localSheetId="60">#REF!</definedName>
    <definedName name="L1M2" localSheetId="61">#REF!</definedName>
    <definedName name="L1M2" localSheetId="62">#REF!</definedName>
    <definedName name="L1M2" localSheetId="63">#REF!</definedName>
    <definedName name="L1M2" localSheetId="64">#REF!</definedName>
    <definedName name="L1M2" localSheetId="66">#REF!</definedName>
    <definedName name="L1M2" localSheetId="67">#REF!</definedName>
    <definedName name="L1M2" localSheetId="68">#REF!</definedName>
    <definedName name="L1M2" localSheetId="74">#REF!</definedName>
    <definedName name="L1M2" localSheetId="75">#REF!</definedName>
    <definedName name="L1M2" localSheetId="76">#REF!</definedName>
    <definedName name="L1M2" localSheetId="77">#REF!</definedName>
    <definedName name="L1M2" localSheetId="78">#REF!</definedName>
    <definedName name="L1M2" localSheetId="79">#REF!</definedName>
    <definedName name="L1M2">#REF!</definedName>
    <definedName name="L1M22" localSheetId="13">#REF!</definedName>
    <definedName name="L1M22" localSheetId="14">#REF!</definedName>
    <definedName name="L1M22" localSheetId="7">#REF!</definedName>
    <definedName name="L1M22" localSheetId="9">#REF!</definedName>
    <definedName name="L1M22" localSheetId="10">#REF!</definedName>
    <definedName name="L1M22" localSheetId="11">#REF!</definedName>
    <definedName name="L1M22" localSheetId="12">#REF!</definedName>
    <definedName name="L1M22" localSheetId="43">#REF!</definedName>
    <definedName name="L1M22" localSheetId="44">#REF!</definedName>
    <definedName name="L1M22" localSheetId="45">#REF!</definedName>
    <definedName name="L1M22" localSheetId="46">#REF!</definedName>
    <definedName name="L1M22" localSheetId="47">#REF!</definedName>
    <definedName name="L1M22" localSheetId="48">#REF!</definedName>
    <definedName name="L1M22" localSheetId="50">#REF!</definedName>
    <definedName name="L1M22" localSheetId="51">#REF!</definedName>
    <definedName name="L1M22" localSheetId="52">#REF!</definedName>
    <definedName name="L1M22" localSheetId="53">#REF!</definedName>
    <definedName name="L1M22" localSheetId="54">#REF!</definedName>
    <definedName name="L1M22" localSheetId="37">#REF!</definedName>
    <definedName name="L1M22" localSheetId="38">#REF!</definedName>
    <definedName name="L1M22" localSheetId="34">#REF!</definedName>
    <definedName name="L1M22" localSheetId="35">#REF!</definedName>
    <definedName name="L1M22" localSheetId="36">#REF!</definedName>
    <definedName name="L1M22" localSheetId="39">#REF!</definedName>
    <definedName name="L1M22" localSheetId="40">#REF!</definedName>
    <definedName name="L1M22" localSheetId="69">#REF!</definedName>
    <definedName name="L1M22" localSheetId="70">#REF!</definedName>
    <definedName name="L1M22" localSheetId="71">#REF!</definedName>
    <definedName name="L1M22" localSheetId="72">#REF!</definedName>
    <definedName name="L1M22" localSheetId="60">#REF!</definedName>
    <definedName name="L1M22" localSheetId="61">#REF!</definedName>
    <definedName name="L1M22" localSheetId="62">#REF!</definedName>
    <definedName name="L1M22" localSheetId="63">#REF!</definedName>
    <definedName name="L1M22" localSheetId="64">#REF!</definedName>
    <definedName name="L1M22" localSheetId="66">#REF!</definedName>
    <definedName name="L1M22" localSheetId="67">#REF!</definedName>
    <definedName name="L1M22" localSheetId="68">#REF!</definedName>
    <definedName name="L1M22" localSheetId="74">#REF!</definedName>
    <definedName name="L1M22" localSheetId="75">#REF!</definedName>
    <definedName name="L1M22" localSheetId="76">#REF!</definedName>
    <definedName name="L1M22" localSheetId="77">#REF!</definedName>
    <definedName name="L1M22" localSheetId="78">#REF!</definedName>
    <definedName name="L1M22" localSheetId="79">#REF!</definedName>
    <definedName name="L1M22">#REF!</definedName>
    <definedName name="L1M23" localSheetId="13">#REF!</definedName>
    <definedName name="L1M23" localSheetId="14">#REF!</definedName>
    <definedName name="L1M23" localSheetId="7">#REF!</definedName>
    <definedName name="L1M23" localSheetId="9">#REF!</definedName>
    <definedName name="L1M23" localSheetId="10">#REF!</definedName>
    <definedName name="L1M23" localSheetId="11">#REF!</definedName>
    <definedName name="L1M23" localSheetId="12">#REF!</definedName>
    <definedName name="L1M23" localSheetId="43">#REF!</definedName>
    <definedName name="L1M23" localSheetId="44">#REF!</definedName>
    <definedName name="L1M23" localSheetId="45">#REF!</definedName>
    <definedName name="L1M23" localSheetId="46">#REF!</definedName>
    <definedName name="L1M23" localSheetId="47">#REF!</definedName>
    <definedName name="L1M23" localSheetId="48">#REF!</definedName>
    <definedName name="L1M23" localSheetId="50">#REF!</definedName>
    <definedName name="L1M23" localSheetId="51">#REF!</definedName>
    <definedName name="L1M23" localSheetId="52">#REF!</definedName>
    <definedName name="L1M23" localSheetId="53">#REF!</definedName>
    <definedName name="L1M23" localSheetId="54">#REF!</definedName>
    <definedName name="L1M23" localSheetId="37">#REF!</definedName>
    <definedName name="L1M23" localSheetId="38">#REF!</definedName>
    <definedName name="L1M23" localSheetId="34">#REF!</definedName>
    <definedName name="L1M23" localSheetId="35">#REF!</definedName>
    <definedName name="L1M23" localSheetId="36">#REF!</definedName>
    <definedName name="L1M23" localSheetId="39">#REF!</definedName>
    <definedName name="L1M23" localSheetId="40">#REF!</definedName>
    <definedName name="L1M23" localSheetId="69">#REF!</definedName>
    <definedName name="L1M23" localSheetId="70">#REF!</definedName>
    <definedName name="L1M23" localSheetId="71">#REF!</definedName>
    <definedName name="L1M23" localSheetId="72">#REF!</definedName>
    <definedName name="L1M23" localSheetId="60">#REF!</definedName>
    <definedName name="L1M23" localSheetId="61">#REF!</definedName>
    <definedName name="L1M23" localSheetId="62">#REF!</definedName>
    <definedName name="L1M23" localSheetId="63">#REF!</definedName>
    <definedName name="L1M23" localSheetId="64">#REF!</definedName>
    <definedName name="L1M23" localSheetId="66">#REF!</definedName>
    <definedName name="L1M23" localSheetId="67">#REF!</definedName>
    <definedName name="L1M23" localSheetId="68">#REF!</definedName>
    <definedName name="L1M23" localSheetId="74">#REF!</definedName>
    <definedName name="L1M23" localSheetId="75">#REF!</definedName>
    <definedName name="L1M23" localSheetId="76">#REF!</definedName>
    <definedName name="L1M23" localSheetId="77">#REF!</definedName>
    <definedName name="L1M23" localSheetId="78">#REF!</definedName>
    <definedName name="L1M23" localSheetId="79">#REF!</definedName>
    <definedName name="L1M23">#REF!</definedName>
    <definedName name="L1M24" localSheetId="13">#REF!</definedName>
    <definedName name="L1M24" localSheetId="14">#REF!</definedName>
    <definedName name="L1M24" localSheetId="7">#REF!</definedName>
    <definedName name="L1M24" localSheetId="9">#REF!</definedName>
    <definedName name="L1M24" localSheetId="10">#REF!</definedName>
    <definedName name="L1M24" localSheetId="11">#REF!</definedName>
    <definedName name="L1M24" localSheetId="12">#REF!</definedName>
    <definedName name="L1M24" localSheetId="43">#REF!</definedName>
    <definedName name="L1M24" localSheetId="44">#REF!</definedName>
    <definedName name="L1M24" localSheetId="45">#REF!</definedName>
    <definedName name="L1M24" localSheetId="46">#REF!</definedName>
    <definedName name="L1M24" localSheetId="47">#REF!</definedName>
    <definedName name="L1M24" localSheetId="48">#REF!</definedName>
    <definedName name="L1M24" localSheetId="50">#REF!</definedName>
    <definedName name="L1M24" localSheetId="51">#REF!</definedName>
    <definedName name="L1M24" localSheetId="52">#REF!</definedName>
    <definedName name="L1M24" localSheetId="53">#REF!</definedName>
    <definedName name="L1M24" localSheetId="54">#REF!</definedName>
    <definedName name="L1M24" localSheetId="37">#REF!</definedName>
    <definedName name="L1M24" localSheetId="38">#REF!</definedName>
    <definedName name="L1M24" localSheetId="34">#REF!</definedName>
    <definedName name="L1M24" localSheetId="35">#REF!</definedName>
    <definedName name="L1M24" localSheetId="36">#REF!</definedName>
    <definedName name="L1M24" localSheetId="39">#REF!</definedName>
    <definedName name="L1M24" localSheetId="40">#REF!</definedName>
    <definedName name="L1M24" localSheetId="69">#REF!</definedName>
    <definedName name="L1M24" localSheetId="70">#REF!</definedName>
    <definedName name="L1M24" localSheetId="71">#REF!</definedName>
    <definedName name="L1M24" localSheetId="72">#REF!</definedName>
    <definedName name="L1M24" localSheetId="60">#REF!</definedName>
    <definedName name="L1M24" localSheetId="61">#REF!</definedName>
    <definedName name="L1M24" localSheetId="62">#REF!</definedName>
    <definedName name="L1M24" localSheetId="63">#REF!</definedName>
    <definedName name="L1M24" localSheetId="64">#REF!</definedName>
    <definedName name="L1M24" localSheetId="66">#REF!</definedName>
    <definedName name="L1M24" localSheetId="67">#REF!</definedName>
    <definedName name="L1M24" localSheetId="68">#REF!</definedName>
    <definedName name="L1M24" localSheetId="74">#REF!</definedName>
    <definedName name="L1M24" localSheetId="75">#REF!</definedName>
    <definedName name="L1M24" localSheetId="76">#REF!</definedName>
    <definedName name="L1M24" localSheetId="77">#REF!</definedName>
    <definedName name="L1M24" localSheetId="78">#REF!</definedName>
    <definedName name="L1M24" localSheetId="79">#REF!</definedName>
    <definedName name="L1M24">#REF!</definedName>
    <definedName name="L1M30" localSheetId="13">#REF!</definedName>
    <definedName name="L1M30" localSheetId="14">#REF!</definedName>
    <definedName name="L1M30" localSheetId="7">#REF!</definedName>
    <definedName name="L1M30" localSheetId="9">#REF!</definedName>
    <definedName name="L1M30" localSheetId="10">#REF!</definedName>
    <definedName name="L1M30" localSheetId="11">#REF!</definedName>
    <definedName name="L1M30" localSheetId="12">#REF!</definedName>
    <definedName name="L1M30" localSheetId="43">#REF!</definedName>
    <definedName name="L1M30" localSheetId="44">#REF!</definedName>
    <definedName name="L1M30" localSheetId="45">#REF!</definedName>
    <definedName name="L1M30" localSheetId="46">#REF!</definedName>
    <definedName name="L1M30" localSheetId="47">#REF!</definedName>
    <definedName name="L1M30" localSheetId="48">#REF!</definedName>
    <definedName name="L1M30" localSheetId="50">#REF!</definedName>
    <definedName name="L1M30" localSheetId="51">#REF!</definedName>
    <definedName name="L1M30" localSheetId="52">#REF!</definedName>
    <definedName name="L1M30" localSheetId="53">#REF!</definedName>
    <definedName name="L1M30" localSheetId="54">#REF!</definedName>
    <definedName name="L1M30" localSheetId="37">#REF!</definedName>
    <definedName name="L1M30" localSheetId="38">#REF!</definedName>
    <definedName name="L1M30" localSheetId="34">#REF!</definedName>
    <definedName name="L1M30" localSheetId="35">#REF!</definedName>
    <definedName name="L1M30" localSheetId="36">#REF!</definedName>
    <definedName name="L1M30" localSheetId="39">#REF!</definedName>
    <definedName name="L1M30" localSheetId="40">#REF!</definedName>
    <definedName name="L1M30" localSheetId="69">#REF!</definedName>
    <definedName name="L1M30" localSheetId="70">#REF!</definedName>
    <definedName name="L1M30" localSheetId="71">#REF!</definedName>
    <definedName name="L1M30" localSheetId="72">#REF!</definedName>
    <definedName name="L1M30" localSheetId="60">#REF!</definedName>
    <definedName name="L1M30" localSheetId="61">#REF!</definedName>
    <definedName name="L1M30" localSheetId="62">#REF!</definedName>
    <definedName name="L1M30" localSheetId="63">#REF!</definedName>
    <definedName name="L1M30" localSheetId="64">#REF!</definedName>
    <definedName name="L1M30" localSheetId="66">#REF!</definedName>
    <definedName name="L1M30" localSheetId="67">#REF!</definedName>
    <definedName name="L1M30" localSheetId="68">#REF!</definedName>
    <definedName name="L1M30" localSheetId="74">#REF!</definedName>
    <definedName name="L1M30" localSheetId="75">#REF!</definedName>
    <definedName name="L1M30" localSheetId="76">#REF!</definedName>
    <definedName name="L1M30" localSheetId="77">#REF!</definedName>
    <definedName name="L1M30" localSheetId="78">#REF!</definedName>
    <definedName name="L1M30" localSheetId="79">#REF!</definedName>
    <definedName name="L1M30">#REF!</definedName>
    <definedName name="L1M31" localSheetId="13">#REF!</definedName>
    <definedName name="L1M31" localSheetId="14">#REF!</definedName>
    <definedName name="L1M31" localSheetId="7">#REF!</definedName>
    <definedName name="L1M31" localSheetId="9">#REF!</definedName>
    <definedName name="L1M31" localSheetId="10">#REF!</definedName>
    <definedName name="L1M31" localSheetId="11">#REF!</definedName>
    <definedName name="L1M31" localSheetId="12">#REF!</definedName>
    <definedName name="L1M31" localSheetId="43">#REF!</definedName>
    <definedName name="L1M31" localSheetId="44">#REF!</definedName>
    <definedName name="L1M31" localSheetId="45">#REF!</definedName>
    <definedName name="L1M31" localSheetId="46">#REF!</definedName>
    <definedName name="L1M31" localSheetId="47">#REF!</definedName>
    <definedName name="L1M31" localSheetId="48">#REF!</definedName>
    <definedName name="L1M31" localSheetId="50">#REF!</definedName>
    <definedName name="L1M31" localSheetId="51">#REF!</definedName>
    <definedName name="L1M31" localSheetId="52">#REF!</definedName>
    <definedName name="L1M31" localSheetId="53">#REF!</definedName>
    <definedName name="L1M31" localSheetId="54">#REF!</definedName>
    <definedName name="L1M31" localSheetId="37">#REF!</definedName>
    <definedName name="L1M31" localSheetId="38">#REF!</definedName>
    <definedName name="L1M31" localSheetId="34">#REF!</definedName>
    <definedName name="L1M31" localSheetId="35">#REF!</definedName>
    <definedName name="L1M31" localSheetId="36">#REF!</definedName>
    <definedName name="L1M31" localSheetId="39">#REF!</definedName>
    <definedName name="L1M31" localSheetId="40">#REF!</definedName>
    <definedName name="L1M31" localSheetId="69">#REF!</definedName>
    <definedName name="L1M31" localSheetId="70">#REF!</definedName>
    <definedName name="L1M31" localSheetId="71">#REF!</definedName>
    <definedName name="L1M31" localSheetId="72">#REF!</definedName>
    <definedName name="L1M31" localSheetId="60">#REF!</definedName>
    <definedName name="L1M31" localSheetId="61">#REF!</definedName>
    <definedName name="L1M31" localSheetId="62">#REF!</definedName>
    <definedName name="L1M31" localSheetId="63">#REF!</definedName>
    <definedName name="L1M31" localSheetId="64">#REF!</definedName>
    <definedName name="L1M31" localSheetId="66">#REF!</definedName>
    <definedName name="L1M31" localSheetId="67">#REF!</definedName>
    <definedName name="L1M31" localSheetId="68">#REF!</definedName>
    <definedName name="L1M31" localSheetId="74">#REF!</definedName>
    <definedName name="L1M31" localSheetId="75">#REF!</definedName>
    <definedName name="L1M31" localSheetId="76">#REF!</definedName>
    <definedName name="L1M31" localSheetId="77">#REF!</definedName>
    <definedName name="L1M31" localSheetId="78">#REF!</definedName>
    <definedName name="L1M31" localSheetId="79">#REF!</definedName>
    <definedName name="L1M31">#REF!</definedName>
    <definedName name="L1M32" localSheetId="13">#REF!</definedName>
    <definedName name="L1M32" localSheetId="14">#REF!</definedName>
    <definedName name="L1M32" localSheetId="7">#REF!</definedName>
    <definedName name="L1M32" localSheetId="9">#REF!</definedName>
    <definedName name="L1M32" localSheetId="10">#REF!</definedName>
    <definedName name="L1M32" localSheetId="11">#REF!</definedName>
    <definedName name="L1M32" localSheetId="12">#REF!</definedName>
    <definedName name="L1M32" localSheetId="43">#REF!</definedName>
    <definedName name="L1M32" localSheetId="44">#REF!</definedName>
    <definedName name="L1M32" localSheetId="45">#REF!</definedName>
    <definedName name="L1M32" localSheetId="46">#REF!</definedName>
    <definedName name="L1M32" localSheetId="47">#REF!</definedName>
    <definedName name="L1M32" localSheetId="48">#REF!</definedName>
    <definedName name="L1M32" localSheetId="50">#REF!</definedName>
    <definedName name="L1M32" localSheetId="51">#REF!</definedName>
    <definedName name="L1M32" localSheetId="52">#REF!</definedName>
    <definedName name="L1M32" localSheetId="53">#REF!</definedName>
    <definedName name="L1M32" localSheetId="54">#REF!</definedName>
    <definedName name="L1M32" localSheetId="37">#REF!</definedName>
    <definedName name="L1M32" localSheetId="38">#REF!</definedName>
    <definedName name="L1M32" localSheetId="34">#REF!</definedName>
    <definedName name="L1M32" localSheetId="35">#REF!</definedName>
    <definedName name="L1M32" localSheetId="36">#REF!</definedName>
    <definedName name="L1M32" localSheetId="39">#REF!</definedName>
    <definedName name="L1M32" localSheetId="40">#REF!</definedName>
    <definedName name="L1M32" localSheetId="69">#REF!</definedName>
    <definedName name="L1M32" localSheetId="70">#REF!</definedName>
    <definedName name="L1M32" localSheetId="71">#REF!</definedName>
    <definedName name="L1M32" localSheetId="72">#REF!</definedName>
    <definedName name="L1M32" localSheetId="60">#REF!</definedName>
    <definedName name="L1M32" localSheetId="61">#REF!</definedName>
    <definedName name="L1M32" localSheetId="62">#REF!</definedName>
    <definedName name="L1M32" localSheetId="63">#REF!</definedName>
    <definedName name="L1M32" localSheetId="64">#REF!</definedName>
    <definedName name="L1M32" localSheetId="66">#REF!</definedName>
    <definedName name="L1M32" localSheetId="67">#REF!</definedName>
    <definedName name="L1M32" localSheetId="68">#REF!</definedName>
    <definedName name="L1M32" localSheetId="74">#REF!</definedName>
    <definedName name="L1M32" localSheetId="75">#REF!</definedName>
    <definedName name="L1M32" localSheetId="76">#REF!</definedName>
    <definedName name="L1M32" localSheetId="77">#REF!</definedName>
    <definedName name="L1M32" localSheetId="78">#REF!</definedName>
    <definedName name="L1M32" localSheetId="79">#REF!</definedName>
    <definedName name="L1M32">#REF!</definedName>
    <definedName name="L1M33" localSheetId="13">#REF!</definedName>
    <definedName name="L1M33" localSheetId="14">#REF!</definedName>
    <definedName name="L1M33" localSheetId="7">#REF!</definedName>
    <definedName name="L1M33" localSheetId="9">#REF!</definedName>
    <definedName name="L1M33" localSheetId="10">#REF!</definedName>
    <definedName name="L1M33" localSheetId="11">#REF!</definedName>
    <definedName name="L1M33" localSheetId="12">#REF!</definedName>
    <definedName name="L1M33" localSheetId="43">#REF!</definedName>
    <definedName name="L1M33" localSheetId="44">#REF!</definedName>
    <definedName name="L1M33" localSheetId="45">#REF!</definedName>
    <definedName name="L1M33" localSheetId="46">#REF!</definedName>
    <definedName name="L1M33" localSheetId="47">#REF!</definedName>
    <definedName name="L1M33" localSheetId="48">#REF!</definedName>
    <definedName name="L1M33" localSheetId="50">#REF!</definedName>
    <definedName name="L1M33" localSheetId="51">#REF!</definedName>
    <definedName name="L1M33" localSheetId="52">#REF!</definedName>
    <definedName name="L1M33" localSheetId="53">#REF!</definedName>
    <definedName name="L1M33" localSheetId="54">#REF!</definedName>
    <definedName name="L1M33" localSheetId="37">#REF!</definedName>
    <definedName name="L1M33" localSheetId="38">#REF!</definedName>
    <definedName name="L1M33" localSheetId="34">#REF!</definedName>
    <definedName name="L1M33" localSheetId="35">#REF!</definedName>
    <definedName name="L1M33" localSheetId="36">#REF!</definedName>
    <definedName name="L1M33" localSheetId="39">#REF!</definedName>
    <definedName name="L1M33" localSheetId="40">#REF!</definedName>
    <definedName name="L1M33" localSheetId="69">#REF!</definedName>
    <definedName name="L1M33" localSheetId="70">#REF!</definedName>
    <definedName name="L1M33" localSheetId="71">#REF!</definedName>
    <definedName name="L1M33" localSheetId="72">#REF!</definedName>
    <definedName name="L1M33" localSheetId="60">#REF!</definedName>
    <definedName name="L1M33" localSheetId="61">#REF!</definedName>
    <definedName name="L1M33" localSheetId="62">#REF!</definedName>
    <definedName name="L1M33" localSheetId="63">#REF!</definedName>
    <definedName name="L1M33" localSheetId="64">#REF!</definedName>
    <definedName name="L1M33" localSheetId="66">#REF!</definedName>
    <definedName name="L1M33" localSheetId="67">#REF!</definedName>
    <definedName name="L1M33" localSheetId="68">#REF!</definedName>
    <definedName name="L1M33" localSheetId="74">#REF!</definedName>
    <definedName name="L1M33" localSheetId="75">#REF!</definedName>
    <definedName name="L1M33" localSheetId="76">#REF!</definedName>
    <definedName name="L1M33" localSheetId="77">#REF!</definedName>
    <definedName name="L1M33" localSheetId="78">#REF!</definedName>
    <definedName name="L1M33" localSheetId="79">#REF!</definedName>
    <definedName name="L1M33">#REF!</definedName>
    <definedName name="L1M34" localSheetId="13">#REF!</definedName>
    <definedName name="L1M34" localSheetId="14">#REF!</definedName>
    <definedName name="L1M34" localSheetId="7">#REF!</definedName>
    <definedName name="L1M34" localSheetId="9">#REF!</definedName>
    <definedName name="L1M34" localSheetId="10">#REF!</definedName>
    <definedName name="L1M34" localSheetId="11">#REF!</definedName>
    <definedName name="L1M34" localSheetId="12">#REF!</definedName>
    <definedName name="L1M34" localSheetId="43">#REF!</definedName>
    <definedName name="L1M34" localSheetId="44">#REF!</definedName>
    <definedName name="L1M34" localSheetId="45">#REF!</definedName>
    <definedName name="L1M34" localSheetId="46">#REF!</definedName>
    <definedName name="L1M34" localSheetId="47">#REF!</definedName>
    <definedName name="L1M34" localSheetId="48">#REF!</definedName>
    <definedName name="L1M34" localSheetId="50">#REF!</definedName>
    <definedName name="L1M34" localSheetId="51">#REF!</definedName>
    <definedName name="L1M34" localSheetId="52">#REF!</definedName>
    <definedName name="L1M34" localSheetId="53">#REF!</definedName>
    <definedName name="L1M34" localSheetId="54">#REF!</definedName>
    <definedName name="L1M34" localSheetId="37">#REF!</definedName>
    <definedName name="L1M34" localSheetId="38">#REF!</definedName>
    <definedName name="L1M34" localSheetId="34">#REF!</definedName>
    <definedName name="L1M34" localSheetId="35">#REF!</definedName>
    <definedName name="L1M34" localSheetId="36">#REF!</definedName>
    <definedName name="L1M34" localSheetId="39">#REF!</definedName>
    <definedName name="L1M34" localSheetId="40">#REF!</definedName>
    <definedName name="L1M34" localSheetId="69">#REF!</definedName>
    <definedName name="L1M34" localSheetId="70">#REF!</definedName>
    <definedName name="L1M34" localSheetId="71">#REF!</definedName>
    <definedName name="L1M34" localSheetId="72">#REF!</definedName>
    <definedName name="L1M34" localSheetId="60">#REF!</definedName>
    <definedName name="L1M34" localSheetId="61">#REF!</definedName>
    <definedName name="L1M34" localSheetId="62">#REF!</definedName>
    <definedName name="L1M34" localSheetId="63">#REF!</definedName>
    <definedName name="L1M34" localSheetId="64">#REF!</definedName>
    <definedName name="L1M34" localSheetId="66">#REF!</definedName>
    <definedName name="L1M34" localSheetId="67">#REF!</definedName>
    <definedName name="L1M34" localSheetId="68">#REF!</definedName>
    <definedName name="L1M34" localSheetId="74">#REF!</definedName>
    <definedName name="L1M34" localSheetId="75">#REF!</definedName>
    <definedName name="L1M34" localSheetId="76">#REF!</definedName>
    <definedName name="L1M34" localSheetId="77">#REF!</definedName>
    <definedName name="L1M34" localSheetId="78">#REF!</definedName>
    <definedName name="L1M34" localSheetId="79">#REF!</definedName>
    <definedName name="L1M34">#REF!</definedName>
    <definedName name="L1M37" localSheetId="13">#REF!</definedName>
    <definedName name="L1M37" localSheetId="14">#REF!</definedName>
    <definedName name="L1M37" localSheetId="7">#REF!</definedName>
    <definedName name="L1M37" localSheetId="9">#REF!</definedName>
    <definedName name="L1M37" localSheetId="10">#REF!</definedName>
    <definedName name="L1M37" localSheetId="11">#REF!</definedName>
    <definedName name="L1M37" localSheetId="12">#REF!</definedName>
    <definedName name="L1M37" localSheetId="43">#REF!</definedName>
    <definedName name="L1M37" localSheetId="44">#REF!</definedName>
    <definedName name="L1M37" localSheetId="45">#REF!</definedName>
    <definedName name="L1M37" localSheetId="46">#REF!</definedName>
    <definedName name="L1M37" localSheetId="47">#REF!</definedName>
    <definedName name="L1M37" localSheetId="48">#REF!</definedName>
    <definedName name="L1M37" localSheetId="50">#REF!</definedName>
    <definedName name="L1M37" localSheetId="51">#REF!</definedName>
    <definedName name="L1M37" localSheetId="52">#REF!</definedName>
    <definedName name="L1M37" localSheetId="53">#REF!</definedName>
    <definedName name="L1M37" localSheetId="54">#REF!</definedName>
    <definedName name="L1M37" localSheetId="37">#REF!</definedName>
    <definedName name="L1M37" localSheetId="38">#REF!</definedName>
    <definedName name="L1M37" localSheetId="34">#REF!</definedName>
    <definedName name="L1M37" localSheetId="35">#REF!</definedName>
    <definedName name="L1M37" localSheetId="36">#REF!</definedName>
    <definedName name="L1M37" localSheetId="39">#REF!</definedName>
    <definedName name="L1M37" localSheetId="40">#REF!</definedName>
    <definedName name="L1M37" localSheetId="69">#REF!</definedName>
    <definedName name="L1M37" localSheetId="70">#REF!</definedName>
    <definedName name="L1M37" localSheetId="71">#REF!</definedName>
    <definedName name="L1M37" localSheetId="72">#REF!</definedName>
    <definedName name="L1M37" localSheetId="60">#REF!</definedName>
    <definedName name="L1M37" localSheetId="61">#REF!</definedName>
    <definedName name="L1M37" localSheetId="62">#REF!</definedName>
    <definedName name="L1M37" localSheetId="63">#REF!</definedName>
    <definedName name="L1M37" localSheetId="64">#REF!</definedName>
    <definedName name="L1M37" localSheetId="66">#REF!</definedName>
    <definedName name="L1M37" localSheetId="67">#REF!</definedName>
    <definedName name="L1M37" localSheetId="68">#REF!</definedName>
    <definedName name="L1M37" localSheetId="74">#REF!</definedName>
    <definedName name="L1M37" localSheetId="75">#REF!</definedName>
    <definedName name="L1M37" localSheetId="76">#REF!</definedName>
    <definedName name="L1M37" localSheetId="77">#REF!</definedName>
    <definedName name="L1M37" localSheetId="78">#REF!</definedName>
    <definedName name="L1M37" localSheetId="79">#REF!</definedName>
    <definedName name="L1M37">#REF!</definedName>
    <definedName name="L1M38" localSheetId="13">#REF!</definedName>
    <definedName name="L1M38" localSheetId="14">#REF!</definedName>
    <definedName name="L1M38" localSheetId="7">#REF!</definedName>
    <definedName name="L1M38" localSheetId="9">#REF!</definedName>
    <definedName name="L1M38" localSheetId="10">#REF!</definedName>
    <definedName name="L1M38" localSheetId="11">#REF!</definedName>
    <definedName name="L1M38" localSheetId="12">#REF!</definedName>
    <definedName name="L1M38" localSheetId="43">#REF!</definedName>
    <definedName name="L1M38" localSheetId="44">#REF!</definedName>
    <definedName name="L1M38" localSheetId="45">#REF!</definedName>
    <definedName name="L1M38" localSheetId="46">#REF!</definedName>
    <definedName name="L1M38" localSheetId="47">#REF!</definedName>
    <definedName name="L1M38" localSheetId="48">#REF!</definedName>
    <definedName name="L1M38" localSheetId="50">#REF!</definedName>
    <definedName name="L1M38" localSheetId="51">#REF!</definedName>
    <definedName name="L1M38" localSheetId="52">#REF!</definedName>
    <definedName name="L1M38" localSheetId="53">#REF!</definedName>
    <definedName name="L1M38" localSheetId="54">#REF!</definedName>
    <definedName name="L1M38" localSheetId="37">#REF!</definedName>
    <definedName name="L1M38" localSheetId="38">#REF!</definedName>
    <definedName name="L1M38" localSheetId="34">#REF!</definedName>
    <definedName name="L1M38" localSheetId="35">#REF!</definedName>
    <definedName name="L1M38" localSheetId="36">#REF!</definedName>
    <definedName name="L1M38" localSheetId="39">#REF!</definedName>
    <definedName name="L1M38" localSheetId="40">#REF!</definedName>
    <definedName name="L1M38" localSheetId="69">#REF!</definedName>
    <definedName name="L1M38" localSheetId="70">#REF!</definedName>
    <definedName name="L1M38" localSheetId="71">#REF!</definedName>
    <definedName name="L1M38" localSheetId="72">#REF!</definedName>
    <definedName name="L1M38" localSheetId="60">#REF!</definedName>
    <definedName name="L1M38" localSheetId="61">#REF!</definedName>
    <definedName name="L1M38" localSheetId="62">#REF!</definedName>
    <definedName name="L1M38" localSheetId="63">#REF!</definedName>
    <definedName name="L1M38" localSheetId="64">#REF!</definedName>
    <definedName name="L1M38" localSheetId="66">#REF!</definedName>
    <definedName name="L1M38" localSheetId="67">#REF!</definedName>
    <definedName name="L1M38" localSheetId="68">#REF!</definedName>
    <definedName name="L1M38" localSheetId="74">#REF!</definedName>
    <definedName name="L1M38" localSheetId="75">#REF!</definedName>
    <definedName name="L1M38" localSheetId="76">#REF!</definedName>
    <definedName name="L1M38" localSheetId="77">#REF!</definedName>
    <definedName name="L1M38" localSheetId="78">#REF!</definedName>
    <definedName name="L1M38" localSheetId="79">#REF!</definedName>
    <definedName name="L1M38">#REF!</definedName>
    <definedName name="L1M6" localSheetId="13">#REF!</definedName>
    <definedName name="L1M6" localSheetId="14">#REF!</definedName>
    <definedName name="L1M6" localSheetId="7">#REF!</definedName>
    <definedName name="L1M6" localSheetId="9">#REF!</definedName>
    <definedName name="L1M6" localSheetId="10">#REF!</definedName>
    <definedName name="L1M6" localSheetId="11">#REF!</definedName>
    <definedName name="L1M6" localSheetId="12">#REF!</definedName>
    <definedName name="L1M6" localSheetId="43">#REF!</definedName>
    <definedName name="L1M6" localSheetId="44">#REF!</definedName>
    <definedName name="L1M6" localSheetId="45">#REF!</definedName>
    <definedName name="L1M6" localSheetId="46">#REF!</definedName>
    <definedName name="L1M6" localSheetId="47">#REF!</definedName>
    <definedName name="L1M6" localSheetId="48">#REF!</definedName>
    <definedName name="L1M6" localSheetId="50">#REF!</definedName>
    <definedName name="L1M6" localSheetId="51">#REF!</definedName>
    <definedName name="L1M6" localSheetId="52">#REF!</definedName>
    <definedName name="L1M6" localSheetId="53">#REF!</definedName>
    <definedName name="L1M6" localSheetId="54">#REF!</definedName>
    <definedName name="L1M6" localSheetId="37">#REF!</definedName>
    <definedName name="L1M6" localSheetId="38">#REF!</definedName>
    <definedName name="L1M6" localSheetId="34">#REF!</definedName>
    <definedName name="L1M6" localSheetId="35">#REF!</definedName>
    <definedName name="L1M6" localSheetId="36">#REF!</definedName>
    <definedName name="L1M6" localSheetId="39">#REF!</definedName>
    <definedName name="L1M6" localSheetId="40">#REF!</definedName>
    <definedName name="L1M6" localSheetId="69">#REF!</definedName>
    <definedName name="L1M6" localSheetId="70">#REF!</definedName>
    <definedName name="L1M6" localSheetId="71">#REF!</definedName>
    <definedName name="L1M6" localSheetId="72">#REF!</definedName>
    <definedName name="L1M6" localSheetId="60">#REF!</definedName>
    <definedName name="L1M6" localSheetId="61">#REF!</definedName>
    <definedName name="L1M6" localSheetId="62">#REF!</definedName>
    <definedName name="L1M6" localSheetId="63">#REF!</definedName>
    <definedName name="L1M6" localSheetId="64">#REF!</definedName>
    <definedName name="L1M6" localSheetId="66">#REF!</definedName>
    <definedName name="L1M6" localSheetId="67">#REF!</definedName>
    <definedName name="L1M6" localSheetId="68">#REF!</definedName>
    <definedName name="L1M6" localSheetId="74">#REF!</definedName>
    <definedName name="L1M6" localSheetId="75">#REF!</definedName>
    <definedName name="L1M6" localSheetId="76">#REF!</definedName>
    <definedName name="L1M6" localSheetId="77">#REF!</definedName>
    <definedName name="L1M6" localSheetId="78">#REF!</definedName>
    <definedName name="L1M6" localSheetId="79">#REF!</definedName>
    <definedName name="L1M6">#REF!</definedName>
    <definedName name="L1M8" localSheetId="13">#REF!</definedName>
    <definedName name="L1M8" localSheetId="14">#REF!</definedName>
    <definedName name="L1M8" localSheetId="7">#REF!</definedName>
    <definedName name="L1M8" localSheetId="9">#REF!</definedName>
    <definedName name="L1M8" localSheetId="10">#REF!</definedName>
    <definedName name="L1M8" localSheetId="11">#REF!</definedName>
    <definedName name="L1M8" localSheetId="12">#REF!</definedName>
    <definedName name="L1M8" localSheetId="43">#REF!</definedName>
    <definedName name="L1M8" localSheetId="44">#REF!</definedName>
    <definedName name="L1M8" localSheetId="45">#REF!</definedName>
    <definedName name="L1M8" localSheetId="46">#REF!</definedName>
    <definedName name="L1M8" localSheetId="47">#REF!</definedName>
    <definedName name="L1M8" localSheetId="48">#REF!</definedName>
    <definedName name="L1M8" localSheetId="50">#REF!</definedName>
    <definedName name="L1M8" localSheetId="51">#REF!</definedName>
    <definedName name="L1M8" localSheetId="52">#REF!</definedName>
    <definedName name="L1M8" localSheetId="53">#REF!</definedName>
    <definedName name="L1M8" localSheetId="54">#REF!</definedName>
    <definedName name="L1M8" localSheetId="37">#REF!</definedName>
    <definedName name="L1M8" localSheetId="38">#REF!</definedName>
    <definedName name="L1M8" localSheetId="34">#REF!</definedName>
    <definedName name="L1M8" localSheetId="35">#REF!</definedName>
    <definedName name="L1M8" localSheetId="36">#REF!</definedName>
    <definedName name="L1M8" localSheetId="39">#REF!</definedName>
    <definedName name="L1M8" localSheetId="40">#REF!</definedName>
    <definedName name="L1M8" localSheetId="69">#REF!</definedName>
    <definedName name="L1M8" localSheetId="70">#REF!</definedName>
    <definedName name="L1M8" localSheetId="71">#REF!</definedName>
    <definedName name="L1M8" localSheetId="72">#REF!</definedName>
    <definedName name="L1M8" localSheetId="60">#REF!</definedName>
    <definedName name="L1M8" localSheetId="61">#REF!</definedName>
    <definedName name="L1M8" localSheetId="62">#REF!</definedName>
    <definedName name="L1M8" localSheetId="63">#REF!</definedName>
    <definedName name="L1M8" localSheetId="64">#REF!</definedName>
    <definedName name="L1M8" localSheetId="66">#REF!</definedName>
    <definedName name="L1M8" localSheetId="67">#REF!</definedName>
    <definedName name="L1M8" localSheetId="68">#REF!</definedName>
    <definedName name="L1M8" localSheetId="74">#REF!</definedName>
    <definedName name="L1M8" localSheetId="75">#REF!</definedName>
    <definedName name="L1M8" localSheetId="76">#REF!</definedName>
    <definedName name="L1M8" localSheetId="77">#REF!</definedName>
    <definedName name="L1M8" localSheetId="78">#REF!</definedName>
    <definedName name="L1M8" localSheetId="79">#REF!</definedName>
    <definedName name="L1M8">#REF!</definedName>
    <definedName name="L1M9" localSheetId="13">#REF!</definedName>
    <definedName name="L1M9" localSheetId="14">#REF!</definedName>
    <definedName name="L1M9" localSheetId="7">#REF!</definedName>
    <definedName name="L1M9" localSheetId="9">#REF!</definedName>
    <definedName name="L1M9" localSheetId="10">#REF!</definedName>
    <definedName name="L1M9" localSheetId="11">#REF!</definedName>
    <definedName name="L1M9" localSheetId="12">#REF!</definedName>
    <definedName name="L1M9" localSheetId="43">#REF!</definedName>
    <definedName name="L1M9" localSheetId="44">#REF!</definedName>
    <definedName name="L1M9" localSheetId="45">#REF!</definedName>
    <definedName name="L1M9" localSheetId="46">#REF!</definedName>
    <definedName name="L1M9" localSheetId="47">#REF!</definedName>
    <definedName name="L1M9" localSheetId="48">#REF!</definedName>
    <definedName name="L1M9" localSheetId="50">#REF!</definedName>
    <definedName name="L1M9" localSheetId="51">#REF!</definedName>
    <definedName name="L1M9" localSheetId="52">#REF!</definedName>
    <definedName name="L1M9" localSheetId="53">#REF!</definedName>
    <definedName name="L1M9" localSheetId="54">#REF!</definedName>
    <definedName name="L1M9" localSheetId="37">#REF!</definedName>
    <definedName name="L1M9" localSheetId="38">#REF!</definedName>
    <definedName name="L1M9" localSheetId="34">#REF!</definedName>
    <definedName name="L1M9" localSheetId="35">#REF!</definedName>
    <definedName name="L1M9" localSheetId="36">#REF!</definedName>
    <definedName name="L1M9" localSheetId="39">#REF!</definedName>
    <definedName name="L1M9" localSheetId="40">#REF!</definedName>
    <definedName name="L1M9" localSheetId="69">#REF!</definedName>
    <definedName name="L1M9" localSheetId="70">#REF!</definedName>
    <definedName name="L1M9" localSheetId="71">#REF!</definedName>
    <definedName name="L1M9" localSheetId="72">#REF!</definedName>
    <definedName name="L1M9" localSheetId="60">#REF!</definedName>
    <definedName name="L1M9" localSheetId="61">#REF!</definedName>
    <definedName name="L1M9" localSheetId="62">#REF!</definedName>
    <definedName name="L1M9" localSheetId="63">#REF!</definedName>
    <definedName name="L1M9" localSheetId="64">#REF!</definedName>
    <definedName name="L1M9" localSheetId="66">#REF!</definedName>
    <definedName name="L1M9" localSheetId="67">#REF!</definedName>
    <definedName name="L1M9" localSheetId="68">#REF!</definedName>
    <definedName name="L1M9" localSheetId="74">#REF!</definedName>
    <definedName name="L1M9" localSheetId="75">#REF!</definedName>
    <definedName name="L1M9" localSheetId="76">#REF!</definedName>
    <definedName name="L1M9" localSheetId="77">#REF!</definedName>
    <definedName name="L1M9" localSheetId="78">#REF!</definedName>
    <definedName name="L1M9" localSheetId="79">#REF!</definedName>
    <definedName name="L1M9">#REF!</definedName>
    <definedName name="LEVEL" localSheetId="13">#REF!</definedName>
    <definedName name="LEVEL" localSheetId="14">#REF!</definedName>
    <definedName name="LEVEL" localSheetId="7">#REF!</definedName>
    <definedName name="LEVEL" localSheetId="9">#REF!</definedName>
    <definedName name="LEVEL" localSheetId="10">#REF!</definedName>
    <definedName name="LEVEL" localSheetId="11">#REF!</definedName>
    <definedName name="LEVEL" localSheetId="12">#REF!</definedName>
    <definedName name="LEVEL" localSheetId="43">#REF!</definedName>
    <definedName name="LEVEL" localSheetId="44">#REF!</definedName>
    <definedName name="LEVEL" localSheetId="45">#REF!</definedName>
    <definedName name="LEVEL" localSheetId="46">#REF!</definedName>
    <definedName name="LEVEL" localSheetId="47">#REF!</definedName>
    <definedName name="LEVEL" localSheetId="48">#REF!</definedName>
    <definedName name="LEVEL" localSheetId="50">#REF!</definedName>
    <definedName name="LEVEL" localSheetId="51">#REF!</definedName>
    <definedName name="LEVEL" localSheetId="52">#REF!</definedName>
    <definedName name="LEVEL" localSheetId="53">#REF!</definedName>
    <definedName name="LEVEL" localSheetId="54">#REF!</definedName>
    <definedName name="LEVEL" localSheetId="37">#REF!</definedName>
    <definedName name="LEVEL" localSheetId="38">#REF!</definedName>
    <definedName name="LEVEL" localSheetId="34">#REF!</definedName>
    <definedName name="LEVEL" localSheetId="35">#REF!</definedName>
    <definedName name="LEVEL" localSheetId="36">#REF!</definedName>
    <definedName name="LEVEL" localSheetId="39">#REF!</definedName>
    <definedName name="LEVEL" localSheetId="40">#REF!</definedName>
    <definedName name="LEVEL" localSheetId="69">#REF!</definedName>
    <definedName name="LEVEL" localSheetId="70">#REF!</definedName>
    <definedName name="LEVEL" localSheetId="71">#REF!</definedName>
    <definedName name="LEVEL" localSheetId="72">#REF!</definedName>
    <definedName name="LEVEL" localSheetId="60">#REF!</definedName>
    <definedName name="LEVEL" localSheetId="61">#REF!</definedName>
    <definedName name="LEVEL" localSheetId="62">#REF!</definedName>
    <definedName name="LEVEL" localSheetId="63">#REF!</definedName>
    <definedName name="LEVEL" localSheetId="64">#REF!</definedName>
    <definedName name="LEVEL" localSheetId="66">#REF!</definedName>
    <definedName name="LEVEL" localSheetId="67">#REF!</definedName>
    <definedName name="LEVEL" localSheetId="68">#REF!</definedName>
    <definedName name="LEVEL" localSheetId="74">#REF!</definedName>
    <definedName name="LEVEL" localSheetId="75">#REF!</definedName>
    <definedName name="LEVEL" localSheetId="76">#REF!</definedName>
    <definedName name="LEVEL" localSheetId="77">#REF!</definedName>
    <definedName name="LEVEL" localSheetId="78">#REF!</definedName>
    <definedName name="LEVEL" localSheetId="79">#REF!</definedName>
    <definedName name="LEVEL">#REF!</definedName>
    <definedName name="Live_Integrity" localSheetId="13">[19]Inputs!#REF!</definedName>
    <definedName name="Live_Integrity" localSheetId="14">[19]Inputs!#REF!</definedName>
    <definedName name="Live_Integrity" localSheetId="7">[19]Inputs!#REF!</definedName>
    <definedName name="Live_Integrity" localSheetId="9">[19]Inputs!#REF!</definedName>
    <definedName name="Live_Integrity" localSheetId="10">[19]Inputs!#REF!</definedName>
    <definedName name="Live_Integrity" localSheetId="11">[19]Inputs!#REF!</definedName>
    <definedName name="Live_Integrity" localSheetId="12">[19]Inputs!#REF!</definedName>
    <definedName name="Live_Integrity" localSheetId="43">[19]Inputs!#REF!</definedName>
    <definedName name="Live_Integrity" localSheetId="44">[19]Inputs!#REF!</definedName>
    <definedName name="Live_Integrity" localSheetId="45">[19]Inputs!#REF!</definedName>
    <definedName name="Live_Integrity" localSheetId="46">[19]Inputs!#REF!</definedName>
    <definedName name="Live_Integrity" localSheetId="47">[19]Inputs!#REF!</definedName>
    <definedName name="Live_Integrity" localSheetId="48">[19]Inputs!#REF!</definedName>
    <definedName name="Live_Integrity" localSheetId="50">[19]Inputs!#REF!</definedName>
    <definedName name="Live_Integrity" localSheetId="51">[19]Inputs!#REF!</definedName>
    <definedName name="Live_Integrity" localSheetId="52">[19]Inputs!#REF!</definedName>
    <definedName name="Live_Integrity" localSheetId="53">[19]Inputs!#REF!</definedName>
    <definedName name="Live_Integrity" localSheetId="54">[19]Inputs!#REF!</definedName>
    <definedName name="Live_Integrity" localSheetId="37">[19]Inputs!#REF!</definedName>
    <definedName name="Live_Integrity" localSheetId="38">[19]Inputs!#REF!</definedName>
    <definedName name="Live_Integrity" localSheetId="34">[19]Inputs!#REF!</definedName>
    <definedName name="Live_Integrity" localSheetId="35">[19]Inputs!#REF!</definedName>
    <definedName name="Live_Integrity" localSheetId="36">[19]Inputs!#REF!</definedName>
    <definedName name="Live_Integrity" localSheetId="39">[19]Inputs!#REF!</definedName>
    <definedName name="Live_Integrity" localSheetId="40">[19]Inputs!#REF!</definedName>
    <definedName name="Live_Integrity" localSheetId="69">[19]Inputs!#REF!</definedName>
    <definedName name="Live_Integrity" localSheetId="70">[19]Inputs!#REF!</definedName>
    <definedName name="Live_Integrity" localSheetId="71">[19]Inputs!#REF!</definedName>
    <definedName name="Live_Integrity" localSheetId="72">[19]Inputs!#REF!</definedName>
    <definedName name="Live_Integrity" localSheetId="60">[19]Inputs!#REF!</definedName>
    <definedName name="Live_Integrity" localSheetId="61">[19]Inputs!#REF!</definedName>
    <definedName name="Live_Integrity" localSheetId="62">[19]Inputs!#REF!</definedName>
    <definedName name="Live_Integrity" localSheetId="63">[19]Inputs!#REF!</definedName>
    <definedName name="Live_Integrity" localSheetId="64">[19]Inputs!#REF!</definedName>
    <definedName name="Live_Integrity" localSheetId="66">[19]Inputs!#REF!</definedName>
    <definedName name="Live_Integrity" localSheetId="67">[19]Inputs!#REF!</definedName>
    <definedName name="Live_Integrity" localSheetId="68">[19]Inputs!#REF!</definedName>
    <definedName name="Live_Integrity" localSheetId="74">[19]Inputs!#REF!</definedName>
    <definedName name="Live_Integrity" localSheetId="75">[19]Inputs!#REF!</definedName>
    <definedName name="Live_Integrity" localSheetId="76">[19]Inputs!#REF!</definedName>
    <definedName name="Live_Integrity" localSheetId="77">[19]Inputs!#REF!</definedName>
    <definedName name="Live_Integrity" localSheetId="78">[19]Inputs!#REF!</definedName>
    <definedName name="Live_Integrity" localSheetId="79">[19]Inputs!#REF!</definedName>
    <definedName name="Live_Integrity">[19]Inputs!#REF!</definedName>
    <definedName name="ltind" localSheetId="13">#REF!</definedName>
    <definedName name="ltind" localSheetId="14">#REF!</definedName>
    <definedName name="ltind" localSheetId="7">#REF!</definedName>
    <definedName name="ltind" localSheetId="9">#REF!</definedName>
    <definedName name="ltind" localSheetId="10">#REF!</definedName>
    <definedName name="ltind" localSheetId="11">#REF!</definedName>
    <definedName name="ltind" localSheetId="12">#REF!</definedName>
    <definedName name="ltind" localSheetId="43">#REF!</definedName>
    <definedName name="ltind" localSheetId="44">#REF!</definedName>
    <definedName name="ltind" localSheetId="45">#REF!</definedName>
    <definedName name="ltind" localSheetId="46">#REF!</definedName>
    <definedName name="ltind" localSheetId="47">#REF!</definedName>
    <definedName name="ltind" localSheetId="48">#REF!</definedName>
    <definedName name="ltind" localSheetId="50">#REF!</definedName>
    <definedName name="ltind" localSheetId="51">#REF!</definedName>
    <definedName name="ltind" localSheetId="52">#REF!</definedName>
    <definedName name="ltind" localSheetId="53">#REF!</definedName>
    <definedName name="ltind" localSheetId="54">#REF!</definedName>
    <definedName name="ltind" localSheetId="37">#REF!</definedName>
    <definedName name="ltind" localSheetId="38">#REF!</definedName>
    <definedName name="ltind" localSheetId="34">#REF!</definedName>
    <definedName name="ltind" localSheetId="35">#REF!</definedName>
    <definedName name="ltind" localSheetId="36">#REF!</definedName>
    <definedName name="ltind" localSheetId="39">#REF!</definedName>
    <definedName name="ltind" localSheetId="40">#REF!</definedName>
    <definedName name="ltind" localSheetId="69">#REF!</definedName>
    <definedName name="ltind" localSheetId="70">#REF!</definedName>
    <definedName name="ltind" localSheetId="71">#REF!</definedName>
    <definedName name="ltind" localSheetId="72">#REF!</definedName>
    <definedName name="ltind" localSheetId="60">#REF!</definedName>
    <definedName name="ltind" localSheetId="61">#REF!</definedName>
    <definedName name="ltind" localSheetId="62">#REF!</definedName>
    <definedName name="ltind" localSheetId="63">#REF!</definedName>
    <definedName name="ltind" localSheetId="64">#REF!</definedName>
    <definedName name="ltind" localSheetId="66">#REF!</definedName>
    <definedName name="ltind" localSheetId="67">#REF!</definedName>
    <definedName name="ltind" localSheetId="68">#REF!</definedName>
    <definedName name="ltind" localSheetId="74">#REF!</definedName>
    <definedName name="ltind" localSheetId="75">#REF!</definedName>
    <definedName name="ltind" localSheetId="76">#REF!</definedName>
    <definedName name="ltind" localSheetId="77">#REF!</definedName>
    <definedName name="ltind" localSheetId="78">#REF!</definedName>
    <definedName name="ltind" localSheetId="79">#REF!</definedName>
    <definedName name="ltind">#REF!</definedName>
    <definedName name="Master_Integrity" localSheetId="13">[19]Inputs!#REF!</definedName>
    <definedName name="Master_Integrity" localSheetId="14">[19]Inputs!#REF!</definedName>
    <definedName name="Master_Integrity" localSheetId="7">[19]Inputs!#REF!</definedName>
    <definedName name="Master_Integrity" localSheetId="9">[19]Inputs!#REF!</definedName>
    <definedName name="Master_Integrity" localSheetId="10">[19]Inputs!#REF!</definedName>
    <definedName name="Master_Integrity" localSheetId="11">[19]Inputs!#REF!</definedName>
    <definedName name="Master_Integrity" localSheetId="12">[19]Inputs!#REF!</definedName>
    <definedName name="Master_Integrity" localSheetId="43">[19]Inputs!#REF!</definedName>
    <definedName name="Master_Integrity" localSheetId="44">[19]Inputs!#REF!</definedName>
    <definedName name="Master_Integrity" localSheetId="45">[19]Inputs!#REF!</definedName>
    <definedName name="Master_Integrity" localSheetId="46">[19]Inputs!#REF!</definedName>
    <definedName name="Master_Integrity" localSheetId="47">[19]Inputs!#REF!</definedName>
    <definedName name="Master_Integrity" localSheetId="48">[19]Inputs!#REF!</definedName>
    <definedName name="Master_Integrity" localSheetId="50">[19]Inputs!#REF!</definedName>
    <definedName name="Master_Integrity" localSheetId="51">[19]Inputs!#REF!</definedName>
    <definedName name="Master_Integrity" localSheetId="52">[19]Inputs!#REF!</definedName>
    <definedName name="Master_Integrity" localSheetId="53">[19]Inputs!#REF!</definedName>
    <definedName name="Master_Integrity" localSheetId="54">[19]Inputs!#REF!</definedName>
    <definedName name="Master_Integrity" localSheetId="37">[19]Inputs!#REF!</definedName>
    <definedName name="Master_Integrity" localSheetId="38">[19]Inputs!#REF!</definedName>
    <definedName name="Master_Integrity" localSheetId="34">[19]Inputs!#REF!</definedName>
    <definedName name="Master_Integrity" localSheetId="35">[19]Inputs!#REF!</definedName>
    <definedName name="Master_Integrity" localSheetId="36">[19]Inputs!#REF!</definedName>
    <definedName name="Master_Integrity" localSheetId="39">[19]Inputs!#REF!</definedName>
    <definedName name="Master_Integrity" localSheetId="40">[19]Inputs!#REF!</definedName>
    <definedName name="Master_Integrity" localSheetId="69">[19]Inputs!#REF!</definedName>
    <definedName name="Master_Integrity" localSheetId="70">[19]Inputs!#REF!</definedName>
    <definedName name="Master_Integrity" localSheetId="71">[19]Inputs!#REF!</definedName>
    <definedName name="Master_Integrity" localSheetId="72">[19]Inputs!#REF!</definedName>
    <definedName name="Master_Integrity" localSheetId="60">[19]Inputs!#REF!</definedName>
    <definedName name="Master_Integrity" localSheetId="61">[19]Inputs!#REF!</definedName>
    <definedName name="Master_Integrity" localSheetId="62">[19]Inputs!#REF!</definedName>
    <definedName name="Master_Integrity" localSheetId="63">[19]Inputs!#REF!</definedName>
    <definedName name="Master_Integrity" localSheetId="64">[19]Inputs!#REF!</definedName>
    <definedName name="Master_Integrity" localSheetId="66">[19]Inputs!#REF!</definedName>
    <definedName name="Master_Integrity" localSheetId="67">[19]Inputs!#REF!</definedName>
    <definedName name="Master_Integrity" localSheetId="68">[19]Inputs!#REF!</definedName>
    <definedName name="Master_Integrity" localSheetId="74">[19]Inputs!#REF!</definedName>
    <definedName name="Master_Integrity" localSheetId="75">[19]Inputs!#REF!</definedName>
    <definedName name="Master_Integrity" localSheetId="76">[19]Inputs!#REF!</definedName>
    <definedName name="Master_Integrity" localSheetId="77">[19]Inputs!#REF!</definedName>
    <definedName name="Master_Integrity" localSheetId="78">[19]Inputs!#REF!</definedName>
    <definedName name="Master_Integrity" localSheetId="79">[19]Inputs!#REF!</definedName>
    <definedName name="Master_Integrity">[19]Inputs!#REF!</definedName>
    <definedName name="Master_Signals" localSheetId="13">[19]Inputs!#REF!</definedName>
    <definedName name="Master_Signals" localSheetId="14">[19]Inputs!#REF!</definedName>
    <definedName name="Master_Signals" localSheetId="7">[19]Inputs!#REF!</definedName>
    <definedName name="Master_Signals" localSheetId="9">[19]Inputs!#REF!</definedName>
    <definedName name="Master_Signals" localSheetId="10">[19]Inputs!#REF!</definedName>
    <definedName name="Master_Signals" localSheetId="11">[19]Inputs!#REF!</definedName>
    <definedName name="Master_Signals" localSheetId="12">[19]Inputs!#REF!</definedName>
    <definedName name="Master_Signals" localSheetId="43">[19]Inputs!#REF!</definedName>
    <definedName name="Master_Signals" localSheetId="44">[19]Inputs!#REF!</definedName>
    <definedName name="Master_Signals" localSheetId="45">[19]Inputs!#REF!</definedName>
    <definedName name="Master_Signals" localSheetId="46">[19]Inputs!#REF!</definedName>
    <definedName name="Master_Signals" localSheetId="47">[19]Inputs!#REF!</definedName>
    <definedName name="Master_Signals" localSheetId="48">[19]Inputs!#REF!</definedName>
    <definedName name="Master_Signals" localSheetId="50">[19]Inputs!#REF!</definedName>
    <definedName name="Master_Signals" localSheetId="51">[19]Inputs!#REF!</definedName>
    <definedName name="Master_Signals" localSheetId="52">[19]Inputs!#REF!</definedName>
    <definedName name="Master_Signals" localSheetId="53">[19]Inputs!#REF!</definedName>
    <definedName name="Master_Signals" localSheetId="54">[19]Inputs!#REF!</definedName>
    <definedName name="Master_Signals" localSheetId="37">[19]Inputs!#REF!</definedName>
    <definedName name="Master_Signals" localSheetId="38">[19]Inputs!#REF!</definedName>
    <definedName name="Master_Signals" localSheetId="34">[19]Inputs!#REF!</definedName>
    <definedName name="Master_Signals" localSheetId="35">[19]Inputs!#REF!</definedName>
    <definedName name="Master_Signals" localSheetId="36">[19]Inputs!#REF!</definedName>
    <definedName name="Master_Signals" localSheetId="39">[19]Inputs!#REF!</definedName>
    <definedName name="Master_Signals" localSheetId="40">[19]Inputs!#REF!</definedName>
    <definedName name="Master_Signals" localSheetId="69">[19]Inputs!#REF!</definedName>
    <definedName name="Master_Signals" localSheetId="70">[19]Inputs!#REF!</definedName>
    <definedName name="Master_Signals" localSheetId="71">[19]Inputs!#REF!</definedName>
    <definedName name="Master_Signals" localSheetId="72">[19]Inputs!#REF!</definedName>
    <definedName name="Master_Signals" localSheetId="60">[19]Inputs!#REF!</definedName>
    <definedName name="Master_Signals" localSheetId="61">[19]Inputs!#REF!</definedName>
    <definedName name="Master_Signals" localSheetId="62">[19]Inputs!#REF!</definedName>
    <definedName name="Master_Signals" localSheetId="63">[19]Inputs!#REF!</definedName>
    <definedName name="Master_Signals" localSheetId="64">[19]Inputs!#REF!</definedName>
    <definedName name="Master_Signals" localSheetId="66">[19]Inputs!#REF!</definedName>
    <definedName name="Master_Signals" localSheetId="67">[19]Inputs!#REF!</definedName>
    <definedName name="Master_Signals" localSheetId="68">[19]Inputs!#REF!</definedName>
    <definedName name="Master_Signals" localSheetId="74">[19]Inputs!#REF!</definedName>
    <definedName name="Master_Signals" localSheetId="75">[19]Inputs!#REF!</definedName>
    <definedName name="Master_Signals" localSheetId="76">[19]Inputs!#REF!</definedName>
    <definedName name="Master_Signals" localSheetId="77">[19]Inputs!#REF!</definedName>
    <definedName name="Master_Signals" localSheetId="78">[19]Inputs!#REF!</definedName>
    <definedName name="Master_Signals" localSheetId="79">[19]Inputs!#REF!</definedName>
    <definedName name="Master_Signals">[19]Inputs!#REF!</definedName>
    <definedName name="MEPE">'[6]Executive Summary -Thermal'!$I$4:$EG$36</definedName>
    <definedName name="mill" localSheetId="13">#REF!</definedName>
    <definedName name="mill" localSheetId="14">#REF!</definedName>
    <definedName name="mill" localSheetId="7">#REF!</definedName>
    <definedName name="mill" localSheetId="9">#REF!</definedName>
    <definedName name="mill" localSheetId="10">#REF!</definedName>
    <definedName name="mill" localSheetId="11">#REF!</definedName>
    <definedName name="mill" localSheetId="12">#REF!</definedName>
    <definedName name="mill" localSheetId="43">#REF!</definedName>
    <definedName name="mill" localSheetId="44">#REF!</definedName>
    <definedName name="mill" localSheetId="45">#REF!</definedName>
    <definedName name="mill" localSheetId="46">#REF!</definedName>
    <definedName name="mill" localSheetId="47">#REF!</definedName>
    <definedName name="mill" localSheetId="48">#REF!</definedName>
    <definedName name="mill" localSheetId="50">#REF!</definedName>
    <definedName name="mill" localSheetId="51">#REF!</definedName>
    <definedName name="mill" localSheetId="52">#REF!</definedName>
    <definedName name="mill" localSheetId="53">#REF!</definedName>
    <definedName name="mill" localSheetId="54">#REF!</definedName>
    <definedName name="mill" localSheetId="37">#REF!</definedName>
    <definedName name="mill" localSheetId="38">#REF!</definedName>
    <definedName name="mill" localSheetId="34">#REF!</definedName>
    <definedName name="mill" localSheetId="35">#REF!</definedName>
    <definedName name="mill" localSheetId="36">#REF!</definedName>
    <definedName name="mill" localSheetId="39">#REF!</definedName>
    <definedName name="mill" localSheetId="40">#REF!</definedName>
    <definedName name="mill" localSheetId="69">#REF!</definedName>
    <definedName name="mill" localSheetId="70">#REF!</definedName>
    <definedName name="mill" localSheetId="71">#REF!</definedName>
    <definedName name="mill" localSheetId="72">#REF!</definedName>
    <definedName name="mill" localSheetId="60">#REF!</definedName>
    <definedName name="mill" localSheetId="61">#REF!</definedName>
    <definedName name="mill" localSheetId="62">#REF!</definedName>
    <definedName name="mill" localSheetId="63">#REF!</definedName>
    <definedName name="mill" localSheetId="64">#REF!</definedName>
    <definedName name="mill" localSheetId="66">#REF!</definedName>
    <definedName name="mill" localSheetId="67">#REF!</definedName>
    <definedName name="mill" localSheetId="68">#REF!</definedName>
    <definedName name="mill" localSheetId="74">#REF!</definedName>
    <definedName name="mill" localSheetId="75">#REF!</definedName>
    <definedName name="mill" localSheetId="76">#REF!</definedName>
    <definedName name="mill" localSheetId="77">#REF!</definedName>
    <definedName name="mill" localSheetId="78">#REF!</definedName>
    <definedName name="mill" localSheetId="79">#REF!</definedName>
    <definedName name="mill">#REF!</definedName>
    <definedName name="MOD">'[6]Executive Summary -Thermal'!$A$162:$H$257</definedName>
    <definedName name="MTPI" localSheetId="13">#REF!</definedName>
    <definedName name="MTPI" localSheetId="14">#REF!</definedName>
    <definedName name="MTPI" localSheetId="7">#REF!</definedName>
    <definedName name="MTPI" localSheetId="9">#REF!</definedName>
    <definedName name="MTPI" localSheetId="10">#REF!</definedName>
    <definedName name="MTPI" localSheetId="11">#REF!</definedName>
    <definedName name="MTPI" localSheetId="12">#REF!</definedName>
    <definedName name="MTPI" localSheetId="43">#REF!</definedName>
    <definedName name="MTPI" localSheetId="44">#REF!</definedName>
    <definedName name="MTPI" localSheetId="45">#REF!</definedName>
    <definedName name="MTPI" localSheetId="46">#REF!</definedName>
    <definedName name="MTPI" localSheetId="47">#REF!</definedName>
    <definedName name="MTPI" localSheetId="48">#REF!</definedName>
    <definedName name="MTPI" localSheetId="50">#REF!</definedName>
    <definedName name="MTPI" localSheetId="51">#REF!</definedName>
    <definedName name="MTPI" localSheetId="52">#REF!</definedName>
    <definedName name="MTPI" localSheetId="53">#REF!</definedName>
    <definedName name="MTPI" localSheetId="54">#REF!</definedName>
    <definedName name="MTPI" localSheetId="37">#REF!</definedName>
    <definedName name="MTPI" localSheetId="38">#REF!</definedName>
    <definedName name="MTPI" localSheetId="34">#REF!</definedName>
    <definedName name="MTPI" localSheetId="35">#REF!</definedName>
    <definedName name="MTPI" localSheetId="36">#REF!</definedName>
    <definedName name="MTPI" localSheetId="39">#REF!</definedName>
    <definedName name="MTPI" localSheetId="40">#REF!</definedName>
    <definedName name="MTPI" localSheetId="69">#REF!</definedName>
    <definedName name="MTPI" localSheetId="70">#REF!</definedName>
    <definedName name="MTPI" localSheetId="71">#REF!</definedName>
    <definedName name="MTPI" localSheetId="72">#REF!</definedName>
    <definedName name="MTPI" localSheetId="60">#REF!</definedName>
    <definedName name="MTPI" localSheetId="61">#REF!</definedName>
    <definedName name="MTPI" localSheetId="62">#REF!</definedName>
    <definedName name="MTPI" localSheetId="63">#REF!</definedName>
    <definedName name="MTPI" localSheetId="64">#REF!</definedName>
    <definedName name="MTPI" localSheetId="66">#REF!</definedName>
    <definedName name="MTPI" localSheetId="67">#REF!</definedName>
    <definedName name="MTPI" localSheetId="68">#REF!</definedName>
    <definedName name="MTPI" localSheetId="74">#REF!</definedName>
    <definedName name="MTPI" localSheetId="75">#REF!</definedName>
    <definedName name="MTPI" localSheetId="76">#REF!</definedName>
    <definedName name="MTPI" localSheetId="77">#REF!</definedName>
    <definedName name="MTPI" localSheetId="78">#REF!</definedName>
    <definedName name="MTPI" localSheetId="79">#REF!</definedName>
    <definedName name="MTPI">#REF!</definedName>
    <definedName name="Name_Company">[19]Inputs!$E$140</definedName>
    <definedName name="Name_Model">[19]Inputs!$E$141</definedName>
    <definedName name="Name_Project">[19]Inputs!$E$142</definedName>
    <definedName name="NameBaseCase" localSheetId="13">#REF!</definedName>
    <definedName name="NameBaseCase" localSheetId="14">#REF!</definedName>
    <definedName name="NameBaseCase" localSheetId="7">#REF!</definedName>
    <definedName name="NameBaseCase" localSheetId="9">#REF!</definedName>
    <definedName name="NameBaseCase" localSheetId="10">#REF!</definedName>
    <definedName name="NameBaseCase" localSheetId="11">#REF!</definedName>
    <definedName name="NameBaseCase" localSheetId="12">#REF!</definedName>
    <definedName name="NameBaseCase" localSheetId="43">#REF!</definedName>
    <definedName name="NameBaseCase" localSheetId="44">#REF!</definedName>
    <definedName name="NameBaseCase" localSheetId="45">#REF!</definedName>
    <definedName name="NameBaseCase" localSheetId="46">#REF!</definedName>
    <definedName name="NameBaseCase" localSheetId="47">#REF!</definedName>
    <definedName name="NameBaseCase" localSheetId="48">#REF!</definedName>
    <definedName name="NameBaseCase" localSheetId="50">#REF!</definedName>
    <definedName name="NameBaseCase" localSheetId="51">#REF!</definedName>
    <definedName name="NameBaseCase" localSheetId="52">#REF!</definedName>
    <definedName name="NameBaseCase" localSheetId="53">#REF!</definedName>
    <definedName name="NameBaseCase" localSheetId="54">#REF!</definedName>
    <definedName name="NameBaseCase" localSheetId="37">#REF!</definedName>
    <definedName name="NameBaseCase" localSheetId="38">#REF!</definedName>
    <definedName name="NameBaseCase" localSheetId="34">#REF!</definedName>
    <definedName name="NameBaseCase" localSheetId="35">#REF!</definedName>
    <definedName name="NameBaseCase" localSheetId="36">#REF!</definedName>
    <definedName name="NameBaseCase" localSheetId="39">#REF!</definedName>
    <definedName name="NameBaseCase" localSheetId="40">#REF!</definedName>
    <definedName name="NameBaseCase" localSheetId="69">#REF!</definedName>
    <definedName name="NameBaseCase" localSheetId="70">#REF!</definedName>
    <definedName name="NameBaseCase" localSheetId="71">#REF!</definedName>
    <definedName name="NameBaseCase" localSheetId="72">#REF!</definedName>
    <definedName name="NameBaseCase" localSheetId="60">#REF!</definedName>
    <definedName name="NameBaseCase" localSheetId="61">#REF!</definedName>
    <definedName name="NameBaseCase" localSheetId="62">#REF!</definedName>
    <definedName name="NameBaseCase" localSheetId="63">#REF!</definedName>
    <definedName name="NameBaseCase" localSheetId="64">#REF!</definedName>
    <definedName name="NameBaseCase" localSheetId="66">#REF!</definedName>
    <definedName name="NameBaseCase" localSheetId="67">#REF!</definedName>
    <definedName name="NameBaseCase" localSheetId="68">#REF!</definedName>
    <definedName name="NameBaseCase" localSheetId="74">#REF!</definedName>
    <definedName name="NameBaseCase" localSheetId="75">#REF!</definedName>
    <definedName name="NameBaseCase" localSheetId="76">#REF!</definedName>
    <definedName name="NameBaseCase" localSheetId="77">#REF!</definedName>
    <definedName name="NameBaseCase" localSheetId="78">#REF!</definedName>
    <definedName name="NameBaseCase" localSheetId="79">#REF!</definedName>
    <definedName name="NameBaseCase">#REF!</definedName>
    <definedName name="NonDom" localSheetId="13">#REF!</definedName>
    <definedName name="NonDom" localSheetId="14">#REF!</definedName>
    <definedName name="NonDom" localSheetId="7">#REF!</definedName>
    <definedName name="NonDom" localSheetId="9">#REF!</definedName>
    <definedName name="NonDom" localSheetId="10">#REF!</definedName>
    <definedName name="NonDom" localSheetId="11">#REF!</definedName>
    <definedName name="NonDom" localSheetId="12">#REF!</definedName>
    <definedName name="NonDom" localSheetId="43">#REF!</definedName>
    <definedName name="NonDom" localSheetId="44">#REF!</definedName>
    <definedName name="NonDom" localSheetId="45">#REF!</definedName>
    <definedName name="NonDom" localSheetId="46">#REF!</definedName>
    <definedName name="NonDom" localSheetId="47">#REF!</definedName>
    <definedName name="NonDom" localSheetId="48">#REF!</definedName>
    <definedName name="NonDom" localSheetId="50">#REF!</definedName>
    <definedName name="NonDom" localSheetId="51">#REF!</definedName>
    <definedName name="NonDom" localSheetId="52">#REF!</definedName>
    <definedName name="NonDom" localSheetId="53">#REF!</definedName>
    <definedName name="NonDom" localSheetId="54">#REF!</definedName>
    <definedName name="NonDom" localSheetId="37">#REF!</definedName>
    <definedName name="NonDom" localSheetId="38">#REF!</definedName>
    <definedName name="NonDom" localSheetId="34">#REF!</definedName>
    <definedName name="NonDom" localSheetId="35">#REF!</definedName>
    <definedName name="NonDom" localSheetId="36">#REF!</definedName>
    <definedName name="NonDom" localSheetId="39">#REF!</definedName>
    <definedName name="NonDom" localSheetId="40">#REF!</definedName>
    <definedName name="NonDom" localSheetId="69">#REF!</definedName>
    <definedName name="NonDom" localSheetId="70">#REF!</definedName>
    <definedName name="NonDom" localSheetId="71">#REF!</definedName>
    <definedName name="NonDom" localSheetId="72">#REF!</definedName>
    <definedName name="NonDom" localSheetId="60">#REF!</definedName>
    <definedName name="NonDom" localSheetId="61">#REF!</definedName>
    <definedName name="NonDom" localSheetId="62">#REF!</definedName>
    <definedName name="NonDom" localSheetId="63">#REF!</definedName>
    <definedName name="NonDom" localSheetId="64">#REF!</definedName>
    <definedName name="NonDom" localSheetId="66">#REF!</definedName>
    <definedName name="NonDom" localSheetId="67">#REF!</definedName>
    <definedName name="NonDom" localSheetId="68">#REF!</definedName>
    <definedName name="NonDom" localSheetId="74">#REF!</definedName>
    <definedName name="NonDom" localSheetId="75">#REF!</definedName>
    <definedName name="NonDom" localSheetId="76">#REF!</definedName>
    <definedName name="NonDom" localSheetId="77">#REF!</definedName>
    <definedName name="NonDom" localSheetId="78">#REF!</definedName>
    <definedName name="NonDom" localSheetId="79">#REF!</definedName>
    <definedName name="NonDom">#REF!</definedName>
    <definedName name="Pati" localSheetId="13">#REF!</definedName>
    <definedName name="Pati" localSheetId="14">#REF!</definedName>
    <definedName name="Pati" localSheetId="7">#REF!</definedName>
    <definedName name="Pati" localSheetId="9">#REF!</definedName>
    <definedName name="Pati" localSheetId="10">#REF!</definedName>
    <definedName name="Pati" localSheetId="11">#REF!</definedName>
    <definedName name="Pati" localSheetId="12">#REF!</definedName>
    <definedName name="Pati" localSheetId="43">#REF!</definedName>
    <definedName name="Pati" localSheetId="44">#REF!</definedName>
    <definedName name="Pati" localSheetId="45">#REF!</definedName>
    <definedName name="Pati" localSheetId="46">#REF!</definedName>
    <definedName name="Pati" localSheetId="47">#REF!</definedName>
    <definedName name="Pati" localSheetId="48">#REF!</definedName>
    <definedName name="Pati" localSheetId="50">#REF!</definedName>
    <definedName name="Pati" localSheetId="51">#REF!</definedName>
    <definedName name="Pati" localSheetId="52">#REF!</definedName>
    <definedName name="Pati" localSheetId="53">#REF!</definedName>
    <definedName name="Pati" localSheetId="54">#REF!</definedName>
    <definedName name="Pati" localSheetId="37">#REF!</definedName>
    <definedName name="Pati" localSheetId="38">#REF!</definedName>
    <definedName name="Pati" localSheetId="34">#REF!</definedName>
    <definedName name="Pati" localSheetId="35">#REF!</definedName>
    <definedName name="Pati" localSheetId="36">#REF!</definedName>
    <definedName name="Pati" localSheetId="39">#REF!</definedName>
    <definedName name="Pati" localSheetId="40">#REF!</definedName>
    <definedName name="Pati" localSheetId="69">#REF!</definedName>
    <definedName name="Pati" localSheetId="70">#REF!</definedName>
    <definedName name="Pati" localSheetId="71">#REF!</definedName>
    <definedName name="Pati" localSheetId="72">#REF!</definedName>
    <definedName name="Pati" localSheetId="60">#REF!</definedName>
    <definedName name="Pati" localSheetId="61">#REF!</definedName>
    <definedName name="Pati" localSheetId="62">#REF!</definedName>
    <definedName name="Pati" localSheetId="63">#REF!</definedName>
    <definedName name="Pati" localSheetId="64">#REF!</definedName>
    <definedName name="Pati" localSheetId="66">#REF!</definedName>
    <definedName name="Pati" localSheetId="67">#REF!</definedName>
    <definedName name="Pati" localSheetId="68">#REF!</definedName>
    <definedName name="Pati" localSheetId="74">#REF!</definedName>
    <definedName name="Pati" localSheetId="75">#REF!</definedName>
    <definedName name="Pati" localSheetId="76">#REF!</definedName>
    <definedName name="Pati" localSheetId="77">#REF!</definedName>
    <definedName name="Pati" localSheetId="78">#REF!</definedName>
    <definedName name="Pati" localSheetId="79">#REF!</definedName>
    <definedName name="Pati">#REF!</definedName>
    <definedName name="Pop_Ratio" localSheetId="13">#REF!</definedName>
    <definedName name="Pop_Ratio" localSheetId="14">#REF!</definedName>
    <definedName name="Pop_Ratio" localSheetId="7">#REF!</definedName>
    <definedName name="Pop_Ratio" localSheetId="9">#REF!</definedName>
    <definedName name="Pop_Ratio" localSheetId="10">#REF!</definedName>
    <definedName name="Pop_Ratio" localSheetId="11">#REF!</definedName>
    <definedName name="Pop_Ratio" localSheetId="12">#REF!</definedName>
    <definedName name="Pop_Ratio" localSheetId="43">#REF!</definedName>
    <definedName name="Pop_Ratio" localSheetId="44">#REF!</definedName>
    <definedName name="Pop_Ratio" localSheetId="45">#REF!</definedName>
    <definedName name="Pop_Ratio" localSheetId="46">#REF!</definedName>
    <definedName name="Pop_Ratio" localSheetId="47">#REF!</definedName>
    <definedName name="Pop_Ratio" localSheetId="48">#REF!</definedName>
    <definedName name="Pop_Ratio" localSheetId="50">#REF!</definedName>
    <definedName name="Pop_Ratio" localSheetId="51">#REF!</definedName>
    <definedName name="Pop_Ratio" localSheetId="52">#REF!</definedName>
    <definedName name="Pop_Ratio" localSheetId="53">#REF!</definedName>
    <definedName name="Pop_Ratio" localSheetId="54">#REF!</definedName>
    <definedName name="Pop_Ratio" localSheetId="37">#REF!</definedName>
    <definedName name="Pop_Ratio" localSheetId="38">#REF!</definedName>
    <definedName name="Pop_Ratio" localSheetId="34">#REF!</definedName>
    <definedName name="Pop_Ratio" localSheetId="35">#REF!</definedName>
    <definedName name="Pop_Ratio" localSheetId="36">#REF!</definedName>
    <definedName name="Pop_Ratio" localSheetId="39">#REF!</definedName>
    <definedName name="Pop_Ratio" localSheetId="40">#REF!</definedName>
    <definedName name="Pop_Ratio" localSheetId="69">#REF!</definedName>
    <definedName name="Pop_Ratio" localSheetId="70">#REF!</definedName>
    <definedName name="Pop_Ratio" localSheetId="71">#REF!</definedName>
    <definedName name="Pop_Ratio" localSheetId="72">#REF!</definedName>
    <definedName name="Pop_Ratio" localSheetId="60">#REF!</definedName>
    <definedName name="Pop_Ratio" localSheetId="61">#REF!</definedName>
    <definedName name="Pop_Ratio" localSheetId="62">#REF!</definedName>
    <definedName name="Pop_Ratio" localSheetId="63">#REF!</definedName>
    <definedName name="Pop_Ratio" localSheetId="64">#REF!</definedName>
    <definedName name="Pop_Ratio" localSheetId="66">#REF!</definedName>
    <definedName name="Pop_Ratio" localSheetId="67">#REF!</definedName>
    <definedName name="Pop_Ratio" localSheetId="68">#REF!</definedName>
    <definedName name="Pop_Ratio" localSheetId="74">#REF!</definedName>
    <definedName name="Pop_Ratio" localSheetId="75">#REF!</definedName>
    <definedName name="Pop_Ratio" localSheetId="76">#REF!</definedName>
    <definedName name="Pop_Ratio" localSheetId="77">#REF!</definedName>
    <definedName name="Pop_Ratio" localSheetId="78">#REF!</definedName>
    <definedName name="Pop_Ratio" localSheetId="79">#REF!</definedName>
    <definedName name="Pop_Ratio">#REF!</definedName>
    <definedName name="_xlnm.Print_Area" localSheetId="60">'D-5'!$A$1:$K$45</definedName>
    <definedName name="_xlnm.Print_Area" localSheetId="0">'SOR RATE'!$A$1:$E$667</definedName>
    <definedName name="_xlnm.Print_Titles" localSheetId="1">'A-1'!$5:$7</definedName>
    <definedName name="_xlnm.Print_Titles" localSheetId="13">'A-10'!$7:$9</definedName>
    <definedName name="_xlnm.Print_Titles" localSheetId="14">'A-11'!$7:$9</definedName>
    <definedName name="_xlnm.Print_Titles" localSheetId="2">'A-2 (A)'!$5:$7</definedName>
    <definedName name="_xlnm.Print_Titles" localSheetId="3">'A-2 (B)'!$5:$7</definedName>
    <definedName name="_xlnm.Print_Titles" localSheetId="4">'A-3'!$7:$9</definedName>
    <definedName name="_xlnm.Print_Titles" localSheetId="5">'A-3 (A)'!$5:$6</definedName>
    <definedName name="_xlnm.Print_Titles" localSheetId="6">'A-3 (B)'!$5:$7</definedName>
    <definedName name="_xlnm.Print_Titles" localSheetId="7">'A-4'!$6:$8</definedName>
    <definedName name="_xlnm.Print_Titles" localSheetId="8">'A-5'!$7:$9</definedName>
    <definedName name="_xlnm.Print_Titles" localSheetId="9">'A-6'!$7:$9</definedName>
    <definedName name="_xlnm.Print_Titles" localSheetId="10">'A-7'!$7:$9</definedName>
    <definedName name="_xlnm.Print_Titles" localSheetId="11">'A-8'!$6:$8</definedName>
    <definedName name="_xlnm.Print_Titles" localSheetId="12">'A-9'!$7:$9</definedName>
    <definedName name="_xlnm.Print_Titles" localSheetId="15">'B-1'!$5:$8</definedName>
    <definedName name="_xlnm.Print_Titles" localSheetId="16">'B-2'!$7:$9</definedName>
    <definedName name="_xlnm.Print_Titles" localSheetId="17">'B-3'!$5:$7</definedName>
    <definedName name="_xlnm.Print_Titles" localSheetId="18">'B-4'!$8:$10</definedName>
    <definedName name="_xlnm.Print_Titles" localSheetId="19">'B-5'!$6:$7</definedName>
    <definedName name="_xlnm.Print_Titles" localSheetId="20">'B-6'!$5:$6</definedName>
    <definedName name="_xlnm.Print_Titles" localSheetId="21">'B-8'!$7:$9</definedName>
    <definedName name="_xlnm.Print_Titles" localSheetId="22">'B-9'!$6:$7</definedName>
    <definedName name="_xlnm.Print_Titles" localSheetId="23">'C-1'!$6:$8</definedName>
    <definedName name="_xlnm.Print_Titles" localSheetId="43">'C-10'!$7:$9</definedName>
    <definedName name="_xlnm.Print_Titles" localSheetId="44">'C-11'!$7:$9</definedName>
    <definedName name="_xlnm.Print_Titles" localSheetId="45">'C-12'!$7:$8</definedName>
    <definedName name="_xlnm.Print_Titles" localSheetId="46">'C-13'!$6:$8</definedName>
    <definedName name="_xlnm.Print_Titles" localSheetId="47">'C-14'!$5:$7</definedName>
    <definedName name="_xlnm.Print_Titles" localSheetId="48">'C-15'!$7:$9</definedName>
    <definedName name="_xlnm.Print_Titles" localSheetId="50">'C-17'!$6:$8</definedName>
    <definedName name="_xlnm.Print_Titles" localSheetId="51">'C-18'!$5:$7</definedName>
    <definedName name="_xlnm.Print_Titles" localSheetId="52">'C-19'!$6:$7</definedName>
    <definedName name="_xlnm.Print_Titles" localSheetId="24">'C-2'!$7:$8</definedName>
    <definedName name="_xlnm.Print_Titles" localSheetId="54">'C-21'!$5:$7</definedName>
    <definedName name="_xlnm.Print_Titles" localSheetId="55">'C-22'!$5:$7</definedName>
    <definedName name="_xlnm.Print_Titles" localSheetId="25">'C-3'!$5:$7</definedName>
    <definedName name="_xlnm.Print_Titles" localSheetId="26">'C-3 (A)'!$6:$8</definedName>
    <definedName name="_xlnm.Print_Titles" localSheetId="27">'C-3 (B)'!$6:$9</definedName>
    <definedName name="_xlnm.Print_Titles" localSheetId="28">'C-3 (C)'!$6:$7</definedName>
    <definedName name="_xlnm.Print_Titles" localSheetId="29">'C-3 (D)'!$6:$7</definedName>
    <definedName name="_xlnm.Print_Titles" localSheetId="30">'C-3 (E)'!$6:$7</definedName>
    <definedName name="_xlnm.Print_Titles" localSheetId="31">'C-4'!$6:$8</definedName>
    <definedName name="_xlnm.Print_Titles" localSheetId="32">'C-5'!$7:$9</definedName>
    <definedName name="_xlnm.Print_Titles" localSheetId="33">'C-6'!$6:$7</definedName>
    <definedName name="_xlnm.Print_Titles" localSheetId="37">'C-7 (B-1) A'!$A:$C,'C-7 (B-1) A'!$7:$9</definedName>
    <definedName name="_xlnm.Print_Titles" localSheetId="38">'C-7 (B-1) B'!$A:$C,'C-7 (B-1) B'!$5:$7</definedName>
    <definedName name="_xlnm.Print_Titles" localSheetId="34">'C-7(A-1)'!$A:$C,'C-7(A-1)'!$5:$7</definedName>
    <definedName name="_xlnm.Print_Titles" localSheetId="35">'C-7(A-2)'!$A:$C,'C-7(A-2)'!$5:$7</definedName>
    <definedName name="_xlnm.Print_Titles" localSheetId="36">'C-7(B-1)'!$A:$C,'C-7(B-1)'!$6:$8</definedName>
    <definedName name="_xlnm.Print_Titles" localSheetId="39">'C-7(B-2)'!$A:$C,'C-7(B-2)'!$5:$6</definedName>
    <definedName name="_xlnm.Print_Titles" localSheetId="40">'C-8'!$7:$9</definedName>
    <definedName name="_xlnm.Print_Titles" localSheetId="41">'C-9'!$7:$9</definedName>
    <definedName name="_xlnm.Print_Titles" localSheetId="42">'C-9 (A)'!$7:$9</definedName>
    <definedName name="_xlnm.Print_Titles" localSheetId="56">'D-1'!$5:$7</definedName>
    <definedName name="_xlnm.Print_Titles" localSheetId="69">'D-10'!$5:$6</definedName>
    <definedName name="_xlnm.Print_Titles" localSheetId="70">'D-11'!$5:$7</definedName>
    <definedName name="_xlnm.Print_Titles" localSheetId="71">'D-12'!$5:$6</definedName>
    <definedName name="_xlnm.Print_Titles" localSheetId="72">'D-13'!$5:$6</definedName>
    <definedName name="_xlnm.Print_Titles" localSheetId="57">'D-2'!$5:$7</definedName>
    <definedName name="_xlnm.Print_Titles" localSheetId="58">'D-3'!$5:$9</definedName>
    <definedName name="_xlnm.Print_Titles" localSheetId="59">'D-4'!$5:$7</definedName>
    <definedName name="_xlnm.Print_Titles" localSheetId="60">'D-5'!$5:$9</definedName>
    <definedName name="_xlnm.Print_Titles" localSheetId="61">'D-6 (1)'!$5:$8</definedName>
    <definedName name="_xlnm.Print_Titles" localSheetId="62">'D-6 (2)'!$5:$7</definedName>
    <definedName name="_xlnm.Print_Titles" localSheetId="63">'D-6 (3)'!$5:$7</definedName>
    <definedName name="_xlnm.Print_Titles" localSheetId="64">'D-6 (4)'!$5:$7</definedName>
    <definedName name="_xlnm.Print_Titles" localSheetId="66">'D-7'!$5:$6</definedName>
    <definedName name="_xlnm.Print_Titles" localSheetId="67">'D-8'!$5:$6</definedName>
    <definedName name="_xlnm.Print_Titles" localSheetId="68">'D-9'!$5:$6</definedName>
    <definedName name="_xlnm.Print_Titles" localSheetId="76">'E-3'!$7:$9</definedName>
    <definedName name="_xlnm.Print_Titles" localSheetId="78">'E-5'!$7:$9</definedName>
    <definedName name="_xlnm.Print_Titles" localSheetId="79">'E-6'!$7:$9</definedName>
    <definedName name="_xlnm.Print_Titles" localSheetId="0">'SOR RATE'!$3:$3</definedName>
    <definedName name="_xlnm.Print_Titles">'[20]Ag LF'!$A$1:$B$65536,'[20]Ag LF'!$A$1:$IV$4</definedName>
    <definedName name="PTPI" localSheetId="13">#REF!</definedName>
    <definedName name="PTPI" localSheetId="14">#REF!</definedName>
    <definedName name="PTPI" localSheetId="7">#REF!</definedName>
    <definedName name="PTPI" localSheetId="9">#REF!</definedName>
    <definedName name="PTPI" localSheetId="10">#REF!</definedName>
    <definedName name="PTPI" localSheetId="11">#REF!</definedName>
    <definedName name="PTPI" localSheetId="12">#REF!</definedName>
    <definedName name="PTPI" localSheetId="43">#REF!</definedName>
    <definedName name="PTPI" localSheetId="44">#REF!</definedName>
    <definedName name="PTPI" localSheetId="45">#REF!</definedName>
    <definedName name="PTPI" localSheetId="46">#REF!</definedName>
    <definedName name="PTPI" localSheetId="47">#REF!</definedName>
    <definedName name="PTPI" localSheetId="48">#REF!</definedName>
    <definedName name="PTPI" localSheetId="50">#REF!</definedName>
    <definedName name="PTPI" localSheetId="51">#REF!</definedName>
    <definedName name="PTPI" localSheetId="52">#REF!</definedName>
    <definedName name="PTPI" localSheetId="53">#REF!</definedName>
    <definedName name="PTPI" localSheetId="54">#REF!</definedName>
    <definedName name="PTPI" localSheetId="37">#REF!</definedName>
    <definedName name="PTPI" localSheetId="38">#REF!</definedName>
    <definedName name="PTPI" localSheetId="34">#REF!</definedName>
    <definedName name="PTPI" localSheetId="35">#REF!</definedName>
    <definedName name="PTPI" localSheetId="36">#REF!</definedName>
    <definedName name="PTPI" localSheetId="39">#REF!</definedName>
    <definedName name="PTPI" localSheetId="40">#REF!</definedName>
    <definedName name="PTPI" localSheetId="69">#REF!</definedName>
    <definedName name="PTPI" localSheetId="70">#REF!</definedName>
    <definedName name="PTPI" localSheetId="71">#REF!</definedName>
    <definedName name="PTPI" localSheetId="72">#REF!</definedName>
    <definedName name="PTPI" localSheetId="60">#REF!</definedName>
    <definedName name="PTPI" localSheetId="61">#REF!</definedName>
    <definedName name="PTPI" localSheetId="62">#REF!</definedName>
    <definedName name="PTPI" localSheetId="63">#REF!</definedName>
    <definedName name="PTPI" localSheetId="64">#REF!</definedName>
    <definedName name="PTPI" localSheetId="66">#REF!</definedName>
    <definedName name="PTPI" localSheetId="67">#REF!</definedName>
    <definedName name="PTPI" localSheetId="68">#REF!</definedName>
    <definedName name="PTPI" localSheetId="74">#REF!</definedName>
    <definedName name="PTPI" localSheetId="75">#REF!</definedName>
    <definedName name="PTPI" localSheetId="76">#REF!</definedName>
    <definedName name="PTPI" localSheetId="77">#REF!</definedName>
    <definedName name="PTPI" localSheetId="78">#REF!</definedName>
    <definedName name="PTPI" localSheetId="79">#REF!</definedName>
    <definedName name="PTPI">#REF!</definedName>
    <definedName name="Pumps_and_Meterisation" localSheetId="13">#REF!</definedName>
    <definedName name="Pumps_and_Meterisation" localSheetId="14">#REF!</definedName>
    <definedName name="Pumps_and_Meterisation" localSheetId="7">#REF!</definedName>
    <definedName name="Pumps_and_Meterisation" localSheetId="9">#REF!</definedName>
    <definedName name="Pumps_and_Meterisation" localSheetId="10">#REF!</definedName>
    <definedName name="Pumps_and_Meterisation" localSheetId="11">#REF!</definedName>
    <definedName name="Pumps_and_Meterisation" localSheetId="12">#REF!</definedName>
    <definedName name="Pumps_and_Meterisation" localSheetId="43">#REF!</definedName>
    <definedName name="Pumps_and_Meterisation" localSheetId="44">#REF!</definedName>
    <definedName name="Pumps_and_Meterisation" localSheetId="45">#REF!</definedName>
    <definedName name="Pumps_and_Meterisation" localSheetId="46">#REF!</definedName>
    <definedName name="Pumps_and_Meterisation" localSheetId="47">#REF!</definedName>
    <definedName name="Pumps_and_Meterisation" localSheetId="48">#REF!</definedName>
    <definedName name="Pumps_and_Meterisation" localSheetId="50">#REF!</definedName>
    <definedName name="Pumps_and_Meterisation" localSheetId="51">#REF!</definedName>
    <definedName name="Pumps_and_Meterisation" localSheetId="52">#REF!</definedName>
    <definedName name="Pumps_and_Meterisation" localSheetId="53">#REF!</definedName>
    <definedName name="Pumps_and_Meterisation" localSheetId="54">#REF!</definedName>
    <definedName name="Pumps_and_Meterisation" localSheetId="37">#REF!</definedName>
    <definedName name="Pumps_and_Meterisation" localSheetId="38">#REF!</definedName>
    <definedName name="Pumps_and_Meterisation" localSheetId="34">#REF!</definedName>
    <definedName name="Pumps_and_Meterisation" localSheetId="35">#REF!</definedName>
    <definedName name="Pumps_and_Meterisation" localSheetId="36">#REF!</definedName>
    <definedName name="Pumps_and_Meterisation" localSheetId="39">#REF!</definedName>
    <definedName name="Pumps_and_Meterisation" localSheetId="40">#REF!</definedName>
    <definedName name="Pumps_and_Meterisation" localSheetId="69">#REF!</definedName>
    <definedName name="Pumps_and_Meterisation" localSheetId="70">#REF!</definedName>
    <definedName name="Pumps_and_Meterisation" localSheetId="71">#REF!</definedName>
    <definedName name="Pumps_and_Meterisation" localSheetId="72">#REF!</definedName>
    <definedName name="Pumps_and_Meterisation" localSheetId="60">#REF!</definedName>
    <definedName name="Pumps_and_Meterisation" localSheetId="61">#REF!</definedName>
    <definedName name="Pumps_and_Meterisation" localSheetId="62">#REF!</definedName>
    <definedName name="Pumps_and_Meterisation" localSheetId="63">#REF!</definedName>
    <definedName name="Pumps_and_Meterisation" localSheetId="64">#REF!</definedName>
    <definedName name="Pumps_and_Meterisation" localSheetId="66">#REF!</definedName>
    <definedName name="Pumps_and_Meterisation" localSheetId="67">#REF!</definedName>
    <definedName name="Pumps_and_Meterisation" localSheetId="68">#REF!</definedName>
    <definedName name="Pumps_and_Meterisation" localSheetId="74">#REF!</definedName>
    <definedName name="Pumps_and_Meterisation" localSheetId="75">#REF!</definedName>
    <definedName name="Pumps_and_Meterisation" localSheetId="76">#REF!</definedName>
    <definedName name="Pumps_and_Meterisation" localSheetId="77">#REF!</definedName>
    <definedName name="Pumps_and_Meterisation" localSheetId="78">#REF!</definedName>
    <definedName name="Pumps_and_Meterisation" localSheetId="79">#REF!</definedName>
    <definedName name="Pumps_and_Meterisation">#REF!</definedName>
    <definedName name="q">'[21]A 3.7'!$I$35,'[21]A 3.7'!$I$44</definedName>
    <definedName name="R_">#N/A</definedName>
    <definedName name="R_15_00_01" localSheetId="13">#REF!</definedName>
    <definedName name="R_15_00_01" localSheetId="14">#REF!</definedName>
    <definedName name="R_15_00_01" localSheetId="7">#REF!</definedName>
    <definedName name="R_15_00_01" localSheetId="9">#REF!</definedName>
    <definedName name="R_15_00_01" localSheetId="10">#REF!</definedName>
    <definedName name="R_15_00_01" localSheetId="11">#REF!</definedName>
    <definedName name="R_15_00_01" localSheetId="12">#REF!</definedName>
    <definedName name="R_15_00_01" localSheetId="43">#REF!</definedName>
    <definedName name="R_15_00_01" localSheetId="44">#REF!</definedName>
    <definedName name="R_15_00_01" localSheetId="45">#REF!</definedName>
    <definedName name="R_15_00_01" localSheetId="46">#REF!</definedName>
    <definedName name="R_15_00_01" localSheetId="47">#REF!</definedName>
    <definedName name="R_15_00_01" localSheetId="48">#REF!</definedName>
    <definedName name="R_15_00_01" localSheetId="50">#REF!</definedName>
    <definedName name="R_15_00_01" localSheetId="51">#REF!</definedName>
    <definedName name="R_15_00_01" localSheetId="52">#REF!</definedName>
    <definedName name="R_15_00_01" localSheetId="53">#REF!</definedName>
    <definedName name="R_15_00_01" localSheetId="54">#REF!</definedName>
    <definedName name="R_15_00_01" localSheetId="37">#REF!</definedName>
    <definedName name="R_15_00_01" localSheetId="38">#REF!</definedName>
    <definedName name="R_15_00_01" localSheetId="34">#REF!</definedName>
    <definedName name="R_15_00_01" localSheetId="35">#REF!</definedName>
    <definedName name="R_15_00_01" localSheetId="36">#REF!</definedName>
    <definedName name="R_15_00_01" localSheetId="39">#REF!</definedName>
    <definedName name="R_15_00_01" localSheetId="40">#REF!</definedName>
    <definedName name="R_15_00_01" localSheetId="69">#REF!</definedName>
    <definedName name="R_15_00_01" localSheetId="70">#REF!</definedName>
    <definedName name="R_15_00_01" localSheetId="71">#REF!</definedName>
    <definedName name="R_15_00_01" localSheetId="72">#REF!</definedName>
    <definedName name="R_15_00_01" localSheetId="60">#REF!</definedName>
    <definedName name="R_15_00_01" localSheetId="61">#REF!</definedName>
    <definedName name="R_15_00_01" localSheetId="62">#REF!</definedName>
    <definedName name="R_15_00_01" localSheetId="63">#REF!</definedName>
    <definedName name="R_15_00_01" localSheetId="64">#REF!</definedName>
    <definedName name="R_15_00_01" localSheetId="66">#REF!</definedName>
    <definedName name="R_15_00_01" localSheetId="67">#REF!</definedName>
    <definedName name="R_15_00_01" localSheetId="68">#REF!</definedName>
    <definedName name="R_15_00_01" localSheetId="74">#REF!</definedName>
    <definedName name="R_15_00_01" localSheetId="75">#REF!</definedName>
    <definedName name="R_15_00_01" localSheetId="76">#REF!</definedName>
    <definedName name="R_15_00_01" localSheetId="77">#REF!</definedName>
    <definedName name="R_15_00_01" localSheetId="78">#REF!</definedName>
    <definedName name="R_15_00_01" localSheetId="79">#REF!</definedName>
    <definedName name="R_15_00_01">#REF!</definedName>
    <definedName name="RH" localSheetId="13">'[2]STN WISE EMR'!#REF!</definedName>
    <definedName name="RH" localSheetId="14">'[2]STN WISE EMR'!#REF!</definedName>
    <definedName name="RH" localSheetId="7">'[2]STN WISE EMR'!#REF!</definedName>
    <definedName name="RH" localSheetId="9">'[2]STN WISE EMR'!#REF!</definedName>
    <definedName name="RH" localSheetId="10">'[2]STN WISE EMR'!#REF!</definedName>
    <definedName name="RH" localSheetId="11">'[2]STN WISE EMR'!#REF!</definedName>
    <definedName name="RH" localSheetId="12">'[2]STN WISE EMR'!#REF!</definedName>
    <definedName name="RH" localSheetId="43">'[2]STN WISE EMR'!#REF!</definedName>
    <definedName name="RH" localSheetId="44">'[2]STN WISE EMR'!#REF!</definedName>
    <definedName name="RH" localSheetId="45">'[2]STN WISE EMR'!#REF!</definedName>
    <definedName name="RH" localSheetId="46">'[2]STN WISE EMR'!#REF!</definedName>
    <definedName name="RH" localSheetId="47">'[2]STN WISE EMR'!#REF!</definedName>
    <definedName name="RH" localSheetId="48">'[2]STN WISE EMR'!#REF!</definedName>
    <definedName name="RH" localSheetId="50">'[2]STN WISE EMR'!#REF!</definedName>
    <definedName name="RH" localSheetId="51">'[2]STN WISE EMR'!#REF!</definedName>
    <definedName name="RH" localSheetId="52">'[2]STN WISE EMR'!#REF!</definedName>
    <definedName name="RH" localSheetId="53">'[2]STN WISE EMR'!#REF!</definedName>
    <definedName name="RH" localSheetId="54">'[2]STN WISE EMR'!#REF!</definedName>
    <definedName name="RH" localSheetId="37">'[2]STN WISE EMR'!#REF!</definedName>
    <definedName name="RH" localSheetId="38">'[2]STN WISE EMR'!#REF!</definedName>
    <definedName name="RH" localSheetId="34">'[2]STN WISE EMR'!#REF!</definedName>
    <definedName name="RH" localSheetId="35">'[2]STN WISE EMR'!#REF!</definedName>
    <definedName name="RH" localSheetId="36">'[2]STN WISE EMR'!#REF!</definedName>
    <definedName name="RH" localSheetId="39">'[2]STN WISE EMR'!#REF!</definedName>
    <definedName name="RH" localSheetId="40">'[2]STN WISE EMR'!#REF!</definedName>
    <definedName name="RH" localSheetId="69">'[2]STN WISE EMR'!#REF!</definedName>
    <definedName name="RH" localSheetId="70">'[2]STN WISE EMR'!#REF!</definedName>
    <definedName name="RH" localSheetId="71">'[2]STN WISE EMR'!#REF!</definedName>
    <definedName name="RH" localSheetId="72">'[2]STN WISE EMR'!#REF!</definedName>
    <definedName name="RH" localSheetId="60">'[2]STN WISE EMR'!#REF!</definedName>
    <definedName name="RH" localSheetId="61">'[2]STN WISE EMR'!#REF!</definedName>
    <definedName name="RH" localSheetId="62">'[2]STN WISE EMR'!#REF!</definedName>
    <definedName name="RH" localSheetId="63">'[2]STN WISE EMR'!#REF!</definedName>
    <definedName name="RH" localSheetId="64">'[2]STN WISE EMR'!#REF!</definedName>
    <definedName name="RH" localSheetId="66">'[2]STN WISE EMR'!#REF!</definedName>
    <definedName name="RH" localSheetId="67">'[2]STN WISE EMR'!#REF!</definedName>
    <definedName name="RH" localSheetId="68">'[2]STN WISE EMR'!#REF!</definedName>
    <definedName name="RH" localSheetId="74">'[2]STN WISE EMR'!#REF!</definedName>
    <definedName name="RH" localSheetId="75">'[2]STN WISE EMR'!#REF!</definedName>
    <definedName name="RH" localSheetId="76">'[2]STN WISE EMR'!#REF!</definedName>
    <definedName name="RH" localSheetId="77">'[2]STN WISE EMR'!#REF!</definedName>
    <definedName name="RH" localSheetId="78">'[2]STN WISE EMR'!#REF!</definedName>
    <definedName name="RH" localSheetId="79">'[2]STN WISE EMR'!#REF!</definedName>
    <definedName name="RH">'[2]STN WISE EMR'!#REF!</definedName>
    <definedName name="SA" localSheetId="1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1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1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1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1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4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4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45"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4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4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4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5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5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5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5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5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3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3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3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35"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3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3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4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6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5"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localSheetId="7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A"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Scenario" localSheetId="13">#REF!</definedName>
    <definedName name="Scenario" localSheetId="14">#REF!</definedName>
    <definedName name="Scenario" localSheetId="7">#REF!</definedName>
    <definedName name="Scenario" localSheetId="9">#REF!</definedName>
    <definedName name="Scenario" localSheetId="10">#REF!</definedName>
    <definedName name="Scenario" localSheetId="11">#REF!</definedName>
    <definedName name="Scenario" localSheetId="12">#REF!</definedName>
    <definedName name="Scenario" localSheetId="43">#REF!</definedName>
    <definedName name="Scenario" localSheetId="44">#REF!</definedName>
    <definedName name="Scenario" localSheetId="45">#REF!</definedName>
    <definedName name="Scenario" localSheetId="46">#REF!</definedName>
    <definedName name="Scenario" localSheetId="47">#REF!</definedName>
    <definedName name="Scenario" localSheetId="48">#REF!</definedName>
    <definedName name="Scenario" localSheetId="50">#REF!</definedName>
    <definedName name="Scenario" localSheetId="51">#REF!</definedName>
    <definedName name="Scenario" localSheetId="52">#REF!</definedName>
    <definedName name="Scenario" localSheetId="53">#REF!</definedName>
    <definedName name="Scenario" localSheetId="54">#REF!</definedName>
    <definedName name="Scenario" localSheetId="37">#REF!</definedName>
    <definedName name="Scenario" localSheetId="38">#REF!</definedName>
    <definedName name="Scenario" localSheetId="34">#REF!</definedName>
    <definedName name="Scenario" localSheetId="35">#REF!</definedName>
    <definedName name="Scenario" localSheetId="36">#REF!</definedName>
    <definedName name="Scenario" localSheetId="39">#REF!</definedName>
    <definedName name="Scenario" localSheetId="40">#REF!</definedName>
    <definedName name="Scenario" localSheetId="69">#REF!</definedName>
    <definedName name="Scenario" localSheetId="70">#REF!</definedName>
    <definedName name="Scenario" localSheetId="71">#REF!</definedName>
    <definedName name="Scenario" localSheetId="72">#REF!</definedName>
    <definedName name="Scenario" localSheetId="60">#REF!</definedName>
    <definedName name="Scenario" localSheetId="63">#REF!</definedName>
    <definedName name="Scenario" localSheetId="64">#REF!</definedName>
    <definedName name="Scenario" localSheetId="66">#REF!</definedName>
    <definedName name="Scenario" localSheetId="67">#REF!</definedName>
    <definedName name="Scenario" localSheetId="68">#REF!</definedName>
    <definedName name="Scenario" localSheetId="74">#REF!</definedName>
    <definedName name="Scenario" localSheetId="75">#REF!</definedName>
    <definedName name="Scenario" localSheetId="76">#REF!</definedName>
    <definedName name="Scenario" localSheetId="77">#REF!</definedName>
    <definedName name="Scenario" localSheetId="78">#REF!</definedName>
    <definedName name="Scenario" localSheetId="79">#REF!</definedName>
    <definedName name="Scenario">#REF!</definedName>
    <definedName name="Scenario_Name" localSheetId="13">#REF!</definedName>
    <definedName name="Scenario_Name" localSheetId="14">#REF!</definedName>
    <definedName name="Scenario_Name" localSheetId="7">#REF!</definedName>
    <definedName name="Scenario_Name" localSheetId="9">#REF!</definedName>
    <definedName name="Scenario_Name" localSheetId="10">#REF!</definedName>
    <definedName name="Scenario_Name" localSheetId="11">#REF!</definedName>
    <definedName name="Scenario_Name" localSheetId="12">#REF!</definedName>
    <definedName name="Scenario_Name" localSheetId="43">#REF!</definedName>
    <definedName name="Scenario_Name" localSheetId="44">#REF!</definedName>
    <definedName name="Scenario_Name" localSheetId="45">#REF!</definedName>
    <definedName name="Scenario_Name" localSheetId="46">#REF!</definedName>
    <definedName name="Scenario_Name" localSheetId="47">#REF!</definedName>
    <definedName name="Scenario_Name" localSheetId="48">#REF!</definedName>
    <definedName name="Scenario_Name" localSheetId="50">#REF!</definedName>
    <definedName name="Scenario_Name" localSheetId="51">#REF!</definedName>
    <definedName name="Scenario_Name" localSheetId="52">#REF!</definedName>
    <definedName name="Scenario_Name" localSheetId="53">#REF!</definedName>
    <definedName name="Scenario_Name" localSheetId="54">#REF!</definedName>
    <definedName name="Scenario_Name" localSheetId="37">#REF!</definedName>
    <definedName name="Scenario_Name" localSheetId="38">#REF!</definedName>
    <definedName name="Scenario_Name" localSheetId="34">#REF!</definedName>
    <definedName name="Scenario_Name" localSheetId="35">#REF!</definedName>
    <definedName name="Scenario_Name" localSheetId="36">#REF!</definedName>
    <definedName name="Scenario_Name" localSheetId="39">#REF!</definedName>
    <definedName name="Scenario_Name" localSheetId="40">#REF!</definedName>
    <definedName name="Scenario_Name" localSheetId="69">#REF!</definedName>
    <definedName name="Scenario_Name" localSheetId="70">#REF!</definedName>
    <definedName name="Scenario_Name" localSheetId="71">#REF!</definedName>
    <definedName name="Scenario_Name" localSheetId="72">#REF!</definedName>
    <definedName name="Scenario_Name" localSheetId="60">#REF!</definedName>
    <definedName name="Scenario_Name" localSheetId="63">#REF!</definedName>
    <definedName name="Scenario_Name" localSheetId="64">#REF!</definedName>
    <definedName name="Scenario_Name" localSheetId="66">#REF!</definedName>
    <definedName name="Scenario_Name" localSheetId="67">#REF!</definedName>
    <definedName name="Scenario_Name" localSheetId="68">#REF!</definedName>
    <definedName name="Scenario_Name" localSheetId="74">#REF!</definedName>
    <definedName name="Scenario_Name" localSheetId="75">#REF!</definedName>
    <definedName name="Scenario_Name" localSheetId="76">#REF!</definedName>
    <definedName name="Scenario_Name" localSheetId="77">#REF!</definedName>
    <definedName name="Scenario_Name" localSheetId="78">#REF!</definedName>
    <definedName name="Scenario_Name" localSheetId="79">#REF!</definedName>
    <definedName name="Scenario_Name">#REF!</definedName>
    <definedName name="Scheme" localSheetId="13">#REF!,#REF!</definedName>
    <definedName name="Scheme" localSheetId="14">#REF!,#REF!</definedName>
    <definedName name="Scheme" localSheetId="7">#REF!,#REF!</definedName>
    <definedName name="Scheme" localSheetId="9">#REF!,#REF!</definedName>
    <definedName name="Scheme" localSheetId="10">#REF!,#REF!</definedName>
    <definedName name="Scheme" localSheetId="11">#REF!,#REF!</definedName>
    <definedName name="Scheme" localSheetId="12">#REF!,#REF!</definedName>
    <definedName name="Scheme" localSheetId="43">#REF!,#REF!</definedName>
    <definedName name="Scheme" localSheetId="44">#REF!,#REF!</definedName>
    <definedName name="Scheme" localSheetId="45">#REF!,#REF!</definedName>
    <definedName name="Scheme" localSheetId="46">#REF!,#REF!</definedName>
    <definedName name="Scheme" localSheetId="47">#REF!,#REF!</definedName>
    <definedName name="Scheme" localSheetId="48">#REF!,#REF!</definedName>
    <definedName name="Scheme" localSheetId="50">#REF!,#REF!</definedName>
    <definedName name="Scheme" localSheetId="51">#REF!,#REF!</definedName>
    <definedName name="Scheme" localSheetId="52">#REF!,#REF!</definedName>
    <definedName name="Scheme" localSheetId="53">#REF!,#REF!</definedName>
    <definedName name="Scheme" localSheetId="54">#REF!,#REF!</definedName>
    <definedName name="Scheme" localSheetId="37">#REF!,#REF!</definedName>
    <definedName name="Scheme" localSheetId="38">#REF!,#REF!</definedName>
    <definedName name="Scheme" localSheetId="34">#REF!,#REF!</definedName>
    <definedName name="Scheme" localSheetId="35">#REF!,#REF!</definedName>
    <definedName name="Scheme" localSheetId="36">#REF!,#REF!</definedName>
    <definedName name="Scheme" localSheetId="39">#REF!,#REF!</definedName>
    <definedName name="Scheme" localSheetId="40">#REF!,#REF!</definedName>
    <definedName name="Scheme" localSheetId="69">#REF!,#REF!</definedName>
    <definedName name="Scheme" localSheetId="70">#REF!,#REF!</definedName>
    <definedName name="Scheme" localSheetId="71">#REF!,#REF!</definedName>
    <definedName name="Scheme" localSheetId="72">#REF!,#REF!</definedName>
    <definedName name="Scheme" localSheetId="60">#REF!,#REF!</definedName>
    <definedName name="Scheme" localSheetId="61">#REF!,#REF!</definedName>
    <definedName name="Scheme" localSheetId="62">#REF!,#REF!</definedName>
    <definedName name="Scheme" localSheetId="63">#REF!,#REF!</definedName>
    <definedName name="Scheme" localSheetId="64">#REF!,#REF!</definedName>
    <definedName name="Scheme" localSheetId="66">#REF!,#REF!</definedName>
    <definedName name="Scheme" localSheetId="67">#REF!,#REF!</definedName>
    <definedName name="Scheme" localSheetId="68">#REF!,#REF!</definedName>
    <definedName name="Scheme" localSheetId="74">#REF!,#REF!</definedName>
    <definedName name="Scheme" localSheetId="75">#REF!,#REF!</definedName>
    <definedName name="Scheme" localSheetId="76">#REF!,#REF!</definedName>
    <definedName name="Scheme" localSheetId="77">#REF!,#REF!</definedName>
    <definedName name="Scheme" localSheetId="78">#REF!,#REF!</definedName>
    <definedName name="Scheme" localSheetId="79">#REF!,#REF!</definedName>
    <definedName name="Scheme">#REF!,#REF!</definedName>
    <definedName name="Select_Horizontal" localSheetId="13">#REF!</definedName>
    <definedName name="Select_Horizontal" localSheetId="14">#REF!</definedName>
    <definedName name="Select_Horizontal" localSheetId="7">#REF!</definedName>
    <definedName name="Select_Horizontal" localSheetId="9">#REF!</definedName>
    <definedName name="Select_Horizontal" localSheetId="10">#REF!</definedName>
    <definedName name="Select_Horizontal" localSheetId="11">#REF!</definedName>
    <definedName name="Select_Horizontal" localSheetId="12">#REF!</definedName>
    <definedName name="Select_Horizontal" localSheetId="43">#REF!</definedName>
    <definedName name="Select_Horizontal" localSheetId="44">#REF!</definedName>
    <definedName name="Select_Horizontal" localSheetId="45">#REF!</definedName>
    <definedName name="Select_Horizontal" localSheetId="46">#REF!</definedName>
    <definedName name="Select_Horizontal" localSheetId="47">#REF!</definedName>
    <definedName name="Select_Horizontal" localSheetId="48">#REF!</definedName>
    <definedName name="Select_Horizontal" localSheetId="50">#REF!</definedName>
    <definedName name="Select_Horizontal" localSheetId="51">#REF!</definedName>
    <definedName name="Select_Horizontal" localSheetId="52">#REF!</definedName>
    <definedName name="Select_Horizontal" localSheetId="53">#REF!</definedName>
    <definedName name="Select_Horizontal" localSheetId="54">#REF!</definedName>
    <definedName name="Select_Horizontal" localSheetId="37">#REF!</definedName>
    <definedName name="Select_Horizontal" localSheetId="38">#REF!</definedName>
    <definedName name="Select_Horizontal" localSheetId="34">#REF!</definedName>
    <definedName name="Select_Horizontal" localSheetId="35">#REF!</definedName>
    <definedName name="Select_Horizontal" localSheetId="36">#REF!</definedName>
    <definedName name="Select_Horizontal" localSheetId="39">#REF!</definedName>
    <definedName name="Select_Horizontal" localSheetId="40">#REF!</definedName>
    <definedName name="Select_Horizontal" localSheetId="69">#REF!</definedName>
    <definedName name="Select_Horizontal" localSheetId="70">#REF!</definedName>
    <definedName name="Select_Horizontal" localSheetId="71">#REF!</definedName>
    <definedName name="Select_Horizontal" localSheetId="72">#REF!</definedName>
    <definedName name="Select_Horizontal" localSheetId="60">#REF!</definedName>
    <definedName name="Select_Horizontal" localSheetId="63">#REF!</definedName>
    <definedName name="Select_Horizontal" localSheetId="64">#REF!</definedName>
    <definedName name="Select_Horizontal" localSheetId="66">#REF!</definedName>
    <definedName name="Select_Horizontal" localSheetId="67">#REF!</definedName>
    <definedName name="Select_Horizontal" localSheetId="68">#REF!</definedName>
    <definedName name="Select_Horizontal" localSheetId="74">#REF!</definedName>
    <definedName name="Select_Horizontal" localSheetId="75">#REF!</definedName>
    <definedName name="Select_Horizontal" localSheetId="76">#REF!</definedName>
    <definedName name="Select_Horizontal" localSheetId="77">#REF!</definedName>
    <definedName name="Select_Horizontal" localSheetId="78">#REF!</definedName>
    <definedName name="Select_Horizontal" localSheetId="79">#REF!</definedName>
    <definedName name="Select_Horizontal">#REF!</definedName>
    <definedName name="Select_Vertical" localSheetId="13">#REF!</definedName>
    <definedName name="Select_Vertical" localSheetId="14">#REF!</definedName>
    <definedName name="Select_Vertical" localSheetId="7">#REF!</definedName>
    <definedName name="Select_Vertical" localSheetId="9">#REF!</definedName>
    <definedName name="Select_Vertical" localSheetId="10">#REF!</definedName>
    <definedName name="Select_Vertical" localSheetId="11">#REF!</definedName>
    <definedName name="Select_Vertical" localSheetId="12">#REF!</definedName>
    <definedName name="Select_Vertical" localSheetId="43">#REF!</definedName>
    <definedName name="Select_Vertical" localSheetId="44">#REF!</definedName>
    <definedName name="Select_Vertical" localSheetId="45">#REF!</definedName>
    <definedName name="Select_Vertical" localSheetId="46">#REF!</definedName>
    <definedName name="Select_Vertical" localSheetId="47">#REF!</definedName>
    <definedName name="Select_Vertical" localSheetId="48">#REF!</definedName>
    <definedName name="Select_Vertical" localSheetId="50">#REF!</definedName>
    <definedName name="Select_Vertical" localSheetId="51">#REF!</definedName>
    <definedName name="Select_Vertical" localSheetId="52">#REF!</definedName>
    <definedName name="Select_Vertical" localSheetId="53">#REF!</definedName>
    <definedName name="Select_Vertical" localSheetId="54">#REF!</definedName>
    <definedName name="Select_Vertical" localSheetId="37">#REF!</definedName>
    <definedName name="Select_Vertical" localSheetId="38">#REF!</definedName>
    <definedName name="Select_Vertical" localSheetId="34">#REF!</definedName>
    <definedName name="Select_Vertical" localSheetId="35">#REF!</definedName>
    <definedName name="Select_Vertical" localSheetId="36">#REF!</definedName>
    <definedName name="Select_Vertical" localSheetId="39">#REF!</definedName>
    <definedName name="Select_Vertical" localSheetId="40">#REF!</definedName>
    <definedName name="Select_Vertical" localSheetId="69">#REF!</definedName>
    <definedName name="Select_Vertical" localSheetId="70">#REF!</definedName>
    <definedName name="Select_Vertical" localSheetId="71">#REF!</definedName>
    <definedName name="Select_Vertical" localSheetId="72">#REF!</definedName>
    <definedName name="Select_Vertical" localSheetId="60">#REF!</definedName>
    <definedName name="Select_Vertical" localSheetId="63">#REF!</definedName>
    <definedName name="Select_Vertical" localSheetId="64">#REF!</definedName>
    <definedName name="Select_Vertical" localSheetId="66">#REF!</definedName>
    <definedName name="Select_Vertical" localSheetId="67">#REF!</definedName>
    <definedName name="Select_Vertical" localSheetId="68">#REF!</definedName>
    <definedName name="Select_Vertical" localSheetId="74">#REF!</definedName>
    <definedName name="Select_Vertical" localSheetId="75">#REF!</definedName>
    <definedName name="Select_Vertical" localSheetId="76">#REF!</definedName>
    <definedName name="Select_Vertical" localSheetId="77">#REF!</definedName>
    <definedName name="Select_Vertical" localSheetId="78">#REF!</definedName>
    <definedName name="Select_Vertical" localSheetId="79">#REF!</definedName>
    <definedName name="Select_Vertical">#REF!</definedName>
    <definedName name="Sendhwa">'[13]Format-A (S)'!$C$41</definedName>
    <definedName name="Sendhwa_Division.">[13]Sheet1!$C$103</definedName>
    <definedName name="sfdadsfasdf" localSheetId="13" hidden="1">{#N/A,#N/A,FALSE,"1.1";#N/A,#N/A,FALSE,"1.1a";#N/A,#N/A,FALSE,"1.1b";#N/A,#N/A,FALSE,"1.1c";#N/A,#N/A,FALSE,"1.1e";#N/A,#N/A,FALSE,"1.1f";#N/A,#N/A,FALSE,"1.1g";#N/A,#N/A,FALSE,"1.1h_D";#N/A,#N/A,FALSE,"1.1h_T";#N/A,#N/A,FALSE,"1.2";#N/A,#N/A,FALSE,"1.3b";#N/A,#N/A,FALSE,"1.3";#N/A,#N/A,FALSE,"1.4";#N/A,#N/A,FALSE,"1.5";#N/A,#N/A,FALSE,"1.6";#N/A,#N/A,FALSE,"SOD";#N/A,#N/A,FALSE,"CF"}</definedName>
    <definedName name="sfdadsfasdf" localSheetId="14" hidden="1">{#N/A,#N/A,FALSE,"1.1";#N/A,#N/A,FALSE,"1.1a";#N/A,#N/A,FALSE,"1.1b";#N/A,#N/A,FALSE,"1.1c";#N/A,#N/A,FALSE,"1.1e";#N/A,#N/A,FALSE,"1.1f";#N/A,#N/A,FALSE,"1.1g";#N/A,#N/A,FALSE,"1.1h_D";#N/A,#N/A,FALSE,"1.1h_T";#N/A,#N/A,FALSE,"1.2";#N/A,#N/A,FALSE,"1.3b";#N/A,#N/A,FALSE,"1.3";#N/A,#N/A,FALSE,"1.4";#N/A,#N/A,FALSE,"1.5";#N/A,#N/A,FALSE,"1.6";#N/A,#N/A,FALSE,"SOD";#N/A,#N/A,FALSE,"CF"}</definedName>
    <definedName name="sfdadsfasdf" localSheetId="7" hidden="1">{#N/A,#N/A,FALSE,"1.1";#N/A,#N/A,FALSE,"1.1a";#N/A,#N/A,FALSE,"1.1b";#N/A,#N/A,FALSE,"1.1c";#N/A,#N/A,FALSE,"1.1e";#N/A,#N/A,FALSE,"1.1f";#N/A,#N/A,FALSE,"1.1g";#N/A,#N/A,FALSE,"1.1h_D";#N/A,#N/A,FALSE,"1.1h_T";#N/A,#N/A,FALSE,"1.2";#N/A,#N/A,FALSE,"1.3b";#N/A,#N/A,FALSE,"1.3";#N/A,#N/A,FALSE,"1.4";#N/A,#N/A,FALSE,"1.5";#N/A,#N/A,FALSE,"1.6";#N/A,#N/A,FALSE,"SOD";#N/A,#N/A,FALSE,"CF"}</definedName>
    <definedName name="sfdadsfasdf" localSheetId="9" hidden="1">{#N/A,#N/A,FALSE,"1.1";#N/A,#N/A,FALSE,"1.1a";#N/A,#N/A,FALSE,"1.1b";#N/A,#N/A,FALSE,"1.1c";#N/A,#N/A,FALSE,"1.1e";#N/A,#N/A,FALSE,"1.1f";#N/A,#N/A,FALSE,"1.1g";#N/A,#N/A,FALSE,"1.1h_D";#N/A,#N/A,FALSE,"1.1h_T";#N/A,#N/A,FALSE,"1.2";#N/A,#N/A,FALSE,"1.3b";#N/A,#N/A,FALSE,"1.3";#N/A,#N/A,FALSE,"1.4";#N/A,#N/A,FALSE,"1.5";#N/A,#N/A,FALSE,"1.6";#N/A,#N/A,FALSE,"SOD";#N/A,#N/A,FALSE,"CF"}</definedName>
    <definedName name="sfdadsfasdf" localSheetId="10" hidden="1">{#N/A,#N/A,FALSE,"1.1";#N/A,#N/A,FALSE,"1.1a";#N/A,#N/A,FALSE,"1.1b";#N/A,#N/A,FALSE,"1.1c";#N/A,#N/A,FALSE,"1.1e";#N/A,#N/A,FALSE,"1.1f";#N/A,#N/A,FALSE,"1.1g";#N/A,#N/A,FALSE,"1.1h_D";#N/A,#N/A,FALSE,"1.1h_T";#N/A,#N/A,FALSE,"1.2";#N/A,#N/A,FALSE,"1.3b";#N/A,#N/A,FALSE,"1.3";#N/A,#N/A,FALSE,"1.4";#N/A,#N/A,FALSE,"1.5";#N/A,#N/A,FALSE,"1.6";#N/A,#N/A,FALSE,"SOD";#N/A,#N/A,FALSE,"CF"}</definedName>
    <definedName name="sfdadsfasdf" localSheetId="11" hidden="1">{#N/A,#N/A,FALSE,"1.1";#N/A,#N/A,FALSE,"1.1a";#N/A,#N/A,FALSE,"1.1b";#N/A,#N/A,FALSE,"1.1c";#N/A,#N/A,FALSE,"1.1e";#N/A,#N/A,FALSE,"1.1f";#N/A,#N/A,FALSE,"1.1g";#N/A,#N/A,FALSE,"1.1h_D";#N/A,#N/A,FALSE,"1.1h_T";#N/A,#N/A,FALSE,"1.2";#N/A,#N/A,FALSE,"1.3b";#N/A,#N/A,FALSE,"1.3";#N/A,#N/A,FALSE,"1.4";#N/A,#N/A,FALSE,"1.5";#N/A,#N/A,FALSE,"1.6";#N/A,#N/A,FALSE,"SOD";#N/A,#N/A,FALSE,"CF"}</definedName>
    <definedName name="sfdadsfasdf" localSheetId="12" hidden="1">{#N/A,#N/A,FALSE,"1.1";#N/A,#N/A,FALSE,"1.1a";#N/A,#N/A,FALSE,"1.1b";#N/A,#N/A,FALSE,"1.1c";#N/A,#N/A,FALSE,"1.1e";#N/A,#N/A,FALSE,"1.1f";#N/A,#N/A,FALSE,"1.1g";#N/A,#N/A,FALSE,"1.1h_D";#N/A,#N/A,FALSE,"1.1h_T";#N/A,#N/A,FALSE,"1.2";#N/A,#N/A,FALSE,"1.3b";#N/A,#N/A,FALSE,"1.3";#N/A,#N/A,FALSE,"1.4";#N/A,#N/A,FALSE,"1.5";#N/A,#N/A,FALSE,"1.6";#N/A,#N/A,FALSE,"SOD";#N/A,#N/A,FALSE,"CF"}</definedName>
    <definedName name="sfdadsfasdf" localSheetId="43" hidden="1">{#N/A,#N/A,FALSE,"1.1";#N/A,#N/A,FALSE,"1.1a";#N/A,#N/A,FALSE,"1.1b";#N/A,#N/A,FALSE,"1.1c";#N/A,#N/A,FALSE,"1.1e";#N/A,#N/A,FALSE,"1.1f";#N/A,#N/A,FALSE,"1.1g";#N/A,#N/A,FALSE,"1.1h_D";#N/A,#N/A,FALSE,"1.1h_T";#N/A,#N/A,FALSE,"1.2";#N/A,#N/A,FALSE,"1.3b";#N/A,#N/A,FALSE,"1.3";#N/A,#N/A,FALSE,"1.4";#N/A,#N/A,FALSE,"1.5";#N/A,#N/A,FALSE,"1.6";#N/A,#N/A,FALSE,"SOD";#N/A,#N/A,FALSE,"CF"}</definedName>
    <definedName name="sfdadsfasdf" localSheetId="44" hidden="1">{#N/A,#N/A,FALSE,"1.1";#N/A,#N/A,FALSE,"1.1a";#N/A,#N/A,FALSE,"1.1b";#N/A,#N/A,FALSE,"1.1c";#N/A,#N/A,FALSE,"1.1e";#N/A,#N/A,FALSE,"1.1f";#N/A,#N/A,FALSE,"1.1g";#N/A,#N/A,FALSE,"1.1h_D";#N/A,#N/A,FALSE,"1.1h_T";#N/A,#N/A,FALSE,"1.2";#N/A,#N/A,FALSE,"1.3b";#N/A,#N/A,FALSE,"1.3";#N/A,#N/A,FALSE,"1.4";#N/A,#N/A,FALSE,"1.5";#N/A,#N/A,FALSE,"1.6";#N/A,#N/A,FALSE,"SOD";#N/A,#N/A,FALSE,"CF"}</definedName>
    <definedName name="sfdadsfasdf" localSheetId="45" hidden="1">{#N/A,#N/A,FALSE,"1.1";#N/A,#N/A,FALSE,"1.1a";#N/A,#N/A,FALSE,"1.1b";#N/A,#N/A,FALSE,"1.1c";#N/A,#N/A,FALSE,"1.1e";#N/A,#N/A,FALSE,"1.1f";#N/A,#N/A,FALSE,"1.1g";#N/A,#N/A,FALSE,"1.1h_D";#N/A,#N/A,FALSE,"1.1h_T";#N/A,#N/A,FALSE,"1.2";#N/A,#N/A,FALSE,"1.3b";#N/A,#N/A,FALSE,"1.3";#N/A,#N/A,FALSE,"1.4";#N/A,#N/A,FALSE,"1.5";#N/A,#N/A,FALSE,"1.6";#N/A,#N/A,FALSE,"SOD";#N/A,#N/A,FALSE,"CF"}</definedName>
    <definedName name="sfdadsfasdf" localSheetId="46" hidden="1">{#N/A,#N/A,FALSE,"1.1";#N/A,#N/A,FALSE,"1.1a";#N/A,#N/A,FALSE,"1.1b";#N/A,#N/A,FALSE,"1.1c";#N/A,#N/A,FALSE,"1.1e";#N/A,#N/A,FALSE,"1.1f";#N/A,#N/A,FALSE,"1.1g";#N/A,#N/A,FALSE,"1.1h_D";#N/A,#N/A,FALSE,"1.1h_T";#N/A,#N/A,FALSE,"1.2";#N/A,#N/A,FALSE,"1.3b";#N/A,#N/A,FALSE,"1.3";#N/A,#N/A,FALSE,"1.4";#N/A,#N/A,FALSE,"1.5";#N/A,#N/A,FALSE,"1.6";#N/A,#N/A,FALSE,"SOD";#N/A,#N/A,FALSE,"CF"}</definedName>
    <definedName name="sfdadsfasdf" localSheetId="47" hidden="1">{#N/A,#N/A,FALSE,"1.1";#N/A,#N/A,FALSE,"1.1a";#N/A,#N/A,FALSE,"1.1b";#N/A,#N/A,FALSE,"1.1c";#N/A,#N/A,FALSE,"1.1e";#N/A,#N/A,FALSE,"1.1f";#N/A,#N/A,FALSE,"1.1g";#N/A,#N/A,FALSE,"1.1h_D";#N/A,#N/A,FALSE,"1.1h_T";#N/A,#N/A,FALSE,"1.2";#N/A,#N/A,FALSE,"1.3b";#N/A,#N/A,FALSE,"1.3";#N/A,#N/A,FALSE,"1.4";#N/A,#N/A,FALSE,"1.5";#N/A,#N/A,FALSE,"1.6";#N/A,#N/A,FALSE,"SOD";#N/A,#N/A,FALSE,"CF"}</definedName>
    <definedName name="sfdadsfasdf" localSheetId="48" hidden="1">{#N/A,#N/A,FALSE,"1.1";#N/A,#N/A,FALSE,"1.1a";#N/A,#N/A,FALSE,"1.1b";#N/A,#N/A,FALSE,"1.1c";#N/A,#N/A,FALSE,"1.1e";#N/A,#N/A,FALSE,"1.1f";#N/A,#N/A,FALSE,"1.1g";#N/A,#N/A,FALSE,"1.1h_D";#N/A,#N/A,FALSE,"1.1h_T";#N/A,#N/A,FALSE,"1.2";#N/A,#N/A,FALSE,"1.3b";#N/A,#N/A,FALSE,"1.3";#N/A,#N/A,FALSE,"1.4";#N/A,#N/A,FALSE,"1.5";#N/A,#N/A,FALSE,"1.6";#N/A,#N/A,FALSE,"SOD";#N/A,#N/A,FALSE,"CF"}</definedName>
    <definedName name="sfdadsfasdf" localSheetId="50" hidden="1">{#N/A,#N/A,FALSE,"1.1";#N/A,#N/A,FALSE,"1.1a";#N/A,#N/A,FALSE,"1.1b";#N/A,#N/A,FALSE,"1.1c";#N/A,#N/A,FALSE,"1.1e";#N/A,#N/A,FALSE,"1.1f";#N/A,#N/A,FALSE,"1.1g";#N/A,#N/A,FALSE,"1.1h_D";#N/A,#N/A,FALSE,"1.1h_T";#N/A,#N/A,FALSE,"1.2";#N/A,#N/A,FALSE,"1.3b";#N/A,#N/A,FALSE,"1.3";#N/A,#N/A,FALSE,"1.4";#N/A,#N/A,FALSE,"1.5";#N/A,#N/A,FALSE,"1.6";#N/A,#N/A,FALSE,"SOD";#N/A,#N/A,FALSE,"CF"}</definedName>
    <definedName name="sfdadsfasdf" localSheetId="51" hidden="1">{#N/A,#N/A,FALSE,"1.1";#N/A,#N/A,FALSE,"1.1a";#N/A,#N/A,FALSE,"1.1b";#N/A,#N/A,FALSE,"1.1c";#N/A,#N/A,FALSE,"1.1e";#N/A,#N/A,FALSE,"1.1f";#N/A,#N/A,FALSE,"1.1g";#N/A,#N/A,FALSE,"1.1h_D";#N/A,#N/A,FALSE,"1.1h_T";#N/A,#N/A,FALSE,"1.2";#N/A,#N/A,FALSE,"1.3b";#N/A,#N/A,FALSE,"1.3";#N/A,#N/A,FALSE,"1.4";#N/A,#N/A,FALSE,"1.5";#N/A,#N/A,FALSE,"1.6";#N/A,#N/A,FALSE,"SOD";#N/A,#N/A,FALSE,"CF"}</definedName>
    <definedName name="sfdadsfasdf" localSheetId="52" hidden="1">{#N/A,#N/A,FALSE,"1.1";#N/A,#N/A,FALSE,"1.1a";#N/A,#N/A,FALSE,"1.1b";#N/A,#N/A,FALSE,"1.1c";#N/A,#N/A,FALSE,"1.1e";#N/A,#N/A,FALSE,"1.1f";#N/A,#N/A,FALSE,"1.1g";#N/A,#N/A,FALSE,"1.1h_D";#N/A,#N/A,FALSE,"1.1h_T";#N/A,#N/A,FALSE,"1.2";#N/A,#N/A,FALSE,"1.3b";#N/A,#N/A,FALSE,"1.3";#N/A,#N/A,FALSE,"1.4";#N/A,#N/A,FALSE,"1.5";#N/A,#N/A,FALSE,"1.6";#N/A,#N/A,FALSE,"SOD";#N/A,#N/A,FALSE,"CF"}</definedName>
    <definedName name="sfdadsfasdf" localSheetId="53" hidden="1">{#N/A,#N/A,FALSE,"1.1";#N/A,#N/A,FALSE,"1.1a";#N/A,#N/A,FALSE,"1.1b";#N/A,#N/A,FALSE,"1.1c";#N/A,#N/A,FALSE,"1.1e";#N/A,#N/A,FALSE,"1.1f";#N/A,#N/A,FALSE,"1.1g";#N/A,#N/A,FALSE,"1.1h_D";#N/A,#N/A,FALSE,"1.1h_T";#N/A,#N/A,FALSE,"1.2";#N/A,#N/A,FALSE,"1.3b";#N/A,#N/A,FALSE,"1.3";#N/A,#N/A,FALSE,"1.4";#N/A,#N/A,FALSE,"1.5";#N/A,#N/A,FALSE,"1.6";#N/A,#N/A,FALSE,"SOD";#N/A,#N/A,FALSE,"CF"}</definedName>
    <definedName name="sfdadsfasdf" localSheetId="54" hidden="1">{#N/A,#N/A,FALSE,"1.1";#N/A,#N/A,FALSE,"1.1a";#N/A,#N/A,FALSE,"1.1b";#N/A,#N/A,FALSE,"1.1c";#N/A,#N/A,FALSE,"1.1e";#N/A,#N/A,FALSE,"1.1f";#N/A,#N/A,FALSE,"1.1g";#N/A,#N/A,FALSE,"1.1h_D";#N/A,#N/A,FALSE,"1.1h_T";#N/A,#N/A,FALSE,"1.2";#N/A,#N/A,FALSE,"1.3b";#N/A,#N/A,FALSE,"1.3";#N/A,#N/A,FALSE,"1.4";#N/A,#N/A,FALSE,"1.5";#N/A,#N/A,FALSE,"1.6";#N/A,#N/A,FALSE,"SOD";#N/A,#N/A,FALSE,"CF"}</definedName>
    <definedName name="sfdadsfasdf" localSheetId="37" hidden="1">{#N/A,#N/A,FALSE,"1.1";#N/A,#N/A,FALSE,"1.1a";#N/A,#N/A,FALSE,"1.1b";#N/A,#N/A,FALSE,"1.1c";#N/A,#N/A,FALSE,"1.1e";#N/A,#N/A,FALSE,"1.1f";#N/A,#N/A,FALSE,"1.1g";#N/A,#N/A,FALSE,"1.1h_D";#N/A,#N/A,FALSE,"1.1h_T";#N/A,#N/A,FALSE,"1.2";#N/A,#N/A,FALSE,"1.3b";#N/A,#N/A,FALSE,"1.3";#N/A,#N/A,FALSE,"1.4";#N/A,#N/A,FALSE,"1.5";#N/A,#N/A,FALSE,"1.6";#N/A,#N/A,FALSE,"SOD";#N/A,#N/A,FALSE,"CF"}</definedName>
    <definedName name="sfdadsfasdf" localSheetId="38" hidden="1">{#N/A,#N/A,FALSE,"1.1";#N/A,#N/A,FALSE,"1.1a";#N/A,#N/A,FALSE,"1.1b";#N/A,#N/A,FALSE,"1.1c";#N/A,#N/A,FALSE,"1.1e";#N/A,#N/A,FALSE,"1.1f";#N/A,#N/A,FALSE,"1.1g";#N/A,#N/A,FALSE,"1.1h_D";#N/A,#N/A,FALSE,"1.1h_T";#N/A,#N/A,FALSE,"1.2";#N/A,#N/A,FALSE,"1.3b";#N/A,#N/A,FALSE,"1.3";#N/A,#N/A,FALSE,"1.4";#N/A,#N/A,FALSE,"1.5";#N/A,#N/A,FALSE,"1.6";#N/A,#N/A,FALSE,"SOD";#N/A,#N/A,FALSE,"CF"}</definedName>
    <definedName name="sfdadsfasdf" localSheetId="34" hidden="1">{#N/A,#N/A,FALSE,"1.1";#N/A,#N/A,FALSE,"1.1a";#N/A,#N/A,FALSE,"1.1b";#N/A,#N/A,FALSE,"1.1c";#N/A,#N/A,FALSE,"1.1e";#N/A,#N/A,FALSE,"1.1f";#N/A,#N/A,FALSE,"1.1g";#N/A,#N/A,FALSE,"1.1h_D";#N/A,#N/A,FALSE,"1.1h_T";#N/A,#N/A,FALSE,"1.2";#N/A,#N/A,FALSE,"1.3b";#N/A,#N/A,FALSE,"1.3";#N/A,#N/A,FALSE,"1.4";#N/A,#N/A,FALSE,"1.5";#N/A,#N/A,FALSE,"1.6";#N/A,#N/A,FALSE,"SOD";#N/A,#N/A,FALSE,"CF"}</definedName>
    <definedName name="sfdadsfasdf" localSheetId="35" hidden="1">{#N/A,#N/A,FALSE,"1.1";#N/A,#N/A,FALSE,"1.1a";#N/A,#N/A,FALSE,"1.1b";#N/A,#N/A,FALSE,"1.1c";#N/A,#N/A,FALSE,"1.1e";#N/A,#N/A,FALSE,"1.1f";#N/A,#N/A,FALSE,"1.1g";#N/A,#N/A,FALSE,"1.1h_D";#N/A,#N/A,FALSE,"1.1h_T";#N/A,#N/A,FALSE,"1.2";#N/A,#N/A,FALSE,"1.3b";#N/A,#N/A,FALSE,"1.3";#N/A,#N/A,FALSE,"1.4";#N/A,#N/A,FALSE,"1.5";#N/A,#N/A,FALSE,"1.6";#N/A,#N/A,FALSE,"SOD";#N/A,#N/A,FALSE,"CF"}</definedName>
    <definedName name="sfdadsfasdf" localSheetId="36" hidden="1">{#N/A,#N/A,FALSE,"1.1";#N/A,#N/A,FALSE,"1.1a";#N/A,#N/A,FALSE,"1.1b";#N/A,#N/A,FALSE,"1.1c";#N/A,#N/A,FALSE,"1.1e";#N/A,#N/A,FALSE,"1.1f";#N/A,#N/A,FALSE,"1.1g";#N/A,#N/A,FALSE,"1.1h_D";#N/A,#N/A,FALSE,"1.1h_T";#N/A,#N/A,FALSE,"1.2";#N/A,#N/A,FALSE,"1.3b";#N/A,#N/A,FALSE,"1.3";#N/A,#N/A,FALSE,"1.4";#N/A,#N/A,FALSE,"1.5";#N/A,#N/A,FALSE,"1.6";#N/A,#N/A,FALSE,"SOD";#N/A,#N/A,FALSE,"CF"}</definedName>
    <definedName name="sfdadsfasdf" localSheetId="39" hidden="1">{#N/A,#N/A,FALSE,"1.1";#N/A,#N/A,FALSE,"1.1a";#N/A,#N/A,FALSE,"1.1b";#N/A,#N/A,FALSE,"1.1c";#N/A,#N/A,FALSE,"1.1e";#N/A,#N/A,FALSE,"1.1f";#N/A,#N/A,FALSE,"1.1g";#N/A,#N/A,FALSE,"1.1h_D";#N/A,#N/A,FALSE,"1.1h_T";#N/A,#N/A,FALSE,"1.2";#N/A,#N/A,FALSE,"1.3b";#N/A,#N/A,FALSE,"1.3";#N/A,#N/A,FALSE,"1.4";#N/A,#N/A,FALSE,"1.5";#N/A,#N/A,FALSE,"1.6";#N/A,#N/A,FALSE,"SOD";#N/A,#N/A,FALSE,"CF"}</definedName>
    <definedName name="sfdadsfasdf" localSheetId="40" hidden="1">{#N/A,#N/A,FALSE,"1.1";#N/A,#N/A,FALSE,"1.1a";#N/A,#N/A,FALSE,"1.1b";#N/A,#N/A,FALSE,"1.1c";#N/A,#N/A,FALSE,"1.1e";#N/A,#N/A,FALSE,"1.1f";#N/A,#N/A,FALSE,"1.1g";#N/A,#N/A,FALSE,"1.1h_D";#N/A,#N/A,FALSE,"1.1h_T";#N/A,#N/A,FALSE,"1.2";#N/A,#N/A,FALSE,"1.3b";#N/A,#N/A,FALSE,"1.3";#N/A,#N/A,FALSE,"1.4";#N/A,#N/A,FALSE,"1.5";#N/A,#N/A,FALSE,"1.6";#N/A,#N/A,FALSE,"SOD";#N/A,#N/A,FALSE,"CF"}</definedName>
    <definedName name="sfdadsfasdf" localSheetId="69" hidden="1">{#N/A,#N/A,FALSE,"1.1";#N/A,#N/A,FALSE,"1.1a";#N/A,#N/A,FALSE,"1.1b";#N/A,#N/A,FALSE,"1.1c";#N/A,#N/A,FALSE,"1.1e";#N/A,#N/A,FALSE,"1.1f";#N/A,#N/A,FALSE,"1.1g";#N/A,#N/A,FALSE,"1.1h_D";#N/A,#N/A,FALSE,"1.1h_T";#N/A,#N/A,FALSE,"1.2";#N/A,#N/A,FALSE,"1.3b";#N/A,#N/A,FALSE,"1.3";#N/A,#N/A,FALSE,"1.4";#N/A,#N/A,FALSE,"1.5";#N/A,#N/A,FALSE,"1.6";#N/A,#N/A,FALSE,"SOD";#N/A,#N/A,FALSE,"CF"}</definedName>
    <definedName name="sfdadsfasdf" localSheetId="70" hidden="1">{#N/A,#N/A,FALSE,"1.1";#N/A,#N/A,FALSE,"1.1a";#N/A,#N/A,FALSE,"1.1b";#N/A,#N/A,FALSE,"1.1c";#N/A,#N/A,FALSE,"1.1e";#N/A,#N/A,FALSE,"1.1f";#N/A,#N/A,FALSE,"1.1g";#N/A,#N/A,FALSE,"1.1h_D";#N/A,#N/A,FALSE,"1.1h_T";#N/A,#N/A,FALSE,"1.2";#N/A,#N/A,FALSE,"1.3b";#N/A,#N/A,FALSE,"1.3";#N/A,#N/A,FALSE,"1.4";#N/A,#N/A,FALSE,"1.5";#N/A,#N/A,FALSE,"1.6";#N/A,#N/A,FALSE,"SOD";#N/A,#N/A,FALSE,"CF"}</definedName>
    <definedName name="sfdadsfasdf" localSheetId="71" hidden="1">{#N/A,#N/A,FALSE,"1.1";#N/A,#N/A,FALSE,"1.1a";#N/A,#N/A,FALSE,"1.1b";#N/A,#N/A,FALSE,"1.1c";#N/A,#N/A,FALSE,"1.1e";#N/A,#N/A,FALSE,"1.1f";#N/A,#N/A,FALSE,"1.1g";#N/A,#N/A,FALSE,"1.1h_D";#N/A,#N/A,FALSE,"1.1h_T";#N/A,#N/A,FALSE,"1.2";#N/A,#N/A,FALSE,"1.3b";#N/A,#N/A,FALSE,"1.3";#N/A,#N/A,FALSE,"1.4";#N/A,#N/A,FALSE,"1.5";#N/A,#N/A,FALSE,"1.6";#N/A,#N/A,FALSE,"SOD";#N/A,#N/A,FALSE,"CF"}</definedName>
    <definedName name="sfdadsfasdf" localSheetId="72" hidden="1">{#N/A,#N/A,FALSE,"1.1";#N/A,#N/A,FALSE,"1.1a";#N/A,#N/A,FALSE,"1.1b";#N/A,#N/A,FALSE,"1.1c";#N/A,#N/A,FALSE,"1.1e";#N/A,#N/A,FALSE,"1.1f";#N/A,#N/A,FALSE,"1.1g";#N/A,#N/A,FALSE,"1.1h_D";#N/A,#N/A,FALSE,"1.1h_T";#N/A,#N/A,FALSE,"1.2";#N/A,#N/A,FALSE,"1.3b";#N/A,#N/A,FALSE,"1.3";#N/A,#N/A,FALSE,"1.4";#N/A,#N/A,FALSE,"1.5";#N/A,#N/A,FALSE,"1.6";#N/A,#N/A,FALSE,"SOD";#N/A,#N/A,FALSE,"CF"}</definedName>
    <definedName name="sfdadsfasdf" localSheetId="60" hidden="1">{#N/A,#N/A,FALSE,"1.1";#N/A,#N/A,FALSE,"1.1a";#N/A,#N/A,FALSE,"1.1b";#N/A,#N/A,FALSE,"1.1c";#N/A,#N/A,FALSE,"1.1e";#N/A,#N/A,FALSE,"1.1f";#N/A,#N/A,FALSE,"1.1g";#N/A,#N/A,FALSE,"1.1h_D";#N/A,#N/A,FALSE,"1.1h_T";#N/A,#N/A,FALSE,"1.2";#N/A,#N/A,FALSE,"1.3b";#N/A,#N/A,FALSE,"1.3";#N/A,#N/A,FALSE,"1.4";#N/A,#N/A,FALSE,"1.5";#N/A,#N/A,FALSE,"1.6";#N/A,#N/A,FALSE,"SOD";#N/A,#N/A,FALSE,"CF"}</definedName>
    <definedName name="sfdadsfasdf" localSheetId="61" hidden="1">{#N/A,#N/A,FALSE,"1.1";#N/A,#N/A,FALSE,"1.1a";#N/A,#N/A,FALSE,"1.1b";#N/A,#N/A,FALSE,"1.1c";#N/A,#N/A,FALSE,"1.1e";#N/A,#N/A,FALSE,"1.1f";#N/A,#N/A,FALSE,"1.1g";#N/A,#N/A,FALSE,"1.1h_D";#N/A,#N/A,FALSE,"1.1h_T";#N/A,#N/A,FALSE,"1.2";#N/A,#N/A,FALSE,"1.3b";#N/A,#N/A,FALSE,"1.3";#N/A,#N/A,FALSE,"1.4";#N/A,#N/A,FALSE,"1.5";#N/A,#N/A,FALSE,"1.6";#N/A,#N/A,FALSE,"SOD";#N/A,#N/A,FALSE,"CF"}</definedName>
    <definedName name="sfdadsfasdf" localSheetId="62" hidden="1">{#N/A,#N/A,FALSE,"1.1";#N/A,#N/A,FALSE,"1.1a";#N/A,#N/A,FALSE,"1.1b";#N/A,#N/A,FALSE,"1.1c";#N/A,#N/A,FALSE,"1.1e";#N/A,#N/A,FALSE,"1.1f";#N/A,#N/A,FALSE,"1.1g";#N/A,#N/A,FALSE,"1.1h_D";#N/A,#N/A,FALSE,"1.1h_T";#N/A,#N/A,FALSE,"1.2";#N/A,#N/A,FALSE,"1.3b";#N/A,#N/A,FALSE,"1.3";#N/A,#N/A,FALSE,"1.4";#N/A,#N/A,FALSE,"1.5";#N/A,#N/A,FALSE,"1.6";#N/A,#N/A,FALSE,"SOD";#N/A,#N/A,FALSE,"CF"}</definedName>
    <definedName name="sfdadsfasdf" localSheetId="63" hidden="1">{#N/A,#N/A,FALSE,"1.1";#N/A,#N/A,FALSE,"1.1a";#N/A,#N/A,FALSE,"1.1b";#N/A,#N/A,FALSE,"1.1c";#N/A,#N/A,FALSE,"1.1e";#N/A,#N/A,FALSE,"1.1f";#N/A,#N/A,FALSE,"1.1g";#N/A,#N/A,FALSE,"1.1h_D";#N/A,#N/A,FALSE,"1.1h_T";#N/A,#N/A,FALSE,"1.2";#N/A,#N/A,FALSE,"1.3b";#N/A,#N/A,FALSE,"1.3";#N/A,#N/A,FALSE,"1.4";#N/A,#N/A,FALSE,"1.5";#N/A,#N/A,FALSE,"1.6";#N/A,#N/A,FALSE,"SOD";#N/A,#N/A,FALSE,"CF"}</definedName>
    <definedName name="sfdadsfasdf" localSheetId="64" hidden="1">{#N/A,#N/A,FALSE,"1.1";#N/A,#N/A,FALSE,"1.1a";#N/A,#N/A,FALSE,"1.1b";#N/A,#N/A,FALSE,"1.1c";#N/A,#N/A,FALSE,"1.1e";#N/A,#N/A,FALSE,"1.1f";#N/A,#N/A,FALSE,"1.1g";#N/A,#N/A,FALSE,"1.1h_D";#N/A,#N/A,FALSE,"1.1h_T";#N/A,#N/A,FALSE,"1.2";#N/A,#N/A,FALSE,"1.3b";#N/A,#N/A,FALSE,"1.3";#N/A,#N/A,FALSE,"1.4";#N/A,#N/A,FALSE,"1.5";#N/A,#N/A,FALSE,"1.6";#N/A,#N/A,FALSE,"SOD";#N/A,#N/A,FALSE,"CF"}</definedName>
    <definedName name="sfdadsfasdf" localSheetId="66" hidden="1">{#N/A,#N/A,FALSE,"1.1";#N/A,#N/A,FALSE,"1.1a";#N/A,#N/A,FALSE,"1.1b";#N/A,#N/A,FALSE,"1.1c";#N/A,#N/A,FALSE,"1.1e";#N/A,#N/A,FALSE,"1.1f";#N/A,#N/A,FALSE,"1.1g";#N/A,#N/A,FALSE,"1.1h_D";#N/A,#N/A,FALSE,"1.1h_T";#N/A,#N/A,FALSE,"1.2";#N/A,#N/A,FALSE,"1.3b";#N/A,#N/A,FALSE,"1.3";#N/A,#N/A,FALSE,"1.4";#N/A,#N/A,FALSE,"1.5";#N/A,#N/A,FALSE,"1.6";#N/A,#N/A,FALSE,"SOD";#N/A,#N/A,FALSE,"CF"}</definedName>
    <definedName name="sfdadsfasdf" localSheetId="67" hidden="1">{#N/A,#N/A,FALSE,"1.1";#N/A,#N/A,FALSE,"1.1a";#N/A,#N/A,FALSE,"1.1b";#N/A,#N/A,FALSE,"1.1c";#N/A,#N/A,FALSE,"1.1e";#N/A,#N/A,FALSE,"1.1f";#N/A,#N/A,FALSE,"1.1g";#N/A,#N/A,FALSE,"1.1h_D";#N/A,#N/A,FALSE,"1.1h_T";#N/A,#N/A,FALSE,"1.2";#N/A,#N/A,FALSE,"1.3b";#N/A,#N/A,FALSE,"1.3";#N/A,#N/A,FALSE,"1.4";#N/A,#N/A,FALSE,"1.5";#N/A,#N/A,FALSE,"1.6";#N/A,#N/A,FALSE,"SOD";#N/A,#N/A,FALSE,"CF"}</definedName>
    <definedName name="sfdadsfasdf" localSheetId="68" hidden="1">{#N/A,#N/A,FALSE,"1.1";#N/A,#N/A,FALSE,"1.1a";#N/A,#N/A,FALSE,"1.1b";#N/A,#N/A,FALSE,"1.1c";#N/A,#N/A,FALSE,"1.1e";#N/A,#N/A,FALSE,"1.1f";#N/A,#N/A,FALSE,"1.1g";#N/A,#N/A,FALSE,"1.1h_D";#N/A,#N/A,FALSE,"1.1h_T";#N/A,#N/A,FALSE,"1.2";#N/A,#N/A,FALSE,"1.3b";#N/A,#N/A,FALSE,"1.3";#N/A,#N/A,FALSE,"1.4";#N/A,#N/A,FALSE,"1.5";#N/A,#N/A,FALSE,"1.6";#N/A,#N/A,FALSE,"SOD";#N/A,#N/A,FALSE,"CF"}</definedName>
    <definedName name="sfdadsfasdf" localSheetId="74" hidden="1">{#N/A,#N/A,FALSE,"1.1";#N/A,#N/A,FALSE,"1.1a";#N/A,#N/A,FALSE,"1.1b";#N/A,#N/A,FALSE,"1.1c";#N/A,#N/A,FALSE,"1.1e";#N/A,#N/A,FALSE,"1.1f";#N/A,#N/A,FALSE,"1.1g";#N/A,#N/A,FALSE,"1.1h_D";#N/A,#N/A,FALSE,"1.1h_T";#N/A,#N/A,FALSE,"1.2";#N/A,#N/A,FALSE,"1.3b";#N/A,#N/A,FALSE,"1.3";#N/A,#N/A,FALSE,"1.4";#N/A,#N/A,FALSE,"1.5";#N/A,#N/A,FALSE,"1.6";#N/A,#N/A,FALSE,"SOD";#N/A,#N/A,FALSE,"CF"}</definedName>
    <definedName name="sfdadsfasdf" localSheetId="75" hidden="1">{#N/A,#N/A,FALSE,"1.1";#N/A,#N/A,FALSE,"1.1a";#N/A,#N/A,FALSE,"1.1b";#N/A,#N/A,FALSE,"1.1c";#N/A,#N/A,FALSE,"1.1e";#N/A,#N/A,FALSE,"1.1f";#N/A,#N/A,FALSE,"1.1g";#N/A,#N/A,FALSE,"1.1h_D";#N/A,#N/A,FALSE,"1.1h_T";#N/A,#N/A,FALSE,"1.2";#N/A,#N/A,FALSE,"1.3b";#N/A,#N/A,FALSE,"1.3";#N/A,#N/A,FALSE,"1.4";#N/A,#N/A,FALSE,"1.5";#N/A,#N/A,FALSE,"1.6";#N/A,#N/A,FALSE,"SOD";#N/A,#N/A,FALSE,"CF"}</definedName>
    <definedName name="sfdadsfasdf" localSheetId="76" hidden="1">{#N/A,#N/A,FALSE,"1.1";#N/A,#N/A,FALSE,"1.1a";#N/A,#N/A,FALSE,"1.1b";#N/A,#N/A,FALSE,"1.1c";#N/A,#N/A,FALSE,"1.1e";#N/A,#N/A,FALSE,"1.1f";#N/A,#N/A,FALSE,"1.1g";#N/A,#N/A,FALSE,"1.1h_D";#N/A,#N/A,FALSE,"1.1h_T";#N/A,#N/A,FALSE,"1.2";#N/A,#N/A,FALSE,"1.3b";#N/A,#N/A,FALSE,"1.3";#N/A,#N/A,FALSE,"1.4";#N/A,#N/A,FALSE,"1.5";#N/A,#N/A,FALSE,"1.6";#N/A,#N/A,FALSE,"SOD";#N/A,#N/A,FALSE,"CF"}</definedName>
    <definedName name="sfdadsfasdf" localSheetId="77" hidden="1">{#N/A,#N/A,FALSE,"1.1";#N/A,#N/A,FALSE,"1.1a";#N/A,#N/A,FALSE,"1.1b";#N/A,#N/A,FALSE,"1.1c";#N/A,#N/A,FALSE,"1.1e";#N/A,#N/A,FALSE,"1.1f";#N/A,#N/A,FALSE,"1.1g";#N/A,#N/A,FALSE,"1.1h_D";#N/A,#N/A,FALSE,"1.1h_T";#N/A,#N/A,FALSE,"1.2";#N/A,#N/A,FALSE,"1.3b";#N/A,#N/A,FALSE,"1.3";#N/A,#N/A,FALSE,"1.4";#N/A,#N/A,FALSE,"1.5";#N/A,#N/A,FALSE,"1.6";#N/A,#N/A,FALSE,"SOD";#N/A,#N/A,FALSE,"CF"}</definedName>
    <definedName name="sfdadsfasdf" localSheetId="78" hidden="1">{#N/A,#N/A,FALSE,"1.1";#N/A,#N/A,FALSE,"1.1a";#N/A,#N/A,FALSE,"1.1b";#N/A,#N/A,FALSE,"1.1c";#N/A,#N/A,FALSE,"1.1e";#N/A,#N/A,FALSE,"1.1f";#N/A,#N/A,FALSE,"1.1g";#N/A,#N/A,FALSE,"1.1h_D";#N/A,#N/A,FALSE,"1.1h_T";#N/A,#N/A,FALSE,"1.2";#N/A,#N/A,FALSE,"1.3b";#N/A,#N/A,FALSE,"1.3";#N/A,#N/A,FALSE,"1.4";#N/A,#N/A,FALSE,"1.5";#N/A,#N/A,FALSE,"1.6";#N/A,#N/A,FALSE,"SOD";#N/A,#N/A,FALSE,"CF"}</definedName>
    <definedName name="sfdadsfasdf" localSheetId="79" hidden="1">{#N/A,#N/A,FALSE,"1.1";#N/A,#N/A,FALSE,"1.1a";#N/A,#N/A,FALSE,"1.1b";#N/A,#N/A,FALSE,"1.1c";#N/A,#N/A,FALSE,"1.1e";#N/A,#N/A,FALSE,"1.1f";#N/A,#N/A,FALSE,"1.1g";#N/A,#N/A,FALSE,"1.1h_D";#N/A,#N/A,FALSE,"1.1h_T";#N/A,#N/A,FALSE,"1.2";#N/A,#N/A,FALSE,"1.3b";#N/A,#N/A,FALSE,"1.3";#N/A,#N/A,FALSE,"1.4";#N/A,#N/A,FALSE,"1.5";#N/A,#N/A,FALSE,"1.6";#N/A,#N/A,FALSE,"SOD";#N/A,#N/A,FALSE,"CF"}</definedName>
    <definedName name="sfdadsfasdf" hidden="1">{#N/A,#N/A,FALSE,"1.1";#N/A,#N/A,FALSE,"1.1a";#N/A,#N/A,FALSE,"1.1b";#N/A,#N/A,FALSE,"1.1c";#N/A,#N/A,FALSE,"1.1e";#N/A,#N/A,FALSE,"1.1f";#N/A,#N/A,FALSE,"1.1g";#N/A,#N/A,FALSE,"1.1h_D";#N/A,#N/A,FALSE,"1.1h_T";#N/A,#N/A,FALSE,"1.2";#N/A,#N/A,FALSE,"1.3b";#N/A,#N/A,FALSE,"1.3";#N/A,#N/A,FALSE,"1.4";#N/A,#N/A,FALSE,"1.5";#N/A,#N/A,FALSE,"1.6";#N/A,#N/A,FALSE,"SOD";#N/A,#N/A,FALSE,"CF"}</definedName>
    <definedName name="Sharif">[13]Sheet1!$D$104</definedName>
    <definedName name="shft1">[16]SUMMERY!$P$1</definedName>
    <definedName name="shftI">[22]SUMMERY!$P$1</definedName>
    <definedName name="Specific_Consumption" localSheetId="13">#REF!</definedName>
    <definedName name="Specific_Consumption" localSheetId="14">#REF!</definedName>
    <definedName name="Specific_Consumption" localSheetId="7">#REF!</definedName>
    <definedName name="Specific_Consumption" localSheetId="9">#REF!</definedName>
    <definedName name="Specific_Consumption" localSheetId="10">#REF!</definedName>
    <definedName name="Specific_Consumption" localSheetId="11">#REF!</definedName>
    <definedName name="Specific_Consumption" localSheetId="12">#REF!</definedName>
    <definedName name="Specific_Consumption" localSheetId="43">#REF!</definedName>
    <definedName name="Specific_Consumption" localSheetId="44">#REF!</definedName>
    <definedName name="Specific_Consumption" localSheetId="45">#REF!</definedName>
    <definedName name="Specific_Consumption" localSheetId="46">#REF!</definedName>
    <definedName name="Specific_Consumption" localSheetId="47">#REF!</definedName>
    <definedName name="Specific_Consumption" localSheetId="48">#REF!</definedName>
    <definedName name="Specific_Consumption" localSheetId="50">#REF!</definedName>
    <definedName name="Specific_Consumption" localSheetId="51">#REF!</definedName>
    <definedName name="Specific_Consumption" localSheetId="52">#REF!</definedName>
    <definedName name="Specific_Consumption" localSheetId="53">#REF!</definedName>
    <definedName name="Specific_Consumption" localSheetId="54">#REF!</definedName>
    <definedName name="Specific_Consumption" localSheetId="37">#REF!</definedName>
    <definedName name="Specific_Consumption" localSheetId="38">#REF!</definedName>
    <definedName name="Specific_Consumption" localSheetId="34">#REF!</definedName>
    <definedName name="Specific_Consumption" localSheetId="35">#REF!</definedName>
    <definedName name="Specific_Consumption" localSheetId="36">#REF!</definedName>
    <definedName name="Specific_Consumption" localSheetId="39">#REF!</definedName>
    <definedName name="Specific_Consumption" localSheetId="40">#REF!</definedName>
    <definedName name="Specific_Consumption" localSheetId="69">#REF!</definedName>
    <definedName name="Specific_Consumption" localSheetId="70">#REF!</definedName>
    <definedName name="Specific_Consumption" localSheetId="71">#REF!</definedName>
    <definedName name="Specific_Consumption" localSheetId="72">#REF!</definedName>
    <definedName name="Specific_Consumption" localSheetId="60">#REF!</definedName>
    <definedName name="Specific_Consumption" localSheetId="63">#REF!</definedName>
    <definedName name="Specific_Consumption" localSheetId="64">#REF!</definedName>
    <definedName name="Specific_Consumption" localSheetId="66">#REF!</definedName>
    <definedName name="Specific_Consumption" localSheetId="67">#REF!</definedName>
    <definedName name="Specific_Consumption" localSheetId="68">#REF!</definedName>
    <definedName name="Specific_Consumption" localSheetId="74">#REF!</definedName>
    <definedName name="Specific_Consumption" localSheetId="75">#REF!</definedName>
    <definedName name="Specific_Consumption" localSheetId="76">#REF!</definedName>
    <definedName name="Specific_Consumption" localSheetId="77">#REF!</definedName>
    <definedName name="Specific_Consumption" localSheetId="78">#REF!</definedName>
    <definedName name="Specific_Consumption" localSheetId="79">#REF!</definedName>
    <definedName name="Specific_Consumption">#REF!</definedName>
    <definedName name="STPI" localSheetId="13">#REF!</definedName>
    <definedName name="STPI" localSheetId="14">#REF!</definedName>
    <definedName name="STPI" localSheetId="7">#REF!</definedName>
    <definedName name="STPI" localSheetId="9">#REF!</definedName>
    <definedName name="STPI" localSheetId="10">#REF!</definedName>
    <definedName name="STPI" localSheetId="11">#REF!</definedName>
    <definedName name="STPI" localSheetId="12">#REF!</definedName>
    <definedName name="STPI" localSheetId="43">#REF!</definedName>
    <definedName name="STPI" localSheetId="44">#REF!</definedName>
    <definedName name="STPI" localSheetId="45">#REF!</definedName>
    <definedName name="STPI" localSheetId="46">#REF!</definedName>
    <definedName name="STPI" localSheetId="47">#REF!</definedName>
    <definedName name="STPI" localSheetId="48">#REF!</definedName>
    <definedName name="STPI" localSheetId="50">#REF!</definedName>
    <definedName name="STPI" localSheetId="51">#REF!</definedName>
    <definedName name="STPI" localSheetId="52">#REF!</definedName>
    <definedName name="STPI" localSheetId="53">#REF!</definedName>
    <definedName name="STPI" localSheetId="54">#REF!</definedName>
    <definedName name="STPI" localSheetId="37">#REF!</definedName>
    <definedName name="STPI" localSheetId="38">#REF!</definedName>
    <definedName name="STPI" localSheetId="34">#REF!</definedName>
    <definedName name="STPI" localSheetId="35">#REF!</definedName>
    <definedName name="STPI" localSheetId="36">#REF!</definedName>
    <definedName name="STPI" localSheetId="39">#REF!</definedName>
    <definedName name="STPI" localSheetId="40">#REF!</definedName>
    <definedName name="STPI" localSheetId="69">#REF!</definedName>
    <definedName name="STPI" localSheetId="70">#REF!</definedName>
    <definedName name="STPI" localSheetId="71">#REF!</definedName>
    <definedName name="STPI" localSheetId="72">#REF!</definedName>
    <definedName name="STPI" localSheetId="60">#REF!</definedName>
    <definedName name="STPI" localSheetId="63">#REF!</definedName>
    <definedName name="STPI" localSheetId="64">#REF!</definedName>
    <definedName name="STPI" localSheetId="66">#REF!</definedName>
    <definedName name="STPI" localSheetId="67">#REF!</definedName>
    <definedName name="STPI" localSheetId="68">#REF!</definedName>
    <definedName name="STPI" localSheetId="74">#REF!</definedName>
    <definedName name="STPI" localSheetId="75">#REF!</definedName>
    <definedName name="STPI" localSheetId="76">#REF!</definedName>
    <definedName name="STPI" localSheetId="77">#REF!</definedName>
    <definedName name="STPI" localSheetId="78">#REF!</definedName>
    <definedName name="STPI" localSheetId="79">#REF!</definedName>
    <definedName name="STPI">#REF!</definedName>
    <definedName name="Styles" localSheetId="13">#REF!</definedName>
    <definedName name="Styles" localSheetId="14">#REF!</definedName>
    <definedName name="Styles" localSheetId="7">#REF!</definedName>
    <definedName name="Styles" localSheetId="9">#REF!</definedName>
    <definedName name="Styles" localSheetId="10">#REF!</definedName>
    <definedName name="Styles" localSheetId="11">#REF!</definedName>
    <definedName name="Styles" localSheetId="12">#REF!</definedName>
    <definedName name="Styles" localSheetId="43">#REF!</definedName>
    <definedName name="Styles" localSheetId="44">#REF!</definedName>
    <definedName name="Styles" localSheetId="45">#REF!</definedName>
    <definedName name="Styles" localSheetId="46">#REF!</definedName>
    <definedName name="Styles" localSheetId="47">#REF!</definedName>
    <definedName name="Styles" localSheetId="48">#REF!</definedName>
    <definedName name="Styles" localSheetId="50">#REF!</definedName>
    <definedName name="Styles" localSheetId="51">#REF!</definedName>
    <definedName name="Styles" localSheetId="52">#REF!</definedName>
    <definedName name="Styles" localSheetId="53">#REF!</definedName>
    <definedName name="Styles" localSheetId="54">#REF!</definedName>
    <definedName name="Styles" localSheetId="37">#REF!</definedName>
    <definedName name="Styles" localSheetId="38">#REF!</definedName>
    <definedName name="Styles" localSheetId="34">#REF!</definedName>
    <definedName name="Styles" localSheetId="35">#REF!</definedName>
    <definedName name="Styles" localSheetId="36">#REF!</definedName>
    <definedName name="Styles" localSheetId="39">#REF!</definedName>
    <definedName name="Styles" localSheetId="40">#REF!</definedName>
    <definedName name="Styles" localSheetId="69">#REF!</definedName>
    <definedName name="Styles" localSheetId="70">#REF!</definedName>
    <definedName name="Styles" localSheetId="71">#REF!</definedName>
    <definedName name="Styles" localSheetId="72">#REF!</definedName>
    <definedName name="Styles" localSheetId="60">#REF!</definedName>
    <definedName name="Styles" localSheetId="63">#REF!</definedName>
    <definedName name="Styles" localSheetId="64">#REF!</definedName>
    <definedName name="Styles" localSheetId="66">#REF!</definedName>
    <definedName name="Styles" localSheetId="67">#REF!</definedName>
    <definedName name="Styles" localSheetId="68">#REF!</definedName>
    <definedName name="Styles" localSheetId="74">#REF!</definedName>
    <definedName name="Styles" localSheetId="75">#REF!</definedName>
    <definedName name="Styles" localSheetId="76">#REF!</definedName>
    <definedName name="Styles" localSheetId="77">#REF!</definedName>
    <definedName name="Styles" localSheetId="78">#REF!</definedName>
    <definedName name="Styles" localSheetId="79">#REF!</definedName>
    <definedName name="Styles">#REF!</definedName>
    <definedName name="Sup" localSheetId="13">#REF!</definedName>
    <definedName name="Sup" localSheetId="14">#REF!</definedName>
    <definedName name="Sup" localSheetId="7">#REF!</definedName>
    <definedName name="Sup" localSheetId="9">#REF!</definedName>
    <definedName name="Sup" localSheetId="10">#REF!</definedName>
    <definedName name="Sup" localSheetId="11">#REF!</definedName>
    <definedName name="Sup" localSheetId="12">#REF!</definedName>
    <definedName name="Sup" localSheetId="43">#REF!</definedName>
    <definedName name="Sup" localSheetId="44">#REF!</definedName>
    <definedName name="Sup" localSheetId="45">#REF!</definedName>
    <definedName name="Sup" localSheetId="46">#REF!</definedName>
    <definedName name="Sup" localSheetId="47">#REF!</definedName>
    <definedName name="Sup" localSheetId="48">#REF!</definedName>
    <definedName name="Sup" localSheetId="50">#REF!</definedName>
    <definedName name="Sup" localSheetId="51">#REF!</definedName>
    <definedName name="Sup" localSheetId="52">#REF!</definedName>
    <definedName name="Sup" localSheetId="53">#REF!</definedName>
    <definedName name="Sup" localSheetId="54">#REF!</definedName>
    <definedName name="Sup" localSheetId="37">#REF!</definedName>
    <definedName name="Sup" localSheetId="38">#REF!</definedName>
    <definedName name="Sup" localSheetId="34">#REF!</definedName>
    <definedName name="Sup" localSheetId="35">#REF!</definedName>
    <definedName name="Sup" localSheetId="36">#REF!</definedName>
    <definedName name="Sup" localSheetId="39">#REF!</definedName>
    <definedName name="Sup" localSheetId="40">#REF!</definedName>
    <definedName name="Sup" localSheetId="69">#REF!</definedName>
    <definedName name="Sup" localSheetId="70">#REF!</definedName>
    <definedName name="Sup" localSheetId="71">#REF!</definedName>
    <definedName name="Sup" localSheetId="72">#REF!</definedName>
    <definedName name="Sup" localSheetId="60">#REF!</definedName>
    <definedName name="Sup" localSheetId="63">#REF!</definedName>
    <definedName name="Sup" localSheetId="64">#REF!</definedName>
    <definedName name="Sup" localSheetId="66">#REF!</definedName>
    <definedName name="Sup" localSheetId="67">#REF!</definedName>
    <definedName name="Sup" localSheetId="68">#REF!</definedName>
    <definedName name="Sup" localSheetId="74">#REF!</definedName>
    <definedName name="Sup" localSheetId="75">#REF!</definedName>
    <definedName name="Sup" localSheetId="76">#REF!</definedName>
    <definedName name="Sup" localSheetId="77">#REF!</definedName>
    <definedName name="Sup" localSheetId="78">#REF!</definedName>
    <definedName name="Sup" localSheetId="79">#REF!</definedName>
    <definedName name="Sup">#REF!</definedName>
    <definedName name="Supp" localSheetId="13">#REF!</definedName>
    <definedName name="Supp" localSheetId="14">#REF!</definedName>
    <definedName name="Supp" localSheetId="7">#REF!</definedName>
    <definedName name="Supp" localSheetId="9">#REF!</definedName>
    <definedName name="Supp" localSheetId="10">#REF!</definedName>
    <definedName name="Supp" localSheetId="11">#REF!</definedName>
    <definedName name="Supp" localSheetId="12">#REF!</definedName>
    <definedName name="Supp" localSheetId="43">#REF!</definedName>
    <definedName name="Supp" localSheetId="44">#REF!</definedName>
    <definedName name="Supp" localSheetId="45">#REF!</definedName>
    <definedName name="Supp" localSheetId="46">#REF!</definedName>
    <definedName name="Supp" localSheetId="47">#REF!</definedName>
    <definedName name="Supp" localSheetId="48">#REF!</definedName>
    <definedName name="Supp" localSheetId="50">#REF!</definedName>
    <definedName name="Supp" localSheetId="51">#REF!</definedName>
    <definedName name="Supp" localSheetId="52">#REF!</definedName>
    <definedName name="Supp" localSheetId="53">#REF!</definedName>
    <definedName name="Supp" localSheetId="54">#REF!</definedName>
    <definedName name="Supp" localSheetId="37">#REF!</definedName>
    <definedName name="Supp" localSheetId="38">#REF!</definedName>
    <definedName name="Supp" localSheetId="34">#REF!</definedName>
    <definedName name="Supp" localSheetId="35">#REF!</definedName>
    <definedName name="Supp" localSheetId="36">#REF!</definedName>
    <definedName name="Supp" localSheetId="39">#REF!</definedName>
    <definedName name="Supp" localSheetId="40">#REF!</definedName>
    <definedName name="Supp" localSheetId="69">#REF!</definedName>
    <definedName name="Supp" localSheetId="70">#REF!</definedName>
    <definedName name="Supp" localSheetId="71">#REF!</definedName>
    <definedName name="Supp" localSheetId="72">#REF!</definedName>
    <definedName name="Supp" localSheetId="60">#REF!</definedName>
    <definedName name="Supp" localSheetId="63">#REF!</definedName>
    <definedName name="Supp" localSheetId="64">#REF!</definedName>
    <definedName name="Supp" localSheetId="66">#REF!</definedName>
    <definedName name="Supp" localSheetId="67">#REF!</definedName>
    <definedName name="Supp" localSheetId="68">#REF!</definedName>
    <definedName name="Supp" localSheetId="74">#REF!</definedName>
    <definedName name="Supp" localSheetId="75">#REF!</definedName>
    <definedName name="Supp" localSheetId="76">#REF!</definedName>
    <definedName name="Supp" localSheetId="77">#REF!</definedName>
    <definedName name="Supp" localSheetId="78">#REF!</definedName>
    <definedName name="Supp" localSheetId="79">#REF!</definedName>
    <definedName name="Supp">#REF!</definedName>
    <definedName name="T_T">'[15]Discom Details'!$F$720</definedName>
    <definedName name="thou" localSheetId="13">#REF!</definedName>
    <definedName name="thou" localSheetId="14">#REF!</definedName>
    <definedName name="thou" localSheetId="7">#REF!</definedName>
    <definedName name="thou" localSheetId="9">#REF!</definedName>
    <definedName name="thou" localSheetId="10">#REF!</definedName>
    <definedName name="thou" localSheetId="11">#REF!</definedName>
    <definedName name="thou" localSheetId="12">#REF!</definedName>
    <definedName name="thou" localSheetId="43">#REF!</definedName>
    <definedName name="thou" localSheetId="44">#REF!</definedName>
    <definedName name="thou" localSheetId="45">#REF!</definedName>
    <definedName name="thou" localSheetId="46">#REF!</definedName>
    <definedName name="thou" localSheetId="47">#REF!</definedName>
    <definedName name="thou" localSheetId="48">#REF!</definedName>
    <definedName name="thou" localSheetId="50">#REF!</definedName>
    <definedName name="thou" localSheetId="51">#REF!</definedName>
    <definedName name="thou" localSheetId="52">#REF!</definedName>
    <definedName name="thou" localSheetId="53">#REF!</definedName>
    <definedName name="thou" localSheetId="54">#REF!</definedName>
    <definedName name="thou" localSheetId="37">#REF!</definedName>
    <definedName name="thou" localSheetId="38">#REF!</definedName>
    <definedName name="thou" localSheetId="34">#REF!</definedName>
    <definedName name="thou" localSheetId="35">#REF!</definedName>
    <definedName name="thou" localSheetId="36">#REF!</definedName>
    <definedName name="thou" localSheetId="39">#REF!</definedName>
    <definedName name="thou" localSheetId="40">#REF!</definedName>
    <definedName name="thou" localSheetId="69">#REF!</definedName>
    <definedName name="thou" localSheetId="70">#REF!</definedName>
    <definedName name="thou" localSheetId="71">#REF!</definedName>
    <definedName name="thou" localSheetId="72">#REF!</definedName>
    <definedName name="thou" localSheetId="60">#REF!</definedName>
    <definedName name="thou" localSheetId="63">#REF!</definedName>
    <definedName name="thou" localSheetId="64">#REF!</definedName>
    <definedName name="thou" localSheetId="66">#REF!</definedName>
    <definedName name="thou" localSheetId="67">#REF!</definedName>
    <definedName name="thou" localSheetId="68">#REF!</definedName>
    <definedName name="thou" localSheetId="74">#REF!</definedName>
    <definedName name="thou" localSheetId="75">#REF!</definedName>
    <definedName name="thou" localSheetId="76">#REF!</definedName>
    <definedName name="thou" localSheetId="77">#REF!</definedName>
    <definedName name="thou" localSheetId="78">#REF!</definedName>
    <definedName name="thou" localSheetId="79">#REF!</definedName>
    <definedName name="thou">#REF!</definedName>
    <definedName name="THPROG" localSheetId="13">'[2]STN WISE EMR'!#REF!</definedName>
    <definedName name="THPROG" localSheetId="14">'[2]STN WISE EMR'!#REF!</definedName>
    <definedName name="THPROG" localSheetId="7">'[2]STN WISE EMR'!#REF!</definedName>
    <definedName name="THPROG" localSheetId="9">'[2]STN WISE EMR'!#REF!</definedName>
    <definedName name="THPROG" localSheetId="10">'[2]STN WISE EMR'!#REF!</definedName>
    <definedName name="THPROG" localSheetId="11">'[2]STN WISE EMR'!#REF!</definedName>
    <definedName name="THPROG" localSheetId="12">'[2]STN WISE EMR'!#REF!</definedName>
    <definedName name="THPROG" localSheetId="43">'[2]STN WISE EMR'!#REF!</definedName>
    <definedName name="THPROG" localSheetId="44">'[2]STN WISE EMR'!#REF!</definedName>
    <definedName name="THPROG" localSheetId="45">'[2]STN WISE EMR'!#REF!</definedName>
    <definedName name="THPROG" localSheetId="46">'[2]STN WISE EMR'!#REF!</definedName>
    <definedName name="THPROG" localSheetId="47">'[2]STN WISE EMR'!#REF!</definedName>
    <definedName name="THPROG" localSheetId="48">'[2]STN WISE EMR'!#REF!</definedName>
    <definedName name="THPROG" localSheetId="50">'[2]STN WISE EMR'!#REF!</definedName>
    <definedName name="THPROG" localSheetId="51">'[2]STN WISE EMR'!#REF!</definedName>
    <definedName name="THPROG" localSheetId="52">'[2]STN WISE EMR'!#REF!</definedName>
    <definedName name="THPROG" localSheetId="53">'[2]STN WISE EMR'!#REF!</definedName>
    <definedName name="THPROG" localSheetId="54">'[2]STN WISE EMR'!#REF!</definedName>
    <definedName name="THPROG" localSheetId="37">'[2]STN WISE EMR'!#REF!</definedName>
    <definedName name="THPROG" localSheetId="38">'[2]STN WISE EMR'!#REF!</definedName>
    <definedName name="THPROG" localSheetId="34">'[2]STN WISE EMR'!#REF!</definedName>
    <definedName name="THPROG" localSheetId="35">'[2]STN WISE EMR'!#REF!</definedName>
    <definedName name="THPROG" localSheetId="36">'[2]STN WISE EMR'!#REF!</definedName>
    <definedName name="THPROG" localSheetId="39">'[2]STN WISE EMR'!#REF!</definedName>
    <definedName name="THPROG" localSheetId="40">'[2]STN WISE EMR'!#REF!</definedName>
    <definedName name="THPROG" localSheetId="69">'[2]STN WISE EMR'!#REF!</definedName>
    <definedName name="THPROG" localSheetId="70">'[2]STN WISE EMR'!#REF!</definedName>
    <definedName name="THPROG" localSheetId="71">'[2]STN WISE EMR'!#REF!</definedName>
    <definedName name="THPROG" localSheetId="72">'[2]STN WISE EMR'!#REF!</definedName>
    <definedName name="THPROG" localSheetId="60">'[2]STN WISE EMR'!#REF!</definedName>
    <definedName name="THPROG" localSheetId="61">'[2]STN WISE EMR'!#REF!</definedName>
    <definedName name="THPROG" localSheetId="62">'[2]STN WISE EMR'!#REF!</definedName>
    <definedName name="THPROG" localSheetId="63">'[2]STN WISE EMR'!#REF!</definedName>
    <definedName name="THPROG" localSheetId="64">'[2]STN WISE EMR'!#REF!</definedName>
    <definedName name="THPROG" localSheetId="66">'[2]STN WISE EMR'!#REF!</definedName>
    <definedName name="THPROG" localSheetId="67">'[2]STN WISE EMR'!#REF!</definedName>
    <definedName name="THPROG" localSheetId="68">'[2]STN WISE EMR'!#REF!</definedName>
    <definedName name="THPROG" localSheetId="74">'[2]STN WISE EMR'!#REF!</definedName>
    <definedName name="THPROG" localSheetId="75">'[2]STN WISE EMR'!#REF!</definedName>
    <definedName name="THPROG" localSheetId="76">'[2]STN WISE EMR'!#REF!</definedName>
    <definedName name="THPROG" localSheetId="77">'[2]STN WISE EMR'!#REF!</definedName>
    <definedName name="THPROG" localSheetId="78">'[2]STN WISE EMR'!#REF!</definedName>
    <definedName name="THPROG" localSheetId="79">'[2]STN WISE EMR'!#REF!</definedName>
    <definedName name="THPROG">'[2]STN WISE EMR'!#REF!</definedName>
    <definedName name="TN" localSheetId="13">'[2]STN WISE EMR'!#REF!</definedName>
    <definedName name="TN" localSheetId="14">'[2]STN WISE EMR'!#REF!</definedName>
    <definedName name="TN" localSheetId="7">'[2]STN WISE EMR'!#REF!</definedName>
    <definedName name="TN" localSheetId="9">'[2]STN WISE EMR'!#REF!</definedName>
    <definedName name="TN" localSheetId="10">'[2]STN WISE EMR'!#REF!</definedName>
    <definedName name="TN" localSheetId="11">'[2]STN WISE EMR'!#REF!</definedName>
    <definedName name="TN" localSheetId="12">'[2]STN WISE EMR'!#REF!</definedName>
    <definedName name="TN" localSheetId="43">'[2]STN WISE EMR'!#REF!</definedName>
    <definedName name="TN" localSheetId="44">'[2]STN WISE EMR'!#REF!</definedName>
    <definedName name="TN" localSheetId="45">'[2]STN WISE EMR'!#REF!</definedName>
    <definedName name="TN" localSheetId="46">'[2]STN WISE EMR'!#REF!</definedName>
    <definedName name="TN" localSheetId="47">'[2]STN WISE EMR'!#REF!</definedName>
    <definedName name="TN" localSheetId="48">'[2]STN WISE EMR'!#REF!</definedName>
    <definedName name="TN" localSheetId="50">'[2]STN WISE EMR'!#REF!</definedName>
    <definedName name="TN" localSheetId="51">'[2]STN WISE EMR'!#REF!</definedName>
    <definedName name="TN" localSheetId="52">'[2]STN WISE EMR'!#REF!</definedName>
    <definedName name="TN" localSheetId="53">'[2]STN WISE EMR'!#REF!</definedName>
    <definedName name="TN" localSheetId="54">'[2]STN WISE EMR'!#REF!</definedName>
    <definedName name="TN" localSheetId="37">'[2]STN WISE EMR'!#REF!</definedName>
    <definedName name="TN" localSheetId="38">'[2]STN WISE EMR'!#REF!</definedName>
    <definedName name="TN" localSheetId="34">'[2]STN WISE EMR'!#REF!</definedName>
    <definedName name="TN" localSheetId="35">'[2]STN WISE EMR'!#REF!</definedName>
    <definedName name="TN" localSheetId="36">'[2]STN WISE EMR'!#REF!</definedName>
    <definedName name="TN" localSheetId="39">'[2]STN WISE EMR'!#REF!</definedName>
    <definedName name="TN" localSheetId="40">'[2]STN WISE EMR'!#REF!</definedName>
    <definedName name="TN" localSheetId="69">'[2]STN WISE EMR'!#REF!</definedName>
    <definedName name="TN" localSheetId="70">'[2]STN WISE EMR'!#REF!</definedName>
    <definedName name="TN" localSheetId="71">'[2]STN WISE EMR'!#REF!</definedName>
    <definedName name="TN" localSheetId="72">'[2]STN WISE EMR'!#REF!</definedName>
    <definedName name="TN" localSheetId="60">'[2]STN WISE EMR'!#REF!</definedName>
    <definedName name="TN" localSheetId="61">'[2]STN WISE EMR'!#REF!</definedName>
    <definedName name="TN" localSheetId="62">'[2]STN WISE EMR'!#REF!</definedName>
    <definedName name="TN" localSheetId="63">'[2]STN WISE EMR'!#REF!</definedName>
    <definedName name="TN" localSheetId="64">'[2]STN WISE EMR'!#REF!</definedName>
    <definedName name="TN" localSheetId="66">'[2]STN WISE EMR'!#REF!</definedName>
    <definedName name="TN" localSheetId="67">'[2]STN WISE EMR'!#REF!</definedName>
    <definedName name="TN" localSheetId="68">'[2]STN WISE EMR'!#REF!</definedName>
    <definedName name="TN" localSheetId="74">'[2]STN WISE EMR'!#REF!</definedName>
    <definedName name="TN" localSheetId="75">'[2]STN WISE EMR'!#REF!</definedName>
    <definedName name="TN" localSheetId="76">'[2]STN WISE EMR'!#REF!</definedName>
    <definedName name="TN" localSheetId="77">'[2]STN WISE EMR'!#REF!</definedName>
    <definedName name="TN" localSheetId="78">'[2]STN WISE EMR'!#REF!</definedName>
    <definedName name="TN" localSheetId="79">'[2]STN WISE EMR'!#REF!</definedName>
    <definedName name="TN">'[2]STN WISE EMR'!#REF!</definedName>
    <definedName name="TVA">'[6]Executive Summary -Thermal'!$A$4:$H$126</definedName>
    <definedName name="u" localSheetId="13" hidden="1">{#N/A,#N/A,FALSE,"1.1";#N/A,#N/A,FALSE,"1.1a";#N/A,#N/A,FALSE,"1.1b";#N/A,#N/A,FALSE,"1.1c";#N/A,#N/A,FALSE,"1.1e";#N/A,#N/A,FALSE,"1.1f";#N/A,#N/A,FALSE,"1.1g";#N/A,#N/A,FALSE,"1.1h_D";#N/A,#N/A,FALSE,"1.1h_T";#N/A,#N/A,FALSE,"1.2";#N/A,#N/A,FALSE,"1.3b";#N/A,#N/A,FALSE,"1.3";#N/A,#N/A,FALSE,"1.4";#N/A,#N/A,FALSE,"1.5";#N/A,#N/A,FALSE,"1.6";#N/A,#N/A,FALSE,"SOD";#N/A,#N/A,FALSE,"CF"}</definedName>
    <definedName name="u" localSheetId="14" hidden="1">{#N/A,#N/A,FALSE,"1.1";#N/A,#N/A,FALSE,"1.1a";#N/A,#N/A,FALSE,"1.1b";#N/A,#N/A,FALSE,"1.1c";#N/A,#N/A,FALSE,"1.1e";#N/A,#N/A,FALSE,"1.1f";#N/A,#N/A,FALSE,"1.1g";#N/A,#N/A,FALSE,"1.1h_D";#N/A,#N/A,FALSE,"1.1h_T";#N/A,#N/A,FALSE,"1.2";#N/A,#N/A,FALSE,"1.3b";#N/A,#N/A,FALSE,"1.3";#N/A,#N/A,FALSE,"1.4";#N/A,#N/A,FALSE,"1.5";#N/A,#N/A,FALSE,"1.6";#N/A,#N/A,FALSE,"SOD";#N/A,#N/A,FALSE,"CF"}</definedName>
    <definedName name="u" localSheetId="7" hidden="1">{#N/A,#N/A,FALSE,"1.1";#N/A,#N/A,FALSE,"1.1a";#N/A,#N/A,FALSE,"1.1b";#N/A,#N/A,FALSE,"1.1c";#N/A,#N/A,FALSE,"1.1e";#N/A,#N/A,FALSE,"1.1f";#N/A,#N/A,FALSE,"1.1g";#N/A,#N/A,FALSE,"1.1h_D";#N/A,#N/A,FALSE,"1.1h_T";#N/A,#N/A,FALSE,"1.2";#N/A,#N/A,FALSE,"1.3b";#N/A,#N/A,FALSE,"1.3";#N/A,#N/A,FALSE,"1.4";#N/A,#N/A,FALSE,"1.5";#N/A,#N/A,FALSE,"1.6";#N/A,#N/A,FALSE,"SOD";#N/A,#N/A,FALSE,"CF"}</definedName>
    <definedName name="u" localSheetId="9" hidden="1">{#N/A,#N/A,FALSE,"1.1";#N/A,#N/A,FALSE,"1.1a";#N/A,#N/A,FALSE,"1.1b";#N/A,#N/A,FALSE,"1.1c";#N/A,#N/A,FALSE,"1.1e";#N/A,#N/A,FALSE,"1.1f";#N/A,#N/A,FALSE,"1.1g";#N/A,#N/A,FALSE,"1.1h_D";#N/A,#N/A,FALSE,"1.1h_T";#N/A,#N/A,FALSE,"1.2";#N/A,#N/A,FALSE,"1.3b";#N/A,#N/A,FALSE,"1.3";#N/A,#N/A,FALSE,"1.4";#N/A,#N/A,FALSE,"1.5";#N/A,#N/A,FALSE,"1.6";#N/A,#N/A,FALSE,"SOD";#N/A,#N/A,FALSE,"CF"}</definedName>
    <definedName name="u" localSheetId="10" hidden="1">{#N/A,#N/A,FALSE,"1.1";#N/A,#N/A,FALSE,"1.1a";#N/A,#N/A,FALSE,"1.1b";#N/A,#N/A,FALSE,"1.1c";#N/A,#N/A,FALSE,"1.1e";#N/A,#N/A,FALSE,"1.1f";#N/A,#N/A,FALSE,"1.1g";#N/A,#N/A,FALSE,"1.1h_D";#N/A,#N/A,FALSE,"1.1h_T";#N/A,#N/A,FALSE,"1.2";#N/A,#N/A,FALSE,"1.3b";#N/A,#N/A,FALSE,"1.3";#N/A,#N/A,FALSE,"1.4";#N/A,#N/A,FALSE,"1.5";#N/A,#N/A,FALSE,"1.6";#N/A,#N/A,FALSE,"SOD";#N/A,#N/A,FALSE,"CF"}</definedName>
    <definedName name="u" localSheetId="11" hidden="1">{#N/A,#N/A,FALSE,"1.1";#N/A,#N/A,FALSE,"1.1a";#N/A,#N/A,FALSE,"1.1b";#N/A,#N/A,FALSE,"1.1c";#N/A,#N/A,FALSE,"1.1e";#N/A,#N/A,FALSE,"1.1f";#N/A,#N/A,FALSE,"1.1g";#N/A,#N/A,FALSE,"1.1h_D";#N/A,#N/A,FALSE,"1.1h_T";#N/A,#N/A,FALSE,"1.2";#N/A,#N/A,FALSE,"1.3b";#N/A,#N/A,FALSE,"1.3";#N/A,#N/A,FALSE,"1.4";#N/A,#N/A,FALSE,"1.5";#N/A,#N/A,FALSE,"1.6";#N/A,#N/A,FALSE,"SOD";#N/A,#N/A,FALSE,"CF"}</definedName>
    <definedName name="u" localSheetId="12" hidden="1">{#N/A,#N/A,FALSE,"1.1";#N/A,#N/A,FALSE,"1.1a";#N/A,#N/A,FALSE,"1.1b";#N/A,#N/A,FALSE,"1.1c";#N/A,#N/A,FALSE,"1.1e";#N/A,#N/A,FALSE,"1.1f";#N/A,#N/A,FALSE,"1.1g";#N/A,#N/A,FALSE,"1.1h_D";#N/A,#N/A,FALSE,"1.1h_T";#N/A,#N/A,FALSE,"1.2";#N/A,#N/A,FALSE,"1.3b";#N/A,#N/A,FALSE,"1.3";#N/A,#N/A,FALSE,"1.4";#N/A,#N/A,FALSE,"1.5";#N/A,#N/A,FALSE,"1.6";#N/A,#N/A,FALSE,"SOD";#N/A,#N/A,FALSE,"CF"}</definedName>
    <definedName name="u" localSheetId="43" hidden="1">{#N/A,#N/A,FALSE,"1.1";#N/A,#N/A,FALSE,"1.1a";#N/A,#N/A,FALSE,"1.1b";#N/A,#N/A,FALSE,"1.1c";#N/A,#N/A,FALSE,"1.1e";#N/A,#N/A,FALSE,"1.1f";#N/A,#N/A,FALSE,"1.1g";#N/A,#N/A,FALSE,"1.1h_D";#N/A,#N/A,FALSE,"1.1h_T";#N/A,#N/A,FALSE,"1.2";#N/A,#N/A,FALSE,"1.3b";#N/A,#N/A,FALSE,"1.3";#N/A,#N/A,FALSE,"1.4";#N/A,#N/A,FALSE,"1.5";#N/A,#N/A,FALSE,"1.6";#N/A,#N/A,FALSE,"SOD";#N/A,#N/A,FALSE,"CF"}</definedName>
    <definedName name="u" localSheetId="44" hidden="1">{#N/A,#N/A,FALSE,"1.1";#N/A,#N/A,FALSE,"1.1a";#N/A,#N/A,FALSE,"1.1b";#N/A,#N/A,FALSE,"1.1c";#N/A,#N/A,FALSE,"1.1e";#N/A,#N/A,FALSE,"1.1f";#N/A,#N/A,FALSE,"1.1g";#N/A,#N/A,FALSE,"1.1h_D";#N/A,#N/A,FALSE,"1.1h_T";#N/A,#N/A,FALSE,"1.2";#N/A,#N/A,FALSE,"1.3b";#N/A,#N/A,FALSE,"1.3";#N/A,#N/A,FALSE,"1.4";#N/A,#N/A,FALSE,"1.5";#N/A,#N/A,FALSE,"1.6";#N/A,#N/A,FALSE,"SOD";#N/A,#N/A,FALSE,"CF"}</definedName>
    <definedName name="u" localSheetId="45" hidden="1">{#N/A,#N/A,FALSE,"1.1";#N/A,#N/A,FALSE,"1.1a";#N/A,#N/A,FALSE,"1.1b";#N/A,#N/A,FALSE,"1.1c";#N/A,#N/A,FALSE,"1.1e";#N/A,#N/A,FALSE,"1.1f";#N/A,#N/A,FALSE,"1.1g";#N/A,#N/A,FALSE,"1.1h_D";#N/A,#N/A,FALSE,"1.1h_T";#N/A,#N/A,FALSE,"1.2";#N/A,#N/A,FALSE,"1.3b";#N/A,#N/A,FALSE,"1.3";#N/A,#N/A,FALSE,"1.4";#N/A,#N/A,FALSE,"1.5";#N/A,#N/A,FALSE,"1.6";#N/A,#N/A,FALSE,"SOD";#N/A,#N/A,FALSE,"CF"}</definedName>
    <definedName name="u" localSheetId="46" hidden="1">{#N/A,#N/A,FALSE,"1.1";#N/A,#N/A,FALSE,"1.1a";#N/A,#N/A,FALSE,"1.1b";#N/A,#N/A,FALSE,"1.1c";#N/A,#N/A,FALSE,"1.1e";#N/A,#N/A,FALSE,"1.1f";#N/A,#N/A,FALSE,"1.1g";#N/A,#N/A,FALSE,"1.1h_D";#N/A,#N/A,FALSE,"1.1h_T";#N/A,#N/A,FALSE,"1.2";#N/A,#N/A,FALSE,"1.3b";#N/A,#N/A,FALSE,"1.3";#N/A,#N/A,FALSE,"1.4";#N/A,#N/A,FALSE,"1.5";#N/A,#N/A,FALSE,"1.6";#N/A,#N/A,FALSE,"SOD";#N/A,#N/A,FALSE,"CF"}</definedName>
    <definedName name="u" localSheetId="47" hidden="1">{#N/A,#N/A,FALSE,"1.1";#N/A,#N/A,FALSE,"1.1a";#N/A,#N/A,FALSE,"1.1b";#N/A,#N/A,FALSE,"1.1c";#N/A,#N/A,FALSE,"1.1e";#N/A,#N/A,FALSE,"1.1f";#N/A,#N/A,FALSE,"1.1g";#N/A,#N/A,FALSE,"1.1h_D";#N/A,#N/A,FALSE,"1.1h_T";#N/A,#N/A,FALSE,"1.2";#N/A,#N/A,FALSE,"1.3b";#N/A,#N/A,FALSE,"1.3";#N/A,#N/A,FALSE,"1.4";#N/A,#N/A,FALSE,"1.5";#N/A,#N/A,FALSE,"1.6";#N/A,#N/A,FALSE,"SOD";#N/A,#N/A,FALSE,"CF"}</definedName>
    <definedName name="u" localSheetId="48" hidden="1">{#N/A,#N/A,FALSE,"1.1";#N/A,#N/A,FALSE,"1.1a";#N/A,#N/A,FALSE,"1.1b";#N/A,#N/A,FALSE,"1.1c";#N/A,#N/A,FALSE,"1.1e";#N/A,#N/A,FALSE,"1.1f";#N/A,#N/A,FALSE,"1.1g";#N/A,#N/A,FALSE,"1.1h_D";#N/A,#N/A,FALSE,"1.1h_T";#N/A,#N/A,FALSE,"1.2";#N/A,#N/A,FALSE,"1.3b";#N/A,#N/A,FALSE,"1.3";#N/A,#N/A,FALSE,"1.4";#N/A,#N/A,FALSE,"1.5";#N/A,#N/A,FALSE,"1.6";#N/A,#N/A,FALSE,"SOD";#N/A,#N/A,FALSE,"CF"}</definedName>
    <definedName name="u" localSheetId="50" hidden="1">{#N/A,#N/A,FALSE,"1.1";#N/A,#N/A,FALSE,"1.1a";#N/A,#N/A,FALSE,"1.1b";#N/A,#N/A,FALSE,"1.1c";#N/A,#N/A,FALSE,"1.1e";#N/A,#N/A,FALSE,"1.1f";#N/A,#N/A,FALSE,"1.1g";#N/A,#N/A,FALSE,"1.1h_D";#N/A,#N/A,FALSE,"1.1h_T";#N/A,#N/A,FALSE,"1.2";#N/A,#N/A,FALSE,"1.3b";#N/A,#N/A,FALSE,"1.3";#N/A,#N/A,FALSE,"1.4";#N/A,#N/A,FALSE,"1.5";#N/A,#N/A,FALSE,"1.6";#N/A,#N/A,FALSE,"SOD";#N/A,#N/A,FALSE,"CF"}</definedName>
    <definedName name="u" localSheetId="51" hidden="1">{#N/A,#N/A,FALSE,"1.1";#N/A,#N/A,FALSE,"1.1a";#N/A,#N/A,FALSE,"1.1b";#N/A,#N/A,FALSE,"1.1c";#N/A,#N/A,FALSE,"1.1e";#N/A,#N/A,FALSE,"1.1f";#N/A,#N/A,FALSE,"1.1g";#N/A,#N/A,FALSE,"1.1h_D";#N/A,#N/A,FALSE,"1.1h_T";#N/A,#N/A,FALSE,"1.2";#N/A,#N/A,FALSE,"1.3b";#N/A,#N/A,FALSE,"1.3";#N/A,#N/A,FALSE,"1.4";#N/A,#N/A,FALSE,"1.5";#N/A,#N/A,FALSE,"1.6";#N/A,#N/A,FALSE,"SOD";#N/A,#N/A,FALSE,"CF"}</definedName>
    <definedName name="u" localSheetId="52" hidden="1">{#N/A,#N/A,FALSE,"1.1";#N/A,#N/A,FALSE,"1.1a";#N/A,#N/A,FALSE,"1.1b";#N/A,#N/A,FALSE,"1.1c";#N/A,#N/A,FALSE,"1.1e";#N/A,#N/A,FALSE,"1.1f";#N/A,#N/A,FALSE,"1.1g";#N/A,#N/A,FALSE,"1.1h_D";#N/A,#N/A,FALSE,"1.1h_T";#N/A,#N/A,FALSE,"1.2";#N/A,#N/A,FALSE,"1.3b";#N/A,#N/A,FALSE,"1.3";#N/A,#N/A,FALSE,"1.4";#N/A,#N/A,FALSE,"1.5";#N/A,#N/A,FALSE,"1.6";#N/A,#N/A,FALSE,"SOD";#N/A,#N/A,FALSE,"CF"}</definedName>
    <definedName name="u" localSheetId="53" hidden="1">{#N/A,#N/A,FALSE,"1.1";#N/A,#N/A,FALSE,"1.1a";#N/A,#N/A,FALSE,"1.1b";#N/A,#N/A,FALSE,"1.1c";#N/A,#N/A,FALSE,"1.1e";#N/A,#N/A,FALSE,"1.1f";#N/A,#N/A,FALSE,"1.1g";#N/A,#N/A,FALSE,"1.1h_D";#N/A,#N/A,FALSE,"1.1h_T";#N/A,#N/A,FALSE,"1.2";#N/A,#N/A,FALSE,"1.3b";#N/A,#N/A,FALSE,"1.3";#N/A,#N/A,FALSE,"1.4";#N/A,#N/A,FALSE,"1.5";#N/A,#N/A,FALSE,"1.6";#N/A,#N/A,FALSE,"SOD";#N/A,#N/A,FALSE,"CF"}</definedName>
    <definedName name="u" localSheetId="54" hidden="1">{#N/A,#N/A,FALSE,"1.1";#N/A,#N/A,FALSE,"1.1a";#N/A,#N/A,FALSE,"1.1b";#N/A,#N/A,FALSE,"1.1c";#N/A,#N/A,FALSE,"1.1e";#N/A,#N/A,FALSE,"1.1f";#N/A,#N/A,FALSE,"1.1g";#N/A,#N/A,FALSE,"1.1h_D";#N/A,#N/A,FALSE,"1.1h_T";#N/A,#N/A,FALSE,"1.2";#N/A,#N/A,FALSE,"1.3b";#N/A,#N/A,FALSE,"1.3";#N/A,#N/A,FALSE,"1.4";#N/A,#N/A,FALSE,"1.5";#N/A,#N/A,FALSE,"1.6";#N/A,#N/A,FALSE,"SOD";#N/A,#N/A,FALSE,"CF"}</definedName>
    <definedName name="u" localSheetId="37" hidden="1">{#N/A,#N/A,FALSE,"1.1";#N/A,#N/A,FALSE,"1.1a";#N/A,#N/A,FALSE,"1.1b";#N/A,#N/A,FALSE,"1.1c";#N/A,#N/A,FALSE,"1.1e";#N/A,#N/A,FALSE,"1.1f";#N/A,#N/A,FALSE,"1.1g";#N/A,#N/A,FALSE,"1.1h_D";#N/A,#N/A,FALSE,"1.1h_T";#N/A,#N/A,FALSE,"1.2";#N/A,#N/A,FALSE,"1.3b";#N/A,#N/A,FALSE,"1.3";#N/A,#N/A,FALSE,"1.4";#N/A,#N/A,FALSE,"1.5";#N/A,#N/A,FALSE,"1.6";#N/A,#N/A,FALSE,"SOD";#N/A,#N/A,FALSE,"CF"}</definedName>
    <definedName name="u" localSheetId="38" hidden="1">{#N/A,#N/A,FALSE,"1.1";#N/A,#N/A,FALSE,"1.1a";#N/A,#N/A,FALSE,"1.1b";#N/A,#N/A,FALSE,"1.1c";#N/A,#N/A,FALSE,"1.1e";#N/A,#N/A,FALSE,"1.1f";#N/A,#N/A,FALSE,"1.1g";#N/A,#N/A,FALSE,"1.1h_D";#N/A,#N/A,FALSE,"1.1h_T";#N/A,#N/A,FALSE,"1.2";#N/A,#N/A,FALSE,"1.3b";#N/A,#N/A,FALSE,"1.3";#N/A,#N/A,FALSE,"1.4";#N/A,#N/A,FALSE,"1.5";#N/A,#N/A,FALSE,"1.6";#N/A,#N/A,FALSE,"SOD";#N/A,#N/A,FALSE,"CF"}</definedName>
    <definedName name="u" localSheetId="34" hidden="1">{#N/A,#N/A,FALSE,"1.1";#N/A,#N/A,FALSE,"1.1a";#N/A,#N/A,FALSE,"1.1b";#N/A,#N/A,FALSE,"1.1c";#N/A,#N/A,FALSE,"1.1e";#N/A,#N/A,FALSE,"1.1f";#N/A,#N/A,FALSE,"1.1g";#N/A,#N/A,FALSE,"1.1h_D";#N/A,#N/A,FALSE,"1.1h_T";#N/A,#N/A,FALSE,"1.2";#N/A,#N/A,FALSE,"1.3b";#N/A,#N/A,FALSE,"1.3";#N/A,#N/A,FALSE,"1.4";#N/A,#N/A,FALSE,"1.5";#N/A,#N/A,FALSE,"1.6";#N/A,#N/A,FALSE,"SOD";#N/A,#N/A,FALSE,"CF"}</definedName>
    <definedName name="u" localSheetId="35" hidden="1">{#N/A,#N/A,FALSE,"1.1";#N/A,#N/A,FALSE,"1.1a";#N/A,#N/A,FALSE,"1.1b";#N/A,#N/A,FALSE,"1.1c";#N/A,#N/A,FALSE,"1.1e";#N/A,#N/A,FALSE,"1.1f";#N/A,#N/A,FALSE,"1.1g";#N/A,#N/A,FALSE,"1.1h_D";#N/A,#N/A,FALSE,"1.1h_T";#N/A,#N/A,FALSE,"1.2";#N/A,#N/A,FALSE,"1.3b";#N/A,#N/A,FALSE,"1.3";#N/A,#N/A,FALSE,"1.4";#N/A,#N/A,FALSE,"1.5";#N/A,#N/A,FALSE,"1.6";#N/A,#N/A,FALSE,"SOD";#N/A,#N/A,FALSE,"CF"}</definedName>
    <definedName name="u" localSheetId="36" hidden="1">{#N/A,#N/A,FALSE,"1.1";#N/A,#N/A,FALSE,"1.1a";#N/A,#N/A,FALSE,"1.1b";#N/A,#N/A,FALSE,"1.1c";#N/A,#N/A,FALSE,"1.1e";#N/A,#N/A,FALSE,"1.1f";#N/A,#N/A,FALSE,"1.1g";#N/A,#N/A,FALSE,"1.1h_D";#N/A,#N/A,FALSE,"1.1h_T";#N/A,#N/A,FALSE,"1.2";#N/A,#N/A,FALSE,"1.3b";#N/A,#N/A,FALSE,"1.3";#N/A,#N/A,FALSE,"1.4";#N/A,#N/A,FALSE,"1.5";#N/A,#N/A,FALSE,"1.6";#N/A,#N/A,FALSE,"SOD";#N/A,#N/A,FALSE,"CF"}</definedName>
    <definedName name="u" localSheetId="39" hidden="1">{#N/A,#N/A,FALSE,"1.1";#N/A,#N/A,FALSE,"1.1a";#N/A,#N/A,FALSE,"1.1b";#N/A,#N/A,FALSE,"1.1c";#N/A,#N/A,FALSE,"1.1e";#N/A,#N/A,FALSE,"1.1f";#N/A,#N/A,FALSE,"1.1g";#N/A,#N/A,FALSE,"1.1h_D";#N/A,#N/A,FALSE,"1.1h_T";#N/A,#N/A,FALSE,"1.2";#N/A,#N/A,FALSE,"1.3b";#N/A,#N/A,FALSE,"1.3";#N/A,#N/A,FALSE,"1.4";#N/A,#N/A,FALSE,"1.5";#N/A,#N/A,FALSE,"1.6";#N/A,#N/A,FALSE,"SOD";#N/A,#N/A,FALSE,"CF"}</definedName>
    <definedName name="u" localSheetId="40" hidden="1">{#N/A,#N/A,FALSE,"1.1";#N/A,#N/A,FALSE,"1.1a";#N/A,#N/A,FALSE,"1.1b";#N/A,#N/A,FALSE,"1.1c";#N/A,#N/A,FALSE,"1.1e";#N/A,#N/A,FALSE,"1.1f";#N/A,#N/A,FALSE,"1.1g";#N/A,#N/A,FALSE,"1.1h_D";#N/A,#N/A,FALSE,"1.1h_T";#N/A,#N/A,FALSE,"1.2";#N/A,#N/A,FALSE,"1.3b";#N/A,#N/A,FALSE,"1.3";#N/A,#N/A,FALSE,"1.4";#N/A,#N/A,FALSE,"1.5";#N/A,#N/A,FALSE,"1.6";#N/A,#N/A,FALSE,"SOD";#N/A,#N/A,FALSE,"CF"}</definedName>
    <definedName name="u" localSheetId="69" hidden="1">{#N/A,#N/A,FALSE,"1.1";#N/A,#N/A,FALSE,"1.1a";#N/A,#N/A,FALSE,"1.1b";#N/A,#N/A,FALSE,"1.1c";#N/A,#N/A,FALSE,"1.1e";#N/A,#N/A,FALSE,"1.1f";#N/A,#N/A,FALSE,"1.1g";#N/A,#N/A,FALSE,"1.1h_D";#N/A,#N/A,FALSE,"1.1h_T";#N/A,#N/A,FALSE,"1.2";#N/A,#N/A,FALSE,"1.3b";#N/A,#N/A,FALSE,"1.3";#N/A,#N/A,FALSE,"1.4";#N/A,#N/A,FALSE,"1.5";#N/A,#N/A,FALSE,"1.6";#N/A,#N/A,FALSE,"SOD";#N/A,#N/A,FALSE,"CF"}</definedName>
    <definedName name="u" localSheetId="70" hidden="1">{#N/A,#N/A,FALSE,"1.1";#N/A,#N/A,FALSE,"1.1a";#N/A,#N/A,FALSE,"1.1b";#N/A,#N/A,FALSE,"1.1c";#N/A,#N/A,FALSE,"1.1e";#N/A,#N/A,FALSE,"1.1f";#N/A,#N/A,FALSE,"1.1g";#N/A,#N/A,FALSE,"1.1h_D";#N/A,#N/A,FALSE,"1.1h_T";#N/A,#N/A,FALSE,"1.2";#N/A,#N/A,FALSE,"1.3b";#N/A,#N/A,FALSE,"1.3";#N/A,#N/A,FALSE,"1.4";#N/A,#N/A,FALSE,"1.5";#N/A,#N/A,FALSE,"1.6";#N/A,#N/A,FALSE,"SOD";#N/A,#N/A,FALSE,"CF"}</definedName>
    <definedName name="u" localSheetId="71" hidden="1">{#N/A,#N/A,FALSE,"1.1";#N/A,#N/A,FALSE,"1.1a";#N/A,#N/A,FALSE,"1.1b";#N/A,#N/A,FALSE,"1.1c";#N/A,#N/A,FALSE,"1.1e";#N/A,#N/A,FALSE,"1.1f";#N/A,#N/A,FALSE,"1.1g";#N/A,#N/A,FALSE,"1.1h_D";#N/A,#N/A,FALSE,"1.1h_T";#N/A,#N/A,FALSE,"1.2";#N/A,#N/A,FALSE,"1.3b";#N/A,#N/A,FALSE,"1.3";#N/A,#N/A,FALSE,"1.4";#N/A,#N/A,FALSE,"1.5";#N/A,#N/A,FALSE,"1.6";#N/A,#N/A,FALSE,"SOD";#N/A,#N/A,FALSE,"CF"}</definedName>
    <definedName name="u" localSheetId="72" hidden="1">{#N/A,#N/A,FALSE,"1.1";#N/A,#N/A,FALSE,"1.1a";#N/A,#N/A,FALSE,"1.1b";#N/A,#N/A,FALSE,"1.1c";#N/A,#N/A,FALSE,"1.1e";#N/A,#N/A,FALSE,"1.1f";#N/A,#N/A,FALSE,"1.1g";#N/A,#N/A,FALSE,"1.1h_D";#N/A,#N/A,FALSE,"1.1h_T";#N/A,#N/A,FALSE,"1.2";#N/A,#N/A,FALSE,"1.3b";#N/A,#N/A,FALSE,"1.3";#N/A,#N/A,FALSE,"1.4";#N/A,#N/A,FALSE,"1.5";#N/A,#N/A,FALSE,"1.6";#N/A,#N/A,FALSE,"SOD";#N/A,#N/A,FALSE,"CF"}</definedName>
    <definedName name="u" localSheetId="60" hidden="1">{#N/A,#N/A,FALSE,"1.1";#N/A,#N/A,FALSE,"1.1a";#N/A,#N/A,FALSE,"1.1b";#N/A,#N/A,FALSE,"1.1c";#N/A,#N/A,FALSE,"1.1e";#N/A,#N/A,FALSE,"1.1f";#N/A,#N/A,FALSE,"1.1g";#N/A,#N/A,FALSE,"1.1h_D";#N/A,#N/A,FALSE,"1.1h_T";#N/A,#N/A,FALSE,"1.2";#N/A,#N/A,FALSE,"1.3b";#N/A,#N/A,FALSE,"1.3";#N/A,#N/A,FALSE,"1.4";#N/A,#N/A,FALSE,"1.5";#N/A,#N/A,FALSE,"1.6";#N/A,#N/A,FALSE,"SOD";#N/A,#N/A,FALSE,"CF"}</definedName>
    <definedName name="u" localSheetId="61" hidden="1">{#N/A,#N/A,FALSE,"1.1";#N/A,#N/A,FALSE,"1.1a";#N/A,#N/A,FALSE,"1.1b";#N/A,#N/A,FALSE,"1.1c";#N/A,#N/A,FALSE,"1.1e";#N/A,#N/A,FALSE,"1.1f";#N/A,#N/A,FALSE,"1.1g";#N/A,#N/A,FALSE,"1.1h_D";#N/A,#N/A,FALSE,"1.1h_T";#N/A,#N/A,FALSE,"1.2";#N/A,#N/A,FALSE,"1.3b";#N/A,#N/A,FALSE,"1.3";#N/A,#N/A,FALSE,"1.4";#N/A,#N/A,FALSE,"1.5";#N/A,#N/A,FALSE,"1.6";#N/A,#N/A,FALSE,"SOD";#N/A,#N/A,FALSE,"CF"}</definedName>
    <definedName name="u" localSheetId="62" hidden="1">{#N/A,#N/A,FALSE,"1.1";#N/A,#N/A,FALSE,"1.1a";#N/A,#N/A,FALSE,"1.1b";#N/A,#N/A,FALSE,"1.1c";#N/A,#N/A,FALSE,"1.1e";#N/A,#N/A,FALSE,"1.1f";#N/A,#N/A,FALSE,"1.1g";#N/A,#N/A,FALSE,"1.1h_D";#N/A,#N/A,FALSE,"1.1h_T";#N/A,#N/A,FALSE,"1.2";#N/A,#N/A,FALSE,"1.3b";#N/A,#N/A,FALSE,"1.3";#N/A,#N/A,FALSE,"1.4";#N/A,#N/A,FALSE,"1.5";#N/A,#N/A,FALSE,"1.6";#N/A,#N/A,FALSE,"SOD";#N/A,#N/A,FALSE,"CF"}</definedName>
    <definedName name="u" localSheetId="63" hidden="1">{#N/A,#N/A,FALSE,"1.1";#N/A,#N/A,FALSE,"1.1a";#N/A,#N/A,FALSE,"1.1b";#N/A,#N/A,FALSE,"1.1c";#N/A,#N/A,FALSE,"1.1e";#N/A,#N/A,FALSE,"1.1f";#N/A,#N/A,FALSE,"1.1g";#N/A,#N/A,FALSE,"1.1h_D";#N/A,#N/A,FALSE,"1.1h_T";#N/A,#N/A,FALSE,"1.2";#N/A,#N/A,FALSE,"1.3b";#N/A,#N/A,FALSE,"1.3";#N/A,#N/A,FALSE,"1.4";#N/A,#N/A,FALSE,"1.5";#N/A,#N/A,FALSE,"1.6";#N/A,#N/A,FALSE,"SOD";#N/A,#N/A,FALSE,"CF"}</definedName>
    <definedName name="u" localSheetId="64" hidden="1">{#N/A,#N/A,FALSE,"1.1";#N/A,#N/A,FALSE,"1.1a";#N/A,#N/A,FALSE,"1.1b";#N/A,#N/A,FALSE,"1.1c";#N/A,#N/A,FALSE,"1.1e";#N/A,#N/A,FALSE,"1.1f";#N/A,#N/A,FALSE,"1.1g";#N/A,#N/A,FALSE,"1.1h_D";#N/A,#N/A,FALSE,"1.1h_T";#N/A,#N/A,FALSE,"1.2";#N/A,#N/A,FALSE,"1.3b";#N/A,#N/A,FALSE,"1.3";#N/A,#N/A,FALSE,"1.4";#N/A,#N/A,FALSE,"1.5";#N/A,#N/A,FALSE,"1.6";#N/A,#N/A,FALSE,"SOD";#N/A,#N/A,FALSE,"CF"}</definedName>
    <definedName name="u" localSheetId="66" hidden="1">{#N/A,#N/A,FALSE,"1.1";#N/A,#N/A,FALSE,"1.1a";#N/A,#N/A,FALSE,"1.1b";#N/A,#N/A,FALSE,"1.1c";#N/A,#N/A,FALSE,"1.1e";#N/A,#N/A,FALSE,"1.1f";#N/A,#N/A,FALSE,"1.1g";#N/A,#N/A,FALSE,"1.1h_D";#N/A,#N/A,FALSE,"1.1h_T";#N/A,#N/A,FALSE,"1.2";#N/A,#N/A,FALSE,"1.3b";#N/A,#N/A,FALSE,"1.3";#N/A,#N/A,FALSE,"1.4";#N/A,#N/A,FALSE,"1.5";#N/A,#N/A,FALSE,"1.6";#N/A,#N/A,FALSE,"SOD";#N/A,#N/A,FALSE,"CF"}</definedName>
    <definedName name="u" localSheetId="67" hidden="1">{#N/A,#N/A,FALSE,"1.1";#N/A,#N/A,FALSE,"1.1a";#N/A,#N/A,FALSE,"1.1b";#N/A,#N/A,FALSE,"1.1c";#N/A,#N/A,FALSE,"1.1e";#N/A,#N/A,FALSE,"1.1f";#N/A,#N/A,FALSE,"1.1g";#N/A,#N/A,FALSE,"1.1h_D";#N/A,#N/A,FALSE,"1.1h_T";#N/A,#N/A,FALSE,"1.2";#N/A,#N/A,FALSE,"1.3b";#N/A,#N/A,FALSE,"1.3";#N/A,#N/A,FALSE,"1.4";#N/A,#N/A,FALSE,"1.5";#N/A,#N/A,FALSE,"1.6";#N/A,#N/A,FALSE,"SOD";#N/A,#N/A,FALSE,"CF"}</definedName>
    <definedName name="u" localSheetId="68" hidden="1">{#N/A,#N/A,FALSE,"1.1";#N/A,#N/A,FALSE,"1.1a";#N/A,#N/A,FALSE,"1.1b";#N/A,#N/A,FALSE,"1.1c";#N/A,#N/A,FALSE,"1.1e";#N/A,#N/A,FALSE,"1.1f";#N/A,#N/A,FALSE,"1.1g";#N/A,#N/A,FALSE,"1.1h_D";#N/A,#N/A,FALSE,"1.1h_T";#N/A,#N/A,FALSE,"1.2";#N/A,#N/A,FALSE,"1.3b";#N/A,#N/A,FALSE,"1.3";#N/A,#N/A,FALSE,"1.4";#N/A,#N/A,FALSE,"1.5";#N/A,#N/A,FALSE,"1.6";#N/A,#N/A,FALSE,"SOD";#N/A,#N/A,FALSE,"CF"}</definedName>
    <definedName name="u" localSheetId="74" hidden="1">{#N/A,#N/A,FALSE,"1.1";#N/A,#N/A,FALSE,"1.1a";#N/A,#N/A,FALSE,"1.1b";#N/A,#N/A,FALSE,"1.1c";#N/A,#N/A,FALSE,"1.1e";#N/A,#N/A,FALSE,"1.1f";#N/A,#N/A,FALSE,"1.1g";#N/A,#N/A,FALSE,"1.1h_D";#N/A,#N/A,FALSE,"1.1h_T";#N/A,#N/A,FALSE,"1.2";#N/A,#N/A,FALSE,"1.3b";#N/A,#N/A,FALSE,"1.3";#N/A,#N/A,FALSE,"1.4";#N/A,#N/A,FALSE,"1.5";#N/A,#N/A,FALSE,"1.6";#N/A,#N/A,FALSE,"SOD";#N/A,#N/A,FALSE,"CF"}</definedName>
    <definedName name="u" localSheetId="75" hidden="1">{#N/A,#N/A,FALSE,"1.1";#N/A,#N/A,FALSE,"1.1a";#N/A,#N/A,FALSE,"1.1b";#N/A,#N/A,FALSE,"1.1c";#N/A,#N/A,FALSE,"1.1e";#N/A,#N/A,FALSE,"1.1f";#N/A,#N/A,FALSE,"1.1g";#N/A,#N/A,FALSE,"1.1h_D";#N/A,#N/A,FALSE,"1.1h_T";#N/A,#N/A,FALSE,"1.2";#N/A,#N/A,FALSE,"1.3b";#N/A,#N/A,FALSE,"1.3";#N/A,#N/A,FALSE,"1.4";#N/A,#N/A,FALSE,"1.5";#N/A,#N/A,FALSE,"1.6";#N/A,#N/A,FALSE,"SOD";#N/A,#N/A,FALSE,"CF"}</definedName>
    <definedName name="u" localSheetId="76" hidden="1">{#N/A,#N/A,FALSE,"1.1";#N/A,#N/A,FALSE,"1.1a";#N/A,#N/A,FALSE,"1.1b";#N/A,#N/A,FALSE,"1.1c";#N/A,#N/A,FALSE,"1.1e";#N/A,#N/A,FALSE,"1.1f";#N/A,#N/A,FALSE,"1.1g";#N/A,#N/A,FALSE,"1.1h_D";#N/A,#N/A,FALSE,"1.1h_T";#N/A,#N/A,FALSE,"1.2";#N/A,#N/A,FALSE,"1.3b";#N/A,#N/A,FALSE,"1.3";#N/A,#N/A,FALSE,"1.4";#N/A,#N/A,FALSE,"1.5";#N/A,#N/A,FALSE,"1.6";#N/A,#N/A,FALSE,"SOD";#N/A,#N/A,FALSE,"CF"}</definedName>
    <definedName name="u" localSheetId="77" hidden="1">{#N/A,#N/A,FALSE,"1.1";#N/A,#N/A,FALSE,"1.1a";#N/A,#N/A,FALSE,"1.1b";#N/A,#N/A,FALSE,"1.1c";#N/A,#N/A,FALSE,"1.1e";#N/A,#N/A,FALSE,"1.1f";#N/A,#N/A,FALSE,"1.1g";#N/A,#N/A,FALSE,"1.1h_D";#N/A,#N/A,FALSE,"1.1h_T";#N/A,#N/A,FALSE,"1.2";#N/A,#N/A,FALSE,"1.3b";#N/A,#N/A,FALSE,"1.3";#N/A,#N/A,FALSE,"1.4";#N/A,#N/A,FALSE,"1.5";#N/A,#N/A,FALSE,"1.6";#N/A,#N/A,FALSE,"SOD";#N/A,#N/A,FALSE,"CF"}</definedName>
    <definedName name="u" localSheetId="78" hidden="1">{#N/A,#N/A,FALSE,"1.1";#N/A,#N/A,FALSE,"1.1a";#N/A,#N/A,FALSE,"1.1b";#N/A,#N/A,FALSE,"1.1c";#N/A,#N/A,FALSE,"1.1e";#N/A,#N/A,FALSE,"1.1f";#N/A,#N/A,FALSE,"1.1g";#N/A,#N/A,FALSE,"1.1h_D";#N/A,#N/A,FALSE,"1.1h_T";#N/A,#N/A,FALSE,"1.2";#N/A,#N/A,FALSE,"1.3b";#N/A,#N/A,FALSE,"1.3";#N/A,#N/A,FALSE,"1.4";#N/A,#N/A,FALSE,"1.5";#N/A,#N/A,FALSE,"1.6";#N/A,#N/A,FALSE,"SOD";#N/A,#N/A,FALSE,"CF"}</definedName>
    <definedName name="u" localSheetId="79" hidden="1">{#N/A,#N/A,FALSE,"1.1";#N/A,#N/A,FALSE,"1.1a";#N/A,#N/A,FALSE,"1.1b";#N/A,#N/A,FALSE,"1.1c";#N/A,#N/A,FALSE,"1.1e";#N/A,#N/A,FALSE,"1.1f";#N/A,#N/A,FALSE,"1.1g";#N/A,#N/A,FALSE,"1.1h_D";#N/A,#N/A,FALSE,"1.1h_T";#N/A,#N/A,FALSE,"1.2";#N/A,#N/A,FALSE,"1.3b";#N/A,#N/A,FALSE,"1.3";#N/A,#N/A,FALSE,"1.4";#N/A,#N/A,FALSE,"1.5";#N/A,#N/A,FALSE,"1.6";#N/A,#N/A,FALSE,"SOD";#N/A,#N/A,FALSE,"CF"}</definedName>
    <definedName name="u" hidden="1">{#N/A,#N/A,FALSE,"1.1";#N/A,#N/A,FALSE,"1.1a";#N/A,#N/A,FALSE,"1.1b";#N/A,#N/A,FALSE,"1.1c";#N/A,#N/A,FALSE,"1.1e";#N/A,#N/A,FALSE,"1.1f";#N/A,#N/A,FALSE,"1.1g";#N/A,#N/A,FALSE,"1.1h_D";#N/A,#N/A,FALSE,"1.1h_T";#N/A,#N/A,FALSE,"1.2";#N/A,#N/A,FALSE,"1.3b";#N/A,#N/A,FALSE,"1.3";#N/A,#N/A,FALSE,"1.4";#N/A,#N/A,FALSE,"1.5";#N/A,#N/A,FALSE,"1.6";#N/A,#N/A,FALSE,"SOD";#N/A,#N/A,FALSE,"CF"}</definedName>
    <definedName name="UG" localSheetId="13">#REF!</definedName>
    <definedName name="UG" localSheetId="14">#REF!</definedName>
    <definedName name="UG" localSheetId="7">#REF!</definedName>
    <definedName name="UG" localSheetId="9">#REF!</definedName>
    <definedName name="UG" localSheetId="10">#REF!</definedName>
    <definedName name="UG" localSheetId="11">#REF!</definedName>
    <definedName name="UG" localSheetId="12">#REF!</definedName>
    <definedName name="UG" localSheetId="43">#REF!</definedName>
    <definedName name="UG" localSheetId="44">#REF!</definedName>
    <definedName name="UG" localSheetId="45">#REF!</definedName>
    <definedName name="UG" localSheetId="46">#REF!</definedName>
    <definedName name="UG" localSheetId="47">#REF!</definedName>
    <definedName name="UG" localSheetId="48">#REF!</definedName>
    <definedName name="UG" localSheetId="50">#REF!</definedName>
    <definedName name="UG" localSheetId="51">#REF!</definedName>
    <definedName name="UG" localSheetId="52">#REF!</definedName>
    <definedName name="UG" localSheetId="53">#REF!</definedName>
    <definedName name="UG" localSheetId="54">#REF!</definedName>
    <definedName name="UG" localSheetId="37">#REF!</definedName>
    <definedName name="UG" localSheetId="38">#REF!</definedName>
    <definedName name="UG" localSheetId="34">#REF!</definedName>
    <definedName name="UG" localSheetId="35">#REF!</definedName>
    <definedName name="UG" localSheetId="36">#REF!</definedName>
    <definedName name="UG" localSheetId="39">#REF!</definedName>
    <definedName name="UG" localSheetId="40">#REF!</definedName>
    <definedName name="UG" localSheetId="69">#REF!</definedName>
    <definedName name="UG" localSheetId="70">#REF!</definedName>
    <definedName name="UG" localSheetId="71">#REF!</definedName>
    <definedName name="UG" localSheetId="72">#REF!</definedName>
    <definedName name="UG" localSheetId="60">#REF!</definedName>
    <definedName name="UG" localSheetId="63">#REF!</definedName>
    <definedName name="UG" localSheetId="64">#REF!</definedName>
    <definedName name="UG" localSheetId="66">#REF!</definedName>
    <definedName name="UG" localSheetId="67">#REF!</definedName>
    <definedName name="UG" localSheetId="68">#REF!</definedName>
    <definedName name="UG" localSheetId="74">#REF!</definedName>
    <definedName name="UG" localSheetId="75">#REF!</definedName>
    <definedName name="UG" localSheetId="76">#REF!</definedName>
    <definedName name="UG" localSheetId="77">#REF!</definedName>
    <definedName name="UG" localSheetId="78">#REF!</definedName>
    <definedName name="UG" localSheetId="79">#REF!</definedName>
    <definedName name="UG">#REF!</definedName>
    <definedName name="uj" localSheetId="13">#REF!,#REF!</definedName>
    <definedName name="uj" localSheetId="14">#REF!,#REF!</definedName>
    <definedName name="uj" localSheetId="7">#REF!,#REF!</definedName>
    <definedName name="uj" localSheetId="9">#REF!,#REF!</definedName>
    <definedName name="uj" localSheetId="10">#REF!,#REF!</definedName>
    <definedName name="uj" localSheetId="11">#REF!,#REF!</definedName>
    <definedName name="uj" localSheetId="12">#REF!,#REF!</definedName>
    <definedName name="uj" localSheetId="43">#REF!,#REF!</definedName>
    <definedName name="uj" localSheetId="44">#REF!,#REF!</definedName>
    <definedName name="uj" localSheetId="45">#REF!,#REF!</definedName>
    <definedName name="uj" localSheetId="46">#REF!,#REF!</definedName>
    <definedName name="uj" localSheetId="47">#REF!,#REF!</definedName>
    <definedName name="uj" localSheetId="48">#REF!,#REF!</definedName>
    <definedName name="uj" localSheetId="50">#REF!,#REF!</definedName>
    <definedName name="uj" localSheetId="51">#REF!,#REF!</definedName>
    <definedName name="uj" localSheetId="52">#REF!,#REF!</definedName>
    <definedName name="uj" localSheetId="53">#REF!,#REF!</definedName>
    <definedName name="uj" localSheetId="54">#REF!,#REF!</definedName>
    <definedName name="uj" localSheetId="37">#REF!,#REF!</definedName>
    <definedName name="uj" localSheetId="38">#REF!,#REF!</definedName>
    <definedName name="uj" localSheetId="34">#REF!,#REF!</definedName>
    <definedName name="uj" localSheetId="35">#REF!,#REF!</definedName>
    <definedName name="uj" localSheetId="36">#REF!,#REF!</definedName>
    <definedName name="uj" localSheetId="39">#REF!,#REF!</definedName>
    <definedName name="uj" localSheetId="40">#REF!,#REF!</definedName>
    <definedName name="uj" localSheetId="69">#REF!,#REF!</definedName>
    <definedName name="uj" localSheetId="70">#REF!,#REF!</definedName>
    <definedName name="uj" localSheetId="71">#REF!,#REF!</definedName>
    <definedName name="uj" localSheetId="72">#REF!,#REF!</definedName>
    <definedName name="uj" localSheetId="60">#REF!,#REF!</definedName>
    <definedName name="uj" localSheetId="61">#REF!,#REF!</definedName>
    <definedName name="uj" localSheetId="62">#REF!,#REF!</definedName>
    <definedName name="uj" localSheetId="63">#REF!,#REF!</definedName>
    <definedName name="uj" localSheetId="64">#REF!,#REF!</definedName>
    <definedName name="uj" localSheetId="66">#REF!,#REF!</definedName>
    <definedName name="uj" localSheetId="67">#REF!,#REF!</definedName>
    <definedName name="uj" localSheetId="68">#REF!,#REF!</definedName>
    <definedName name="uj" localSheetId="74">#REF!,#REF!</definedName>
    <definedName name="uj" localSheetId="75">#REF!,#REF!</definedName>
    <definedName name="uj" localSheetId="76">#REF!,#REF!</definedName>
    <definedName name="uj" localSheetId="77">#REF!,#REF!</definedName>
    <definedName name="uj" localSheetId="78">#REF!,#REF!</definedName>
    <definedName name="uj" localSheetId="79">#REF!,#REF!</definedName>
    <definedName name="uj">#REF!,#REF!</definedName>
    <definedName name="un">'[23]A 3.7'!$I$35,'[23]A 3.7'!$I$44</definedName>
    <definedName name="Unrestricted_Specific_Consumption" localSheetId="13">#REF!</definedName>
    <definedName name="Unrestricted_Specific_Consumption" localSheetId="14">#REF!</definedName>
    <definedName name="Unrestricted_Specific_Consumption" localSheetId="7">#REF!</definedName>
    <definedName name="Unrestricted_Specific_Consumption" localSheetId="9">#REF!</definedName>
    <definedName name="Unrestricted_Specific_Consumption" localSheetId="10">#REF!</definedName>
    <definedName name="Unrestricted_Specific_Consumption" localSheetId="11">#REF!</definedName>
    <definedName name="Unrestricted_Specific_Consumption" localSheetId="12">#REF!</definedName>
    <definedName name="Unrestricted_Specific_Consumption" localSheetId="43">#REF!</definedName>
    <definedName name="Unrestricted_Specific_Consumption" localSheetId="44">#REF!</definedName>
    <definedName name="Unrestricted_Specific_Consumption" localSheetId="45">#REF!</definedName>
    <definedName name="Unrestricted_Specific_Consumption" localSheetId="46">#REF!</definedName>
    <definedName name="Unrestricted_Specific_Consumption" localSheetId="47">#REF!</definedName>
    <definedName name="Unrestricted_Specific_Consumption" localSheetId="48">#REF!</definedName>
    <definedName name="Unrestricted_Specific_Consumption" localSheetId="50">#REF!</definedName>
    <definedName name="Unrestricted_Specific_Consumption" localSheetId="51">#REF!</definedName>
    <definedName name="Unrestricted_Specific_Consumption" localSheetId="52">#REF!</definedName>
    <definedName name="Unrestricted_Specific_Consumption" localSheetId="53">#REF!</definedName>
    <definedName name="Unrestricted_Specific_Consumption" localSheetId="54">#REF!</definedName>
    <definedName name="Unrestricted_Specific_Consumption" localSheetId="37">#REF!</definedName>
    <definedName name="Unrestricted_Specific_Consumption" localSheetId="38">#REF!</definedName>
    <definedName name="Unrestricted_Specific_Consumption" localSheetId="34">#REF!</definedName>
    <definedName name="Unrestricted_Specific_Consumption" localSheetId="35">#REF!</definedName>
    <definedName name="Unrestricted_Specific_Consumption" localSheetId="36">#REF!</definedName>
    <definedName name="Unrestricted_Specific_Consumption" localSheetId="39">#REF!</definedName>
    <definedName name="Unrestricted_Specific_Consumption" localSheetId="40">#REF!</definedName>
    <definedName name="Unrestricted_Specific_Consumption" localSheetId="69">#REF!</definedName>
    <definedName name="Unrestricted_Specific_Consumption" localSheetId="70">#REF!</definedName>
    <definedName name="Unrestricted_Specific_Consumption" localSheetId="71">#REF!</definedName>
    <definedName name="Unrestricted_Specific_Consumption" localSheetId="72">#REF!</definedName>
    <definedName name="Unrestricted_Specific_Consumption" localSheetId="60">#REF!</definedName>
    <definedName name="Unrestricted_Specific_Consumption" localSheetId="63">#REF!</definedName>
    <definedName name="Unrestricted_Specific_Consumption" localSheetId="64">#REF!</definedName>
    <definedName name="Unrestricted_Specific_Consumption" localSheetId="66">#REF!</definedName>
    <definedName name="Unrestricted_Specific_Consumption" localSheetId="67">#REF!</definedName>
    <definedName name="Unrestricted_Specific_Consumption" localSheetId="68">#REF!</definedName>
    <definedName name="Unrestricted_Specific_Consumption" localSheetId="74">#REF!</definedName>
    <definedName name="Unrestricted_Specific_Consumption" localSheetId="75">#REF!</definedName>
    <definedName name="Unrestricted_Specific_Consumption" localSheetId="76">#REF!</definedName>
    <definedName name="Unrestricted_Specific_Consumption" localSheetId="77">#REF!</definedName>
    <definedName name="Unrestricted_Specific_Consumption" localSheetId="78">#REF!</definedName>
    <definedName name="Unrestricted_Specific_Consumption" localSheetId="79">#REF!</definedName>
    <definedName name="Unrestricted_Specific_Consumption">#REF!</definedName>
    <definedName name="Vertical_Not_Selected" localSheetId="13">#REF!</definedName>
    <definedName name="Vertical_Not_Selected" localSheetId="14">#REF!</definedName>
    <definedName name="Vertical_Not_Selected" localSheetId="7">#REF!</definedName>
    <definedName name="Vertical_Not_Selected" localSheetId="9">#REF!</definedName>
    <definedName name="Vertical_Not_Selected" localSheetId="10">#REF!</definedName>
    <definedName name="Vertical_Not_Selected" localSheetId="11">#REF!</definedName>
    <definedName name="Vertical_Not_Selected" localSheetId="12">#REF!</definedName>
    <definedName name="Vertical_Not_Selected" localSheetId="43">#REF!</definedName>
    <definedName name="Vertical_Not_Selected" localSheetId="44">#REF!</definedName>
    <definedName name="Vertical_Not_Selected" localSheetId="45">#REF!</definedName>
    <definedName name="Vertical_Not_Selected" localSheetId="46">#REF!</definedName>
    <definedName name="Vertical_Not_Selected" localSheetId="47">#REF!</definedName>
    <definedName name="Vertical_Not_Selected" localSheetId="48">#REF!</definedName>
    <definedName name="Vertical_Not_Selected" localSheetId="50">#REF!</definedName>
    <definedName name="Vertical_Not_Selected" localSheetId="51">#REF!</definedName>
    <definedName name="Vertical_Not_Selected" localSheetId="52">#REF!</definedName>
    <definedName name="Vertical_Not_Selected" localSheetId="53">#REF!</definedName>
    <definedName name="Vertical_Not_Selected" localSheetId="54">#REF!</definedName>
    <definedName name="Vertical_Not_Selected" localSheetId="37">#REF!</definedName>
    <definedName name="Vertical_Not_Selected" localSheetId="38">#REF!</definedName>
    <definedName name="Vertical_Not_Selected" localSheetId="34">#REF!</definedName>
    <definedName name="Vertical_Not_Selected" localSheetId="35">#REF!</definedName>
    <definedName name="Vertical_Not_Selected" localSheetId="36">#REF!</definedName>
    <definedName name="Vertical_Not_Selected" localSheetId="39">#REF!</definedName>
    <definedName name="Vertical_Not_Selected" localSheetId="40">#REF!</definedName>
    <definedName name="Vertical_Not_Selected" localSheetId="69">#REF!</definedName>
    <definedName name="Vertical_Not_Selected" localSheetId="70">#REF!</definedName>
    <definedName name="Vertical_Not_Selected" localSheetId="71">#REF!</definedName>
    <definedName name="Vertical_Not_Selected" localSheetId="72">#REF!</definedName>
    <definedName name="Vertical_Not_Selected" localSheetId="60">#REF!</definedName>
    <definedName name="Vertical_Not_Selected" localSheetId="63">#REF!</definedName>
    <definedName name="Vertical_Not_Selected" localSheetId="64">#REF!</definedName>
    <definedName name="Vertical_Not_Selected" localSheetId="66">#REF!</definedName>
    <definedName name="Vertical_Not_Selected" localSheetId="67">#REF!</definedName>
    <definedName name="Vertical_Not_Selected" localSheetId="68">#REF!</definedName>
    <definedName name="Vertical_Not_Selected" localSheetId="74">#REF!</definedName>
    <definedName name="Vertical_Not_Selected" localSheetId="75">#REF!</definedName>
    <definedName name="Vertical_Not_Selected" localSheetId="76">#REF!</definedName>
    <definedName name="Vertical_Not_Selected" localSheetId="77">#REF!</definedName>
    <definedName name="Vertical_Not_Selected" localSheetId="78">#REF!</definedName>
    <definedName name="Vertical_Not_Selected" localSheetId="79">#REF!</definedName>
    <definedName name="Vertical_Not_Selected">#REF!</definedName>
    <definedName name="WIP_944" localSheetId="13">#REF!</definedName>
    <definedName name="WIP_944" localSheetId="14">#REF!</definedName>
    <definedName name="WIP_944" localSheetId="7">#REF!</definedName>
    <definedName name="WIP_944" localSheetId="9">#REF!</definedName>
    <definedName name="WIP_944" localSheetId="10">#REF!</definedName>
    <definedName name="WIP_944" localSheetId="11">#REF!</definedName>
    <definedName name="WIP_944" localSheetId="12">#REF!</definedName>
    <definedName name="WIP_944" localSheetId="43">#REF!</definedName>
    <definedName name="WIP_944" localSheetId="44">#REF!</definedName>
    <definedName name="WIP_944" localSheetId="45">#REF!</definedName>
    <definedName name="WIP_944" localSheetId="46">#REF!</definedName>
    <definedName name="WIP_944" localSheetId="47">#REF!</definedName>
    <definedName name="WIP_944" localSheetId="48">#REF!</definedName>
    <definedName name="WIP_944" localSheetId="50">#REF!</definedName>
    <definedName name="WIP_944" localSheetId="51">#REF!</definedName>
    <definedName name="WIP_944" localSheetId="52">#REF!</definedName>
    <definedName name="WIP_944" localSheetId="53">#REF!</definedName>
    <definedName name="WIP_944" localSheetId="54">#REF!</definedName>
    <definedName name="WIP_944" localSheetId="37">#REF!</definedName>
    <definedName name="WIP_944" localSheetId="38">#REF!</definedName>
    <definedName name="WIP_944" localSheetId="34">#REF!</definedName>
    <definedName name="WIP_944" localSheetId="35">#REF!</definedName>
    <definedName name="WIP_944" localSheetId="36">#REF!</definedName>
    <definedName name="WIP_944" localSheetId="39">#REF!</definedName>
    <definedName name="WIP_944" localSheetId="40">#REF!</definedName>
    <definedName name="WIP_944" localSheetId="69">#REF!</definedName>
    <definedName name="WIP_944" localSheetId="70">#REF!</definedName>
    <definedName name="WIP_944" localSheetId="71">#REF!</definedName>
    <definedName name="WIP_944" localSheetId="72">#REF!</definedName>
    <definedName name="WIP_944" localSheetId="60">#REF!</definedName>
    <definedName name="WIP_944" localSheetId="63">#REF!</definedName>
    <definedName name="WIP_944" localSheetId="64">#REF!</definedName>
    <definedName name="WIP_944" localSheetId="66">#REF!</definedName>
    <definedName name="WIP_944" localSheetId="67">#REF!</definedName>
    <definedName name="WIP_944" localSheetId="68">#REF!</definedName>
    <definedName name="WIP_944" localSheetId="74">#REF!</definedName>
    <definedName name="WIP_944" localSheetId="75">#REF!</definedName>
    <definedName name="WIP_944" localSheetId="76">#REF!</definedName>
    <definedName name="WIP_944" localSheetId="77">#REF!</definedName>
    <definedName name="WIP_944" localSheetId="78">#REF!</definedName>
    <definedName name="WIP_944" localSheetId="79">#REF!</definedName>
    <definedName name="WIP_944">#REF!</definedName>
    <definedName name="WIPComments" localSheetId="13">#REF!</definedName>
    <definedName name="WIPComments" localSheetId="14">#REF!</definedName>
    <definedName name="WIPComments" localSheetId="7">#REF!</definedName>
    <definedName name="WIPComments" localSheetId="9">#REF!</definedName>
    <definedName name="WIPComments" localSheetId="10">#REF!</definedName>
    <definedName name="WIPComments" localSheetId="11">#REF!</definedName>
    <definedName name="WIPComments" localSheetId="12">#REF!</definedName>
    <definedName name="WIPComments" localSheetId="43">#REF!</definedName>
    <definedName name="WIPComments" localSheetId="44">#REF!</definedName>
    <definedName name="WIPComments" localSheetId="45">#REF!</definedName>
    <definedName name="WIPComments" localSheetId="46">#REF!</definedName>
    <definedName name="WIPComments" localSheetId="47">#REF!</definedName>
    <definedName name="WIPComments" localSheetId="48">#REF!</definedName>
    <definedName name="WIPComments" localSheetId="50">#REF!</definedName>
    <definedName name="WIPComments" localSheetId="51">#REF!</definedName>
    <definedName name="WIPComments" localSheetId="52">#REF!</definedName>
    <definedName name="WIPComments" localSheetId="53">#REF!</definedName>
    <definedName name="WIPComments" localSheetId="54">#REF!</definedName>
    <definedName name="WIPComments" localSheetId="37">#REF!</definedName>
    <definedName name="WIPComments" localSheetId="38">#REF!</definedName>
    <definedName name="WIPComments" localSheetId="34">#REF!</definedName>
    <definedName name="WIPComments" localSheetId="35">#REF!</definedName>
    <definedName name="WIPComments" localSheetId="36">#REF!</definedName>
    <definedName name="WIPComments" localSheetId="39">#REF!</definedName>
    <definedName name="WIPComments" localSheetId="40">#REF!</definedName>
    <definedName name="WIPComments" localSheetId="69">#REF!</definedName>
    <definedName name="WIPComments" localSheetId="70">#REF!</definedName>
    <definedName name="WIPComments" localSheetId="71">#REF!</definedName>
    <definedName name="WIPComments" localSheetId="72">#REF!</definedName>
    <definedName name="WIPComments" localSheetId="60">#REF!</definedName>
    <definedName name="WIPComments" localSheetId="63">#REF!</definedName>
    <definedName name="WIPComments" localSheetId="64">#REF!</definedName>
    <definedName name="WIPComments" localSheetId="66">#REF!</definedName>
    <definedName name="WIPComments" localSheetId="67">#REF!</definedName>
    <definedName name="WIPComments" localSheetId="68">#REF!</definedName>
    <definedName name="WIPComments" localSheetId="74">#REF!</definedName>
    <definedName name="WIPComments" localSheetId="75">#REF!</definedName>
    <definedName name="WIPComments" localSheetId="76">#REF!</definedName>
    <definedName name="WIPComments" localSheetId="77">#REF!</definedName>
    <definedName name="WIPComments" localSheetId="78">#REF!</definedName>
    <definedName name="WIPComments" localSheetId="79">#REF!</definedName>
    <definedName name="WIPComments">#REF!</definedName>
    <definedName name="WIPMacroStart" localSheetId="13">#REF!</definedName>
    <definedName name="WIPMacroStart" localSheetId="14">#REF!</definedName>
    <definedName name="WIPMacroStart" localSheetId="7">#REF!</definedName>
    <definedName name="WIPMacroStart" localSheetId="9">#REF!</definedName>
    <definedName name="WIPMacroStart" localSheetId="10">#REF!</definedName>
    <definedName name="WIPMacroStart" localSheetId="11">#REF!</definedName>
    <definedName name="WIPMacroStart" localSheetId="12">#REF!</definedName>
    <definedName name="WIPMacroStart" localSheetId="43">#REF!</definedName>
    <definedName name="WIPMacroStart" localSheetId="44">#REF!</definedName>
    <definedName name="WIPMacroStart" localSheetId="45">#REF!</definedName>
    <definedName name="WIPMacroStart" localSheetId="46">#REF!</definedName>
    <definedName name="WIPMacroStart" localSheetId="47">#REF!</definedName>
    <definedName name="WIPMacroStart" localSheetId="48">#REF!</definedName>
    <definedName name="WIPMacroStart" localSheetId="50">#REF!</definedName>
    <definedName name="WIPMacroStart" localSheetId="51">#REF!</definedName>
    <definedName name="WIPMacroStart" localSheetId="52">#REF!</definedName>
    <definedName name="WIPMacroStart" localSheetId="53">#REF!</definedName>
    <definedName name="WIPMacroStart" localSheetId="54">#REF!</definedName>
    <definedName name="WIPMacroStart" localSheetId="37">#REF!</definedName>
    <definedName name="WIPMacroStart" localSheetId="38">#REF!</definedName>
    <definedName name="WIPMacroStart" localSheetId="34">#REF!</definedName>
    <definedName name="WIPMacroStart" localSheetId="35">#REF!</definedName>
    <definedName name="WIPMacroStart" localSheetId="36">#REF!</definedName>
    <definedName name="WIPMacroStart" localSheetId="39">#REF!</definedName>
    <definedName name="WIPMacroStart" localSheetId="40">#REF!</definedName>
    <definedName name="WIPMacroStart" localSheetId="69">#REF!</definedName>
    <definedName name="WIPMacroStart" localSheetId="70">#REF!</definedName>
    <definedName name="WIPMacroStart" localSheetId="71">#REF!</definedName>
    <definedName name="WIPMacroStart" localSheetId="72">#REF!</definedName>
    <definedName name="WIPMacroStart" localSheetId="60">#REF!</definedName>
    <definedName name="WIPMacroStart" localSheetId="63">#REF!</definedName>
    <definedName name="WIPMacroStart" localSheetId="64">#REF!</definedName>
    <definedName name="WIPMacroStart" localSheetId="66">#REF!</definedName>
    <definedName name="WIPMacroStart" localSheetId="67">#REF!</definedName>
    <definedName name="WIPMacroStart" localSheetId="68">#REF!</definedName>
    <definedName name="WIPMacroStart" localSheetId="74">#REF!</definedName>
    <definedName name="WIPMacroStart" localSheetId="75">#REF!</definedName>
    <definedName name="WIPMacroStart" localSheetId="76">#REF!</definedName>
    <definedName name="WIPMacroStart" localSheetId="77">#REF!</definedName>
    <definedName name="WIPMacroStart" localSheetId="78">#REF!</definedName>
    <definedName name="WIPMacroStart" localSheetId="79">#REF!</definedName>
    <definedName name="WIPMacroStart">#REF!</definedName>
    <definedName name="wrn.ARR._.Forms." localSheetId="13" hidden="1">{#N/A,#N/A,FALSE,"1.1";#N/A,#N/A,FALSE,"1.1a";#N/A,#N/A,FALSE,"1.1b";#N/A,#N/A,FALSE,"1.1c";#N/A,#N/A,FALSE,"1.1e";#N/A,#N/A,FALSE,"1.1f";#N/A,#N/A,FALSE,"1.1g";#N/A,#N/A,FALSE,"1.1h_D";#N/A,#N/A,FALSE,"1.1h_T";#N/A,#N/A,FALSE,"1.2";#N/A,#N/A,FALSE,"1.3b";#N/A,#N/A,FALSE,"1.3";#N/A,#N/A,FALSE,"1.4";#N/A,#N/A,FALSE,"1.5";#N/A,#N/A,FALSE,"1.6";#N/A,#N/A,FALSE,"SOD";#N/A,#N/A,FALSE,"CF"}</definedName>
    <definedName name="wrn.ARR._.Forms." localSheetId="14" hidden="1">{#N/A,#N/A,FALSE,"1.1";#N/A,#N/A,FALSE,"1.1a";#N/A,#N/A,FALSE,"1.1b";#N/A,#N/A,FALSE,"1.1c";#N/A,#N/A,FALSE,"1.1e";#N/A,#N/A,FALSE,"1.1f";#N/A,#N/A,FALSE,"1.1g";#N/A,#N/A,FALSE,"1.1h_D";#N/A,#N/A,FALSE,"1.1h_T";#N/A,#N/A,FALSE,"1.2";#N/A,#N/A,FALSE,"1.3b";#N/A,#N/A,FALSE,"1.3";#N/A,#N/A,FALSE,"1.4";#N/A,#N/A,FALSE,"1.5";#N/A,#N/A,FALSE,"1.6";#N/A,#N/A,FALSE,"SOD";#N/A,#N/A,FALSE,"CF"}</definedName>
    <definedName name="wrn.ARR._.Forms." localSheetId="7" hidden="1">{#N/A,#N/A,FALSE,"1.1";#N/A,#N/A,FALSE,"1.1a";#N/A,#N/A,FALSE,"1.1b";#N/A,#N/A,FALSE,"1.1c";#N/A,#N/A,FALSE,"1.1e";#N/A,#N/A,FALSE,"1.1f";#N/A,#N/A,FALSE,"1.1g";#N/A,#N/A,FALSE,"1.1h_D";#N/A,#N/A,FALSE,"1.1h_T";#N/A,#N/A,FALSE,"1.2";#N/A,#N/A,FALSE,"1.3b";#N/A,#N/A,FALSE,"1.3";#N/A,#N/A,FALSE,"1.4";#N/A,#N/A,FALSE,"1.5";#N/A,#N/A,FALSE,"1.6";#N/A,#N/A,FALSE,"SOD";#N/A,#N/A,FALSE,"CF"}</definedName>
    <definedName name="wrn.ARR._.Forms." localSheetId="9" hidden="1">{#N/A,#N/A,FALSE,"1.1";#N/A,#N/A,FALSE,"1.1a";#N/A,#N/A,FALSE,"1.1b";#N/A,#N/A,FALSE,"1.1c";#N/A,#N/A,FALSE,"1.1e";#N/A,#N/A,FALSE,"1.1f";#N/A,#N/A,FALSE,"1.1g";#N/A,#N/A,FALSE,"1.1h_D";#N/A,#N/A,FALSE,"1.1h_T";#N/A,#N/A,FALSE,"1.2";#N/A,#N/A,FALSE,"1.3b";#N/A,#N/A,FALSE,"1.3";#N/A,#N/A,FALSE,"1.4";#N/A,#N/A,FALSE,"1.5";#N/A,#N/A,FALSE,"1.6";#N/A,#N/A,FALSE,"SOD";#N/A,#N/A,FALSE,"CF"}</definedName>
    <definedName name="wrn.ARR._.Forms." localSheetId="10" hidden="1">{#N/A,#N/A,FALSE,"1.1";#N/A,#N/A,FALSE,"1.1a";#N/A,#N/A,FALSE,"1.1b";#N/A,#N/A,FALSE,"1.1c";#N/A,#N/A,FALSE,"1.1e";#N/A,#N/A,FALSE,"1.1f";#N/A,#N/A,FALSE,"1.1g";#N/A,#N/A,FALSE,"1.1h_D";#N/A,#N/A,FALSE,"1.1h_T";#N/A,#N/A,FALSE,"1.2";#N/A,#N/A,FALSE,"1.3b";#N/A,#N/A,FALSE,"1.3";#N/A,#N/A,FALSE,"1.4";#N/A,#N/A,FALSE,"1.5";#N/A,#N/A,FALSE,"1.6";#N/A,#N/A,FALSE,"SOD";#N/A,#N/A,FALSE,"CF"}</definedName>
    <definedName name="wrn.ARR._.Forms." localSheetId="11" hidden="1">{#N/A,#N/A,FALSE,"1.1";#N/A,#N/A,FALSE,"1.1a";#N/A,#N/A,FALSE,"1.1b";#N/A,#N/A,FALSE,"1.1c";#N/A,#N/A,FALSE,"1.1e";#N/A,#N/A,FALSE,"1.1f";#N/A,#N/A,FALSE,"1.1g";#N/A,#N/A,FALSE,"1.1h_D";#N/A,#N/A,FALSE,"1.1h_T";#N/A,#N/A,FALSE,"1.2";#N/A,#N/A,FALSE,"1.3b";#N/A,#N/A,FALSE,"1.3";#N/A,#N/A,FALSE,"1.4";#N/A,#N/A,FALSE,"1.5";#N/A,#N/A,FALSE,"1.6";#N/A,#N/A,FALSE,"SOD";#N/A,#N/A,FALSE,"CF"}</definedName>
    <definedName name="wrn.ARR._.Forms." localSheetId="12" hidden="1">{#N/A,#N/A,FALSE,"1.1";#N/A,#N/A,FALSE,"1.1a";#N/A,#N/A,FALSE,"1.1b";#N/A,#N/A,FALSE,"1.1c";#N/A,#N/A,FALSE,"1.1e";#N/A,#N/A,FALSE,"1.1f";#N/A,#N/A,FALSE,"1.1g";#N/A,#N/A,FALSE,"1.1h_D";#N/A,#N/A,FALSE,"1.1h_T";#N/A,#N/A,FALSE,"1.2";#N/A,#N/A,FALSE,"1.3b";#N/A,#N/A,FALSE,"1.3";#N/A,#N/A,FALSE,"1.4";#N/A,#N/A,FALSE,"1.5";#N/A,#N/A,FALSE,"1.6";#N/A,#N/A,FALSE,"SOD";#N/A,#N/A,FALSE,"CF"}</definedName>
    <definedName name="wrn.ARR._.Forms." localSheetId="43" hidden="1">{#N/A,#N/A,FALSE,"1.1";#N/A,#N/A,FALSE,"1.1a";#N/A,#N/A,FALSE,"1.1b";#N/A,#N/A,FALSE,"1.1c";#N/A,#N/A,FALSE,"1.1e";#N/A,#N/A,FALSE,"1.1f";#N/A,#N/A,FALSE,"1.1g";#N/A,#N/A,FALSE,"1.1h_D";#N/A,#N/A,FALSE,"1.1h_T";#N/A,#N/A,FALSE,"1.2";#N/A,#N/A,FALSE,"1.3b";#N/A,#N/A,FALSE,"1.3";#N/A,#N/A,FALSE,"1.4";#N/A,#N/A,FALSE,"1.5";#N/A,#N/A,FALSE,"1.6";#N/A,#N/A,FALSE,"SOD";#N/A,#N/A,FALSE,"CF"}</definedName>
    <definedName name="wrn.ARR._.Forms." localSheetId="44" hidden="1">{#N/A,#N/A,FALSE,"1.1";#N/A,#N/A,FALSE,"1.1a";#N/A,#N/A,FALSE,"1.1b";#N/A,#N/A,FALSE,"1.1c";#N/A,#N/A,FALSE,"1.1e";#N/A,#N/A,FALSE,"1.1f";#N/A,#N/A,FALSE,"1.1g";#N/A,#N/A,FALSE,"1.1h_D";#N/A,#N/A,FALSE,"1.1h_T";#N/A,#N/A,FALSE,"1.2";#N/A,#N/A,FALSE,"1.3b";#N/A,#N/A,FALSE,"1.3";#N/A,#N/A,FALSE,"1.4";#N/A,#N/A,FALSE,"1.5";#N/A,#N/A,FALSE,"1.6";#N/A,#N/A,FALSE,"SOD";#N/A,#N/A,FALSE,"CF"}</definedName>
    <definedName name="wrn.ARR._.Forms." localSheetId="45" hidden="1">{#N/A,#N/A,FALSE,"1.1";#N/A,#N/A,FALSE,"1.1a";#N/A,#N/A,FALSE,"1.1b";#N/A,#N/A,FALSE,"1.1c";#N/A,#N/A,FALSE,"1.1e";#N/A,#N/A,FALSE,"1.1f";#N/A,#N/A,FALSE,"1.1g";#N/A,#N/A,FALSE,"1.1h_D";#N/A,#N/A,FALSE,"1.1h_T";#N/A,#N/A,FALSE,"1.2";#N/A,#N/A,FALSE,"1.3b";#N/A,#N/A,FALSE,"1.3";#N/A,#N/A,FALSE,"1.4";#N/A,#N/A,FALSE,"1.5";#N/A,#N/A,FALSE,"1.6";#N/A,#N/A,FALSE,"SOD";#N/A,#N/A,FALSE,"CF"}</definedName>
    <definedName name="wrn.ARR._.Forms." localSheetId="46" hidden="1">{#N/A,#N/A,FALSE,"1.1";#N/A,#N/A,FALSE,"1.1a";#N/A,#N/A,FALSE,"1.1b";#N/A,#N/A,FALSE,"1.1c";#N/A,#N/A,FALSE,"1.1e";#N/A,#N/A,FALSE,"1.1f";#N/A,#N/A,FALSE,"1.1g";#N/A,#N/A,FALSE,"1.1h_D";#N/A,#N/A,FALSE,"1.1h_T";#N/A,#N/A,FALSE,"1.2";#N/A,#N/A,FALSE,"1.3b";#N/A,#N/A,FALSE,"1.3";#N/A,#N/A,FALSE,"1.4";#N/A,#N/A,FALSE,"1.5";#N/A,#N/A,FALSE,"1.6";#N/A,#N/A,FALSE,"SOD";#N/A,#N/A,FALSE,"CF"}</definedName>
    <definedName name="wrn.ARR._.Forms." localSheetId="47" hidden="1">{#N/A,#N/A,FALSE,"1.1";#N/A,#N/A,FALSE,"1.1a";#N/A,#N/A,FALSE,"1.1b";#N/A,#N/A,FALSE,"1.1c";#N/A,#N/A,FALSE,"1.1e";#N/A,#N/A,FALSE,"1.1f";#N/A,#N/A,FALSE,"1.1g";#N/A,#N/A,FALSE,"1.1h_D";#N/A,#N/A,FALSE,"1.1h_T";#N/A,#N/A,FALSE,"1.2";#N/A,#N/A,FALSE,"1.3b";#N/A,#N/A,FALSE,"1.3";#N/A,#N/A,FALSE,"1.4";#N/A,#N/A,FALSE,"1.5";#N/A,#N/A,FALSE,"1.6";#N/A,#N/A,FALSE,"SOD";#N/A,#N/A,FALSE,"CF"}</definedName>
    <definedName name="wrn.ARR._.Forms." localSheetId="48" hidden="1">{#N/A,#N/A,FALSE,"1.1";#N/A,#N/A,FALSE,"1.1a";#N/A,#N/A,FALSE,"1.1b";#N/A,#N/A,FALSE,"1.1c";#N/A,#N/A,FALSE,"1.1e";#N/A,#N/A,FALSE,"1.1f";#N/A,#N/A,FALSE,"1.1g";#N/A,#N/A,FALSE,"1.1h_D";#N/A,#N/A,FALSE,"1.1h_T";#N/A,#N/A,FALSE,"1.2";#N/A,#N/A,FALSE,"1.3b";#N/A,#N/A,FALSE,"1.3";#N/A,#N/A,FALSE,"1.4";#N/A,#N/A,FALSE,"1.5";#N/A,#N/A,FALSE,"1.6";#N/A,#N/A,FALSE,"SOD";#N/A,#N/A,FALSE,"CF"}</definedName>
    <definedName name="wrn.ARR._.Forms." localSheetId="50" hidden="1">{#N/A,#N/A,FALSE,"1.1";#N/A,#N/A,FALSE,"1.1a";#N/A,#N/A,FALSE,"1.1b";#N/A,#N/A,FALSE,"1.1c";#N/A,#N/A,FALSE,"1.1e";#N/A,#N/A,FALSE,"1.1f";#N/A,#N/A,FALSE,"1.1g";#N/A,#N/A,FALSE,"1.1h_D";#N/A,#N/A,FALSE,"1.1h_T";#N/A,#N/A,FALSE,"1.2";#N/A,#N/A,FALSE,"1.3b";#N/A,#N/A,FALSE,"1.3";#N/A,#N/A,FALSE,"1.4";#N/A,#N/A,FALSE,"1.5";#N/A,#N/A,FALSE,"1.6";#N/A,#N/A,FALSE,"SOD";#N/A,#N/A,FALSE,"CF"}</definedName>
    <definedName name="wrn.ARR._.Forms." localSheetId="51" hidden="1">{#N/A,#N/A,FALSE,"1.1";#N/A,#N/A,FALSE,"1.1a";#N/A,#N/A,FALSE,"1.1b";#N/A,#N/A,FALSE,"1.1c";#N/A,#N/A,FALSE,"1.1e";#N/A,#N/A,FALSE,"1.1f";#N/A,#N/A,FALSE,"1.1g";#N/A,#N/A,FALSE,"1.1h_D";#N/A,#N/A,FALSE,"1.1h_T";#N/A,#N/A,FALSE,"1.2";#N/A,#N/A,FALSE,"1.3b";#N/A,#N/A,FALSE,"1.3";#N/A,#N/A,FALSE,"1.4";#N/A,#N/A,FALSE,"1.5";#N/A,#N/A,FALSE,"1.6";#N/A,#N/A,FALSE,"SOD";#N/A,#N/A,FALSE,"CF"}</definedName>
    <definedName name="wrn.ARR._.Forms." localSheetId="52" hidden="1">{#N/A,#N/A,FALSE,"1.1";#N/A,#N/A,FALSE,"1.1a";#N/A,#N/A,FALSE,"1.1b";#N/A,#N/A,FALSE,"1.1c";#N/A,#N/A,FALSE,"1.1e";#N/A,#N/A,FALSE,"1.1f";#N/A,#N/A,FALSE,"1.1g";#N/A,#N/A,FALSE,"1.1h_D";#N/A,#N/A,FALSE,"1.1h_T";#N/A,#N/A,FALSE,"1.2";#N/A,#N/A,FALSE,"1.3b";#N/A,#N/A,FALSE,"1.3";#N/A,#N/A,FALSE,"1.4";#N/A,#N/A,FALSE,"1.5";#N/A,#N/A,FALSE,"1.6";#N/A,#N/A,FALSE,"SOD";#N/A,#N/A,FALSE,"CF"}</definedName>
    <definedName name="wrn.ARR._.Forms." localSheetId="53" hidden="1">{#N/A,#N/A,FALSE,"1.1";#N/A,#N/A,FALSE,"1.1a";#N/A,#N/A,FALSE,"1.1b";#N/A,#N/A,FALSE,"1.1c";#N/A,#N/A,FALSE,"1.1e";#N/A,#N/A,FALSE,"1.1f";#N/A,#N/A,FALSE,"1.1g";#N/A,#N/A,FALSE,"1.1h_D";#N/A,#N/A,FALSE,"1.1h_T";#N/A,#N/A,FALSE,"1.2";#N/A,#N/A,FALSE,"1.3b";#N/A,#N/A,FALSE,"1.3";#N/A,#N/A,FALSE,"1.4";#N/A,#N/A,FALSE,"1.5";#N/A,#N/A,FALSE,"1.6";#N/A,#N/A,FALSE,"SOD";#N/A,#N/A,FALSE,"CF"}</definedName>
    <definedName name="wrn.ARR._.Forms." localSheetId="54" hidden="1">{#N/A,#N/A,FALSE,"1.1";#N/A,#N/A,FALSE,"1.1a";#N/A,#N/A,FALSE,"1.1b";#N/A,#N/A,FALSE,"1.1c";#N/A,#N/A,FALSE,"1.1e";#N/A,#N/A,FALSE,"1.1f";#N/A,#N/A,FALSE,"1.1g";#N/A,#N/A,FALSE,"1.1h_D";#N/A,#N/A,FALSE,"1.1h_T";#N/A,#N/A,FALSE,"1.2";#N/A,#N/A,FALSE,"1.3b";#N/A,#N/A,FALSE,"1.3";#N/A,#N/A,FALSE,"1.4";#N/A,#N/A,FALSE,"1.5";#N/A,#N/A,FALSE,"1.6";#N/A,#N/A,FALSE,"SOD";#N/A,#N/A,FALSE,"CF"}</definedName>
    <definedName name="wrn.ARR._.Forms." localSheetId="37" hidden="1">{#N/A,#N/A,FALSE,"1.1";#N/A,#N/A,FALSE,"1.1a";#N/A,#N/A,FALSE,"1.1b";#N/A,#N/A,FALSE,"1.1c";#N/A,#N/A,FALSE,"1.1e";#N/A,#N/A,FALSE,"1.1f";#N/A,#N/A,FALSE,"1.1g";#N/A,#N/A,FALSE,"1.1h_D";#N/A,#N/A,FALSE,"1.1h_T";#N/A,#N/A,FALSE,"1.2";#N/A,#N/A,FALSE,"1.3b";#N/A,#N/A,FALSE,"1.3";#N/A,#N/A,FALSE,"1.4";#N/A,#N/A,FALSE,"1.5";#N/A,#N/A,FALSE,"1.6";#N/A,#N/A,FALSE,"SOD";#N/A,#N/A,FALSE,"CF"}</definedName>
    <definedName name="wrn.ARR._.Forms." localSheetId="38" hidden="1">{#N/A,#N/A,FALSE,"1.1";#N/A,#N/A,FALSE,"1.1a";#N/A,#N/A,FALSE,"1.1b";#N/A,#N/A,FALSE,"1.1c";#N/A,#N/A,FALSE,"1.1e";#N/A,#N/A,FALSE,"1.1f";#N/A,#N/A,FALSE,"1.1g";#N/A,#N/A,FALSE,"1.1h_D";#N/A,#N/A,FALSE,"1.1h_T";#N/A,#N/A,FALSE,"1.2";#N/A,#N/A,FALSE,"1.3b";#N/A,#N/A,FALSE,"1.3";#N/A,#N/A,FALSE,"1.4";#N/A,#N/A,FALSE,"1.5";#N/A,#N/A,FALSE,"1.6";#N/A,#N/A,FALSE,"SOD";#N/A,#N/A,FALSE,"CF"}</definedName>
    <definedName name="wrn.ARR._.Forms." localSheetId="34" hidden="1">{#N/A,#N/A,FALSE,"1.1";#N/A,#N/A,FALSE,"1.1a";#N/A,#N/A,FALSE,"1.1b";#N/A,#N/A,FALSE,"1.1c";#N/A,#N/A,FALSE,"1.1e";#N/A,#N/A,FALSE,"1.1f";#N/A,#N/A,FALSE,"1.1g";#N/A,#N/A,FALSE,"1.1h_D";#N/A,#N/A,FALSE,"1.1h_T";#N/A,#N/A,FALSE,"1.2";#N/A,#N/A,FALSE,"1.3b";#N/A,#N/A,FALSE,"1.3";#N/A,#N/A,FALSE,"1.4";#N/A,#N/A,FALSE,"1.5";#N/A,#N/A,FALSE,"1.6";#N/A,#N/A,FALSE,"SOD";#N/A,#N/A,FALSE,"CF"}</definedName>
    <definedName name="wrn.ARR._.Forms." localSheetId="35" hidden="1">{#N/A,#N/A,FALSE,"1.1";#N/A,#N/A,FALSE,"1.1a";#N/A,#N/A,FALSE,"1.1b";#N/A,#N/A,FALSE,"1.1c";#N/A,#N/A,FALSE,"1.1e";#N/A,#N/A,FALSE,"1.1f";#N/A,#N/A,FALSE,"1.1g";#N/A,#N/A,FALSE,"1.1h_D";#N/A,#N/A,FALSE,"1.1h_T";#N/A,#N/A,FALSE,"1.2";#N/A,#N/A,FALSE,"1.3b";#N/A,#N/A,FALSE,"1.3";#N/A,#N/A,FALSE,"1.4";#N/A,#N/A,FALSE,"1.5";#N/A,#N/A,FALSE,"1.6";#N/A,#N/A,FALSE,"SOD";#N/A,#N/A,FALSE,"CF"}</definedName>
    <definedName name="wrn.ARR._.Forms." localSheetId="36" hidden="1">{#N/A,#N/A,FALSE,"1.1";#N/A,#N/A,FALSE,"1.1a";#N/A,#N/A,FALSE,"1.1b";#N/A,#N/A,FALSE,"1.1c";#N/A,#N/A,FALSE,"1.1e";#N/A,#N/A,FALSE,"1.1f";#N/A,#N/A,FALSE,"1.1g";#N/A,#N/A,FALSE,"1.1h_D";#N/A,#N/A,FALSE,"1.1h_T";#N/A,#N/A,FALSE,"1.2";#N/A,#N/A,FALSE,"1.3b";#N/A,#N/A,FALSE,"1.3";#N/A,#N/A,FALSE,"1.4";#N/A,#N/A,FALSE,"1.5";#N/A,#N/A,FALSE,"1.6";#N/A,#N/A,FALSE,"SOD";#N/A,#N/A,FALSE,"CF"}</definedName>
    <definedName name="wrn.ARR._.Forms." localSheetId="39" hidden="1">{#N/A,#N/A,FALSE,"1.1";#N/A,#N/A,FALSE,"1.1a";#N/A,#N/A,FALSE,"1.1b";#N/A,#N/A,FALSE,"1.1c";#N/A,#N/A,FALSE,"1.1e";#N/A,#N/A,FALSE,"1.1f";#N/A,#N/A,FALSE,"1.1g";#N/A,#N/A,FALSE,"1.1h_D";#N/A,#N/A,FALSE,"1.1h_T";#N/A,#N/A,FALSE,"1.2";#N/A,#N/A,FALSE,"1.3b";#N/A,#N/A,FALSE,"1.3";#N/A,#N/A,FALSE,"1.4";#N/A,#N/A,FALSE,"1.5";#N/A,#N/A,FALSE,"1.6";#N/A,#N/A,FALSE,"SOD";#N/A,#N/A,FALSE,"CF"}</definedName>
    <definedName name="wrn.ARR._.Forms." localSheetId="40" hidden="1">{#N/A,#N/A,FALSE,"1.1";#N/A,#N/A,FALSE,"1.1a";#N/A,#N/A,FALSE,"1.1b";#N/A,#N/A,FALSE,"1.1c";#N/A,#N/A,FALSE,"1.1e";#N/A,#N/A,FALSE,"1.1f";#N/A,#N/A,FALSE,"1.1g";#N/A,#N/A,FALSE,"1.1h_D";#N/A,#N/A,FALSE,"1.1h_T";#N/A,#N/A,FALSE,"1.2";#N/A,#N/A,FALSE,"1.3b";#N/A,#N/A,FALSE,"1.3";#N/A,#N/A,FALSE,"1.4";#N/A,#N/A,FALSE,"1.5";#N/A,#N/A,FALSE,"1.6";#N/A,#N/A,FALSE,"SOD";#N/A,#N/A,FALSE,"CF"}</definedName>
    <definedName name="wrn.ARR._.Forms." localSheetId="69" hidden="1">{#N/A,#N/A,FALSE,"1.1";#N/A,#N/A,FALSE,"1.1a";#N/A,#N/A,FALSE,"1.1b";#N/A,#N/A,FALSE,"1.1c";#N/A,#N/A,FALSE,"1.1e";#N/A,#N/A,FALSE,"1.1f";#N/A,#N/A,FALSE,"1.1g";#N/A,#N/A,FALSE,"1.1h_D";#N/A,#N/A,FALSE,"1.1h_T";#N/A,#N/A,FALSE,"1.2";#N/A,#N/A,FALSE,"1.3b";#N/A,#N/A,FALSE,"1.3";#N/A,#N/A,FALSE,"1.4";#N/A,#N/A,FALSE,"1.5";#N/A,#N/A,FALSE,"1.6";#N/A,#N/A,FALSE,"SOD";#N/A,#N/A,FALSE,"CF"}</definedName>
    <definedName name="wrn.ARR._.Forms." localSheetId="70" hidden="1">{#N/A,#N/A,FALSE,"1.1";#N/A,#N/A,FALSE,"1.1a";#N/A,#N/A,FALSE,"1.1b";#N/A,#N/A,FALSE,"1.1c";#N/A,#N/A,FALSE,"1.1e";#N/A,#N/A,FALSE,"1.1f";#N/A,#N/A,FALSE,"1.1g";#N/A,#N/A,FALSE,"1.1h_D";#N/A,#N/A,FALSE,"1.1h_T";#N/A,#N/A,FALSE,"1.2";#N/A,#N/A,FALSE,"1.3b";#N/A,#N/A,FALSE,"1.3";#N/A,#N/A,FALSE,"1.4";#N/A,#N/A,FALSE,"1.5";#N/A,#N/A,FALSE,"1.6";#N/A,#N/A,FALSE,"SOD";#N/A,#N/A,FALSE,"CF"}</definedName>
    <definedName name="wrn.ARR._.Forms." localSheetId="71" hidden="1">{#N/A,#N/A,FALSE,"1.1";#N/A,#N/A,FALSE,"1.1a";#N/A,#N/A,FALSE,"1.1b";#N/A,#N/A,FALSE,"1.1c";#N/A,#N/A,FALSE,"1.1e";#N/A,#N/A,FALSE,"1.1f";#N/A,#N/A,FALSE,"1.1g";#N/A,#N/A,FALSE,"1.1h_D";#N/A,#N/A,FALSE,"1.1h_T";#N/A,#N/A,FALSE,"1.2";#N/A,#N/A,FALSE,"1.3b";#N/A,#N/A,FALSE,"1.3";#N/A,#N/A,FALSE,"1.4";#N/A,#N/A,FALSE,"1.5";#N/A,#N/A,FALSE,"1.6";#N/A,#N/A,FALSE,"SOD";#N/A,#N/A,FALSE,"CF"}</definedName>
    <definedName name="wrn.ARR._.Forms." localSheetId="72" hidden="1">{#N/A,#N/A,FALSE,"1.1";#N/A,#N/A,FALSE,"1.1a";#N/A,#N/A,FALSE,"1.1b";#N/A,#N/A,FALSE,"1.1c";#N/A,#N/A,FALSE,"1.1e";#N/A,#N/A,FALSE,"1.1f";#N/A,#N/A,FALSE,"1.1g";#N/A,#N/A,FALSE,"1.1h_D";#N/A,#N/A,FALSE,"1.1h_T";#N/A,#N/A,FALSE,"1.2";#N/A,#N/A,FALSE,"1.3b";#N/A,#N/A,FALSE,"1.3";#N/A,#N/A,FALSE,"1.4";#N/A,#N/A,FALSE,"1.5";#N/A,#N/A,FALSE,"1.6";#N/A,#N/A,FALSE,"SOD";#N/A,#N/A,FALSE,"CF"}</definedName>
    <definedName name="wrn.ARR._.Forms." localSheetId="60" hidden="1">{#N/A,#N/A,FALSE,"1.1";#N/A,#N/A,FALSE,"1.1a";#N/A,#N/A,FALSE,"1.1b";#N/A,#N/A,FALSE,"1.1c";#N/A,#N/A,FALSE,"1.1e";#N/A,#N/A,FALSE,"1.1f";#N/A,#N/A,FALSE,"1.1g";#N/A,#N/A,FALSE,"1.1h_D";#N/A,#N/A,FALSE,"1.1h_T";#N/A,#N/A,FALSE,"1.2";#N/A,#N/A,FALSE,"1.3b";#N/A,#N/A,FALSE,"1.3";#N/A,#N/A,FALSE,"1.4";#N/A,#N/A,FALSE,"1.5";#N/A,#N/A,FALSE,"1.6";#N/A,#N/A,FALSE,"SOD";#N/A,#N/A,FALSE,"CF"}</definedName>
    <definedName name="wrn.ARR._.Forms." localSheetId="61" hidden="1">{#N/A,#N/A,FALSE,"1.1";#N/A,#N/A,FALSE,"1.1a";#N/A,#N/A,FALSE,"1.1b";#N/A,#N/A,FALSE,"1.1c";#N/A,#N/A,FALSE,"1.1e";#N/A,#N/A,FALSE,"1.1f";#N/A,#N/A,FALSE,"1.1g";#N/A,#N/A,FALSE,"1.1h_D";#N/A,#N/A,FALSE,"1.1h_T";#N/A,#N/A,FALSE,"1.2";#N/A,#N/A,FALSE,"1.3b";#N/A,#N/A,FALSE,"1.3";#N/A,#N/A,FALSE,"1.4";#N/A,#N/A,FALSE,"1.5";#N/A,#N/A,FALSE,"1.6";#N/A,#N/A,FALSE,"SOD";#N/A,#N/A,FALSE,"CF"}</definedName>
    <definedName name="wrn.ARR._.Forms." localSheetId="62" hidden="1">{#N/A,#N/A,FALSE,"1.1";#N/A,#N/A,FALSE,"1.1a";#N/A,#N/A,FALSE,"1.1b";#N/A,#N/A,FALSE,"1.1c";#N/A,#N/A,FALSE,"1.1e";#N/A,#N/A,FALSE,"1.1f";#N/A,#N/A,FALSE,"1.1g";#N/A,#N/A,FALSE,"1.1h_D";#N/A,#N/A,FALSE,"1.1h_T";#N/A,#N/A,FALSE,"1.2";#N/A,#N/A,FALSE,"1.3b";#N/A,#N/A,FALSE,"1.3";#N/A,#N/A,FALSE,"1.4";#N/A,#N/A,FALSE,"1.5";#N/A,#N/A,FALSE,"1.6";#N/A,#N/A,FALSE,"SOD";#N/A,#N/A,FALSE,"CF"}</definedName>
    <definedName name="wrn.ARR._.Forms." localSheetId="63" hidden="1">{#N/A,#N/A,FALSE,"1.1";#N/A,#N/A,FALSE,"1.1a";#N/A,#N/A,FALSE,"1.1b";#N/A,#N/A,FALSE,"1.1c";#N/A,#N/A,FALSE,"1.1e";#N/A,#N/A,FALSE,"1.1f";#N/A,#N/A,FALSE,"1.1g";#N/A,#N/A,FALSE,"1.1h_D";#N/A,#N/A,FALSE,"1.1h_T";#N/A,#N/A,FALSE,"1.2";#N/A,#N/A,FALSE,"1.3b";#N/A,#N/A,FALSE,"1.3";#N/A,#N/A,FALSE,"1.4";#N/A,#N/A,FALSE,"1.5";#N/A,#N/A,FALSE,"1.6";#N/A,#N/A,FALSE,"SOD";#N/A,#N/A,FALSE,"CF"}</definedName>
    <definedName name="wrn.ARR._.Forms." localSheetId="64" hidden="1">{#N/A,#N/A,FALSE,"1.1";#N/A,#N/A,FALSE,"1.1a";#N/A,#N/A,FALSE,"1.1b";#N/A,#N/A,FALSE,"1.1c";#N/A,#N/A,FALSE,"1.1e";#N/A,#N/A,FALSE,"1.1f";#N/A,#N/A,FALSE,"1.1g";#N/A,#N/A,FALSE,"1.1h_D";#N/A,#N/A,FALSE,"1.1h_T";#N/A,#N/A,FALSE,"1.2";#N/A,#N/A,FALSE,"1.3b";#N/A,#N/A,FALSE,"1.3";#N/A,#N/A,FALSE,"1.4";#N/A,#N/A,FALSE,"1.5";#N/A,#N/A,FALSE,"1.6";#N/A,#N/A,FALSE,"SOD";#N/A,#N/A,FALSE,"CF"}</definedName>
    <definedName name="wrn.ARR._.Forms." localSheetId="66" hidden="1">{#N/A,#N/A,FALSE,"1.1";#N/A,#N/A,FALSE,"1.1a";#N/A,#N/A,FALSE,"1.1b";#N/A,#N/A,FALSE,"1.1c";#N/A,#N/A,FALSE,"1.1e";#N/A,#N/A,FALSE,"1.1f";#N/A,#N/A,FALSE,"1.1g";#N/A,#N/A,FALSE,"1.1h_D";#N/A,#N/A,FALSE,"1.1h_T";#N/A,#N/A,FALSE,"1.2";#N/A,#N/A,FALSE,"1.3b";#N/A,#N/A,FALSE,"1.3";#N/A,#N/A,FALSE,"1.4";#N/A,#N/A,FALSE,"1.5";#N/A,#N/A,FALSE,"1.6";#N/A,#N/A,FALSE,"SOD";#N/A,#N/A,FALSE,"CF"}</definedName>
    <definedName name="wrn.ARR._.Forms." localSheetId="67" hidden="1">{#N/A,#N/A,FALSE,"1.1";#N/A,#N/A,FALSE,"1.1a";#N/A,#N/A,FALSE,"1.1b";#N/A,#N/A,FALSE,"1.1c";#N/A,#N/A,FALSE,"1.1e";#N/A,#N/A,FALSE,"1.1f";#N/A,#N/A,FALSE,"1.1g";#N/A,#N/A,FALSE,"1.1h_D";#N/A,#N/A,FALSE,"1.1h_T";#N/A,#N/A,FALSE,"1.2";#N/A,#N/A,FALSE,"1.3b";#N/A,#N/A,FALSE,"1.3";#N/A,#N/A,FALSE,"1.4";#N/A,#N/A,FALSE,"1.5";#N/A,#N/A,FALSE,"1.6";#N/A,#N/A,FALSE,"SOD";#N/A,#N/A,FALSE,"CF"}</definedName>
    <definedName name="wrn.ARR._.Forms." localSheetId="68" hidden="1">{#N/A,#N/A,FALSE,"1.1";#N/A,#N/A,FALSE,"1.1a";#N/A,#N/A,FALSE,"1.1b";#N/A,#N/A,FALSE,"1.1c";#N/A,#N/A,FALSE,"1.1e";#N/A,#N/A,FALSE,"1.1f";#N/A,#N/A,FALSE,"1.1g";#N/A,#N/A,FALSE,"1.1h_D";#N/A,#N/A,FALSE,"1.1h_T";#N/A,#N/A,FALSE,"1.2";#N/A,#N/A,FALSE,"1.3b";#N/A,#N/A,FALSE,"1.3";#N/A,#N/A,FALSE,"1.4";#N/A,#N/A,FALSE,"1.5";#N/A,#N/A,FALSE,"1.6";#N/A,#N/A,FALSE,"SOD";#N/A,#N/A,FALSE,"CF"}</definedName>
    <definedName name="wrn.ARR._.Forms." localSheetId="74" hidden="1">{#N/A,#N/A,FALSE,"1.1";#N/A,#N/A,FALSE,"1.1a";#N/A,#N/A,FALSE,"1.1b";#N/A,#N/A,FALSE,"1.1c";#N/A,#N/A,FALSE,"1.1e";#N/A,#N/A,FALSE,"1.1f";#N/A,#N/A,FALSE,"1.1g";#N/A,#N/A,FALSE,"1.1h_D";#N/A,#N/A,FALSE,"1.1h_T";#N/A,#N/A,FALSE,"1.2";#N/A,#N/A,FALSE,"1.3b";#N/A,#N/A,FALSE,"1.3";#N/A,#N/A,FALSE,"1.4";#N/A,#N/A,FALSE,"1.5";#N/A,#N/A,FALSE,"1.6";#N/A,#N/A,FALSE,"SOD";#N/A,#N/A,FALSE,"CF"}</definedName>
    <definedName name="wrn.ARR._.Forms." localSheetId="75" hidden="1">{#N/A,#N/A,FALSE,"1.1";#N/A,#N/A,FALSE,"1.1a";#N/A,#N/A,FALSE,"1.1b";#N/A,#N/A,FALSE,"1.1c";#N/A,#N/A,FALSE,"1.1e";#N/A,#N/A,FALSE,"1.1f";#N/A,#N/A,FALSE,"1.1g";#N/A,#N/A,FALSE,"1.1h_D";#N/A,#N/A,FALSE,"1.1h_T";#N/A,#N/A,FALSE,"1.2";#N/A,#N/A,FALSE,"1.3b";#N/A,#N/A,FALSE,"1.3";#N/A,#N/A,FALSE,"1.4";#N/A,#N/A,FALSE,"1.5";#N/A,#N/A,FALSE,"1.6";#N/A,#N/A,FALSE,"SOD";#N/A,#N/A,FALSE,"CF"}</definedName>
    <definedName name="wrn.ARR._.Forms." localSheetId="76" hidden="1">{#N/A,#N/A,FALSE,"1.1";#N/A,#N/A,FALSE,"1.1a";#N/A,#N/A,FALSE,"1.1b";#N/A,#N/A,FALSE,"1.1c";#N/A,#N/A,FALSE,"1.1e";#N/A,#N/A,FALSE,"1.1f";#N/A,#N/A,FALSE,"1.1g";#N/A,#N/A,FALSE,"1.1h_D";#N/A,#N/A,FALSE,"1.1h_T";#N/A,#N/A,FALSE,"1.2";#N/A,#N/A,FALSE,"1.3b";#N/A,#N/A,FALSE,"1.3";#N/A,#N/A,FALSE,"1.4";#N/A,#N/A,FALSE,"1.5";#N/A,#N/A,FALSE,"1.6";#N/A,#N/A,FALSE,"SOD";#N/A,#N/A,FALSE,"CF"}</definedName>
    <definedName name="wrn.ARR._.Forms." localSheetId="77" hidden="1">{#N/A,#N/A,FALSE,"1.1";#N/A,#N/A,FALSE,"1.1a";#N/A,#N/A,FALSE,"1.1b";#N/A,#N/A,FALSE,"1.1c";#N/A,#N/A,FALSE,"1.1e";#N/A,#N/A,FALSE,"1.1f";#N/A,#N/A,FALSE,"1.1g";#N/A,#N/A,FALSE,"1.1h_D";#N/A,#N/A,FALSE,"1.1h_T";#N/A,#N/A,FALSE,"1.2";#N/A,#N/A,FALSE,"1.3b";#N/A,#N/A,FALSE,"1.3";#N/A,#N/A,FALSE,"1.4";#N/A,#N/A,FALSE,"1.5";#N/A,#N/A,FALSE,"1.6";#N/A,#N/A,FALSE,"SOD";#N/A,#N/A,FALSE,"CF"}</definedName>
    <definedName name="wrn.ARR._.Forms." localSheetId="78" hidden="1">{#N/A,#N/A,FALSE,"1.1";#N/A,#N/A,FALSE,"1.1a";#N/A,#N/A,FALSE,"1.1b";#N/A,#N/A,FALSE,"1.1c";#N/A,#N/A,FALSE,"1.1e";#N/A,#N/A,FALSE,"1.1f";#N/A,#N/A,FALSE,"1.1g";#N/A,#N/A,FALSE,"1.1h_D";#N/A,#N/A,FALSE,"1.1h_T";#N/A,#N/A,FALSE,"1.2";#N/A,#N/A,FALSE,"1.3b";#N/A,#N/A,FALSE,"1.3";#N/A,#N/A,FALSE,"1.4";#N/A,#N/A,FALSE,"1.5";#N/A,#N/A,FALSE,"1.6";#N/A,#N/A,FALSE,"SOD";#N/A,#N/A,FALSE,"CF"}</definedName>
    <definedName name="wrn.ARR._.Forms." localSheetId="79" hidden="1">{#N/A,#N/A,FALSE,"1.1";#N/A,#N/A,FALSE,"1.1a";#N/A,#N/A,FALSE,"1.1b";#N/A,#N/A,FALSE,"1.1c";#N/A,#N/A,FALSE,"1.1e";#N/A,#N/A,FALSE,"1.1f";#N/A,#N/A,FALSE,"1.1g";#N/A,#N/A,FALSE,"1.1h_D";#N/A,#N/A,FALSE,"1.1h_T";#N/A,#N/A,FALSE,"1.2";#N/A,#N/A,FALSE,"1.3b";#N/A,#N/A,FALSE,"1.3";#N/A,#N/A,FALSE,"1.4";#N/A,#N/A,FALSE,"1.5";#N/A,#N/A,FALSE,"1.6";#N/A,#N/A,FALSE,"SOD";#N/A,#N/A,FALSE,"CF"}</definedName>
    <definedName name="wrn.ARR._.Forms." hidden="1">{#N/A,#N/A,FALSE,"1.1";#N/A,#N/A,FALSE,"1.1a";#N/A,#N/A,FALSE,"1.1b";#N/A,#N/A,FALSE,"1.1c";#N/A,#N/A,FALSE,"1.1e";#N/A,#N/A,FALSE,"1.1f";#N/A,#N/A,FALSE,"1.1g";#N/A,#N/A,FALSE,"1.1h_D";#N/A,#N/A,FALSE,"1.1h_T";#N/A,#N/A,FALSE,"1.2";#N/A,#N/A,FALSE,"1.3b";#N/A,#N/A,FALSE,"1.3";#N/A,#N/A,FALSE,"1.4";#N/A,#N/A,FALSE,"1.5";#N/A,#N/A,FALSE,"1.6";#N/A,#N/A,FALSE,"SOD";#N/A,#N/A,FALSE,"CF"}</definedName>
    <definedName name="wrn.ARR._.Output." localSheetId="13" hidden="1">{#N/A,#N/A,FALSE,"2000-01 Form 1.3a";#N/A,#N/A,FALSE,"H1 2001-02 Form 1.3a";#N/A,#N/A,FALSE,"H2 2001-02 Form 1.3a";#N/A,#N/A,FALSE,"2001-02 Form 1.3a";#N/A,#N/A,FALSE,"2002-03 Form 1.3a"}</definedName>
    <definedName name="wrn.ARR._.Output." localSheetId="14" hidden="1">{#N/A,#N/A,FALSE,"2000-01 Form 1.3a";#N/A,#N/A,FALSE,"H1 2001-02 Form 1.3a";#N/A,#N/A,FALSE,"H2 2001-02 Form 1.3a";#N/A,#N/A,FALSE,"2001-02 Form 1.3a";#N/A,#N/A,FALSE,"2002-03 Form 1.3a"}</definedName>
    <definedName name="wrn.ARR._.Output." localSheetId="7" hidden="1">{#N/A,#N/A,FALSE,"2000-01 Form 1.3a";#N/A,#N/A,FALSE,"H1 2001-02 Form 1.3a";#N/A,#N/A,FALSE,"H2 2001-02 Form 1.3a";#N/A,#N/A,FALSE,"2001-02 Form 1.3a";#N/A,#N/A,FALSE,"2002-03 Form 1.3a"}</definedName>
    <definedName name="wrn.ARR._.Output." localSheetId="9" hidden="1">{#N/A,#N/A,FALSE,"2000-01 Form 1.3a";#N/A,#N/A,FALSE,"H1 2001-02 Form 1.3a";#N/A,#N/A,FALSE,"H2 2001-02 Form 1.3a";#N/A,#N/A,FALSE,"2001-02 Form 1.3a";#N/A,#N/A,FALSE,"2002-03 Form 1.3a"}</definedName>
    <definedName name="wrn.ARR._.Output." localSheetId="10" hidden="1">{#N/A,#N/A,FALSE,"2000-01 Form 1.3a";#N/A,#N/A,FALSE,"H1 2001-02 Form 1.3a";#N/A,#N/A,FALSE,"H2 2001-02 Form 1.3a";#N/A,#N/A,FALSE,"2001-02 Form 1.3a";#N/A,#N/A,FALSE,"2002-03 Form 1.3a"}</definedName>
    <definedName name="wrn.ARR._.Output." localSheetId="11" hidden="1">{#N/A,#N/A,FALSE,"2000-01 Form 1.3a";#N/A,#N/A,FALSE,"H1 2001-02 Form 1.3a";#N/A,#N/A,FALSE,"H2 2001-02 Form 1.3a";#N/A,#N/A,FALSE,"2001-02 Form 1.3a";#N/A,#N/A,FALSE,"2002-03 Form 1.3a"}</definedName>
    <definedName name="wrn.ARR._.Output." localSheetId="12" hidden="1">{#N/A,#N/A,FALSE,"2000-01 Form 1.3a";#N/A,#N/A,FALSE,"H1 2001-02 Form 1.3a";#N/A,#N/A,FALSE,"H2 2001-02 Form 1.3a";#N/A,#N/A,FALSE,"2001-02 Form 1.3a";#N/A,#N/A,FALSE,"2002-03 Form 1.3a"}</definedName>
    <definedName name="wrn.ARR._.Output." localSheetId="43" hidden="1">{#N/A,#N/A,FALSE,"2000-01 Form 1.3a";#N/A,#N/A,FALSE,"H1 2001-02 Form 1.3a";#N/A,#N/A,FALSE,"H2 2001-02 Form 1.3a";#N/A,#N/A,FALSE,"2001-02 Form 1.3a";#N/A,#N/A,FALSE,"2002-03 Form 1.3a"}</definedName>
    <definedName name="wrn.ARR._.Output." localSheetId="44" hidden="1">{#N/A,#N/A,FALSE,"2000-01 Form 1.3a";#N/A,#N/A,FALSE,"H1 2001-02 Form 1.3a";#N/A,#N/A,FALSE,"H2 2001-02 Form 1.3a";#N/A,#N/A,FALSE,"2001-02 Form 1.3a";#N/A,#N/A,FALSE,"2002-03 Form 1.3a"}</definedName>
    <definedName name="wrn.ARR._.Output." localSheetId="45" hidden="1">{#N/A,#N/A,FALSE,"2000-01 Form 1.3a";#N/A,#N/A,FALSE,"H1 2001-02 Form 1.3a";#N/A,#N/A,FALSE,"H2 2001-02 Form 1.3a";#N/A,#N/A,FALSE,"2001-02 Form 1.3a";#N/A,#N/A,FALSE,"2002-03 Form 1.3a"}</definedName>
    <definedName name="wrn.ARR._.Output." localSheetId="46" hidden="1">{#N/A,#N/A,FALSE,"2000-01 Form 1.3a";#N/A,#N/A,FALSE,"H1 2001-02 Form 1.3a";#N/A,#N/A,FALSE,"H2 2001-02 Form 1.3a";#N/A,#N/A,FALSE,"2001-02 Form 1.3a";#N/A,#N/A,FALSE,"2002-03 Form 1.3a"}</definedName>
    <definedName name="wrn.ARR._.Output." localSheetId="47" hidden="1">{#N/A,#N/A,FALSE,"2000-01 Form 1.3a";#N/A,#N/A,FALSE,"H1 2001-02 Form 1.3a";#N/A,#N/A,FALSE,"H2 2001-02 Form 1.3a";#N/A,#N/A,FALSE,"2001-02 Form 1.3a";#N/A,#N/A,FALSE,"2002-03 Form 1.3a"}</definedName>
    <definedName name="wrn.ARR._.Output." localSheetId="48" hidden="1">{#N/A,#N/A,FALSE,"2000-01 Form 1.3a";#N/A,#N/A,FALSE,"H1 2001-02 Form 1.3a";#N/A,#N/A,FALSE,"H2 2001-02 Form 1.3a";#N/A,#N/A,FALSE,"2001-02 Form 1.3a";#N/A,#N/A,FALSE,"2002-03 Form 1.3a"}</definedName>
    <definedName name="wrn.ARR._.Output." localSheetId="50" hidden="1">{#N/A,#N/A,FALSE,"2000-01 Form 1.3a";#N/A,#N/A,FALSE,"H1 2001-02 Form 1.3a";#N/A,#N/A,FALSE,"H2 2001-02 Form 1.3a";#N/A,#N/A,FALSE,"2001-02 Form 1.3a";#N/A,#N/A,FALSE,"2002-03 Form 1.3a"}</definedName>
    <definedName name="wrn.ARR._.Output." localSheetId="51" hidden="1">{#N/A,#N/A,FALSE,"2000-01 Form 1.3a";#N/A,#N/A,FALSE,"H1 2001-02 Form 1.3a";#N/A,#N/A,FALSE,"H2 2001-02 Form 1.3a";#N/A,#N/A,FALSE,"2001-02 Form 1.3a";#N/A,#N/A,FALSE,"2002-03 Form 1.3a"}</definedName>
    <definedName name="wrn.ARR._.Output." localSheetId="52" hidden="1">{#N/A,#N/A,FALSE,"2000-01 Form 1.3a";#N/A,#N/A,FALSE,"H1 2001-02 Form 1.3a";#N/A,#N/A,FALSE,"H2 2001-02 Form 1.3a";#N/A,#N/A,FALSE,"2001-02 Form 1.3a";#N/A,#N/A,FALSE,"2002-03 Form 1.3a"}</definedName>
    <definedName name="wrn.ARR._.Output." localSheetId="53" hidden="1">{#N/A,#N/A,FALSE,"2000-01 Form 1.3a";#N/A,#N/A,FALSE,"H1 2001-02 Form 1.3a";#N/A,#N/A,FALSE,"H2 2001-02 Form 1.3a";#N/A,#N/A,FALSE,"2001-02 Form 1.3a";#N/A,#N/A,FALSE,"2002-03 Form 1.3a"}</definedName>
    <definedName name="wrn.ARR._.Output." localSheetId="54" hidden="1">{#N/A,#N/A,FALSE,"2000-01 Form 1.3a";#N/A,#N/A,FALSE,"H1 2001-02 Form 1.3a";#N/A,#N/A,FALSE,"H2 2001-02 Form 1.3a";#N/A,#N/A,FALSE,"2001-02 Form 1.3a";#N/A,#N/A,FALSE,"2002-03 Form 1.3a"}</definedName>
    <definedName name="wrn.ARR._.Output." localSheetId="37" hidden="1">{#N/A,#N/A,FALSE,"2000-01 Form 1.3a";#N/A,#N/A,FALSE,"H1 2001-02 Form 1.3a";#N/A,#N/A,FALSE,"H2 2001-02 Form 1.3a";#N/A,#N/A,FALSE,"2001-02 Form 1.3a";#N/A,#N/A,FALSE,"2002-03 Form 1.3a"}</definedName>
    <definedName name="wrn.ARR._.Output." localSheetId="38" hidden="1">{#N/A,#N/A,FALSE,"2000-01 Form 1.3a";#N/A,#N/A,FALSE,"H1 2001-02 Form 1.3a";#N/A,#N/A,FALSE,"H2 2001-02 Form 1.3a";#N/A,#N/A,FALSE,"2001-02 Form 1.3a";#N/A,#N/A,FALSE,"2002-03 Form 1.3a"}</definedName>
    <definedName name="wrn.ARR._.Output." localSheetId="34" hidden="1">{#N/A,#N/A,FALSE,"2000-01 Form 1.3a";#N/A,#N/A,FALSE,"H1 2001-02 Form 1.3a";#N/A,#N/A,FALSE,"H2 2001-02 Form 1.3a";#N/A,#N/A,FALSE,"2001-02 Form 1.3a";#N/A,#N/A,FALSE,"2002-03 Form 1.3a"}</definedName>
    <definedName name="wrn.ARR._.Output." localSheetId="35" hidden="1">{#N/A,#N/A,FALSE,"2000-01 Form 1.3a";#N/A,#N/A,FALSE,"H1 2001-02 Form 1.3a";#N/A,#N/A,FALSE,"H2 2001-02 Form 1.3a";#N/A,#N/A,FALSE,"2001-02 Form 1.3a";#N/A,#N/A,FALSE,"2002-03 Form 1.3a"}</definedName>
    <definedName name="wrn.ARR._.Output." localSheetId="36" hidden="1">{#N/A,#N/A,FALSE,"2000-01 Form 1.3a";#N/A,#N/A,FALSE,"H1 2001-02 Form 1.3a";#N/A,#N/A,FALSE,"H2 2001-02 Form 1.3a";#N/A,#N/A,FALSE,"2001-02 Form 1.3a";#N/A,#N/A,FALSE,"2002-03 Form 1.3a"}</definedName>
    <definedName name="wrn.ARR._.Output." localSheetId="39" hidden="1">{#N/A,#N/A,FALSE,"2000-01 Form 1.3a";#N/A,#N/A,FALSE,"H1 2001-02 Form 1.3a";#N/A,#N/A,FALSE,"H2 2001-02 Form 1.3a";#N/A,#N/A,FALSE,"2001-02 Form 1.3a";#N/A,#N/A,FALSE,"2002-03 Form 1.3a"}</definedName>
    <definedName name="wrn.ARR._.Output." localSheetId="40" hidden="1">{#N/A,#N/A,FALSE,"2000-01 Form 1.3a";#N/A,#N/A,FALSE,"H1 2001-02 Form 1.3a";#N/A,#N/A,FALSE,"H2 2001-02 Form 1.3a";#N/A,#N/A,FALSE,"2001-02 Form 1.3a";#N/A,#N/A,FALSE,"2002-03 Form 1.3a"}</definedName>
    <definedName name="wrn.ARR._.Output." localSheetId="69" hidden="1">{#N/A,#N/A,FALSE,"2000-01 Form 1.3a";#N/A,#N/A,FALSE,"H1 2001-02 Form 1.3a";#N/A,#N/A,FALSE,"H2 2001-02 Form 1.3a";#N/A,#N/A,FALSE,"2001-02 Form 1.3a";#N/A,#N/A,FALSE,"2002-03 Form 1.3a"}</definedName>
    <definedName name="wrn.ARR._.Output." localSheetId="70" hidden="1">{#N/A,#N/A,FALSE,"2000-01 Form 1.3a";#N/A,#N/A,FALSE,"H1 2001-02 Form 1.3a";#N/A,#N/A,FALSE,"H2 2001-02 Form 1.3a";#N/A,#N/A,FALSE,"2001-02 Form 1.3a";#N/A,#N/A,FALSE,"2002-03 Form 1.3a"}</definedName>
    <definedName name="wrn.ARR._.Output." localSheetId="71" hidden="1">{#N/A,#N/A,FALSE,"2000-01 Form 1.3a";#N/A,#N/A,FALSE,"H1 2001-02 Form 1.3a";#N/A,#N/A,FALSE,"H2 2001-02 Form 1.3a";#N/A,#N/A,FALSE,"2001-02 Form 1.3a";#N/A,#N/A,FALSE,"2002-03 Form 1.3a"}</definedName>
    <definedName name="wrn.ARR._.Output." localSheetId="72" hidden="1">{#N/A,#N/A,FALSE,"2000-01 Form 1.3a";#N/A,#N/A,FALSE,"H1 2001-02 Form 1.3a";#N/A,#N/A,FALSE,"H2 2001-02 Form 1.3a";#N/A,#N/A,FALSE,"2001-02 Form 1.3a";#N/A,#N/A,FALSE,"2002-03 Form 1.3a"}</definedName>
    <definedName name="wrn.ARR._.Output." localSheetId="60" hidden="1">{#N/A,#N/A,FALSE,"2000-01 Form 1.3a";#N/A,#N/A,FALSE,"H1 2001-02 Form 1.3a";#N/A,#N/A,FALSE,"H2 2001-02 Form 1.3a";#N/A,#N/A,FALSE,"2001-02 Form 1.3a";#N/A,#N/A,FALSE,"2002-03 Form 1.3a"}</definedName>
    <definedName name="wrn.ARR._.Output." localSheetId="61" hidden="1">{#N/A,#N/A,FALSE,"2000-01 Form 1.3a";#N/A,#N/A,FALSE,"H1 2001-02 Form 1.3a";#N/A,#N/A,FALSE,"H2 2001-02 Form 1.3a";#N/A,#N/A,FALSE,"2001-02 Form 1.3a";#N/A,#N/A,FALSE,"2002-03 Form 1.3a"}</definedName>
    <definedName name="wrn.ARR._.Output." localSheetId="62" hidden="1">{#N/A,#N/A,FALSE,"2000-01 Form 1.3a";#N/A,#N/A,FALSE,"H1 2001-02 Form 1.3a";#N/A,#N/A,FALSE,"H2 2001-02 Form 1.3a";#N/A,#N/A,FALSE,"2001-02 Form 1.3a";#N/A,#N/A,FALSE,"2002-03 Form 1.3a"}</definedName>
    <definedName name="wrn.ARR._.Output." localSheetId="63" hidden="1">{#N/A,#N/A,FALSE,"2000-01 Form 1.3a";#N/A,#N/A,FALSE,"H1 2001-02 Form 1.3a";#N/A,#N/A,FALSE,"H2 2001-02 Form 1.3a";#N/A,#N/A,FALSE,"2001-02 Form 1.3a";#N/A,#N/A,FALSE,"2002-03 Form 1.3a"}</definedName>
    <definedName name="wrn.ARR._.Output." localSheetId="64" hidden="1">{#N/A,#N/A,FALSE,"2000-01 Form 1.3a";#N/A,#N/A,FALSE,"H1 2001-02 Form 1.3a";#N/A,#N/A,FALSE,"H2 2001-02 Form 1.3a";#N/A,#N/A,FALSE,"2001-02 Form 1.3a";#N/A,#N/A,FALSE,"2002-03 Form 1.3a"}</definedName>
    <definedName name="wrn.ARR._.Output." localSheetId="66" hidden="1">{#N/A,#N/A,FALSE,"2000-01 Form 1.3a";#N/A,#N/A,FALSE,"H1 2001-02 Form 1.3a";#N/A,#N/A,FALSE,"H2 2001-02 Form 1.3a";#N/A,#N/A,FALSE,"2001-02 Form 1.3a";#N/A,#N/A,FALSE,"2002-03 Form 1.3a"}</definedName>
    <definedName name="wrn.ARR._.Output." localSheetId="67" hidden="1">{#N/A,#N/A,FALSE,"2000-01 Form 1.3a";#N/A,#N/A,FALSE,"H1 2001-02 Form 1.3a";#N/A,#N/A,FALSE,"H2 2001-02 Form 1.3a";#N/A,#N/A,FALSE,"2001-02 Form 1.3a";#N/A,#N/A,FALSE,"2002-03 Form 1.3a"}</definedName>
    <definedName name="wrn.ARR._.Output." localSheetId="68" hidden="1">{#N/A,#N/A,FALSE,"2000-01 Form 1.3a";#N/A,#N/A,FALSE,"H1 2001-02 Form 1.3a";#N/A,#N/A,FALSE,"H2 2001-02 Form 1.3a";#N/A,#N/A,FALSE,"2001-02 Form 1.3a";#N/A,#N/A,FALSE,"2002-03 Form 1.3a"}</definedName>
    <definedName name="wrn.ARR._.Output." localSheetId="74" hidden="1">{#N/A,#N/A,FALSE,"2000-01 Form 1.3a";#N/A,#N/A,FALSE,"H1 2001-02 Form 1.3a";#N/A,#N/A,FALSE,"H2 2001-02 Form 1.3a";#N/A,#N/A,FALSE,"2001-02 Form 1.3a";#N/A,#N/A,FALSE,"2002-03 Form 1.3a"}</definedName>
    <definedName name="wrn.ARR._.Output." localSheetId="75" hidden="1">{#N/A,#N/A,FALSE,"2000-01 Form 1.3a";#N/A,#N/A,FALSE,"H1 2001-02 Form 1.3a";#N/A,#N/A,FALSE,"H2 2001-02 Form 1.3a";#N/A,#N/A,FALSE,"2001-02 Form 1.3a";#N/A,#N/A,FALSE,"2002-03 Form 1.3a"}</definedName>
    <definedName name="wrn.ARR._.Output." localSheetId="76" hidden="1">{#N/A,#N/A,FALSE,"2000-01 Form 1.3a";#N/A,#N/A,FALSE,"H1 2001-02 Form 1.3a";#N/A,#N/A,FALSE,"H2 2001-02 Form 1.3a";#N/A,#N/A,FALSE,"2001-02 Form 1.3a";#N/A,#N/A,FALSE,"2002-03 Form 1.3a"}</definedName>
    <definedName name="wrn.ARR._.Output." localSheetId="77" hidden="1">{#N/A,#N/A,FALSE,"2000-01 Form 1.3a";#N/A,#N/A,FALSE,"H1 2001-02 Form 1.3a";#N/A,#N/A,FALSE,"H2 2001-02 Form 1.3a";#N/A,#N/A,FALSE,"2001-02 Form 1.3a";#N/A,#N/A,FALSE,"2002-03 Form 1.3a"}</definedName>
    <definedName name="wrn.ARR._.Output." localSheetId="78" hidden="1">{#N/A,#N/A,FALSE,"2000-01 Form 1.3a";#N/A,#N/A,FALSE,"H1 2001-02 Form 1.3a";#N/A,#N/A,FALSE,"H2 2001-02 Form 1.3a";#N/A,#N/A,FALSE,"2001-02 Form 1.3a";#N/A,#N/A,FALSE,"2002-03 Form 1.3a"}</definedName>
    <definedName name="wrn.ARR._.Output." localSheetId="79" hidden="1">{#N/A,#N/A,FALSE,"2000-01 Form 1.3a";#N/A,#N/A,FALSE,"H1 2001-02 Form 1.3a";#N/A,#N/A,FALSE,"H2 2001-02 Form 1.3a";#N/A,#N/A,FALSE,"2001-02 Form 1.3a";#N/A,#N/A,FALSE,"2002-03 Form 1.3a"}</definedName>
    <definedName name="wrn.ARR._.Output." hidden="1">{#N/A,#N/A,FALSE,"2000-01 Form 1.3a";#N/A,#N/A,FALSE,"H1 2001-02 Form 1.3a";#N/A,#N/A,FALSE,"H2 2001-02 Form 1.3a";#N/A,#N/A,FALSE,"2001-02 Form 1.3a";#N/A,#N/A,FALSE,"2002-03 Form 1.3a"}</definedName>
    <definedName name="wrn.Consolidated._.report._.on._.all._.companies." localSheetId="1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1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1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11"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12"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5"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5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51"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52"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5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5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5"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1"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2"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1"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2"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5"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Output._.forms." localSheetId="1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1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1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1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1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4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4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45"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4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4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4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5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5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5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5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5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5"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4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1"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6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4"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5"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7"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8"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79"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Forms." localSheetId="13"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14"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9"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1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11"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12"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43"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44"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45"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46"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47"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48"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5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51"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52"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53"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54"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7"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8"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4"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5"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6"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9"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4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9"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1"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2"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1"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2"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3"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4"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6"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7"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68"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4"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5"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6"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7"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8"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79"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PP." localSheetId="13" hidden="1">{#N/A,#N/A,FALSE,"2002-03 Form 1.3a";#N/A,#N/A,FALSE,"2003-04 Form 1.3a";#N/A,#N/A,FALSE,"Avai- CY";#N/A,#N/A,FALSE,"Avai- EY";#N/A,#N/A,FALSE,"Demand vs Availability"}</definedName>
    <definedName name="wrn.PP." localSheetId="14" hidden="1">{#N/A,#N/A,FALSE,"2002-03 Form 1.3a";#N/A,#N/A,FALSE,"2003-04 Form 1.3a";#N/A,#N/A,FALSE,"Avai- CY";#N/A,#N/A,FALSE,"Avai- EY";#N/A,#N/A,FALSE,"Demand vs Availability"}</definedName>
    <definedName name="wrn.PP." localSheetId="7" hidden="1">{#N/A,#N/A,FALSE,"2002-03 Form 1.3a";#N/A,#N/A,FALSE,"2003-04 Form 1.3a";#N/A,#N/A,FALSE,"Avai- CY";#N/A,#N/A,FALSE,"Avai- EY";#N/A,#N/A,FALSE,"Demand vs Availability"}</definedName>
    <definedName name="wrn.PP." localSheetId="9" hidden="1">{#N/A,#N/A,FALSE,"2002-03 Form 1.3a";#N/A,#N/A,FALSE,"2003-04 Form 1.3a";#N/A,#N/A,FALSE,"Avai- CY";#N/A,#N/A,FALSE,"Avai- EY";#N/A,#N/A,FALSE,"Demand vs Availability"}</definedName>
    <definedName name="wrn.PP." localSheetId="10" hidden="1">{#N/A,#N/A,FALSE,"2002-03 Form 1.3a";#N/A,#N/A,FALSE,"2003-04 Form 1.3a";#N/A,#N/A,FALSE,"Avai- CY";#N/A,#N/A,FALSE,"Avai- EY";#N/A,#N/A,FALSE,"Demand vs Availability"}</definedName>
    <definedName name="wrn.PP." localSheetId="11" hidden="1">{#N/A,#N/A,FALSE,"2002-03 Form 1.3a";#N/A,#N/A,FALSE,"2003-04 Form 1.3a";#N/A,#N/A,FALSE,"Avai- CY";#N/A,#N/A,FALSE,"Avai- EY";#N/A,#N/A,FALSE,"Demand vs Availability"}</definedName>
    <definedName name="wrn.PP." localSheetId="12" hidden="1">{#N/A,#N/A,FALSE,"2002-03 Form 1.3a";#N/A,#N/A,FALSE,"2003-04 Form 1.3a";#N/A,#N/A,FALSE,"Avai- CY";#N/A,#N/A,FALSE,"Avai- EY";#N/A,#N/A,FALSE,"Demand vs Availability"}</definedName>
    <definedName name="wrn.PP." localSheetId="43" hidden="1">{#N/A,#N/A,FALSE,"2002-03 Form 1.3a";#N/A,#N/A,FALSE,"2003-04 Form 1.3a";#N/A,#N/A,FALSE,"Avai- CY";#N/A,#N/A,FALSE,"Avai- EY";#N/A,#N/A,FALSE,"Demand vs Availability"}</definedName>
    <definedName name="wrn.PP." localSheetId="44" hidden="1">{#N/A,#N/A,FALSE,"2002-03 Form 1.3a";#N/A,#N/A,FALSE,"2003-04 Form 1.3a";#N/A,#N/A,FALSE,"Avai- CY";#N/A,#N/A,FALSE,"Avai- EY";#N/A,#N/A,FALSE,"Demand vs Availability"}</definedName>
    <definedName name="wrn.PP." localSheetId="45" hidden="1">{#N/A,#N/A,FALSE,"2002-03 Form 1.3a";#N/A,#N/A,FALSE,"2003-04 Form 1.3a";#N/A,#N/A,FALSE,"Avai- CY";#N/A,#N/A,FALSE,"Avai- EY";#N/A,#N/A,FALSE,"Demand vs Availability"}</definedName>
    <definedName name="wrn.PP." localSheetId="46" hidden="1">{#N/A,#N/A,FALSE,"2002-03 Form 1.3a";#N/A,#N/A,FALSE,"2003-04 Form 1.3a";#N/A,#N/A,FALSE,"Avai- CY";#N/A,#N/A,FALSE,"Avai- EY";#N/A,#N/A,FALSE,"Demand vs Availability"}</definedName>
    <definedName name="wrn.PP." localSheetId="47" hidden="1">{#N/A,#N/A,FALSE,"2002-03 Form 1.3a";#N/A,#N/A,FALSE,"2003-04 Form 1.3a";#N/A,#N/A,FALSE,"Avai- CY";#N/A,#N/A,FALSE,"Avai- EY";#N/A,#N/A,FALSE,"Demand vs Availability"}</definedName>
    <definedName name="wrn.PP." localSheetId="48" hidden="1">{#N/A,#N/A,FALSE,"2002-03 Form 1.3a";#N/A,#N/A,FALSE,"2003-04 Form 1.3a";#N/A,#N/A,FALSE,"Avai- CY";#N/A,#N/A,FALSE,"Avai- EY";#N/A,#N/A,FALSE,"Demand vs Availability"}</definedName>
    <definedName name="wrn.PP." localSheetId="50" hidden="1">{#N/A,#N/A,FALSE,"2002-03 Form 1.3a";#N/A,#N/A,FALSE,"2003-04 Form 1.3a";#N/A,#N/A,FALSE,"Avai- CY";#N/A,#N/A,FALSE,"Avai- EY";#N/A,#N/A,FALSE,"Demand vs Availability"}</definedName>
    <definedName name="wrn.PP." localSheetId="51" hidden="1">{#N/A,#N/A,FALSE,"2002-03 Form 1.3a";#N/A,#N/A,FALSE,"2003-04 Form 1.3a";#N/A,#N/A,FALSE,"Avai- CY";#N/A,#N/A,FALSE,"Avai- EY";#N/A,#N/A,FALSE,"Demand vs Availability"}</definedName>
    <definedName name="wrn.PP." localSheetId="52" hidden="1">{#N/A,#N/A,FALSE,"2002-03 Form 1.3a";#N/A,#N/A,FALSE,"2003-04 Form 1.3a";#N/A,#N/A,FALSE,"Avai- CY";#N/A,#N/A,FALSE,"Avai- EY";#N/A,#N/A,FALSE,"Demand vs Availability"}</definedName>
    <definedName name="wrn.PP." localSheetId="53" hidden="1">{#N/A,#N/A,FALSE,"2002-03 Form 1.3a";#N/A,#N/A,FALSE,"2003-04 Form 1.3a";#N/A,#N/A,FALSE,"Avai- CY";#N/A,#N/A,FALSE,"Avai- EY";#N/A,#N/A,FALSE,"Demand vs Availability"}</definedName>
    <definedName name="wrn.PP." localSheetId="54" hidden="1">{#N/A,#N/A,FALSE,"2002-03 Form 1.3a";#N/A,#N/A,FALSE,"2003-04 Form 1.3a";#N/A,#N/A,FALSE,"Avai- CY";#N/A,#N/A,FALSE,"Avai- EY";#N/A,#N/A,FALSE,"Demand vs Availability"}</definedName>
    <definedName name="wrn.PP." localSheetId="37" hidden="1">{#N/A,#N/A,FALSE,"2002-03 Form 1.3a";#N/A,#N/A,FALSE,"2003-04 Form 1.3a";#N/A,#N/A,FALSE,"Avai- CY";#N/A,#N/A,FALSE,"Avai- EY";#N/A,#N/A,FALSE,"Demand vs Availability"}</definedName>
    <definedName name="wrn.PP." localSheetId="38" hidden="1">{#N/A,#N/A,FALSE,"2002-03 Form 1.3a";#N/A,#N/A,FALSE,"2003-04 Form 1.3a";#N/A,#N/A,FALSE,"Avai- CY";#N/A,#N/A,FALSE,"Avai- EY";#N/A,#N/A,FALSE,"Demand vs Availability"}</definedName>
    <definedName name="wrn.PP." localSheetId="34" hidden="1">{#N/A,#N/A,FALSE,"2002-03 Form 1.3a";#N/A,#N/A,FALSE,"2003-04 Form 1.3a";#N/A,#N/A,FALSE,"Avai- CY";#N/A,#N/A,FALSE,"Avai- EY";#N/A,#N/A,FALSE,"Demand vs Availability"}</definedName>
    <definedName name="wrn.PP." localSheetId="35" hidden="1">{#N/A,#N/A,FALSE,"2002-03 Form 1.3a";#N/A,#N/A,FALSE,"2003-04 Form 1.3a";#N/A,#N/A,FALSE,"Avai- CY";#N/A,#N/A,FALSE,"Avai- EY";#N/A,#N/A,FALSE,"Demand vs Availability"}</definedName>
    <definedName name="wrn.PP." localSheetId="36" hidden="1">{#N/A,#N/A,FALSE,"2002-03 Form 1.3a";#N/A,#N/A,FALSE,"2003-04 Form 1.3a";#N/A,#N/A,FALSE,"Avai- CY";#N/A,#N/A,FALSE,"Avai- EY";#N/A,#N/A,FALSE,"Demand vs Availability"}</definedName>
    <definedName name="wrn.PP." localSheetId="39" hidden="1">{#N/A,#N/A,FALSE,"2002-03 Form 1.3a";#N/A,#N/A,FALSE,"2003-04 Form 1.3a";#N/A,#N/A,FALSE,"Avai- CY";#N/A,#N/A,FALSE,"Avai- EY";#N/A,#N/A,FALSE,"Demand vs Availability"}</definedName>
    <definedName name="wrn.PP." localSheetId="40" hidden="1">{#N/A,#N/A,FALSE,"2002-03 Form 1.3a";#N/A,#N/A,FALSE,"2003-04 Form 1.3a";#N/A,#N/A,FALSE,"Avai- CY";#N/A,#N/A,FALSE,"Avai- EY";#N/A,#N/A,FALSE,"Demand vs Availability"}</definedName>
    <definedName name="wrn.PP." localSheetId="69" hidden="1">{#N/A,#N/A,FALSE,"2002-03 Form 1.3a";#N/A,#N/A,FALSE,"2003-04 Form 1.3a";#N/A,#N/A,FALSE,"Avai- CY";#N/A,#N/A,FALSE,"Avai- EY";#N/A,#N/A,FALSE,"Demand vs Availability"}</definedName>
    <definedName name="wrn.PP." localSheetId="70" hidden="1">{#N/A,#N/A,FALSE,"2002-03 Form 1.3a";#N/A,#N/A,FALSE,"2003-04 Form 1.3a";#N/A,#N/A,FALSE,"Avai- CY";#N/A,#N/A,FALSE,"Avai- EY";#N/A,#N/A,FALSE,"Demand vs Availability"}</definedName>
    <definedName name="wrn.PP." localSheetId="71" hidden="1">{#N/A,#N/A,FALSE,"2002-03 Form 1.3a";#N/A,#N/A,FALSE,"2003-04 Form 1.3a";#N/A,#N/A,FALSE,"Avai- CY";#N/A,#N/A,FALSE,"Avai- EY";#N/A,#N/A,FALSE,"Demand vs Availability"}</definedName>
    <definedName name="wrn.PP." localSheetId="72" hidden="1">{#N/A,#N/A,FALSE,"2002-03 Form 1.3a";#N/A,#N/A,FALSE,"2003-04 Form 1.3a";#N/A,#N/A,FALSE,"Avai- CY";#N/A,#N/A,FALSE,"Avai- EY";#N/A,#N/A,FALSE,"Demand vs Availability"}</definedName>
    <definedName name="wrn.PP." localSheetId="60" hidden="1">{#N/A,#N/A,FALSE,"2002-03 Form 1.3a";#N/A,#N/A,FALSE,"2003-04 Form 1.3a";#N/A,#N/A,FALSE,"Avai- CY";#N/A,#N/A,FALSE,"Avai- EY";#N/A,#N/A,FALSE,"Demand vs Availability"}</definedName>
    <definedName name="wrn.PP." localSheetId="61" hidden="1">{#N/A,#N/A,FALSE,"2002-03 Form 1.3a";#N/A,#N/A,FALSE,"2003-04 Form 1.3a";#N/A,#N/A,FALSE,"Avai- CY";#N/A,#N/A,FALSE,"Avai- EY";#N/A,#N/A,FALSE,"Demand vs Availability"}</definedName>
    <definedName name="wrn.PP." localSheetId="62" hidden="1">{#N/A,#N/A,FALSE,"2002-03 Form 1.3a";#N/A,#N/A,FALSE,"2003-04 Form 1.3a";#N/A,#N/A,FALSE,"Avai- CY";#N/A,#N/A,FALSE,"Avai- EY";#N/A,#N/A,FALSE,"Demand vs Availability"}</definedName>
    <definedName name="wrn.PP." localSheetId="63" hidden="1">{#N/A,#N/A,FALSE,"2002-03 Form 1.3a";#N/A,#N/A,FALSE,"2003-04 Form 1.3a";#N/A,#N/A,FALSE,"Avai- CY";#N/A,#N/A,FALSE,"Avai- EY";#N/A,#N/A,FALSE,"Demand vs Availability"}</definedName>
    <definedName name="wrn.PP." localSheetId="64" hidden="1">{#N/A,#N/A,FALSE,"2002-03 Form 1.3a";#N/A,#N/A,FALSE,"2003-04 Form 1.3a";#N/A,#N/A,FALSE,"Avai- CY";#N/A,#N/A,FALSE,"Avai- EY";#N/A,#N/A,FALSE,"Demand vs Availability"}</definedName>
    <definedName name="wrn.PP." localSheetId="66" hidden="1">{#N/A,#N/A,FALSE,"2002-03 Form 1.3a";#N/A,#N/A,FALSE,"2003-04 Form 1.3a";#N/A,#N/A,FALSE,"Avai- CY";#N/A,#N/A,FALSE,"Avai- EY";#N/A,#N/A,FALSE,"Demand vs Availability"}</definedName>
    <definedName name="wrn.PP." localSheetId="67" hidden="1">{#N/A,#N/A,FALSE,"2002-03 Form 1.3a";#N/A,#N/A,FALSE,"2003-04 Form 1.3a";#N/A,#N/A,FALSE,"Avai- CY";#N/A,#N/A,FALSE,"Avai- EY";#N/A,#N/A,FALSE,"Demand vs Availability"}</definedName>
    <definedName name="wrn.PP." localSheetId="68" hidden="1">{#N/A,#N/A,FALSE,"2002-03 Form 1.3a";#N/A,#N/A,FALSE,"2003-04 Form 1.3a";#N/A,#N/A,FALSE,"Avai- CY";#N/A,#N/A,FALSE,"Avai- EY";#N/A,#N/A,FALSE,"Demand vs Availability"}</definedName>
    <definedName name="wrn.PP." localSheetId="74" hidden="1">{#N/A,#N/A,FALSE,"2002-03 Form 1.3a";#N/A,#N/A,FALSE,"2003-04 Form 1.3a";#N/A,#N/A,FALSE,"Avai- CY";#N/A,#N/A,FALSE,"Avai- EY";#N/A,#N/A,FALSE,"Demand vs Availability"}</definedName>
    <definedName name="wrn.PP." localSheetId="75" hidden="1">{#N/A,#N/A,FALSE,"2002-03 Form 1.3a";#N/A,#N/A,FALSE,"2003-04 Form 1.3a";#N/A,#N/A,FALSE,"Avai- CY";#N/A,#N/A,FALSE,"Avai- EY";#N/A,#N/A,FALSE,"Demand vs Availability"}</definedName>
    <definedName name="wrn.PP." localSheetId="76" hidden="1">{#N/A,#N/A,FALSE,"2002-03 Form 1.3a";#N/A,#N/A,FALSE,"2003-04 Form 1.3a";#N/A,#N/A,FALSE,"Avai- CY";#N/A,#N/A,FALSE,"Avai- EY";#N/A,#N/A,FALSE,"Demand vs Availability"}</definedName>
    <definedName name="wrn.PP." localSheetId="77" hidden="1">{#N/A,#N/A,FALSE,"2002-03 Form 1.3a";#N/A,#N/A,FALSE,"2003-04 Form 1.3a";#N/A,#N/A,FALSE,"Avai- CY";#N/A,#N/A,FALSE,"Avai- EY";#N/A,#N/A,FALSE,"Demand vs Availability"}</definedName>
    <definedName name="wrn.PP." localSheetId="78" hidden="1">{#N/A,#N/A,FALSE,"2002-03 Form 1.3a";#N/A,#N/A,FALSE,"2003-04 Form 1.3a";#N/A,#N/A,FALSE,"Avai- CY";#N/A,#N/A,FALSE,"Avai- EY";#N/A,#N/A,FALSE,"Demand vs Availability"}</definedName>
    <definedName name="wrn.PP." localSheetId="79" hidden="1">{#N/A,#N/A,FALSE,"2002-03 Form 1.3a";#N/A,#N/A,FALSE,"2003-04 Form 1.3a";#N/A,#N/A,FALSE,"Avai- CY";#N/A,#N/A,FALSE,"Avai- EY";#N/A,#N/A,FALSE,"Demand vs Availability"}</definedName>
    <definedName name="wrn.PP." hidden="1">{#N/A,#N/A,FALSE,"2002-03 Form 1.3a";#N/A,#N/A,FALSE,"2003-04 Form 1.3a";#N/A,#N/A,FALSE,"Avai- CY";#N/A,#N/A,FALSE,"Avai- EY";#N/A,#N/A,FALSE,"Demand vs Availability"}</definedName>
    <definedName name="wrn.Reports._.of._.NPDCL." localSheetId="13"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14"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9"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1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11"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12"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43"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44"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45"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46"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47"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48"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5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51"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52"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53"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54"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7"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8"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4"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5"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6"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9"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4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9"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1"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2"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1"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2"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3"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4"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6"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7"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68"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4"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5"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6"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7"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8"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79"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X1_" localSheetId="13">#REF!</definedName>
    <definedName name="X1_" localSheetId="14">#REF!</definedName>
    <definedName name="X1_" localSheetId="7">#REF!</definedName>
    <definedName name="X1_" localSheetId="9">#REF!</definedName>
    <definedName name="X1_" localSheetId="10">#REF!</definedName>
    <definedName name="X1_" localSheetId="11">#REF!</definedName>
    <definedName name="X1_" localSheetId="12">#REF!</definedName>
    <definedName name="X1_" localSheetId="43">#REF!</definedName>
    <definedName name="X1_" localSheetId="44">#REF!</definedName>
    <definedName name="X1_" localSheetId="45">#REF!</definedName>
    <definedName name="X1_" localSheetId="46">#REF!</definedName>
    <definedName name="X1_" localSheetId="47">#REF!</definedName>
    <definedName name="X1_" localSheetId="48">#REF!</definedName>
    <definedName name="X1_" localSheetId="50">#REF!</definedName>
    <definedName name="X1_" localSheetId="51">#REF!</definedName>
    <definedName name="X1_" localSheetId="52">#REF!</definedName>
    <definedName name="X1_" localSheetId="53">#REF!</definedName>
    <definedName name="X1_" localSheetId="54">#REF!</definedName>
    <definedName name="X1_" localSheetId="37">#REF!</definedName>
    <definedName name="X1_" localSheetId="38">#REF!</definedName>
    <definedName name="X1_" localSheetId="34">#REF!</definedName>
    <definedName name="X1_" localSheetId="35">#REF!</definedName>
    <definedName name="X1_" localSheetId="36">#REF!</definedName>
    <definedName name="X1_" localSheetId="39">#REF!</definedName>
    <definedName name="X1_" localSheetId="40">#REF!</definedName>
    <definedName name="X1_" localSheetId="69">#REF!</definedName>
    <definedName name="X1_" localSheetId="70">#REF!</definedName>
    <definedName name="X1_" localSheetId="71">#REF!</definedName>
    <definedName name="X1_" localSheetId="72">#REF!</definedName>
    <definedName name="X1_" localSheetId="60">#REF!</definedName>
    <definedName name="X1_" localSheetId="61">#REF!</definedName>
    <definedName name="X1_" localSheetId="62">#REF!</definedName>
    <definedName name="X1_" localSheetId="63">#REF!</definedName>
    <definedName name="X1_" localSheetId="64">#REF!</definedName>
    <definedName name="X1_" localSheetId="66">#REF!</definedName>
    <definedName name="X1_" localSheetId="67">#REF!</definedName>
    <definedName name="X1_" localSheetId="68">#REF!</definedName>
    <definedName name="X1_" localSheetId="74">#REF!</definedName>
    <definedName name="X1_" localSheetId="75">#REF!</definedName>
    <definedName name="X1_" localSheetId="76">#REF!</definedName>
    <definedName name="X1_" localSheetId="77">#REF!</definedName>
    <definedName name="X1_" localSheetId="78">#REF!</definedName>
    <definedName name="X1_" localSheetId="79">#REF!</definedName>
    <definedName name="X1_">#REF!</definedName>
    <definedName name="Y122_">[1]DLC!$HR$109</definedName>
    <definedName name="YEAR" localSheetId="13">#REF!</definedName>
    <definedName name="YEAR" localSheetId="14">#REF!</definedName>
    <definedName name="YEAR" localSheetId="7">#REF!</definedName>
    <definedName name="YEAR" localSheetId="9">#REF!</definedName>
    <definedName name="YEAR" localSheetId="10">#REF!</definedName>
    <definedName name="YEAR" localSheetId="11">#REF!</definedName>
    <definedName name="YEAR" localSheetId="12">#REF!</definedName>
    <definedName name="YEAR" localSheetId="43">#REF!</definedName>
    <definedName name="YEAR" localSheetId="44">#REF!</definedName>
    <definedName name="YEAR" localSheetId="45">#REF!</definedName>
    <definedName name="YEAR" localSheetId="46">#REF!</definedName>
    <definedName name="YEAR" localSheetId="47">#REF!</definedName>
    <definedName name="YEAR" localSheetId="48">#REF!</definedName>
    <definedName name="YEAR" localSheetId="50">#REF!</definedName>
    <definedName name="YEAR" localSheetId="51">#REF!</definedName>
    <definedName name="YEAR" localSheetId="52">#REF!</definedName>
    <definedName name="YEAR" localSheetId="53">#REF!</definedName>
    <definedName name="YEAR" localSheetId="54">#REF!</definedName>
    <definedName name="YEAR" localSheetId="37">#REF!</definedName>
    <definedName name="YEAR" localSheetId="38">#REF!</definedName>
    <definedName name="YEAR" localSheetId="34">#REF!</definedName>
    <definedName name="YEAR" localSheetId="35">#REF!</definedName>
    <definedName name="YEAR" localSheetId="36">#REF!</definedName>
    <definedName name="YEAR" localSheetId="39">#REF!</definedName>
    <definedName name="YEAR" localSheetId="40">#REF!</definedName>
    <definedName name="YEAR" localSheetId="69">#REF!</definedName>
    <definedName name="YEAR" localSheetId="70">#REF!</definedName>
    <definedName name="YEAR" localSheetId="71">#REF!</definedName>
    <definedName name="YEAR" localSheetId="72">#REF!</definedName>
    <definedName name="YEAR" localSheetId="60">#REF!</definedName>
    <definedName name="YEAR" localSheetId="61">#REF!</definedName>
    <definedName name="YEAR" localSheetId="62">#REF!</definedName>
    <definedName name="YEAR" localSheetId="63">#REF!</definedName>
    <definedName name="YEAR" localSheetId="64">#REF!</definedName>
    <definedName name="YEAR" localSheetId="66">#REF!</definedName>
    <definedName name="YEAR" localSheetId="67">#REF!</definedName>
    <definedName name="YEAR" localSheetId="68">#REF!</definedName>
    <definedName name="YEAR" localSheetId="74">#REF!</definedName>
    <definedName name="YEAR" localSheetId="75">#REF!</definedName>
    <definedName name="YEAR" localSheetId="76">#REF!</definedName>
    <definedName name="YEAR" localSheetId="77">#REF!</definedName>
    <definedName name="YEAR" localSheetId="78">#REF!</definedName>
    <definedName name="YEAR" localSheetId="79">#REF!</definedName>
    <definedName name="YEAR">#REF!</definedName>
    <definedName name="YEARLY">[6]TWELVE!$A$3:$Q$445</definedName>
    <definedName name="YTPI" localSheetId="13">#REF!</definedName>
    <definedName name="YTPI" localSheetId="14">#REF!</definedName>
    <definedName name="YTPI" localSheetId="7">#REF!</definedName>
    <definedName name="YTPI" localSheetId="9">#REF!</definedName>
    <definedName name="YTPI" localSheetId="10">#REF!</definedName>
    <definedName name="YTPI" localSheetId="11">#REF!</definedName>
    <definedName name="YTPI" localSheetId="12">#REF!</definedName>
    <definedName name="YTPI" localSheetId="43">#REF!</definedName>
    <definedName name="YTPI" localSheetId="44">#REF!</definedName>
    <definedName name="YTPI" localSheetId="45">#REF!</definedName>
    <definedName name="YTPI" localSheetId="46">#REF!</definedName>
    <definedName name="YTPI" localSheetId="47">#REF!</definedName>
    <definedName name="YTPI" localSheetId="48">#REF!</definedName>
    <definedName name="YTPI" localSheetId="50">#REF!</definedName>
    <definedName name="YTPI" localSheetId="51">#REF!</definedName>
    <definedName name="YTPI" localSheetId="52">#REF!</definedName>
    <definedName name="YTPI" localSheetId="53">#REF!</definedName>
    <definedName name="YTPI" localSheetId="54">#REF!</definedName>
    <definedName name="YTPI" localSheetId="37">#REF!</definedName>
    <definedName name="YTPI" localSheetId="38">#REF!</definedName>
    <definedName name="YTPI" localSheetId="34">#REF!</definedName>
    <definedName name="YTPI" localSheetId="35">#REF!</definedName>
    <definedName name="YTPI" localSheetId="36">#REF!</definedName>
    <definedName name="YTPI" localSheetId="39">#REF!</definedName>
    <definedName name="YTPI" localSheetId="40">#REF!</definedName>
    <definedName name="YTPI" localSheetId="69">#REF!</definedName>
    <definedName name="YTPI" localSheetId="70">#REF!</definedName>
    <definedName name="YTPI" localSheetId="71">#REF!</definedName>
    <definedName name="YTPI" localSheetId="72">#REF!</definedName>
    <definedName name="YTPI" localSheetId="60">#REF!</definedName>
    <definedName name="YTPI" localSheetId="61">#REF!</definedName>
    <definedName name="YTPI" localSheetId="62">#REF!</definedName>
    <definedName name="YTPI" localSheetId="63">#REF!</definedName>
    <definedName name="YTPI" localSheetId="64">#REF!</definedName>
    <definedName name="YTPI" localSheetId="66">#REF!</definedName>
    <definedName name="YTPI" localSheetId="67">#REF!</definedName>
    <definedName name="YTPI" localSheetId="68">#REF!</definedName>
    <definedName name="YTPI" localSheetId="74">#REF!</definedName>
    <definedName name="YTPI" localSheetId="75">#REF!</definedName>
    <definedName name="YTPI" localSheetId="76">#REF!</definedName>
    <definedName name="YTPI" localSheetId="77">#REF!</definedName>
    <definedName name="YTPI" localSheetId="78">#REF!</definedName>
    <definedName name="YTPI" localSheetId="79">#REF!</definedName>
    <definedName name="YTPI">#REF!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 i="100" l="1"/>
  <c r="E11" i="100"/>
  <c r="G11" i="100" s="1"/>
  <c r="E10" i="100"/>
  <c r="G10" i="100" s="1"/>
  <c r="E9" i="100"/>
  <c r="G9" i="100" s="1"/>
  <c r="E8" i="100"/>
  <c r="G8" i="100" s="1"/>
  <c r="E7" i="100"/>
  <c r="G7" i="100" s="1"/>
  <c r="L29" i="99"/>
  <c r="M29" i="99" s="1"/>
  <c r="F29" i="99"/>
  <c r="I29" i="99" s="1"/>
  <c r="J29" i="99" s="1"/>
  <c r="F25" i="99"/>
  <c r="I25" i="99" s="1"/>
  <c r="F24" i="99"/>
  <c r="I24" i="99" s="1"/>
  <c r="R22" i="99"/>
  <c r="S22" i="99" s="1"/>
  <c r="S21" i="99"/>
  <c r="R21" i="99"/>
  <c r="O20" i="99"/>
  <c r="P20" i="99" s="1"/>
  <c r="O19" i="99"/>
  <c r="P19" i="99" s="1"/>
  <c r="L18" i="99"/>
  <c r="M18" i="99" s="1"/>
  <c r="L17" i="99"/>
  <c r="M17" i="99" s="1"/>
  <c r="I16" i="99"/>
  <c r="J16" i="99" s="1"/>
  <c r="F15" i="99"/>
  <c r="G15" i="99" s="1"/>
  <c r="R13" i="99"/>
  <c r="S13" i="99" s="1"/>
  <c r="O12" i="99"/>
  <c r="P12" i="99" s="1"/>
  <c r="L11" i="99"/>
  <c r="M11" i="99" s="1"/>
  <c r="I10" i="99"/>
  <c r="J10" i="99" s="1"/>
  <c r="S57" i="98"/>
  <c r="R57" i="98"/>
  <c r="P57" i="98"/>
  <c r="O57" i="98"/>
  <c r="L57" i="98"/>
  <c r="K57" i="98"/>
  <c r="M57" i="98" s="1"/>
  <c r="J57" i="98"/>
  <c r="I57" i="98"/>
  <c r="H57" i="98"/>
  <c r="F57" i="98"/>
  <c r="G57" i="98" s="1"/>
  <c r="M56" i="98"/>
  <c r="S55" i="98"/>
  <c r="R55" i="98"/>
  <c r="M55" i="98"/>
  <c r="L55" i="98"/>
  <c r="F55" i="98"/>
  <c r="I55" i="98" s="1"/>
  <c r="J55" i="98" s="1"/>
  <c r="R51" i="98"/>
  <c r="S51" i="98" s="1"/>
  <c r="O51" i="98"/>
  <c r="P51" i="98" s="1"/>
  <c r="L51" i="98"/>
  <c r="M51" i="98" s="1"/>
  <c r="R50" i="98"/>
  <c r="S50" i="98" s="1"/>
  <c r="O49" i="98"/>
  <c r="P49" i="98" s="1"/>
  <c r="L48" i="98"/>
  <c r="M48" i="98" s="1"/>
  <c r="I47" i="98"/>
  <c r="J47" i="98" s="1"/>
  <c r="R45" i="98"/>
  <c r="S45" i="98" s="1"/>
  <c r="O45" i="98"/>
  <c r="P45" i="98" s="1"/>
  <c r="R44" i="98"/>
  <c r="S44" i="98" s="1"/>
  <c r="L44" i="98"/>
  <c r="O44" i="98" s="1"/>
  <c r="P44" i="98" s="1"/>
  <c r="I43" i="98"/>
  <c r="F42" i="98"/>
  <c r="G42" i="98" s="1"/>
  <c r="F40" i="98"/>
  <c r="G40" i="98" s="1"/>
  <c r="R39" i="98"/>
  <c r="S39" i="98" s="1"/>
  <c r="F39" i="98"/>
  <c r="L39" i="98" s="1"/>
  <c r="M39" i="98" s="1"/>
  <c r="R38" i="98"/>
  <c r="S38" i="98" s="1"/>
  <c r="F38" i="98"/>
  <c r="R37" i="98"/>
  <c r="S37" i="98" s="1"/>
  <c r="F37" i="98"/>
  <c r="G37" i="98" s="1"/>
  <c r="R36" i="98"/>
  <c r="S36" i="98" s="1"/>
  <c r="F36" i="98"/>
  <c r="L36" i="98" s="1"/>
  <c r="M36" i="98" s="1"/>
  <c r="R34" i="98"/>
  <c r="S34" i="98" s="1"/>
  <c r="F34" i="98"/>
  <c r="R33" i="98"/>
  <c r="S33" i="98" s="1"/>
  <c r="F33" i="98"/>
  <c r="I33" i="98" s="1"/>
  <c r="O33" i="98" s="1"/>
  <c r="P33" i="98" s="1"/>
  <c r="R32" i="98"/>
  <c r="S32" i="98" s="1"/>
  <c r="I32" i="98"/>
  <c r="G32" i="98"/>
  <c r="F32" i="98"/>
  <c r="L32" i="98" s="1"/>
  <c r="M32" i="98" s="1"/>
  <c r="R31" i="98"/>
  <c r="S31" i="98" s="1"/>
  <c r="F31" i="98"/>
  <c r="R30" i="98"/>
  <c r="S30" i="98" s="1"/>
  <c r="F30" i="98"/>
  <c r="I30" i="98" s="1"/>
  <c r="O30" i="98" s="1"/>
  <c r="P30" i="98" s="1"/>
  <c r="R29" i="98"/>
  <c r="S29" i="98" s="1"/>
  <c r="F29" i="98"/>
  <c r="L29" i="98" s="1"/>
  <c r="M29" i="98" s="1"/>
  <c r="R27" i="98"/>
  <c r="S27" i="98" s="1"/>
  <c r="F27" i="98"/>
  <c r="R26" i="98"/>
  <c r="S26" i="98" s="1"/>
  <c r="F26" i="98"/>
  <c r="I26" i="98" s="1"/>
  <c r="O26" i="98" s="1"/>
  <c r="P26" i="98" s="1"/>
  <c r="R25" i="98"/>
  <c r="S25" i="98" s="1"/>
  <c r="I25" i="98"/>
  <c r="O25" i="98" s="1"/>
  <c r="P25" i="98" s="1"/>
  <c r="G25" i="98"/>
  <c r="F25" i="98"/>
  <c r="L25" i="98" s="1"/>
  <c r="M25" i="98" s="1"/>
  <c r="R24" i="98"/>
  <c r="Q24" i="98"/>
  <c r="N24" i="98"/>
  <c r="K24" i="98"/>
  <c r="H24" i="98"/>
  <c r="F24" i="98"/>
  <c r="L24" i="98" s="1"/>
  <c r="E24" i="98"/>
  <c r="G24" i="98" s="1"/>
  <c r="R23" i="98"/>
  <c r="S23" i="98" s="1"/>
  <c r="Q23" i="98"/>
  <c r="O23" i="98"/>
  <c r="P23" i="98" s="1"/>
  <c r="N23" i="98"/>
  <c r="R22" i="98"/>
  <c r="S22" i="98" s="1"/>
  <c r="O22" i="98"/>
  <c r="P22" i="98" s="1"/>
  <c r="L22" i="98"/>
  <c r="M22" i="98" s="1"/>
  <c r="I22" i="98"/>
  <c r="J22" i="98" s="1"/>
  <c r="R21" i="98"/>
  <c r="S21" i="98" s="1"/>
  <c r="F21" i="98"/>
  <c r="R20" i="98"/>
  <c r="S20" i="98" s="1"/>
  <c r="L20" i="98"/>
  <c r="M20" i="98" s="1"/>
  <c r="I20" i="98"/>
  <c r="O20" i="98" s="1"/>
  <c r="P20" i="98" s="1"/>
  <c r="F20" i="98"/>
  <c r="G20" i="98" s="1"/>
  <c r="R19" i="98"/>
  <c r="S19" i="98" s="1"/>
  <c r="F19" i="98"/>
  <c r="L19" i="98" s="1"/>
  <c r="M19" i="98" s="1"/>
  <c r="R18" i="98"/>
  <c r="S18" i="98" s="1"/>
  <c r="F18" i="98"/>
  <c r="L18" i="98" s="1"/>
  <c r="M18" i="98" s="1"/>
  <c r="R17" i="98"/>
  <c r="S17" i="98" s="1"/>
  <c r="F17" i="98"/>
  <c r="L17" i="98" s="1"/>
  <c r="M17" i="98" s="1"/>
  <c r="R16" i="98"/>
  <c r="S16" i="98" s="1"/>
  <c r="F16" i="98"/>
  <c r="L16" i="98" s="1"/>
  <c r="M16" i="98" s="1"/>
  <c r="R15" i="98"/>
  <c r="S15" i="98" s="1"/>
  <c r="F15" i="98"/>
  <c r="L15" i="98" s="1"/>
  <c r="M15" i="98" s="1"/>
  <c r="R14" i="98"/>
  <c r="S14" i="98" s="1"/>
  <c r="F14" i="98"/>
  <c r="O14" i="98" s="1"/>
  <c r="P14" i="98" s="1"/>
  <c r="R13" i="98"/>
  <c r="S13" i="98" s="1"/>
  <c r="F13" i="98"/>
  <c r="L13" i="98" s="1"/>
  <c r="M13" i="98" s="1"/>
  <c r="R12" i="98"/>
  <c r="S12" i="98" s="1"/>
  <c r="F12" i="98"/>
  <c r="R11" i="98"/>
  <c r="S11" i="98" s="1"/>
  <c r="F11" i="98"/>
  <c r="L11" i="98" s="1"/>
  <c r="M11" i="98" s="1"/>
  <c r="R10" i="98"/>
  <c r="S10" i="98" s="1"/>
  <c r="K10" i="98"/>
  <c r="N10" i="98" s="1"/>
  <c r="H10" i="98"/>
  <c r="F10" i="98"/>
  <c r="G10" i="98" s="1"/>
  <c r="I10" i="98" l="1"/>
  <c r="L10" i="98" s="1"/>
  <c r="M10" i="98" s="1"/>
  <c r="G17" i="98"/>
  <c r="G19" i="98"/>
  <c r="J26" i="98"/>
  <c r="L37" i="98"/>
  <c r="M37" i="98" s="1"/>
  <c r="M44" i="98"/>
  <c r="I17" i="98"/>
  <c r="O17" i="98" s="1"/>
  <c r="P17" i="98" s="1"/>
  <c r="L26" i="98"/>
  <c r="M26" i="98" s="1"/>
  <c r="G36" i="98"/>
  <c r="G11" i="98"/>
  <c r="I14" i="98"/>
  <c r="J14" i="98" s="1"/>
  <c r="J20" i="98"/>
  <c r="J30" i="98"/>
  <c r="I36" i="98"/>
  <c r="J36" i="98" s="1"/>
  <c r="I39" i="98"/>
  <c r="O39" i="98" s="1"/>
  <c r="P39" i="98" s="1"/>
  <c r="L33" i="98"/>
  <c r="M33" i="98" s="1"/>
  <c r="G39" i="98"/>
  <c r="L30" i="98"/>
  <c r="M30" i="98" s="1"/>
  <c r="G29" i="98"/>
  <c r="G14" i="98"/>
  <c r="I11" i="98"/>
  <c r="O11" i="98" s="1"/>
  <c r="P11" i="98" s="1"/>
  <c r="I24" i="98"/>
  <c r="O24" i="98" s="1"/>
  <c r="P24" i="98" s="1"/>
  <c r="L14" i="98"/>
  <c r="M14" i="98" s="1"/>
  <c r="J25" i="98"/>
  <c r="I29" i="98"/>
  <c r="J29" i="98" s="1"/>
  <c r="I37" i="98"/>
  <c r="G12" i="100"/>
  <c r="J24" i="99"/>
  <c r="L24" i="99"/>
  <c r="L25" i="99"/>
  <c r="J25" i="99"/>
  <c r="G25" i="99"/>
  <c r="O29" i="99"/>
  <c r="G29" i="99"/>
  <c r="G24" i="99"/>
  <c r="I12" i="98"/>
  <c r="G12" i="98"/>
  <c r="L12" i="98"/>
  <c r="M12" i="98" s="1"/>
  <c r="G13" i="98"/>
  <c r="S24" i="98"/>
  <c r="L27" i="98"/>
  <c r="M27" i="98" s="1"/>
  <c r="I27" i="98"/>
  <c r="G27" i="98"/>
  <c r="J33" i="98"/>
  <c r="O10" i="98"/>
  <c r="P10" i="98" s="1"/>
  <c r="J11" i="98"/>
  <c r="I13" i="98"/>
  <c r="G16" i="98"/>
  <c r="I18" i="98"/>
  <c r="G18" i="98"/>
  <c r="M24" i="98"/>
  <c r="L38" i="98"/>
  <c r="M38" i="98" s="1"/>
  <c r="G38" i="98"/>
  <c r="I38" i="98"/>
  <c r="J39" i="98"/>
  <c r="L43" i="98"/>
  <c r="M43" i="98" s="1"/>
  <c r="J43" i="98"/>
  <c r="I15" i="98"/>
  <c r="G15" i="98"/>
  <c r="I21" i="98"/>
  <c r="G21" i="98"/>
  <c r="L34" i="98"/>
  <c r="M34" i="98" s="1"/>
  <c r="I34" i="98"/>
  <c r="G34" i="98"/>
  <c r="J10" i="98"/>
  <c r="I16" i="98"/>
  <c r="L31" i="98"/>
  <c r="M31" i="98" s="1"/>
  <c r="G31" i="98"/>
  <c r="I31" i="98"/>
  <c r="O32" i="98"/>
  <c r="P32" i="98" s="1"/>
  <c r="J32" i="98"/>
  <c r="S52" i="98"/>
  <c r="J17" i="98"/>
  <c r="I19" i="98"/>
  <c r="L21" i="98"/>
  <c r="M21" i="98" s="1"/>
  <c r="O55" i="98"/>
  <c r="P55" i="98" s="1"/>
  <c r="G55" i="98"/>
  <c r="G26" i="98"/>
  <c r="G30" i="98"/>
  <c r="G33" i="98"/>
  <c r="G36" i="97"/>
  <c r="F36" i="97"/>
  <c r="F32" i="97"/>
  <c r="G32" i="97" s="1"/>
  <c r="F31" i="97"/>
  <c r="G31" i="97" s="1"/>
  <c r="G30" i="97"/>
  <c r="F30" i="97"/>
  <c r="E30" i="97"/>
  <c r="E29" i="97"/>
  <c r="F28" i="97"/>
  <c r="G28" i="97" s="1"/>
  <c r="F27" i="97"/>
  <c r="G27" i="97" s="1"/>
  <c r="F26" i="97"/>
  <c r="G26" i="97" s="1"/>
  <c r="F25" i="97"/>
  <c r="G25" i="97" s="1"/>
  <c r="F24" i="97"/>
  <c r="G24" i="97" s="1"/>
  <c r="F23" i="97"/>
  <c r="G23" i="97" s="1"/>
  <c r="F22" i="97"/>
  <c r="G22" i="97" s="1"/>
  <c r="F20" i="97"/>
  <c r="G20" i="97" s="1"/>
  <c r="F19" i="97"/>
  <c r="G19" i="97" s="1"/>
  <c r="F17" i="97"/>
  <c r="G17" i="97" s="1"/>
  <c r="F16" i="97"/>
  <c r="G16" i="97" s="1"/>
  <c r="F15" i="97"/>
  <c r="G15" i="97" s="1"/>
  <c r="F14" i="97"/>
  <c r="G14" i="97" s="1"/>
  <c r="F13" i="97"/>
  <c r="G13" i="97" s="1"/>
  <c r="F12" i="97"/>
  <c r="G12" i="97" s="1"/>
  <c r="F11" i="97"/>
  <c r="G11" i="97" s="1"/>
  <c r="F10" i="97"/>
  <c r="G10" i="97" s="1"/>
  <c r="F9" i="97"/>
  <c r="G9" i="97" s="1"/>
  <c r="F8" i="97"/>
  <c r="G8" i="97" s="1"/>
  <c r="F7" i="97"/>
  <c r="G7" i="97" s="1"/>
  <c r="F37" i="96"/>
  <c r="G37" i="96" s="1"/>
  <c r="F33" i="96"/>
  <c r="G33" i="96" s="1"/>
  <c r="F32" i="96"/>
  <c r="G32" i="96" s="1"/>
  <c r="F31" i="96"/>
  <c r="G31" i="96" s="1"/>
  <c r="F30" i="96"/>
  <c r="G30" i="96" s="1"/>
  <c r="E30" i="96"/>
  <c r="E29" i="96"/>
  <c r="F28" i="96"/>
  <c r="G28" i="96" s="1"/>
  <c r="F27" i="96"/>
  <c r="G27" i="96" s="1"/>
  <c r="F26" i="96"/>
  <c r="G26" i="96" s="1"/>
  <c r="F25" i="96"/>
  <c r="G25" i="96" s="1"/>
  <c r="F24" i="96"/>
  <c r="G24" i="96" s="1"/>
  <c r="F23" i="96"/>
  <c r="G23" i="96" s="1"/>
  <c r="F22" i="96"/>
  <c r="G22" i="96" s="1"/>
  <c r="F20" i="96"/>
  <c r="G20" i="96" s="1"/>
  <c r="F19" i="96"/>
  <c r="G19" i="96" s="1"/>
  <c r="F17" i="96"/>
  <c r="G17" i="96" s="1"/>
  <c r="F16" i="96"/>
  <c r="G16" i="96" s="1"/>
  <c r="F15" i="96"/>
  <c r="G15" i="96" s="1"/>
  <c r="F14" i="96"/>
  <c r="G14" i="96" s="1"/>
  <c r="F13" i="96"/>
  <c r="G13" i="96" s="1"/>
  <c r="F12" i="96"/>
  <c r="G12" i="96" s="1"/>
  <c r="F11" i="96"/>
  <c r="G11" i="96" s="1"/>
  <c r="F10" i="96"/>
  <c r="G10" i="96" s="1"/>
  <c r="F9" i="96"/>
  <c r="G9" i="96" s="1"/>
  <c r="F8" i="96"/>
  <c r="G8" i="96" s="1"/>
  <c r="A8" i="96"/>
  <c r="A9" i="96" s="1"/>
  <c r="A10" i="96" s="1"/>
  <c r="A11" i="96" s="1"/>
  <c r="F7" i="96"/>
  <c r="G7" i="96" s="1"/>
  <c r="E23" i="95"/>
  <c r="I23" i="95" s="1"/>
  <c r="E22" i="95"/>
  <c r="I22" i="95" s="1"/>
  <c r="E21" i="95"/>
  <c r="G21" i="95" s="1"/>
  <c r="E20" i="95"/>
  <c r="M20" i="95" s="1"/>
  <c r="E19" i="95"/>
  <c r="I19" i="95" s="1"/>
  <c r="E18" i="95"/>
  <c r="G18" i="95" s="1"/>
  <c r="E17" i="95"/>
  <c r="K17" i="95" s="1"/>
  <c r="E16" i="95"/>
  <c r="I16" i="95" s="1"/>
  <c r="E14" i="95"/>
  <c r="G14" i="95" s="1"/>
  <c r="E13" i="95"/>
  <c r="G13" i="95" s="1"/>
  <c r="E12" i="95"/>
  <c r="M12" i="95" s="1"/>
  <c r="E11" i="95"/>
  <c r="M11" i="95" s="1"/>
  <c r="E10" i="95"/>
  <c r="M10" i="95" s="1"/>
  <c r="E9" i="95"/>
  <c r="K9" i="95" s="1"/>
  <c r="E8" i="95"/>
  <c r="G8" i="95" s="1"/>
  <c r="F34" i="94"/>
  <c r="G34" i="94" s="1"/>
  <c r="F30" i="94"/>
  <c r="E30" i="94"/>
  <c r="E29" i="94"/>
  <c r="F28" i="94"/>
  <c r="G28" i="94" s="1"/>
  <c r="F27" i="94"/>
  <c r="G27" i="94" s="1"/>
  <c r="F26" i="94"/>
  <c r="G26" i="94" s="1"/>
  <c r="F25" i="94"/>
  <c r="G25" i="94" s="1"/>
  <c r="F24" i="94"/>
  <c r="G24" i="94" s="1"/>
  <c r="F23" i="94"/>
  <c r="G23" i="94" s="1"/>
  <c r="F22" i="94"/>
  <c r="G22" i="94" s="1"/>
  <c r="F20" i="94"/>
  <c r="G20" i="94" s="1"/>
  <c r="F19" i="94"/>
  <c r="G19" i="94" s="1"/>
  <c r="F17" i="94"/>
  <c r="G17" i="94" s="1"/>
  <c r="F16" i="94"/>
  <c r="G16" i="94" s="1"/>
  <c r="F15" i="94"/>
  <c r="G15" i="94" s="1"/>
  <c r="F14" i="94"/>
  <c r="G14" i="94" s="1"/>
  <c r="F13" i="94"/>
  <c r="G13" i="94" s="1"/>
  <c r="F12" i="94"/>
  <c r="G12" i="94" s="1"/>
  <c r="F11" i="94"/>
  <c r="G11" i="94" s="1"/>
  <c r="F10" i="94"/>
  <c r="G10" i="94" s="1"/>
  <c r="F9" i="94"/>
  <c r="G9" i="94" s="1"/>
  <c r="F8" i="94"/>
  <c r="G8" i="94" s="1"/>
  <c r="A8" i="94"/>
  <c r="A9" i="94" s="1"/>
  <c r="A10" i="94" s="1"/>
  <c r="A11" i="94" s="1"/>
  <c r="F7" i="94"/>
  <c r="G7" i="94" s="1"/>
  <c r="I38" i="93"/>
  <c r="K38" i="93" s="1"/>
  <c r="J37" i="93"/>
  <c r="K37" i="93" s="1"/>
  <c r="H37" i="93"/>
  <c r="I37" i="93" s="1"/>
  <c r="F37" i="93"/>
  <c r="G37" i="93" s="1"/>
  <c r="E37" i="93"/>
  <c r="E33" i="93"/>
  <c r="G33" i="93" s="1"/>
  <c r="E32" i="93"/>
  <c r="G32" i="93" s="1"/>
  <c r="E31" i="93"/>
  <c r="I31" i="93" s="1"/>
  <c r="E30" i="93"/>
  <c r="G30" i="93" s="1"/>
  <c r="E29" i="93"/>
  <c r="G29" i="93" s="1"/>
  <c r="E28" i="93"/>
  <c r="K28" i="93" s="1"/>
  <c r="E27" i="93"/>
  <c r="G27" i="93" s="1"/>
  <c r="E25" i="93"/>
  <c r="G25" i="93" s="1"/>
  <c r="E24" i="93"/>
  <c r="K24" i="93" s="1"/>
  <c r="J23" i="93"/>
  <c r="H23" i="93"/>
  <c r="F23" i="93"/>
  <c r="E23" i="93"/>
  <c r="I23" i="93" s="1"/>
  <c r="E22" i="93"/>
  <c r="I22" i="93" s="1"/>
  <c r="E21" i="93"/>
  <c r="I21" i="93" s="1"/>
  <c r="E20" i="93"/>
  <c r="G20" i="93" s="1"/>
  <c r="E19" i="93"/>
  <c r="I19" i="93" s="1"/>
  <c r="E18" i="93"/>
  <c r="K18" i="93" s="1"/>
  <c r="E17" i="93"/>
  <c r="I17" i="93" s="1"/>
  <c r="E16" i="93"/>
  <c r="G16" i="93" s="1"/>
  <c r="E14" i="93"/>
  <c r="K14" i="93" s="1"/>
  <c r="E13" i="93"/>
  <c r="G13" i="93" s="1"/>
  <c r="E12" i="93"/>
  <c r="I12" i="93" s="1"/>
  <c r="E11" i="93"/>
  <c r="I11" i="93" s="1"/>
  <c r="E10" i="93"/>
  <c r="G10" i="93" s="1"/>
  <c r="E39" i="92"/>
  <c r="I39" i="92" s="1"/>
  <c r="E38" i="92"/>
  <c r="G38" i="92" s="1"/>
  <c r="E32" i="92"/>
  <c r="G32" i="92" s="1"/>
  <c r="E31" i="92"/>
  <c r="I31" i="92" s="1"/>
  <c r="E30" i="92"/>
  <c r="G30" i="92" s="1"/>
  <c r="E28" i="92"/>
  <c r="I28" i="92" s="1"/>
  <c r="E27" i="92"/>
  <c r="I27" i="92" s="1"/>
  <c r="E26" i="92"/>
  <c r="G26" i="92" s="1"/>
  <c r="E25" i="92"/>
  <c r="I25" i="92" s="1"/>
  <c r="E24" i="92"/>
  <c r="I24" i="92" s="1"/>
  <c r="E23" i="92"/>
  <c r="G23" i="92" s="1"/>
  <c r="E22" i="92"/>
  <c r="G22" i="92" s="1"/>
  <c r="E21" i="92"/>
  <c r="I21" i="92" s="1"/>
  <c r="E20" i="92"/>
  <c r="I20" i="92" s="1"/>
  <c r="E19" i="92"/>
  <c r="I19" i="92" s="1"/>
  <c r="E18" i="92"/>
  <c r="I18" i="92" s="1"/>
  <c r="E17" i="92"/>
  <c r="I17" i="92" s="1"/>
  <c r="E16" i="92"/>
  <c r="G16" i="92" s="1"/>
  <c r="E15" i="92"/>
  <c r="I15" i="92" s="1"/>
  <c r="E14" i="92"/>
  <c r="I14" i="92" s="1"/>
  <c r="E13" i="92"/>
  <c r="I13" i="92" s="1"/>
  <c r="E12" i="92"/>
  <c r="I12" i="92" s="1"/>
  <c r="E11" i="92"/>
  <c r="I11" i="92" s="1"/>
  <c r="E9" i="92"/>
  <c r="I9" i="92" s="1"/>
  <c r="E8" i="92"/>
  <c r="G8" i="92" s="1"/>
  <c r="O36" i="98" l="1"/>
  <c r="P36" i="98" s="1"/>
  <c r="O29" i="98"/>
  <c r="P29" i="98" s="1"/>
  <c r="G26" i="99"/>
  <c r="G27" i="99" s="1"/>
  <c r="O37" i="98"/>
  <c r="P37" i="98" s="1"/>
  <c r="J37" i="98"/>
  <c r="G52" i="98"/>
  <c r="G53" i="98" s="1"/>
  <c r="I30" i="93"/>
  <c r="M52" i="98"/>
  <c r="J26" i="99"/>
  <c r="J27" i="99" s="1"/>
  <c r="J24" i="98"/>
  <c r="G14" i="100"/>
  <c r="G13" i="100"/>
  <c r="R29" i="99"/>
  <c r="S29" i="99" s="1"/>
  <c r="P29" i="99"/>
  <c r="O25" i="99"/>
  <c r="M25" i="99"/>
  <c r="O24" i="99"/>
  <c r="M24" i="99"/>
  <c r="M54" i="98"/>
  <c r="M53" i="98"/>
  <c r="J31" i="98"/>
  <c r="O31" i="98"/>
  <c r="P31" i="98" s="1"/>
  <c r="J21" i="98"/>
  <c r="O21" i="98"/>
  <c r="P21" i="98" s="1"/>
  <c r="J19" i="98"/>
  <c r="O19" i="98"/>
  <c r="P19" i="98" s="1"/>
  <c r="J18" i="98"/>
  <c r="O18" i="98"/>
  <c r="P18" i="98" s="1"/>
  <c r="J38" i="98"/>
  <c r="O38" i="98"/>
  <c r="P38" i="98" s="1"/>
  <c r="S53" i="98"/>
  <c r="S54" i="98"/>
  <c r="J16" i="98"/>
  <c r="O16" i="98"/>
  <c r="P16" i="98" s="1"/>
  <c r="J34" i="98"/>
  <c r="O34" i="98"/>
  <c r="P34" i="98" s="1"/>
  <c r="J15" i="98"/>
  <c r="O15" i="98"/>
  <c r="P15" i="98" s="1"/>
  <c r="J13" i="98"/>
  <c r="O13" i="98"/>
  <c r="P13" i="98" s="1"/>
  <c r="J27" i="98"/>
  <c r="O27" i="98"/>
  <c r="P27" i="98" s="1"/>
  <c r="J12" i="98"/>
  <c r="O12" i="98"/>
  <c r="P12" i="98" s="1"/>
  <c r="I32" i="92"/>
  <c r="K19" i="93"/>
  <c r="G20" i="95"/>
  <c r="K20" i="95"/>
  <c r="I20" i="95"/>
  <c r="G14" i="92"/>
  <c r="I22" i="92"/>
  <c r="K13" i="95"/>
  <c r="M22" i="95"/>
  <c r="G20" i="92"/>
  <c r="G30" i="94"/>
  <c r="G31" i="94" s="1"/>
  <c r="M23" i="95"/>
  <c r="I16" i="92"/>
  <c r="K21" i="93"/>
  <c r="I13" i="95"/>
  <c r="M14" i="95"/>
  <c r="K22" i="95"/>
  <c r="K22" i="93"/>
  <c r="I33" i="93"/>
  <c r="M13" i="95"/>
  <c r="K16" i="95"/>
  <c r="I21" i="95"/>
  <c r="G12" i="92"/>
  <c r="I30" i="92"/>
  <c r="I13" i="93"/>
  <c r="G18" i="93"/>
  <c r="K33" i="93"/>
  <c r="M16" i="95"/>
  <c r="K21" i="95"/>
  <c r="G18" i="92"/>
  <c r="I10" i="93"/>
  <c r="K13" i="93"/>
  <c r="I18" i="93"/>
  <c r="G21" i="93"/>
  <c r="I27" i="93"/>
  <c r="K30" i="93"/>
  <c r="I14" i="95"/>
  <c r="M21" i="95"/>
  <c r="K10" i="93"/>
  <c r="K27" i="93"/>
  <c r="K14" i="95"/>
  <c r="M17" i="95"/>
  <c r="G33" i="97"/>
  <c r="G34" i="96"/>
  <c r="G12" i="95"/>
  <c r="G11" i="95"/>
  <c r="I12" i="95"/>
  <c r="I9" i="95"/>
  <c r="I11" i="95"/>
  <c r="K12" i="95"/>
  <c r="G17" i="95"/>
  <c r="I18" i="95"/>
  <c r="K19" i="95"/>
  <c r="K11" i="95"/>
  <c r="G16" i="95"/>
  <c r="I17" i="95"/>
  <c r="K18" i="95"/>
  <c r="M19" i="95"/>
  <c r="G22" i="95"/>
  <c r="M18" i="95"/>
  <c r="K23" i="95"/>
  <c r="G19" i="95"/>
  <c r="G23" i="95"/>
  <c r="K23" i="93"/>
  <c r="I25" i="93"/>
  <c r="I29" i="93"/>
  <c r="I32" i="93"/>
  <c r="G11" i="93"/>
  <c r="K12" i="93"/>
  <c r="G14" i="93"/>
  <c r="G17" i="93"/>
  <c r="I20" i="93"/>
  <c r="G23" i="93"/>
  <c r="G24" i="93"/>
  <c r="K25" i="93"/>
  <c r="G28" i="93"/>
  <c r="K29" i="93"/>
  <c r="G31" i="93"/>
  <c r="K32" i="93"/>
  <c r="I14" i="93"/>
  <c r="G19" i="93"/>
  <c r="K20" i="93"/>
  <c r="G22" i="93"/>
  <c r="I24" i="93"/>
  <c r="I28" i="93"/>
  <c r="K11" i="93"/>
  <c r="K31" i="93"/>
  <c r="G12" i="93"/>
  <c r="I38" i="92"/>
  <c r="G25" i="92"/>
  <c r="G39" i="92"/>
  <c r="G28" i="92"/>
  <c r="G31" i="92"/>
  <c r="G11" i="92"/>
  <c r="G13" i="92"/>
  <c r="G15" i="92"/>
  <c r="G17" i="92"/>
  <c r="G19" i="92"/>
  <c r="G21" i="92"/>
  <c r="J28" i="99" l="1"/>
  <c r="P52" i="98"/>
  <c r="P54" i="98" s="1"/>
  <c r="G54" i="98"/>
  <c r="G28" i="99"/>
  <c r="J52" i="98"/>
  <c r="J53" i="98" s="1"/>
  <c r="G16" i="100"/>
  <c r="G17" i="100" s="1"/>
  <c r="G18" i="100"/>
  <c r="R24" i="99"/>
  <c r="S24" i="99" s="1"/>
  <c r="P24" i="99"/>
  <c r="J31" i="99"/>
  <c r="J32" i="99" s="1"/>
  <c r="J33" i="99"/>
  <c r="R25" i="99"/>
  <c r="S25" i="99" s="1"/>
  <c r="P25" i="99"/>
  <c r="G31" i="99"/>
  <c r="M26" i="99"/>
  <c r="P53" i="98"/>
  <c r="M58" i="98"/>
  <c r="M59" i="98" s="1"/>
  <c r="M60" i="98"/>
  <c r="S58" i="98"/>
  <c r="S59" i="98" s="1"/>
  <c r="S60" i="98" s="1"/>
  <c r="G58" i="98"/>
  <c r="G59" i="98" s="1"/>
  <c r="G34" i="93"/>
  <c r="G35" i="93" s="1"/>
  <c r="I33" i="92"/>
  <c r="I34" i="92" s="1"/>
  <c r="M24" i="95"/>
  <c r="M26" i="95" s="1"/>
  <c r="G24" i="95"/>
  <c r="G25" i="95" s="1"/>
  <c r="K34" i="93"/>
  <c r="K35" i="93" s="1"/>
  <c r="G33" i="92"/>
  <c r="G34" i="92" s="1"/>
  <c r="K24" i="95"/>
  <c r="K25" i="95" s="1"/>
  <c r="I34" i="93"/>
  <c r="I36" i="93" s="1"/>
  <c r="G34" i="97"/>
  <c r="G35" i="97"/>
  <c r="G35" i="96"/>
  <c r="G36" i="96"/>
  <c r="K26" i="95"/>
  <c r="I24" i="95"/>
  <c r="G33" i="94"/>
  <c r="G32" i="94"/>
  <c r="G36" i="93"/>
  <c r="J54" i="98" l="1"/>
  <c r="M25" i="95"/>
  <c r="M28" i="95" s="1"/>
  <c r="M29" i="95" s="1"/>
  <c r="I35" i="92"/>
  <c r="G26" i="95"/>
  <c r="S26" i="99"/>
  <c r="S27" i="99" s="1"/>
  <c r="G20" i="100"/>
  <c r="G19" i="100"/>
  <c r="G21" i="100" s="1"/>
  <c r="G22" i="100" s="1"/>
  <c r="G32" i="99"/>
  <c r="G33" i="99" s="1"/>
  <c r="M27" i="99"/>
  <c r="M28" i="99"/>
  <c r="J34" i="99"/>
  <c r="J36" i="99" s="1"/>
  <c r="J37" i="99" s="1"/>
  <c r="J35" i="99"/>
  <c r="P26" i="99"/>
  <c r="S61" i="98"/>
  <c r="S62" i="98"/>
  <c r="M62" i="98"/>
  <c r="M61" i="98"/>
  <c r="J58" i="98"/>
  <c r="G60" i="98"/>
  <c r="P58" i="98"/>
  <c r="P59" i="98" s="1"/>
  <c r="P60" i="98" s="1"/>
  <c r="K36" i="93"/>
  <c r="I35" i="93"/>
  <c r="I39" i="93" s="1"/>
  <c r="I40" i="93" s="1"/>
  <c r="G35" i="92"/>
  <c r="G38" i="97"/>
  <c r="G39" i="97" s="1"/>
  <c r="G39" i="96"/>
  <c r="G40" i="96" s="1"/>
  <c r="I26" i="95"/>
  <c r="I25" i="95"/>
  <c r="G28" i="95"/>
  <c r="G29" i="95" s="1"/>
  <c r="K28" i="95"/>
  <c r="G36" i="94"/>
  <c r="G37" i="94" s="1"/>
  <c r="G39" i="93"/>
  <c r="G40" i="93" s="1"/>
  <c r="K39" i="93"/>
  <c r="K40" i="93" s="1"/>
  <c r="I37" i="92"/>
  <c r="I40" i="92" s="1"/>
  <c r="G37" i="92"/>
  <c r="J59" i="98" l="1"/>
  <c r="S63" i="98"/>
  <c r="S64" i="98" s="1"/>
  <c r="S28" i="99"/>
  <c r="M63" i="98"/>
  <c r="M64" i="98" s="1"/>
  <c r="G34" i="99"/>
  <c r="G36" i="99" s="1"/>
  <c r="G37" i="99" s="1"/>
  <c r="G35" i="99"/>
  <c r="S31" i="99"/>
  <c r="P28" i="99"/>
  <c r="P27" i="99"/>
  <c r="M31" i="99"/>
  <c r="M32" i="99" s="1"/>
  <c r="P62" i="98"/>
  <c r="P61" i="98"/>
  <c r="G61" i="98"/>
  <c r="G62" i="98"/>
  <c r="G63" i="98" s="1"/>
  <c r="G64" i="98" s="1"/>
  <c r="J60" i="98"/>
  <c r="G38" i="94"/>
  <c r="G40" i="94" s="1"/>
  <c r="M30" i="95"/>
  <c r="M32" i="95" s="1"/>
  <c r="G41" i="96"/>
  <c r="G43" i="96" s="1"/>
  <c r="G40" i="92"/>
  <c r="G41" i="92"/>
  <c r="G42" i="92" s="1"/>
  <c r="G41" i="93"/>
  <c r="G43" i="93" s="1"/>
  <c r="G40" i="97"/>
  <c r="M31" i="95"/>
  <c r="K29" i="95"/>
  <c r="K30" i="95" s="1"/>
  <c r="G30" i="95"/>
  <c r="I28" i="95"/>
  <c r="I29" i="95" s="1"/>
  <c r="I41" i="93"/>
  <c r="K41" i="93"/>
  <c r="I41" i="92"/>
  <c r="M33" i="95" l="1"/>
  <c r="M34" i="95" s="1"/>
  <c r="G39" i="94"/>
  <c r="G41" i="94" s="1"/>
  <c r="G42" i="94" s="1"/>
  <c r="P63" i="98"/>
  <c r="P64" i="98" s="1"/>
  <c r="M33" i="99"/>
  <c r="S32" i="99"/>
  <c r="S33" i="99" s="1"/>
  <c r="P31" i="99"/>
  <c r="P32" i="99" s="1"/>
  <c r="P33" i="99"/>
  <c r="J61" i="98"/>
  <c r="J62" i="98"/>
  <c r="G42" i="93"/>
  <c r="G44" i="93" s="1"/>
  <c r="G45" i="93" s="1"/>
  <c r="G42" i="96"/>
  <c r="G44" i="96" s="1"/>
  <c r="G45" i="96" s="1"/>
  <c r="G43" i="92"/>
  <c r="G44" i="92" s="1"/>
  <c r="G45" i="92" s="1"/>
  <c r="G42" i="97"/>
  <c r="G41" i="97"/>
  <c r="K32" i="95"/>
  <c r="K31" i="95"/>
  <c r="I30" i="95"/>
  <c r="G31" i="95"/>
  <c r="G32" i="95"/>
  <c r="K42" i="93"/>
  <c r="K43" i="93"/>
  <c r="I42" i="93"/>
  <c r="I43" i="93"/>
  <c r="I42" i="92"/>
  <c r="I43" i="92"/>
  <c r="I44" i="92" s="1"/>
  <c r="I45" i="92" s="1"/>
  <c r="J63" i="98" l="1"/>
  <c r="J64" i="98" s="1"/>
  <c r="S35" i="99"/>
  <c r="S34" i="99"/>
  <c r="P34" i="99"/>
  <c r="P35" i="99"/>
  <c r="P36" i="99" s="1"/>
  <c r="P37" i="99" s="1"/>
  <c r="M34" i="99"/>
  <c r="M36" i="99" s="1"/>
  <c r="M37" i="99" s="1"/>
  <c r="M35" i="99"/>
  <c r="G43" i="97"/>
  <c r="G44" i="97" s="1"/>
  <c r="I44" i="93"/>
  <c r="I45" i="93" s="1"/>
  <c r="K44" i="93"/>
  <c r="K45" i="93" s="1"/>
  <c r="G33" i="95"/>
  <c r="G34" i="95" s="1"/>
  <c r="K33" i="95"/>
  <c r="K34" i="95" s="1"/>
  <c r="I31" i="95"/>
  <c r="I32" i="95"/>
  <c r="S36" i="99" l="1"/>
  <c r="S37" i="99" s="1"/>
  <c r="I33" i="95"/>
  <c r="I34" i="95" s="1"/>
  <c r="R59" i="62"/>
  <c r="F59" i="62"/>
  <c r="R59" i="61"/>
  <c r="F59" i="61"/>
  <c r="R63" i="59"/>
  <c r="F63" i="59"/>
  <c r="R61" i="58"/>
  <c r="F61" i="58"/>
  <c r="H106" i="33" l="1"/>
  <c r="E48" i="91" l="1"/>
  <c r="G48" i="91" s="1"/>
  <c r="E44" i="91"/>
  <c r="G44" i="91" s="1"/>
  <c r="E43" i="91"/>
  <c r="G43" i="91" s="1"/>
  <c r="F42" i="91"/>
  <c r="E42" i="91"/>
  <c r="G42" i="91" s="1"/>
  <c r="F41" i="91"/>
  <c r="E40" i="91"/>
  <c r="G40" i="91" s="1"/>
  <c r="E39" i="91"/>
  <c r="G39" i="91" s="1"/>
  <c r="E38" i="91"/>
  <c r="G38" i="91" s="1"/>
  <c r="E37" i="91"/>
  <c r="G37" i="91" s="1"/>
  <c r="E36" i="91"/>
  <c r="G36" i="91" s="1"/>
  <c r="E35" i="91"/>
  <c r="G35" i="91" s="1"/>
  <c r="E33" i="91"/>
  <c r="G33" i="91" s="1"/>
  <c r="E32" i="91"/>
  <c r="G32" i="91" s="1"/>
  <c r="E31" i="91"/>
  <c r="G31" i="91" s="1"/>
  <c r="E30" i="91"/>
  <c r="G30" i="91" s="1"/>
  <c r="E29" i="91"/>
  <c r="G29" i="91" s="1"/>
  <c r="E28" i="91"/>
  <c r="G28" i="91" s="1"/>
  <c r="E27" i="91"/>
  <c r="G27" i="91" s="1"/>
  <c r="E26" i="91"/>
  <c r="G26" i="91" s="1"/>
  <c r="E25" i="91"/>
  <c r="G25" i="91" s="1"/>
  <c r="G24" i="91"/>
  <c r="G23" i="91"/>
  <c r="E22" i="91"/>
  <c r="G22" i="91" s="1"/>
  <c r="E21" i="91"/>
  <c r="G21" i="91" s="1"/>
  <c r="E20" i="91"/>
  <c r="G20" i="91" s="1"/>
  <c r="E19" i="91"/>
  <c r="G19" i="91" s="1"/>
  <c r="E18" i="91"/>
  <c r="G18" i="91" s="1"/>
  <c r="E17" i="91"/>
  <c r="G17" i="91" s="1"/>
  <c r="E16" i="91"/>
  <c r="G16" i="91" s="1"/>
  <c r="E15" i="91"/>
  <c r="G15" i="91" s="1"/>
  <c r="E14" i="91"/>
  <c r="G14" i="91" s="1"/>
  <c r="E13" i="91"/>
  <c r="G13" i="91" s="1"/>
  <c r="E12" i="91"/>
  <c r="G12" i="91" s="1"/>
  <c r="E11" i="91"/>
  <c r="G11" i="91" s="1"/>
  <c r="E10" i="91"/>
  <c r="G10" i="91" s="1"/>
  <c r="E9" i="91"/>
  <c r="G9" i="91" s="1"/>
  <c r="E8" i="91"/>
  <c r="G8" i="91" s="1"/>
  <c r="E48" i="90"/>
  <c r="G48" i="90" s="1"/>
  <c r="E44" i="90"/>
  <c r="G44" i="90" s="1"/>
  <c r="E43" i="90"/>
  <c r="G43" i="90" s="1"/>
  <c r="F42" i="90"/>
  <c r="E42" i="90"/>
  <c r="G42" i="90" s="1"/>
  <c r="E40" i="90"/>
  <c r="G40" i="90" s="1"/>
  <c r="E39" i="90"/>
  <c r="G39" i="90" s="1"/>
  <c r="E38" i="90"/>
  <c r="G38" i="90" s="1"/>
  <c r="E37" i="90"/>
  <c r="G37" i="90" s="1"/>
  <c r="E36" i="90"/>
  <c r="G36" i="90" s="1"/>
  <c r="E35" i="90"/>
  <c r="G35" i="90" s="1"/>
  <c r="E33" i="90"/>
  <c r="G33" i="90" s="1"/>
  <c r="E32" i="90"/>
  <c r="G32" i="90" s="1"/>
  <c r="E31" i="90"/>
  <c r="G31" i="90" s="1"/>
  <c r="E30" i="90"/>
  <c r="G30" i="90" s="1"/>
  <c r="E29" i="90"/>
  <c r="G29" i="90" s="1"/>
  <c r="E28" i="90"/>
  <c r="G28" i="90" s="1"/>
  <c r="E27" i="90"/>
  <c r="G27" i="90" s="1"/>
  <c r="E26" i="90"/>
  <c r="G26" i="90" s="1"/>
  <c r="E25" i="90"/>
  <c r="G25" i="90" s="1"/>
  <c r="G24" i="90"/>
  <c r="G23" i="90"/>
  <c r="E22" i="90"/>
  <c r="G22" i="90" s="1"/>
  <c r="E21" i="90"/>
  <c r="G21" i="90" s="1"/>
  <c r="E20" i="90"/>
  <c r="G20" i="90" s="1"/>
  <c r="E19" i="90"/>
  <c r="G19" i="90" s="1"/>
  <c r="E18" i="90"/>
  <c r="G18" i="90" s="1"/>
  <c r="E17" i="90"/>
  <c r="G17" i="90" s="1"/>
  <c r="E16" i="90"/>
  <c r="G16" i="90" s="1"/>
  <c r="E15" i="90"/>
  <c r="G15" i="90" s="1"/>
  <c r="E14" i="90"/>
  <c r="G14" i="90" s="1"/>
  <c r="E13" i="90"/>
  <c r="G13" i="90" s="1"/>
  <c r="E12" i="90"/>
  <c r="G12" i="90" s="1"/>
  <c r="E11" i="90"/>
  <c r="G11" i="90" s="1"/>
  <c r="E10" i="90"/>
  <c r="G10" i="90" s="1"/>
  <c r="E9" i="90"/>
  <c r="G9" i="90" s="1"/>
  <c r="E8" i="90"/>
  <c r="G8" i="90" s="1"/>
  <c r="E48" i="89"/>
  <c r="G48" i="89" s="1"/>
  <c r="E44" i="89"/>
  <c r="G44" i="89" s="1"/>
  <c r="E43" i="89"/>
  <c r="G43" i="89" s="1"/>
  <c r="F42" i="89"/>
  <c r="E42" i="89"/>
  <c r="G42" i="89" s="1"/>
  <c r="F41" i="89"/>
  <c r="E40" i="89"/>
  <c r="G40" i="89" s="1"/>
  <c r="E39" i="89"/>
  <c r="G39" i="89" s="1"/>
  <c r="E38" i="89"/>
  <c r="G38" i="89" s="1"/>
  <c r="E37" i="89"/>
  <c r="G37" i="89" s="1"/>
  <c r="E36" i="89"/>
  <c r="G36" i="89" s="1"/>
  <c r="E35" i="89"/>
  <c r="G35" i="89" s="1"/>
  <c r="E33" i="89"/>
  <c r="G33" i="89" s="1"/>
  <c r="E32" i="89"/>
  <c r="G32" i="89" s="1"/>
  <c r="E31" i="89"/>
  <c r="G31" i="89" s="1"/>
  <c r="E30" i="89"/>
  <c r="G30" i="89" s="1"/>
  <c r="E29" i="89"/>
  <c r="G29" i="89" s="1"/>
  <c r="E28" i="89"/>
  <c r="G28" i="89" s="1"/>
  <c r="E27" i="89"/>
  <c r="G27" i="89" s="1"/>
  <c r="E26" i="89"/>
  <c r="G26" i="89" s="1"/>
  <c r="E25" i="89"/>
  <c r="G25" i="89" s="1"/>
  <c r="G24" i="89"/>
  <c r="G23" i="89"/>
  <c r="E22" i="89"/>
  <c r="G22" i="89" s="1"/>
  <c r="E21" i="89"/>
  <c r="G21" i="89" s="1"/>
  <c r="E20" i="89"/>
  <c r="G20" i="89" s="1"/>
  <c r="E19" i="89"/>
  <c r="G19" i="89" s="1"/>
  <c r="E18" i="89"/>
  <c r="G18" i="89" s="1"/>
  <c r="E17" i="89"/>
  <c r="G17" i="89" s="1"/>
  <c r="E16" i="89"/>
  <c r="G16" i="89" s="1"/>
  <c r="E15" i="89"/>
  <c r="G15" i="89" s="1"/>
  <c r="E14" i="89"/>
  <c r="G14" i="89" s="1"/>
  <c r="E13" i="89"/>
  <c r="G13" i="89" s="1"/>
  <c r="E12" i="89"/>
  <c r="G12" i="89" s="1"/>
  <c r="E11" i="89"/>
  <c r="G11" i="89" s="1"/>
  <c r="E10" i="89"/>
  <c r="G10" i="89" s="1"/>
  <c r="E9" i="89"/>
  <c r="G9" i="89" s="1"/>
  <c r="E8" i="89"/>
  <c r="G8" i="89" s="1"/>
  <c r="G45" i="91" l="1"/>
  <c r="G50" i="91"/>
  <c r="G50" i="90"/>
  <c r="G45" i="90"/>
  <c r="G45" i="89"/>
  <c r="G50" i="89"/>
  <c r="J44" i="88"/>
  <c r="H44" i="88"/>
  <c r="E44" i="88"/>
  <c r="I44" i="88" s="1"/>
  <c r="G43" i="88"/>
  <c r="E43" i="88"/>
  <c r="E39" i="88"/>
  <c r="G39" i="88" s="1"/>
  <c r="E38" i="88"/>
  <c r="G38" i="88" s="1"/>
  <c r="E37" i="88"/>
  <c r="K37" i="88" s="1"/>
  <c r="E36" i="88"/>
  <c r="G36" i="88" s="1"/>
  <c r="E35" i="88"/>
  <c r="G35" i="88" s="1"/>
  <c r="E34" i="88"/>
  <c r="K34" i="88" s="1"/>
  <c r="E33" i="88"/>
  <c r="G33" i="88" s="1"/>
  <c r="E32" i="88"/>
  <c r="G32" i="88" s="1"/>
  <c r="E31" i="88"/>
  <c r="K31" i="88" s="1"/>
  <c r="E30" i="88"/>
  <c r="G30" i="88" s="1"/>
  <c r="E29" i="88"/>
  <c r="G29" i="88" s="1"/>
  <c r="E28" i="88"/>
  <c r="G28" i="88" s="1"/>
  <c r="E27" i="88"/>
  <c r="G27" i="88" s="1"/>
  <c r="E26" i="88"/>
  <c r="G26" i="88" s="1"/>
  <c r="E24" i="88"/>
  <c r="G24" i="88" s="1"/>
  <c r="F23" i="88"/>
  <c r="J22" i="88"/>
  <c r="H22" i="88"/>
  <c r="E22" i="88"/>
  <c r="I22" i="88" s="1"/>
  <c r="E21" i="88"/>
  <c r="G21" i="88" s="1"/>
  <c r="E20" i="88"/>
  <c r="G20" i="88" s="1"/>
  <c r="E19" i="88"/>
  <c r="G19" i="88" s="1"/>
  <c r="E18" i="88"/>
  <c r="G18" i="88" s="1"/>
  <c r="E16" i="88"/>
  <c r="I16" i="88" s="1"/>
  <c r="E15" i="88"/>
  <c r="G15" i="88" s="1"/>
  <c r="E14" i="88"/>
  <c r="G14" i="88" s="1"/>
  <c r="E13" i="88"/>
  <c r="I13" i="88" s="1"/>
  <c r="E12" i="88"/>
  <c r="G12" i="88" s="1"/>
  <c r="E11" i="88"/>
  <c r="G11" i="88" s="1"/>
  <c r="E10" i="88"/>
  <c r="G10" i="88" s="1"/>
  <c r="E9" i="88"/>
  <c r="K9" i="88" s="1"/>
  <c r="H8" i="88"/>
  <c r="E8" i="88"/>
  <c r="J44" i="87"/>
  <c r="K44" i="87" s="1"/>
  <c r="H44" i="87"/>
  <c r="I44" i="87" s="1"/>
  <c r="E44" i="87"/>
  <c r="E43" i="87"/>
  <c r="G43" i="87" s="1"/>
  <c r="E39" i="87"/>
  <c r="K39" i="87" s="1"/>
  <c r="E38" i="87"/>
  <c r="I38" i="87" s="1"/>
  <c r="E37" i="87"/>
  <c r="K37" i="87" s="1"/>
  <c r="E36" i="87"/>
  <c r="K36" i="87" s="1"/>
  <c r="E35" i="87"/>
  <c r="I35" i="87" s="1"/>
  <c r="E34" i="87"/>
  <c r="G34" i="87" s="1"/>
  <c r="E33" i="87"/>
  <c r="K33" i="87" s="1"/>
  <c r="E32" i="87"/>
  <c r="I32" i="87" s="1"/>
  <c r="E31" i="87"/>
  <c r="K31" i="87" s="1"/>
  <c r="E30" i="87"/>
  <c r="K30" i="87" s="1"/>
  <c r="E29" i="87"/>
  <c r="I29" i="87" s="1"/>
  <c r="E28" i="87"/>
  <c r="I28" i="87" s="1"/>
  <c r="E27" i="87"/>
  <c r="K27" i="87" s="1"/>
  <c r="E26" i="87"/>
  <c r="I26" i="87" s="1"/>
  <c r="E24" i="87"/>
  <c r="G24" i="87" s="1"/>
  <c r="F23" i="87"/>
  <c r="J22" i="87"/>
  <c r="H22" i="87"/>
  <c r="E22" i="87"/>
  <c r="K22" i="87" s="1"/>
  <c r="E21" i="87"/>
  <c r="I21" i="87" s="1"/>
  <c r="E20" i="87"/>
  <c r="I20" i="87" s="1"/>
  <c r="E19" i="87"/>
  <c r="K19" i="87" s="1"/>
  <c r="E18" i="87"/>
  <c r="I18" i="87" s="1"/>
  <c r="E17" i="87"/>
  <c r="K17" i="87" s="1"/>
  <c r="E16" i="87"/>
  <c r="K16" i="87" s="1"/>
  <c r="E15" i="87"/>
  <c r="I15" i="87" s="1"/>
  <c r="E14" i="87"/>
  <c r="G14" i="87" s="1"/>
  <c r="E13" i="87"/>
  <c r="K13" i="87" s="1"/>
  <c r="E12" i="87"/>
  <c r="I12" i="87" s="1"/>
  <c r="E11" i="87"/>
  <c r="G11" i="87" s="1"/>
  <c r="E10" i="87"/>
  <c r="K10" i="87" s="1"/>
  <c r="H9" i="87"/>
  <c r="E9" i="87"/>
  <c r="K14" i="88" l="1"/>
  <c r="K14" i="87"/>
  <c r="G46" i="91"/>
  <c r="G51" i="91"/>
  <c r="G47" i="91"/>
  <c r="G51" i="90"/>
  <c r="G47" i="90"/>
  <c r="G46" i="90"/>
  <c r="G47" i="89"/>
  <c r="G46" i="89"/>
  <c r="G51" i="89"/>
  <c r="I18" i="88"/>
  <c r="K32" i="88"/>
  <c r="I9" i="87"/>
  <c r="K34" i="87"/>
  <c r="I8" i="88"/>
  <c r="K22" i="88"/>
  <c r="K35" i="87"/>
  <c r="I26" i="88"/>
  <c r="K20" i="87"/>
  <c r="I14" i="87"/>
  <c r="I34" i="87"/>
  <c r="G28" i="87"/>
  <c r="K35" i="88"/>
  <c r="K15" i="87"/>
  <c r="K28" i="87"/>
  <c r="K21" i="87"/>
  <c r="K29" i="87"/>
  <c r="I11" i="88"/>
  <c r="K21" i="88"/>
  <c r="I29" i="88"/>
  <c r="I33" i="88"/>
  <c r="K18" i="87"/>
  <c r="G31" i="87"/>
  <c r="K38" i="87"/>
  <c r="K11" i="88"/>
  <c r="K26" i="88"/>
  <c r="K29" i="88"/>
  <c r="I31" i="87"/>
  <c r="G17" i="87"/>
  <c r="K26" i="87"/>
  <c r="G37" i="87"/>
  <c r="I21" i="88"/>
  <c r="I27" i="88"/>
  <c r="I17" i="87"/>
  <c r="G20" i="87"/>
  <c r="I38" i="88"/>
  <c r="I37" i="87"/>
  <c r="K12" i="87"/>
  <c r="K32" i="87"/>
  <c r="I14" i="88"/>
  <c r="K18" i="88"/>
  <c r="I32" i="88"/>
  <c r="I35" i="88"/>
  <c r="K38" i="88"/>
  <c r="G13" i="88"/>
  <c r="G16" i="88"/>
  <c r="G31" i="88"/>
  <c r="I12" i="88"/>
  <c r="I15" i="88"/>
  <c r="I19" i="88"/>
  <c r="I30" i="88"/>
  <c r="I36" i="88"/>
  <c r="I39" i="88"/>
  <c r="K44" i="88"/>
  <c r="K12" i="88"/>
  <c r="K15" i="88"/>
  <c r="K19" i="88"/>
  <c r="K27" i="88"/>
  <c r="K30" i="88"/>
  <c r="K33" i="88"/>
  <c r="K36" i="88"/>
  <c r="K39" i="88"/>
  <c r="G37" i="88"/>
  <c r="I20" i="88"/>
  <c r="I37" i="88"/>
  <c r="G34" i="88"/>
  <c r="I28" i="88"/>
  <c r="I31" i="88"/>
  <c r="I34" i="88"/>
  <c r="K13" i="88"/>
  <c r="K16" i="88"/>
  <c r="K20" i="88"/>
  <c r="K28" i="88"/>
  <c r="G13" i="87"/>
  <c r="G16" i="87"/>
  <c r="G19" i="87"/>
  <c r="G27" i="87"/>
  <c r="G30" i="87"/>
  <c r="G33" i="87"/>
  <c r="G36" i="87"/>
  <c r="G39" i="87"/>
  <c r="I13" i="87"/>
  <c r="I16" i="87"/>
  <c r="I19" i="87"/>
  <c r="I22" i="87"/>
  <c r="I27" i="87"/>
  <c r="I30" i="87"/>
  <c r="I33" i="87"/>
  <c r="I36" i="87"/>
  <c r="I39" i="87"/>
  <c r="G12" i="87"/>
  <c r="G15" i="87"/>
  <c r="G18" i="87"/>
  <c r="G21" i="87"/>
  <c r="G26" i="87"/>
  <c r="G29" i="87"/>
  <c r="G32" i="87"/>
  <c r="G35" i="87"/>
  <c r="G38" i="87"/>
  <c r="H17" i="86"/>
  <c r="I17" i="86" s="1"/>
  <c r="G17" i="86"/>
  <c r="H16" i="86"/>
  <c r="I16" i="86" s="1"/>
  <c r="G16" i="86"/>
  <c r="F15" i="86"/>
  <c r="G15" i="86" s="1"/>
  <c r="F14" i="86"/>
  <c r="G14" i="86" s="1"/>
  <c r="F13" i="86"/>
  <c r="H13" i="86" s="1"/>
  <c r="I13" i="86" s="1"/>
  <c r="F12" i="86"/>
  <c r="G12" i="86" s="1"/>
  <c r="H11" i="86"/>
  <c r="I11" i="86" s="1"/>
  <c r="F10" i="86"/>
  <c r="G10" i="86" s="1"/>
  <c r="H17" i="85"/>
  <c r="I17" i="85" s="1"/>
  <c r="G17" i="85"/>
  <c r="H16" i="85"/>
  <c r="I16" i="85" s="1"/>
  <c r="G16" i="85"/>
  <c r="F15" i="85"/>
  <c r="G15" i="85" s="1"/>
  <c r="F14" i="85"/>
  <c r="H14" i="85" s="1"/>
  <c r="I14" i="85" s="1"/>
  <c r="F13" i="85"/>
  <c r="H13" i="85" s="1"/>
  <c r="I13" i="85" s="1"/>
  <c r="F12" i="85"/>
  <c r="G12" i="85" s="1"/>
  <c r="H11" i="85"/>
  <c r="I11" i="85" s="1"/>
  <c r="F10" i="85"/>
  <c r="G10" i="85" s="1"/>
  <c r="G11" i="84"/>
  <c r="G10" i="84"/>
  <c r="F9" i="84"/>
  <c r="G9" i="84" s="1"/>
  <c r="F8" i="84"/>
  <c r="G8" i="84" s="1"/>
  <c r="H18" i="83"/>
  <c r="I18" i="83" s="1"/>
  <c r="G18" i="83"/>
  <c r="H17" i="83"/>
  <c r="I17" i="83" s="1"/>
  <c r="G17" i="83"/>
  <c r="F16" i="83"/>
  <c r="H16" i="83" s="1"/>
  <c r="I16" i="83" s="1"/>
  <c r="F15" i="83"/>
  <c r="G15" i="83" s="1"/>
  <c r="F14" i="83"/>
  <c r="H14" i="83" s="1"/>
  <c r="I14" i="83" s="1"/>
  <c r="F13" i="83"/>
  <c r="H13" i="83" s="1"/>
  <c r="I13" i="83" s="1"/>
  <c r="H12" i="83"/>
  <c r="I12" i="83" s="1"/>
  <c r="F11" i="83"/>
  <c r="G11" i="83" s="1"/>
  <c r="F10" i="83"/>
  <c r="H10" i="83" s="1"/>
  <c r="I10" i="83" s="1"/>
  <c r="H18" i="82"/>
  <c r="I18" i="82" s="1"/>
  <c r="G18" i="82"/>
  <c r="I17" i="82"/>
  <c r="H17" i="82"/>
  <c r="G17" i="82"/>
  <c r="F16" i="82"/>
  <c r="G16" i="82" s="1"/>
  <c r="F15" i="82"/>
  <c r="H15" i="82" s="1"/>
  <c r="I15" i="82" s="1"/>
  <c r="F14" i="82"/>
  <c r="G14" i="82" s="1"/>
  <c r="F13" i="82"/>
  <c r="H13" i="82" s="1"/>
  <c r="I13" i="82" s="1"/>
  <c r="H12" i="82"/>
  <c r="I12" i="82" s="1"/>
  <c r="F11" i="82"/>
  <c r="G11" i="82" s="1"/>
  <c r="F10" i="82"/>
  <c r="G10" i="82" s="1"/>
  <c r="F17" i="81"/>
  <c r="G17" i="81" s="1"/>
  <c r="F16" i="81"/>
  <c r="G16" i="81" s="1"/>
  <c r="O15" i="81"/>
  <c r="P15" i="81" s="1"/>
  <c r="L14" i="81"/>
  <c r="M14" i="81" s="1"/>
  <c r="F13" i="81"/>
  <c r="I13" i="81" s="1"/>
  <c r="J13" i="81" s="1"/>
  <c r="F11" i="81"/>
  <c r="L11" i="81" s="1"/>
  <c r="M11" i="81" s="1"/>
  <c r="G52" i="90" l="1"/>
  <c r="G53" i="90" s="1"/>
  <c r="G54" i="90" s="1"/>
  <c r="G52" i="91"/>
  <c r="G53" i="91" s="1"/>
  <c r="G52" i="89"/>
  <c r="G53" i="89" s="1"/>
  <c r="K40" i="87"/>
  <c r="K41" i="87" s="1"/>
  <c r="G40" i="88"/>
  <c r="G41" i="88" s="1"/>
  <c r="G40" i="87"/>
  <c r="G41" i="87" s="1"/>
  <c r="I40" i="88"/>
  <c r="I41" i="88" s="1"/>
  <c r="K40" i="88"/>
  <c r="K42" i="88" s="1"/>
  <c r="I40" i="87"/>
  <c r="I41" i="87" s="1"/>
  <c r="G14" i="85"/>
  <c r="G12" i="84"/>
  <c r="G14" i="84" s="1"/>
  <c r="H14" i="86"/>
  <c r="I14" i="86" s="1"/>
  <c r="G16" i="83"/>
  <c r="G13" i="83"/>
  <c r="I17" i="81"/>
  <c r="L17" i="81" s="1"/>
  <c r="M17" i="81" s="1"/>
  <c r="H15" i="83"/>
  <c r="I15" i="83" s="1"/>
  <c r="I19" i="83" s="1"/>
  <c r="G13" i="86"/>
  <c r="G18" i="86" s="1"/>
  <c r="H12" i="86"/>
  <c r="I12" i="86" s="1"/>
  <c r="H15" i="86"/>
  <c r="I15" i="86" s="1"/>
  <c r="G13" i="85"/>
  <c r="H12" i="85"/>
  <c r="I12" i="85" s="1"/>
  <c r="H15" i="85"/>
  <c r="I15" i="85" s="1"/>
  <c r="G10" i="83"/>
  <c r="G14" i="83"/>
  <c r="H10" i="82"/>
  <c r="I10" i="82" s="1"/>
  <c r="H14" i="82"/>
  <c r="I14" i="82" s="1"/>
  <c r="H16" i="82"/>
  <c r="I16" i="82" s="1"/>
  <c r="G15" i="82"/>
  <c r="G13" i="82"/>
  <c r="O11" i="81"/>
  <c r="P11" i="81" s="1"/>
  <c r="I16" i="81"/>
  <c r="G11" i="81"/>
  <c r="I11" i="81"/>
  <c r="J11" i="81" s="1"/>
  <c r="G13" i="81"/>
  <c r="E41" i="80"/>
  <c r="G41" i="80" s="1"/>
  <c r="E40" i="80"/>
  <c r="G40" i="80" s="1"/>
  <c r="E36" i="80"/>
  <c r="G36" i="80" s="1"/>
  <c r="E35" i="80"/>
  <c r="G35" i="80" s="1"/>
  <c r="E34" i="80"/>
  <c r="G34" i="80" s="1"/>
  <c r="E33" i="80"/>
  <c r="G33" i="80" s="1"/>
  <c r="E32" i="80"/>
  <c r="G32" i="80" s="1"/>
  <c r="E31" i="80"/>
  <c r="G31" i="80" s="1"/>
  <c r="E30" i="80"/>
  <c r="G30" i="80" s="1"/>
  <c r="E29" i="80"/>
  <c r="G29" i="80" s="1"/>
  <c r="E28" i="80"/>
  <c r="G28" i="80" s="1"/>
  <c r="E27" i="80"/>
  <c r="G27" i="80" s="1"/>
  <c r="E26" i="80"/>
  <c r="G26" i="80" s="1"/>
  <c r="E25" i="80"/>
  <c r="G25" i="80" s="1"/>
  <c r="E24" i="80"/>
  <c r="G24" i="80" s="1"/>
  <c r="E23" i="80"/>
  <c r="G23" i="80" s="1"/>
  <c r="E21" i="80"/>
  <c r="G21" i="80" s="1"/>
  <c r="F20" i="80"/>
  <c r="E20" i="80"/>
  <c r="G20" i="80" s="1"/>
  <c r="F19" i="80"/>
  <c r="E18" i="80"/>
  <c r="G18" i="80" s="1"/>
  <c r="E17" i="80"/>
  <c r="G17" i="80" s="1"/>
  <c r="E16" i="80"/>
  <c r="G16" i="80" s="1"/>
  <c r="E15" i="80"/>
  <c r="G15" i="80" s="1"/>
  <c r="E14" i="80"/>
  <c r="G14" i="80" s="1"/>
  <c r="E13" i="80"/>
  <c r="G13" i="80" s="1"/>
  <c r="E12" i="80"/>
  <c r="G12" i="80" s="1"/>
  <c r="E11" i="80"/>
  <c r="G11" i="80" s="1"/>
  <c r="E10" i="80"/>
  <c r="G10" i="80" s="1"/>
  <c r="E9" i="80"/>
  <c r="G9" i="80" s="1"/>
  <c r="E8" i="80"/>
  <c r="G8" i="80" s="1"/>
  <c r="E39" i="79"/>
  <c r="G39" i="79" s="1"/>
  <c r="E35" i="79"/>
  <c r="G35" i="79" s="1"/>
  <c r="E34" i="79"/>
  <c r="G34" i="79" s="1"/>
  <c r="E33" i="79"/>
  <c r="G33" i="79" s="1"/>
  <c r="E32" i="79"/>
  <c r="G32" i="79" s="1"/>
  <c r="E31" i="79"/>
  <c r="G31" i="79" s="1"/>
  <c r="E30" i="79"/>
  <c r="G30" i="79" s="1"/>
  <c r="E29" i="79"/>
  <c r="G29" i="79" s="1"/>
  <c r="E28" i="79"/>
  <c r="G28" i="79" s="1"/>
  <c r="E27" i="79"/>
  <c r="G27" i="79" s="1"/>
  <c r="E26" i="79"/>
  <c r="G26" i="79" s="1"/>
  <c r="E25" i="79"/>
  <c r="G25" i="79" s="1"/>
  <c r="E24" i="79"/>
  <c r="G24" i="79" s="1"/>
  <c r="E23" i="79"/>
  <c r="G23" i="79" s="1"/>
  <c r="F21" i="79"/>
  <c r="E21" i="79"/>
  <c r="G21" i="79" s="1"/>
  <c r="F20" i="79"/>
  <c r="E19" i="79"/>
  <c r="G19" i="79" s="1"/>
  <c r="E18" i="79"/>
  <c r="G18" i="79" s="1"/>
  <c r="E17" i="79"/>
  <c r="G17" i="79" s="1"/>
  <c r="E16" i="79"/>
  <c r="G16" i="79" s="1"/>
  <c r="E15" i="79"/>
  <c r="G15" i="79" s="1"/>
  <c r="E14" i="79"/>
  <c r="G14" i="79" s="1"/>
  <c r="E13" i="79"/>
  <c r="G13" i="79" s="1"/>
  <c r="E12" i="79"/>
  <c r="G12" i="79" s="1"/>
  <c r="E11" i="79"/>
  <c r="G11" i="79" s="1"/>
  <c r="E10" i="79"/>
  <c r="G10" i="79" s="1"/>
  <c r="E9" i="79"/>
  <c r="G9" i="79" s="1"/>
  <c r="E8" i="79"/>
  <c r="G8" i="79" s="1"/>
  <c r="E42" i="78"/>
  <c r="G42" i="78" s="1"/>
  <c r="E41" i="78"/>
  <c r="G41" i="78" s="1"/>
  <c r="E36" i="78"/>
  <c r="G36" i="78" s="1"/>
  <c r="E35" i="78"/>
  <c r="G35" i="78" s="1"/>
  <c r="E34" i="78"/>
  <c r="G34" i="78" s="1"/>
  <c r="E33" i="78"/>
  <c r="G33" i="78" s="1"/>
  <c r="E32" i="78"/>
  <c r="G32" i="78" s="1"/>
  <c r="E30" i="78"/>
  <c r="G30" i="78" s="1"/>
  <c r="E29" i="78"/>
  <c r="G29" i="78" s="1"/>
  <c r="E28" i="78"/>
  <c r="G28" i="78" s="1"/>
  <c r="F27" i="78"/>
  <c r="E27" i="78"/>
  <c r="G27" i="78" s="1"/>
  <c r="F26" i="78"/>
  <c r="E26" i="78"/>
  <c r="G26" i="78" s="1"/>
  <c r="E24" i="78"/>
  <c r="G24" i="78" s="1"/>
  <c r="E23" i="78"/>
  <c r="G23" i="78" s="1"/>
  <c r="E22" i="78"/>
  <c r="G22" i="78" s="1"/>
  <c r="E21" i="78"/>
  <c r="G21" i="78" s="1"/>
  <c r="F20" i="78"/>
  <c r="E20" i="78"/>
  <c r="E19" i="78"/>
  <c r="G19" i="78" s="1"/>
  <c r="E18" i="78"/>
  <c r="G18" i="78" s="1"/>
  <c r="E17" i="78"/>
  <c r="G17" i="78" s="1"/>
  <c r="E16" i="78"/>
  <c r="G16" i="78" s="1"/>
  <c r="E15" i="78"/>
  <c r="G15" i="78" s="1"/>
  <c r="E14" i="78"/>
  <c r="G14" i="78" s="1"/>
  <c r="E13" i="78"/>
  <c r="G13" i="78" s="1"/>
  <c r="E12" i="78"/>
  <c r="G12" i="78" s="1"/>
  <c r="E11" i="78"/>
  <c r="G11" i="78" s="1"/>
  <c r="E10" i="78"/>
  <c r="G10" i="78" s="1"/>
  <c r="E9" i="78"/>
  <c r="G9" i="78" s="1"/>
  <c r="E8" i="78"/>
  <c r="G8" i="78" s="1"/>
  <c r="G38" i="77"/>
  <c r="F38" i="77"/>
  <c r="F34" i="77"/>
  <c r="G34" i="77" s="1"/>
  <c r="F33" i="77"/>
  <c r="G33" i="77" s="1"/>
  <c r="F32" i="77"/>
  <c r="G32" i="77" s="1"/>
  <c r="F31" i="77"/>
  <c r="G31" i="77" s="1"/>
  <c r="F29" i="77"/>
  <c r="G29" i="77" s="1"/>
  <c r="F28" i="77"/>
  <c r="G28" i="77" s="1"/>
  <c r="F27" i="77"/>
  <c r="G27" i="77" s="1"/>
  <c r="F26" i="77"/>
  <c r="G26" i="77" s="1"/>
  <c r="F25" i="77"/>
  <c r="G25" i="77" s="1"/>
  <c r="E24" i="77"/>
  <c r="F23" i="77"/>
  <c r="G23" i="77" s="1"/>
  <c r="F22" i="77"/>
  <c r="G22" i="77" s="1"/>
  <c r="F21" i="77"/>
  <c r="G21" i="77" s="1"/>
  <c r="F20" i="77"/>
  <c r="G20" i="77" s="1"/>
  <c r="F19" i="77"/>
  <c r="G19" i="77" s="1"/>
  <c r="F18" i="77"/>
  <c r="G18" i="77" s="1"/>
  <c r="E18" i="77"/>
  <c r="F17" i="77"/>
  <c r="G17" i="77" s="1"/>
  <c r="F15" i="77"/>
  <c r="G15" i="77" s="1"/>
  <c r="F14" i="77"/>
  <c r="G14" i="77" s="1"/>
  <c r="F13" i="77"/>
  <c r="G13" i="77" s="1"/>
  <c r="F12" i="77"/>
  <c r="G12" i="77" s="1"/>
  <c r="F11" i="77"/>
  <c r="G11" i="77" s="1"/>
  <c r="F10" i="77"/>
  <c r="G10" i="77" s="1"/>
  <c r="F9" i="77"/>
  <c r="G9" i="77" s="1"/>
  <c r="E9" i="77"/>
  <c r="G13" i="84" l="1"/>
  <c r="G16" i="84" s="1"/>
  <c r="G17" i="84" s="1"/>
  <c r="K42" i="87"/>
  <c r="G55" i="90"/>
  <c r="G56" i="90" s="1"/>
  <c r="G57" i="90" s="1"/>
  <c r="G42" i="88"/>
  <c r="G55" i="91"/>
  <c r="G54" i="91"/>
  <c r="G54" i="89"/>
  <c r="G55" i="89"/>
  <c r="J17" i="81"/>
  <c r="O17" i="81"/>
  <c r="P17" i="81" s="1"/>
  <c r="I42" i="87"/>
  <c r="G42" i="87"/>
  <c r="I42" i="88"/>
  <c r="K41" i="88"/>
  <c r="K46" i="88" s="1"/>
  <c r="K47" i="88" s="1"/>
  <c r="K48" i="88" s="1"/>
  <c r="G18" i="85"/>
  <c r="G19" i="85" s="1"/>
  <c r="G46" i="88"/>
  <c r="I46" i="88"/>
  <c r="K46" i="87"/>
  <c r="I46" i="87"/>
  <c r="G46" i="87"/>
  <c r="I18" i="85"/>
  <c r="I19" i="85" s="1"/>
  <c r="G19" i="82"/>
  <c r="G20" i="82" s="1"/>
  <c r="I18" i="86"/>
  <c r="I20" i="86" s="1"/>
  <c r="G19" i="86"/>
  <c r="G20" i="86"/>
  <c r="G19" i="83"/>
  <c r="I21" i="83"/>
  <c r="I20" i="83"/>
  <c r="I19" i="82"/>
  <c r="G18" i="81"/>
  <c r="L16" i="81"/>
  <c r="J16" i="81"/>
  <c r="G20" i="78"/>
  <c r="G38" i="78" s="1"/>
  <c r="G40" i="78" s="1"/>
  <c r="G36" i="79"/>
  <c r="G37" i="79" s="1"/>
  <c r="G37" i="80"/>
  <c r="G35" i="77"/>
  <c r="H38" i="76"/>
  <c r="G38" i="76"/>
  <c r="E38" i="76"/>
  <c r="E37" i="76"/>
  <c r="G37" i="76" s="1"/>
  <c r="H35" i="76"/>
  <c r="G35" i="76"/>
  <c r="E31" i="76"/>
  <c r="H31" i="76" s="1"/>
  <c r="E30" i="76"/>
  <c r="G30" i="76" s="1"/>
  <c r="E29" i="76"/>
  <c r="H29" i="76" s="1"/>
  <c r="E28" i="76"/>
  <c r="G28" i="76" s="1"/>
  <c r="E27" i="76"/>
  <c r="H27" i="76" s="1"/>
  <c r="E26" i="76"/>
  <c r="G26" i="76" s="1"/>
  <c r="E25" i="76"/>
  <c r="H25" i="76" s="1"/>
  <c r="E24" i="76"/>
  <c r="G24" i="76" s="1"/>
  <c r="E23" i="76"/>
  <c r="H23" i="76" s="1"/>
  <c r="E22" i="76"/>
  <c r="G22" i="76" s="1"/>
  <c r="F21" i="76"/>
  <c r="E21" i="76"/>
  <c r="H21" i="76" s="1"/>
  <c r="E20" i="76"/>
  <c r="H20" i="76" s="1"/>
  <c r="E19" i="76"/>
  <c r="G19" i="76" s="1"/>
  <c r="E18" i="76"/>
  <c r="H18" i="76" s="1"/>
  <c r="E17" i="76"/>
  <c r="G17" i="76" s="1"/>
  <c r="E16" i="76"/>
  <c r="H16" i="76" s="1"/>
  <c r="E15" i="76"/>
  <c r="H15" i="76" s="1"/>
  <c r="E14" i="76"/>
  <c r="H14" i="76" s="1"/>
  <c r="E13" i="76"/>
  <c r="G13" i="76" s="1"/>
  <c r="E12" i="76"/>
  <c r="H12" i="76" s="1"/>
  <c r="E11" i="76"/>
  <c r="G11" i="76" s="1"/>
  <c r="E10" i="76"/>
  <c r="H10" i="76" s="1"/>
  <c r="G46" i="75"/>
  <c r="F46" i="75"/>
  <c r="I45" i="75"/>
  <c r="J45" i="75" s="1"/>
  <c r="F45" i="75"/>
  <c r="G45" i="75" s="1"/>
  <c r="F41" i="75"/>
  <c r="I41" i="75" s="1"/>
  <c r="J41" i="75" s="1"/>
  <c r="F40" i="75"/>
  <c r="G40" i="75" s="1"/>
  <c r="F39" i="75"/>
  <c r="G39" i="75" s="1"/>
  <c r="I38" i="75"/>
  <c r="J38" i="75" s="1"/>
  <c r="F38" i="75"/>
  <c r="G38" i="75" s="1"/>
  <c r="I36" i="75"/>
  <c r="J36" i="75" s="1"/>
  <c r="F36" i="75"/>
  <c r="G36" i="75" s="1"/>
  <c r="I35" i="75"/>
  <c r="J35" i="75" s="1"/>
  <c r="F35" i="75"/>
  <c r="G35" i="75" s="1"/>
  <c r="I34" i="75"/>
  <c r="J34" i="75" s="1"/>
  <c r="F34" i="75"/>
  <c r="G34" i="75" s="1"/>
  <c r="I33" i="75"/>
  <c r="J33" i="75" s="1"/>
  <c r="F33" i="75"/>
  <c r="G33" i="75" s="1"/>
  <c r="I32" i="75"/>
  <c r="F32" i="75"/>
  <c r="G32" i="75" s="1"/>
  <c r="I31" i="75"/>
  <c r="J31" i="75" s="1"/>
  <c r="F31" i="75"/>
  <c r="I30" i="75"/>
  <c r="J30" i="75" s="1"/>
  <c r="F30" i="75"/>
  <c r="G30" i="75" s="1"/>
  <c r="I29" i="75"/>
  <c r="J29" i="75" s="1"/>
  <c r="F29" i="75"/>
  <c r="G29" i="75" s="1"/>
  <c r="H28" i="75"/>
  <c r="E28" i="75"/>
  <c r="I27" i="75"/>
  <c r="J27" i="75" s="1"/>
  <c r="F27" i="75"/>
  <c r="G27" i="75" s="1"/>
  <c r="I26" i="75"/>
  <c r="J26" i="75" s="1"/>
  <c r="F26" i="75"/>
  <c r="G26" i="75" s="1"/>
  <c r="I25" i="75"/>
  <c r="J25" i="75" s="1"/>
  <c r="F25" i="75"/>
  <c r="G25" i="75" s="1"/>
  <c r="I24" i="75"/>
  <c r="J24" i="75" s="1"/>
  <c r="F24" i="75"/>
  <c r="G24" i="75" s="1"/>
  <c r="I23" i="75"/>
  <c r="J23" i="75" s="1"/>
  <c r="F23" i="75"/>
  <c r="G23" i="75" s="1"/>
  <c r="I22" i="75"/>
  <c r="H22" i="75"/>
  <c r="F22" i="75"/>
  <c r="G22" i="75" s="1"/>
  <c r="E22" i="75"/>
  <c r="I21" i="75"/>
  <c r="J21" i="75" s="1"/>
  <c r="F21" i="75"/>
  <c r="G21" i="75" s="1"/>
  <c r="I20" i="75"/>
  <c r="J20" i="75" s="1"/>
  <c r="F20" i="75"/>
  <c r="G20" i="75" s="1"/>
  <c r="E20" i="75"/>
  <c r="I19" i="75"/>
  <c r="J19" i="75" s="1"/>
  <c r="F18" i="75"/>
  <c r="G18" i="75" s="1"/>
  <c r="I17" i="75"/>
  <c r="J17" i="75" s="1"/>
  <c r="F17" i="75"/>
  <c r="G17" i="75" s="1"/>
  <c r="I16" i="75"/>
  <c r="J16" i="75" s="1"/>
  <c r="F15" i="75"/>
  <c r="G15" i="75" s="1"/>
  <c r="I14" i="75"/>
  <c r="J14" i="75" s="1"/>
  <c r="F14" i="75"/>
  <c r="G14" i="75" s="1"/>
  <c r="I13" i="75"/>
  <c r="J13" i="75" s="1"/>
  <c r="F13" i="75"/>
  <c r="G13" i="75" s="1"/>
  <c r="I12" i="75"/>
  <c r="J12" i="75" s="1"/>
  <c r="F12" i="75"/>
  <c r="G12" i="75" s="1"/>
  <c r="I11" i="75"/>
  <c r="J11" i="75" s="1"/>
  <c r="F11" i="75"/>
  <c r="G11" i="75" s="1"/>
  <c r="I10" i="75"/>
  <c r="J10" i="75" s="1"/>
  <c r="F9" i="75"/>
  <c r="G9" i="75" s="1"/>
  <c r="E36" i="74"/>
  <c r="H36" i="74" s="1"/>
  <c r="E35" i="74"/>
  <c r="H35" i="74" s="1"/>
  <c r="H33" i="74"/>
  <c r="G33" i="74"/>
  <c r="E29" i="74"/>
  <c r="H29" i="74" s="1"/>
  <c r="E28" i="74"/>
  <c r="H28" i="74" s="1"/>
  <c r="E27" i="74"/>
  <c r="H27" i="74" s="1"/>
  <c r="E26" i="74"/>
  <c r="H26" i="74" s="1"/>
  <c r="E25" i="74"/>
  <c r="H25" i="74" s="1"/>
  <c r="E24" i="74"/>
  <c r="H24" i="74" s="1"/>
  <c r="E23" i="74"/>
  <c r="H23" i="74" s="1"/>
  <c r="E22" i="74"/>
  <c r="G22" i="74" s="1"/>
  <c r="E21" i="74"/>
  <c r="H21" i="74" s="1"/>
  <c r="E20" i="74"/>
  <c r="G20" i="74" s="1"/>
  <c r="F19" i="74"/>
  <c r="E19" i="74"/>
  <c r="H19" i="74" s="1"/>
  <c r="E18" i="74"/>
  <c r="G18" i="74" s="1"/>
  <c r="E17" i="74"/>
  <c r="H17" i="74" s="1"/>
  <c r="E16" i="74"/>
  <c r="G16" i="74" s="1"/>
  <c r="E15" i="74"/>
  <c r="H15" i="74" s="1"/>
  <c r="E14" i="74"/>
  <c r="H14" i="74" s="1"/>
  <c r="E13" i="74"/>
  <c r="G13" i="74" s="1"/>
  <c r="E12" i="74"/>
  <c r="H12" i="74" s="1"/>
  <c r="E11" i="74"/>
  <c r="G11" i="74" s="1"/>
  <c r="E10" i="74"/>
  <c r="H10" i="74" s="1"/>
  <c r="K47" i="87" l="1"/>
  <c r="K48" i="87" s="1"/>
  <c r="G56" i="91"/>
  <c r="G57" i="91" s="1"/>
  <c r="I19" i="86"/>
  <c r="I22" i="86" s="1"/>
  <c r="I23" i="86" s="1"/>
  <c r="I47" i="87"/>
  <c r="I48" i="87" s="1"/>
  <c r="G56" i="89"/>
  <c r="G57" i="89" s="1"/>
  <c r="J18" i="81"/>
  <c r="J20" i="81" s="1"/>
  <c r="G47" i="88"/>
  <c r="G48" i="88" s="1"/>
  <c r="G50" i="88" s="1"/>
  <c r="G47" i="87"/>
  <c r="G48" i="87" s="1"/>
  <c r="G50" i="87" s="1"/>
  <c r="I20" i="85"/>
  <c r="G20" i="85"/>
  <c r="G21" i="82"/>
  <c r="K49" i="88"/>
  <c r="K50" i="88"/>
  <c r="I47" i="88"/>
  <c r="I48" i="88" s="1"/>
  <c r="G38" i="79"/>
  <c r="G22" i="86"/>
  <c r="G23" i="86" s="1"/>
  <c r="G24" i="86" s="1"/>
  <c r="G22" i="85"/>
  <c r="I22" i="85"/>
  <c r="G18" i="84"/>
  <c r="I23" i="83"/>
  <c r="I24" i="83" s="1"/>
  <c r="G21" i="83"/>
  <c r="G20" i="83"/>
  <c r="I20" i="82"/>
  <c r="I21" i="82"/>
  <c r="G23" i="82"/>
  <c r="O16" i="81"/>
  <c r="P16" i="81" s="1"/>
  <c r="P18" i="81" s="1"/>
  <c r="M16" i="81"/>
  <c r="M18" i="81" s="1"/>
  <c r="G20" i="81"/>
  <c r="G19" i="81"/>
  <c r="G39" i="78"/>
  <c r="G44" i="78" s="1"/>
  <c r="G45" i="78" s="1"/>
  <c r="G46" i="78" s="1"/>
  <c r="H22" i="74"/>
  <c r="G39" i="80"/>
  <c r="G38" i="80"/>
  <c r="G41" i="79"/>
  <c r="G37" i="77"/>
  <c r="G36" i="77"/>
  <c r="H24" i="76"/>
  <c r="H16" i="74"/>
  <c r="G28" i="74"/>
  <c r="H28" i="76"/>
  <c r="G10" i="76"/>
  <c r="J22" i="75"/>
  <c r="H20" i="74"/>
  <c r="I40" i="75"/>
  <c r="J40" i="75" s="1"/>
  <c r="G26" i="74"/>
  <c r="H22" i="76"/>
  <c r="H26" i="76"/>
  <c r="H30" i="76"/>
  <c r="H18" i="74"/>
  <c r="G24" i="74"/>
  <c r="H13" i="76"/>
  <c r="H17" i="76"/>
  <c r="H19" i="76"/>
  <c r="G21" i="76"/>
  <c r="G23" i="76"/>
  <c r="G25" i="76"/>
  <c r="G27" i="76"/>
  <c r="G31" i="76"/>
  <c r="G14" i="76"/>
  <c r="G16" i="76"/>
  <c r="G18" i="76"/>
  <c r="G20" i="76"/>
  <c r="H37" i="76"/>
  <c r="G15" i="76"/>
  <c r="G29" i="76"/>
  <c r="I39" i="75"/>
  <c r="J39" i="75" s="1"/>
  <c r="G41" i="75"/>
  <c r="G42" i="75" s="1"/>
  <c r="G36" i="74"/>
  <c r="G15" i="74"/>
  <c r="G17" i="74"/>
  <c r="G10" i="74"/>
  <c r="G19" i="74"/>
  <c r="G21" i="74"/>
  <c r="G23" i="74"/>
  <c r="G25" i="74"/>
  <c r="G27" i="74"/>
  <c r="G29" i="74"/>
  <c r="G35" i="74"/>
  <c r="G17" i="73"/>
  <c r="F17" i="73"/>
  <c r="E17" i="73"/>
  <c r="E12" i="73"/>
  <c r="G12" i="73" s="1"/>
  <c r="E11" i="73"/>
  <c r="G11" i="73" s="1"/>
  <c r="E10" i="73"/>
  <c r="G10" i="73" s="1"/>
  <c r="E9" i="73"/>
  <c r="G9" i="73" s="1"/>
  <c r="E8" i="73"/>
  <c r="G8" i="73" s="1"/>
  <c r="H32" i="72"/>
  <c r="G32" i="72"/>
  <c r="E32" i="72"/>
  <c r="E27" i="72"/>
  <c r="H27" i="72" s="1"/>
  <c r="H26" i="72"/>
  <c r="G26" i="72"/>
  <c r="E25" i="72"/>
  <c r="G25" i="72" s="1"/>
  <c r="E24" i="72"/>
  <c r="H24" i="72" s="1"/>
  <c r="E23" i="72"/>
  <c r="G23" i="72" s="1"/>
  <c r="E22" i="72"/>
  <c r="G22" i="72" s="1"/>
  <c r="E21" i="72"/>
  <c r="G21" i="72" s="1"/>
  <c r="E20" i="72"/>
  <c r="G20" i="72" s="1"/>
  <c r="E19" i="72"/>
  <c r="G19" i="72" s="1"/>
  <c r="H18" i="72"/>
  <c r="G18" i="72"/>
  <c r="E17" i="72"/>
  <c r="G17" i="72" s="1"/>
  <c r="E16" i="72"/>
  <c r="H16" i="72" s="1"/>
  <c r="E15" i="72"/>
  <c r="H15" i="72" s="1"/>
  <c r="E14" i="72"/>
  <c r="G14" i="72" s="1"/>
  <c r="E13" i="72"/>
  <c r="H13" i="72" s="1"/>
  <c r="E12" i="72"/>
  <c r="G12" i="72" s="1"/>
  <c r="E11" i="72"/>
  <c r="H11" i="72" s="1"/>
  <c r="E10" i="72"/>
  <c r="G10" i="72" s="1"/>
  <c r="F32" i="71"/>
  <c r="G32" i="71" s="1"/>
  <c r="E32" i="71"/>
  <c r="H30" i="71"/>
  <c r="G30" i="71"/>
  <c r="E30" i="71"/>
  <c r="E25" i="71"/>
  <c r="G25" i="71" s="1"/>
  <c r="E24" i="71"/>
  <c r="G24" i="71" s="1"/>
  <c r="E23" i="71"/>
  <c r="G23" i="71" s="1"/>
  <c r="E22" i="71"/>
  <c r="G22" i="71" s="1"/>
  <c r="E21" i="71"/>
  <c r="G21" i="71" s="1"/>
  <c r="E20" i="71"/>
  <c r="G20" i="71" s="1"/>
  <c r="E19" i="71"/>
  <c r="G19" i="71" s="1"/>
  <c r="E18" i="71"/>
  <c r="H18" i="71" s="1"/>
  <c r="E17" i="71"/>
  <c r="G17" i="71" s="1"/>
  <c r="H16" i="71"/>
  <c r="G16" i="71"/>
  <c r="E15" i="71"/>
  <c r="G15" i="71" s="1"/>
  <c r="H14" i="71"/>
  <c r="G14" i="71"/>
  <c r="E13" i="71"/>
  <c r="G13" i="71" s="1"/>
  <c r="E12" i="71"/>
  <c r="H12" i="71" s="1"/>
  <c r="E11" i="71"/>
  <c r="G11" i="71" s="1"/>
  <c r="E10" i="71"/>
  <c r="H10" i="71" s="1"/>
  <c r="E9" i="71"/>
  <c r="G9" i="71" s="1"/>
  <c r="I56" i="70"/>
  <c r="G56" i="70"/>
  <c r="E56" i="70"/>
  <c r="K56" i="70" s="1"/>
  <c r="E51" i="70"/>
  <c r="G51" i="70" s="1"/>
  <c r="E50" i="70"/>
  <c r="I50" i="70" s="1"/>
  <c r="E49" i="70"/>
  <c r="K49" i="70" s="1"/>
  <c r="E48" i="70"/>
  <c r="G48" i="70" s="1"/>
  <c r="E47" i="70"/>
  <c r="K47" i="70" s="1"/>
  <c r="E46" i="70"/>
  <c r="I46" i="70" s="1"/>
  <c r="E45" i="70"/>
  <c r="G45" i="70" s="1"/>
  <c r="E43" i="70"/>
  <c r="K43" i="70" s="1"/>
  <c r="E42" i="70"/>
  <c r="I42" i="70" s="1"/>
  <c r="E41" i="70"/>
  <c r="I41" i="70" s="1"/>
  <c r="E39" i="70"/>
  <c r="G39" i="70" s="1"/>
  <c r="E38" i="70"/>
  <c r="G38" i="70" s="1"/>
  <c r="E37" i="70"/>
  <c r="I37" i="70" s="1"/>
  <c r="E36" i="70"/>
  <c r="K36" i="70" s="1"/>
  <c r="E34" i="70"/>
  <c r="G34" i="70" s="1"/>
  <c r="E33" i="70"/>
  <c r="I33" i="70" s="1"/>
  <c r="E32" i="70"/>
  <c r="I32" i="70" s="1"/>
  <c r="E31" i="70"/>
  <c r="K31" i="70" s="1"/>
  <c r="E30" i="70"/>
  <c r="I30" i="70" s="1"/>
  <c r="E29" i="70"/>
  <c r="K29" i="70" s="1"/>
  <c r="E27" i="70"/>
  <c r="K27" i="70" s="1"/>
  <c r="J26" i="70"/>
  <c r="H26" i="70"/>
  <c r="F26" i="70"/>
  <c r="E26" i="70"/>
  <c r="K26" i="70" s="1"/>
  <c r="E25" i="70"/>
  <c r="K25" i="70" s="1"/>
  <c r="E24" i="70"/>
  <c r="I24" i="70" s="1"/>
  <c r="E23" i="70"/>
  <c r="I23" i="70" s="1"/>
  <c r="E22" i="70"/>
  <c r="K22" i="70" s="1"/>
  <c r="E21" i="70"/>
  <c r="K21" i="70" s="1"/>
  <c r="E20" i="70"/>
  <c r="G20" i="70" s="1"/>
  <c r="E19" i="70"/>
  <c r="K19" i="70" s="1"/>
  <c r="E18" i="70"/>
  <c r="K18" i="70" s="1"/>
  <c r="E17" i="70"/>
  <c r="G17" i="70" s="1"/>
  <c r="E16" i="70"/>
  <c r="K16" i="70" s="1"/>
  <c r="E15" i="70"/>
  <c r="K15" i="70" s="1"/>
  <c r="E14" i="70"/>
  <c r="G14" i="70" s="1"/>
  <c r="E13" i="70"/>
  <c r="K13" i="70" s="1"/>
  <c r="K57" i="70" s="1"/>
  <c r="E12" i="70"/>
  <c r="I12" i="70" s="1"/>
  <c r="I57" i="70" s="1"/>
  <c r="E11" i="70"/>
  <c r="G11" i="70" s="1"/>
  <c r="G57" i="70" s="1"/>
  <c r="E9" i="70"/>
  <c r="K9" i="70" s="1"/>
  <c r="E8" i="70"/>
  <c r="G8" i="70" s="1"/>
  <c r="F45" i="69"/>
  <c r="G45" i="69" s="1"/>
  <c r="F44" i="69"/>
  <c r="G44" i="69" s="1"/>
  <c r="F40" i="69"/>
  <c r="G40" i="69" s="1"/>
  <c r="F39" i="69"/>
  <c r="G39" i="69" s="1"/>
  <c r="F38" i="69"/>
  <c r="G38" i="69" s="1"/>
  <c r="F37" i="69"/>
  <c r="G37" i="69" s="1"/>
  <c r="F36" i="69"/>
  <c r="G36" i="69" s="1"/>
  <c r="F35" i="69"/>
  <c r="G35" i="69" s="1"/>
  <c r="F34" i="69"/>
  <c r="G34" i="69" s="1"/>
  <c r="F32" i="69"/>
  <c r="G32" i="69" s="1"/>
  <c r="F31" i="69"/>
  <c r="G31" i="69" s="1"/>
  <c r="F30" i="69"/>
  <c r="G30" i="69" s="1"/>
  <c r="F29" i="69"/>
  <c r="G29" i="69" s="1"/>
  <c r="F28" i="69"/>
  <c r="G28" i="69" s="1"/>
  <c r="F26" i="69"/>
  <c r="G26" i="69" s="1"/>
  <c r="F25" i="69"/>
  <c r="G25" i="69" s="1"/>
  <c r="F24" i="69"/>
  <c r="G24" i="69" s="1"/>
  <c r="F23" i="69"/>
  <c r="G23" i="69" s="1"/>
  <c r="E23" i="69"/>
  <c r="F22" i="69"/>
  <c r="G22" i="69" s="1"/>
  <c r="F21" i="69"/>
  <c r="G21" i="69" s="1"/>
  <c r="F20" i="69"/>
  <c r="G20" i="69" s="1"/>
  <c r="F19" i="69"/>
  <c r="G19" i="69" s="1"/>
  <c r="F18" i="69"/>
  <c r="G18" i="69" s="1"/>
  <c r="F17" i="69"/>
  <c r="G17" i="69" s="1"/>
  <c r="F16" i="69"/>
  <c r="G16" i="69" s="1"/>
  <c r="F15" i="69"/>
  <c r="G15" i="69" s="1"/>
  <c r="F14" i="69"/>
  <c r="G14" i="69" s="1"/>
  <c r="F13" i="69"/>
  <c r="G13" i="69" s="1"/>
  <c r="F12" i="69"/>
  <c r="G12" i="69" s="1"/>
  <c r="F11" i="69"/>
  <c r="G11" i="69" s="1"/>
  <c r="A11" i="69"/>
  <c r="F10" i="69"/>
  <c r="G10" i="69" s="1"/>
  <c r="F9" i="69"/>
  <c r="G9" i="69" s="1"/>
  <c r="F50" i="68"/>
  <c r="G50" i="68" s="1"/>
  <c r="G48" i="68"/>
  <c r="F48" i="68"/>
  <c r="G47" i="68"/>
  <c r="F47" i="68"/>
  <c r="F43" i="68"/>
  <c r="G43" i="68" s="1"/>
  <c r="F42" i="68"/>
  <c r="G42" i="68" s="1"/>
  <c r="F41" i="68"/>
  <c r="G41" i="68" s="1"/>
  <c r="F40" i="68"/>
  <c r="G40" i="68" s="1"/>
  <c r="F39" i="68"/>
  <c r="G39" i="68" s="1"/>
  <c r="F38" i="68"/>
  <c r="G38" i="68" s="1"/>
  <c r="F37" i="68"/>
  <c r="G37" i="68" s="1"/>
  <c r="F36" i="68"/>
  <c r="G36" i="68" s="1"/>
  <c r="F35" i="68"/>
  <c r="G35" i="68" s="1"/>
  <c r="F34" i="68"/>
  <c r="G34" i="68" s="1"/>
  <c r="F32" i="68"/>
  <c r="G32" i="68" s="1"/>
  <c r="F31" i="68"/>
  <c r="G31" i="68" s="1"/>
  <c r="F30" i="68"/>
  <c r="G30" i="68" s="1"/>
  <c r="F29" i="68"/>
  <c r="G29" i="68" s="1"/>
  <c r="F28" i="68"/>
  <c r="G28" i="68" s="1"/>
  <c r="F27" i="68"/>
  <c r="G27" i="68" s="1"/>
  <c r="F25" i="68"/>
  <c r="G25" i="68" s="1"/>
  <c r="F24" i="68"/>
  <c r="G24" i="68" s="1"/>
  <c r="F23" i="68"/>
  <c r="G23" i="68" s="1"/>
  <c r="F22" i="68"/>
  <c r="G22" i="68" s="1"/>
  <c r="E22" i="68"/>
  <c r="F21" i="68"/>
  <c r="G21" i="68" s="1"/>
  <c r="F20" i="68"/>
  <c r="G20" i="68" s="1"/>
  <c r="F19" i="68"/>
  <c r="G19" i="68" s="1"/>
  <c r="F18" i="68"/>
  <c r="G18" i="68" s="1"/>
  <c r="F17" i="68"/>
  <c r="G17" i="68" s="1"/>
  <c r="F16" i="68"/>
  <c r="G16" i="68" s="1"/>
  <c r="F15" i="68"/>
  <c r="G15" i="68" s="1"/>
  <c r="F14" i="68"/>
  <c r="G14" i="68" s="1"/>
  <c r="F13" i="68"/>
  <c r="G13" i="68" s="1"/>
  <c r="F12" i="68"/>
  <c r="G12" i="68" s="1"/>
  <c r="F11" i="68"/>
  <c r="G11" i="68" s="1"/>
  <c r="F10" i="68"/>
  <c r="G10" i="68" s="1"/>
  <c r="H32" i="67"/>
  <c r="G32" i="67"/>
  <c r="E32" i="67"/>
  <c r="E27" i="67"/>
  <c r="H27" i="67" s="1"/>
  <c r="H26" i="67"/>
  <c r="G26" i="67"/>
  <c r="E25" i="67"/>
  <c r="H25" i="67" s="1"/>
  <c r="E24" i="67"/>
  <c r="H24" i="67" s="1"/>
  <c r="E23" i="67"/>
  <c r="G23" i="67" s="1"/>
  <c r="E22" i="67"/>
  <c r="H22" i="67" s="1"/>
  <c r="E21" i="67"/>
  <c r="H21" i="67" s="1"/>
  <c r="E20" i="67"/>
  <c r="G20" i="67" s="1"/>
  <c r="E19" i="67"/>
  <c r="H19" i="67" s="1"/>
  <c r="H18" i="67"/>
  <c r="G18" i="67"/>
  <c r="E17" i="67"/>
  <c r="G17" i="67" s="1"/>
  <c r="E16" i="67"/>
  <c r="H16" i="67" s="1"/>
  <c r="E15" i="67"/>
  <c r="H15" i="67" s="1"/>
  <c r="E14" i="67"/>
  <c r="G14" i="67" s="1"/>
  <c r="E13" i="67"/>
  <c r="H13" i="67" s="1"/>
  <c r="E12" i="67"/>
  <c r="G12" i="67" s="1"/>
  <c r="E11" i="67"/>
  <c r="H11" i="67" s="1"/>
  <c r="E10" i="67"/>
  <c r="G10" i="67" s="1"/>
  <c r="F35" i="66"/>
  <c r="H34" i="66"/>
  <c r="G34" i="66"/>
  <c r="E34" i="66"/>
  <c r="F29" i="66"/>
  <c r="E29" i="66"/>
  <c r="G29" i="66" s="1"/>
  <c r="E28" i="66"/>
  <c r="H28" i="66" s="1"/>
  <c r="E27" i="66"/>
  <c r="H27" i="66" s="1"/>
  <c r="E26" i="66"/>
  <c r="H26" i="66" s="1"/>
  <c r="E25" i="66"/>
  <c r="H25" i="66" s="1"/>
  <c r="E24" i="66"/>
  <c r="H24" i="66" s="1"/>
  <c r="E23" i="66"/>
  <c r="H23" i="66" s="1"/>
  <c r="E22" i="66"/>
  <c r="H22" i="66" s="1"/>
  <c r="F21" i="66"/>
  <c r="E21" i="66"/>
  <c r="H21" i="66" s="1"/>
  <c r="F20" i="66"/>
  <c r="E20" i="66"/>
  <c r="H20" i="66" s="1"/>
  <c r="H19" i="66"/>
  <c r="G19" i="66"/>
  <c r="E18" i="66"/>
  <c r="H18" i="66" s="1"/>
  <c r="H17" i="66"/>
  <c r="G17" i="66"/>
  <c r="E16" i="66"/>
  <c r="H16" i="66" s="1"/>
  <c r="E15" i="66"/>
  <c r="H15" i="66" s="1"/>
  <c r="E14" i="66"/>
  <c r="G14" i="66" s="1"/>
  <c r="E13" i="66"/>
  <c r="H13" i="66" s="1"/>
  <c r="E12" i="66"/>
  <c r="G12" i="66" s="1"/>
  <c r="E11" i="66"/>
  <c r="G11" i="66" s="1"/>
  <c r="E10" i="66"/>
  <c r="G10" i="66" s="1"/>
  <c r="G34" i="65"/>
  <c r="F34" i="65"/>
  <c r="H34" i="65" s="1"/>
  <c r="E34" i="65"/>
  <c r="G32" i="65"/>
  <c r="E32" i="65"/>
  <c r="H32" i="65" s="1"/>
  <c r="E27" i="65"/>
  <c r="H27" i="65" s="1"/>
  <c r="E26" i="65"/>
  <c r="G26" i="65" s="1"/>
  <c r="E25" i="65"/>
  <c r="H25" i="65" s="1"/>
  <c r="E24" i="65"/>
  <c r="G24" i="65" s="1"/>
  <c r="F23" i="65"/>
  <c r="E23" i="65"/>
  <c r="H23" i="65" s="1"/>
  <c r="E22" i="65"/>
  <c r="G22" i="65" s="1"/>
  <c r="E21" i="65"/>
  <c r="G21" i="65" s="1"/>
  <c r="E20" i="65"/>
  <c r="G20" i="65" s="1"/>
  <c r="F19" i="65"/>
  <c r="E19" i="65"/>
  <c r="G19" i="65" s="1"/>
  <c r="F18" i="65"/>
  <c r="E18" i="65"/>
  <c r="H17" i="65"/>
  <c r="G17" i="65"/>
  <c r="E16" i="65"/>
  <c r="H16" i="65" s="1"/>
  <c r="H15" i="65"/>
  <c r="G15" i="65"/>
  <c r="E14" i="65"/>
  <c r="G14" i="65" s="1"/>
  <c r="E13" i="65"/>
  <c r="G13" i="65" s="1"/>
  <c r="E12" i="65"/>
  <c r="G12" i="65" s="1"/>
  <c r="E11" i="65"/>
  <c r="G11" i="65" s="1"/>
  <c r="E10" i="65"/>
  <c r="H10" i="65" s="1"/>
  <c r="F48" i="64"/>
  <c r="G48" i="64" s="1"/>
  <c r="F44" i="64"/>
  <c r="G44" i="64" s="1"/>
  <c r="F43" i="64"/>
  <c r="G43" i="64" s="1"/>
  <c r="F42" i="64"/>
  <c r="G42" i="64" s="1"/>
  <c r="F41" i="64"/>
  <c r="G41" i="64" s="1"/>
  <c r="F40" i="64"/>
  <c r="G40" i="64" s="1"/>
  <c r="F39" i="64"/>
  <c r="G39" i="64" s="1"/>
  <c r="F38" i="64"/>
  <c r="G38" i="64" s="1"/>
  <c r="F37" i="64"/>
  <c r="G37" i="64" s="1"/>
  <c r="F36" i="64"/>
  <c r="G36" i="64" s="1"/>
  <c r="F34" i="64"/>
  <c r="G34" i="64" s="1"/>
  <c r="F33" i="64"/>
  <c r="G33" i="64" s="1"/>
  <c r="F32" i="64"/>
  <c r="G32" i="64" s="1"/>
  <c r="F31" i="64"/>
  <c r="F30" i="64"/>
  <c r="G30" i="64" s="1"/>
  <c r="F29" i="64"/>
  <c r="F28" i="64"/>
  <c r="G28" i="64" s="1"/>
  <c r="F27" i="64"/>
  <c r="G27" i="64" s="1"/>
  <c r="F26" i="64"/>
  <c r="G26" i="64" s="1"/>
  <c r="E25" i="64"/>
  <c r="F24" i="64"/>
  <c r="G24" i="64" s="1"/>
  <c r="F23" i="64"/>
  <c r="G23" i="64" s="1"/>
  <c r="F22" i="64"/>
  <c r="G22" i="64" s="1"/>
  <c r="F21" i="64"/>
  <c r="G21" i="64" s="1"/>
  <c r="F20" i="64"/>
  <c r="G20" i="64" s="1"/>
  <c r="F19" i="64"/>
  <c r="E19" i="64"/>
  <c r="F18" i="64"/>
  <c r="G18" i="64" s="1"/>
  <c r="F17" i="64"/>
  <c r="G17" i="64" s="1"/>
  <c r="F16" i="64"/>
  <c r="G16" i="64" s="1"/>
  <c r="F15" i="64"/>
  <c r="G15" i="64" s="1"/>
  <c r="F14" i="64"/>
  <c r="G14" i="64" s="1"/>
  <c r="F13" i="64"/>
  <c r="G13" i="64" s="1"/>
  <c r="F12" i="64"/>
  <c r="G12" i="64" s="1"/>
  <c r="F11" i="64"/>
  <c r="G11" i="64" s="1"/>
  <c r="F10" i="64"/>
  <c r="G10" i="64" s="1"/>
  <c r="F9" i="64"/>
  <c r="G9" i="64" s="1"/>
  <c r="H53" i="63"/>
  <c r="H54" i="63" s="1"/>
  <c r="L51" i="63"/>
  <c r="L52" i="63" s="1"/>
  <c r="L53" i="63" s="1"/>
  <c r="L54" i="63" s="1"/>
  <c r="J51" i="63"/>
  <c r="J52" i="63" s="1"/>
  <c r="J53" i="63" s="1"/>
  <c r="J54" i="63" s="1"/>
  <c r="H51" i="63"/>
  <c r="H52" i="63" s="1"/>
  <c r="L39" i="63"/>
  <c r="J39" i="63"/>
  <c r="F39" i="63"/>
  <c r="F34" i="63"/>
  <c r="L34" i="63" s="1"/>
  <c r="F33" i="63"/>
  <c r="J33" i="63" s="1"/>
  <c r="F32" i="63"/>
  <c r="H32" i="63" s="1"/>
  <c r="F30" i="63"/>
  <c r="L30" i="63" s="1"/>
  <c r="F29" i="63"/>
  <c r="L29" i="63" s="1"/>
  <c r="F28" i="63"/>
  <c r="J28" i="63" s="1"/>
  <c r="F27" i="63"/>
  <c r="L27" i="63" s="1"/>
  <c r="F26" i="63"/>
  <c r="F25" i="63"/>
  <c r="J25" i="63" s="1"/>
  <c r="F24" i="63"/>
  <c r="L24" i="63" s="1"/>
  <c r="F22" i="63"/>
  <c r="L22" i="63" s="1"/>
  <c r="F21" i="63"/>
  <c r="J21" i="63" s="1"/>
  <c r="F20" i="63"/>
  <c r="L20" i="63" s="1"/>
  <c r="F19" i="63"/>
  <c r="J19" i="63" s="1"/>
  <c r="K18" i="63"/>
  <c r="I18" i="63"/>
  <c r="F18" i="63"/>
  <c r="F17" i="63"/>
  <c r="L17" i="63" s="1"/>
  <c r="F16" i="63"/>
  <c r="L16" i="63" s="1"/>
  <c r="F15" i="63"/>
  <c r="L15" i="63" s="1"/>
  <c r="K14" i="63"/>
  <c r="F14" i="63"/>
  <c r="J14" i="63" s="1"/>
  <c r="F13" i="63"/>
  <c r="L13" i="63" s="1"/>
  <c r="F12" i="63"/>
  <c r="L12" i="63" s="1"/>
  <c r="L40" i="63" s="1"/>
  <c r="F11" i="63"/>
  <c r="J11" i="63" s="1"/>
  <c r="F10" i="63"/>
  <c r="H10" i="63" s="1"/>
  <c r="H40" i="63" s="1"/>
  <c r="S61" i="62"/>
  <c r="R61" i="62"/>
  <c r="P61" i="62"/>
  <c r="O61" i="62"/>
  <c r="L61" i="62"/>
  <c r="M61" i="62" s="1"/>
  <c r="J61" i="62"/>
  <c r="I61" i="62"/>
  <c r="G61" i="62"/>
  <c r="F61" i="62"/>
  <c r="M60" i="62"/>
  <c r="S59" i="62"/>
  <c r="L59" i="62"/>
  <c r="I59" i="62"/>
  <c r="J59" i="62" s="1"/>
  <c r="G59" i="62"/>
  <c r="R55" i="62"/>
  <c r="S55" i="62" s="1"/>
  <c r="O55" i="62"/>
  <c r="P55" i="62" s="1"/>
  <c r="L55" i="62"/>
  <c r="M55" i="62" s="1"/>
  <c r="R54" i="62"/>
  <c r="S54" i="62" s="1"/>
  <c r="O53" i="62"/>
  <c r="P53" i="62" s="1"/>
  <c r="L52" i="62"/>
  <c r="M52" i="62" s="1"/>
  <c r="I51" i="62"/>
  <c r="J51" i="62" s="1"/>
  <c r="R49" i="62"/>
  <c r="S49" i="62" s="1"/>
  <c r="O49" i="62"/>
  <c r="P49" i="62" s="1"/>
  <c r="R48" i="62"/>
  <c r="S48" i="62" s="1"/>
  <c r="O48" i="62"/>
  <c r="P48" i="62" s="1"/>
  <c r="L47" i="62"/>
  <c r="M47" i="62" s="1"/>
  <c r="I46" i="62"/>
  <c r="I45" i="62"/>
  <c r="J45" i="62" s="1"/>
  <c r="F44" i="62"/>
  <c r="G44" i="62" s="1"/>
  <c r="F42" i="62"/>
  <c r="G42" i="62" s="1"/>
  <c r="R41" i="62"/>
  <c r="S41" i="62" s="1"/>
  <c r="F41" i="62"/>
  <c r="I41" i="62" s="1"/>
  <c r="J41" i="62" s="1"/>
  <c r="R40" i="62"/>
  <c r="S40" i="62" s="1"/>
  <c r="F40" i="62"/>
  <c r="O40" i="62" s="1"/>
  <c r="P40" i="62" s="1"/>
  <c r="R39" i="62"/>
  <c r="S39" i="62" s="1"/>
  <c r="F39" i="62"/>
  <c r="R38" i="62"/>
  <c r="S38" i="62" s="1"/>
  <c r="F38" i="62"/>
  <c r="I38" i="62" s="1"/>
  <c r="J38" i="62" s="1"/>
  <c r="R36" i="62"/>
  <c r="S36" i="62" s="1"/>
  <c r="F36" i="62"/>
  <c r="O36" i="62" s="1"/>
  <c r="P36" i="62" s="1"/>
  <c r="R35" i="62"/>
  <c r="S35" i="62" s="1"/>
  <c r="F35" i="62"/>
  <c r="O35" i="62" s="1"/>
  <c r="P35" i="62" s="1"/>
  <c r="R34" i="62"/>
  <c r="S34" i="62" s="1"/>
  <c r="F34" i="62"/>
  <c r="O34" i="62" s="1"/>
  <c r="P34" i="62" s="1"/>
  <c r="R33" i="62"/>
  <c r="S33" i="62" s="1"/>
  <c r="F33" i="62"/>
  <c r="O33" i="62" s="1"/>
  <c r="P33" i="62" s="1"/>
  <c r="R32" i="62"/>
  <c r="S32" i="62" s="1"/>
  <c r="F32" i="62"/>
  <c r="O32" i="62" s="1"/>
  <c r="P32" i="62" s="1"/>
  <c r="R31" i="62"/>
  <c r="S31" i="62" s="1"/>
  <c r="F31" i="62"/>
  <c r="I31" i="62" s="1"/>
  <c r="J31" i="62" s="1"/>
  <c r="R29" i="62"/>
  <c r="S29" i="62" s="1"/>
  <c r="F29" i="62"/>
  <c r="O29" i="62" s="1"/>
  <c r="P29" i="62" s="1"/>
  <c r="R28" i="62"/>
  <c r="S28" i="62" s="1"/>
  <c r="F28" i="62"/>
  <c r="R27" i="62"/>
  <c r="S27" i="62" s="1"/>
  <c r="F27" i="62"/>
  <c r="O27" i="62" s="1"/>
  <c r="P27" i="62" s="1"/>
  <c r="R26" i="62"/>
  <c r="Q26" i="62"/>
  <c r="N26" i="62"/>
  <c r="K26" i="62"/>
  <c r="H26" i="62"/>
  <c r="F26" i="62"/>
  <c r="I26" i="62" s="1"/>
  <c r="E26" i="62"/>
  <c r="R25" i="62"/>
  <c r="S25" i="62" s="1"/>
  <c r="F25" i="62"/>
  <c r="G25" i="62" s="1"/>
  <c r="R24" i="62"/>
  <c r="S24" i="62" s="1"/>
  <c r="F24" i="62"/>
  <c r="O24" i="62" s="1"/>
  <c r="P24" i="62" s="1"/>
  <c r="R23" i="62"/>
  <c r="S23" i="62" s="1"/>
  <c r="F23" i="62"/>
  <c r="I23" i="62" s="1"/>
  <c r="J23" i="62" s="1"/>
  <c r="R22" i="62"/>
  <c r="S22" i="62" s="1"/>
  <c r="F22" i="62"/>
  <c r="O22" i="62" s="1"/>
  <c r="P22" i="62" s="1"/>
  <c r="R21" i="62"/>
  <c r="S21" i="62" s="1"/>
  <c r="O21" i="62"/>
  <c r="P21" i="62" s="1"/>
  <c r="L21" i="62"/>
  <c r="M21" i="62" s="1"/>
  <c r="I21" i="62"/>
  <c r="J21" i="62" s="1"/>
  <c r="F21" i="62"/>
  <c r="G21" i="62" s="1"/>
  <c r="R20" i="62"/>
  <c r="S20" i="62" s="1"/>
  <c r="F20" i="62"/>
  <c r="I20" i="62" s="1"/>
  <c r="J20" i="62" s="1"/>
  <c r="R19" i="62"/>
  <c r="S19" i="62" s="1"/>
  <c r="F19" i="62"/>
  <c r="O19" i="62" s="1"/>
  <c r="P19" i="62" s="1"/>
  <c r="R18" i="62"/>
  <c r="S18" i="62" s="1"/>
  <c r="F18" i="62"/>
  <c r="I18" i="62" s="1"/>
  <c r="J18" i="62" s="1"/>
  <c r="R17" i="62"/>
  <c r="S17" i="62" s="1"/>
  <c r="F17" i="62"/>
  <c r="I17" i="62" s="1"/>
  <c r="J17" i="62" s="1"/>
  <c r="R16" i="62"/>
  <c r="S16" i="62" s="1"/>
  <c r="F16" i="62"/>
  <c r="O16" i="62" s="1"/>
  <c r="P16" i="62" s="1"/>
  <c r="R15" i="62"/>
  <c r="S15" i="62" s="1"/>
  <c r="F15" i="62"/>
  <c r="O15" i="62" s="1"/>
  <c r="P15" i="62" s="1"/>
  <c r="R14" i="62"/>
  <c r="S14" i="62" s="1"/>
  <c r="H14" i="62"/>
  <c r="K14" i="62" s="1"/>
  <c r="N14" i="62" s="1"/>
  <c r="F14" i="62"/>
  <c r="G14" i="62" s="1"/>
  <c r="R13" i="62"/>
  <c r="S13" i="62" s="1"/>
  <c r="O12" i="62"/>
  <c r="P12" i="62" s="1"/>
  <c r="P62" i="62" s="1"/>
  <c r="L11" i="62"/>
  <c r="M11" i="62" s="1"/>
  <c r="I10" i="62"/>
  <c r="J10" i="62" s="1"/>
  <c r="F9" i="62"/>
  <c r="G9" i="62" s="1"/>
  <c r="S61" i="61"/>
  <c r="R61" i="61"/>
  <c r="P61" i="61"/>
  <c r="O61" i="61"/>
  <c r="M61" i="61"/>
  <c r="L61" i="61"/>
  <c r="J61" i="61"/>
  <c r="I61" i="61"/>
  <c r="G61" i="61"/>
  <c r="F61" i="61"/>
  <c r="M60" i="61"/>
  <c r="S59" i="61"/>
  <c r="O59" i="61"/>
  <c r="P59" i="61" s="1"/>
  <c r="R55" i="61"/>
  <c r="S55" i="61" s="1"/>
  <c r="L55" i="61"/>
  <c r="M55" i="61" s="1"/>
  <c r="R54" i="61"/>
  <c r="S54" i="61" s="1"/>
  <c r="O53" i="61"/>
  <c r="P53" i="61" s="1"/>
  <c r="L52" i="61"/>
  <c r="M52" i="61" s="1"/>
  <c r="I51" i="61"/>
  <c r="J51" i="61" s="1"/>
  <c r="R49" i="61"/>
  <c r="S49" i="61" s="1"/>
  <c r="O49" i="61"/>
  <c r="P49" i="61" s="1"/>
  <c r="R48" i="61"/>
  <c r="S48" i="61" s="1"/>
  <c r="L48" i="61"/>
  <c r="M48" i="61" s="1"/>
  <c r="I47" i="61"/>
  <c r="J47" i="61" s="1"/>
  <c r="F46" i="61"/>
  <c r="G46" i="61" s="1"/>
  <c r="F44" i="61"/>
  <c r="G44" i="61" s="1"/>
  <c r="R43" i="61"/>
  <c r="S43" i="61" s="1"/>
  <c r="F43" i="61"/>
  <c r="L43" i="61" s="1"/>
  <c r="M43" i="61" s="1"/>
  <c r="R42" i="61"/>
  <c r="S42" i="61" s="1"/>
  <c r="F42" i="61"/>
  <c r="I42" i="61" s="1"/>
  <c r="J42" i="61" s="1"/>
  <c r="R41" i="61"/>
  <c r="S41" i="61" s="1"/>
  <c r="F41" i="61"/>
  <c r="G41" i="61" s="1"/>
  <c r="R40" i="61"/>
  <c r="S40" i="61" s="1"/>
  <c r="F40" i="61"/>
  <c r="G40" i="61" s="1"/>
  <c r="R38" i="61"/>
  <c r="S38" i="61" s="1"/>
  <c r="F38" i="61"/>
  <c r="G38" i="61" s="1"/>
  <c r="R37" i="61"/>
  <c r="S37" i="61" s="1"/>
  <c r="F37" i="61"/>
  <c r="G37" i="61" s="1"/>
  <c r="R36" i="61"/>
  <c r="S36" i="61" s="1"/>
  <c r="F36" i="61"/>
  <c r="I36" i="61" s="1"/>
  <c r="J36" i="61" s="1"/>
  <c r="R35" i="61"/>
  <c r="S35" i="61" s="1"/>
  <c r="F35" i="61"/>
  <c r="R34" i="61"/>
  <c r="S34" i="61" s="1"/>
  <c r="F34" i="61"/>
  <c r="G34" i="61" s="1"/>
  <c r="R33" i="61"/>
  <c r="S33" i="61" s="1"/>
  <c r="F33" i="61"/>
  <c r="O33" i="61" s="1"/>
  <c r="P33" i="61" s="1"/>
  <c r="R31" i="61"/>
  <c r="S31" i="61" s="1"/>
  <c r="F31" i="61"/>
  <c r="G31" i="61" s="1"/>
  <c r="R30" i="61"/>
  <c r="S30" i="61" s="1"/>
  <c r="F30" i="61"/>
  <c r="I30" i="61" s="1"/>
  <c r="J30" i="61" s="1"/>
  <c r="R29" i="61"/>
  <c r="S29" i="61" s="1"/>
  <c r="F29" i="61"/>
  <c r="R28" i="61"/>
  <c r="Q28" i="61"/>
  <c r="H28" i="61"/>
  <c r="K28" i="61" s="1"/>
  <c r="N28" i="61" s="1"/>
  <c r="F28" i="61"/>
  <c r="L28" i="61" s="1"/>
  <c r="E28" i="61"/>
  <c r="R27" i="61"/>
  <c r="S27" i="61" s="1"/>
  <c r="F27" i="61"/>
  <c r="L27" i="61" s="1"/>
  <c r="M27" i="61" s="1"/>
  <c r="R26" i="61"/>
  <c r="S26" i="61" s="1"/>
  <c r="O26" i="61"/>
  <c r="P26" i="61" s="1"/>
  <c r="L26" i="61"/>
  <c r="M26" i="61" s="1"/>
  <c r="I26" i="61"/>
  <c r="J26" i="61" s="1"/>
  <c r="F26" i="61"/>
  <c r="G26" i="61" s="1"/>
  <c r="R25" i="61"/>
  <c r="S25" i="61" s="1"/>
  <c r="F25" i="61"/>
  <c r="O25" i="61" s="1"/>
  <c r="P25" i="61" s="1"/>
  <c r="R24" i="61"/>
  <c r="S24" i="61" s="1"/>
  <c r="F24" i="61"/>
  <c r="L24" i="61" s="1"/>
  <c r="M24" i="61" s="1"/>
  <c r="R23" i="61"/>
  <c r="S23" i="61" s="1"/>
  <c r="F23" i="61"/>
  <c r="R22" i="61"/>
  <c r="S22" i="61" s="1"/>
  <c r="O22" i="61"/>
  <c r="P22" i="61" s="1"/>
  <c r="L22" i="61"/>
  <c r="M22" i="61" s="1"/>
  <c r="I22" i="61"/>
  <c r="J22" i="61" s="1"/>
  <c r="F22" i="61"/>
  <c r="G22" i="61" s="1"/>
  <c r="R21" i="61"/>
  <c r="S21" i="61" s="1"/>
  <c r="F21" i="61"/>
  <c r="L21" i="61" s="1"/>
  <c r="M21" i="61" s="1"/>
  <c r="R20" i="61"/>
  <c r="S20" i="61" s="1"/>
  <c r="F20" i="61"/>
  <c r="I20" i="61" s="1"/>
  <c r="J20" i="61" s="1"/>
  <c r="R19" i="61"/>
  <c r="S19" i="61" s="1"/>
  <c r="F19" i="61"/>
  <c r="O19" i="61" s="1"/>
  <c r="P19" i="61" s="1"/>
  <c r="R18" i="61"/>
  <c r="S18" i="61" s="1"/>
  <c r="F18" i="61"/>
  <c r="L18" i="61" s="1"/>
  <c r="M18" i="61" s="1"/>
  <c r="R17" i="61"/>
  <c r="S17" i="61" s="1"/>
  <c r="F17" i="61"/>
  <c r="I17" i="61" s="1"/>
  <c r="J17" i="61" s="1"/>
  <c r="R16" i="61"/>
  <c r="S16" i="61" s="1"/>
  <c r="F16" i="61"/>
  <c r="O16" i="61" s="1"/>
  <c r="P16" i="61" s="1"/>
  <c r="R15" i="61"/>
  <c r="S15" i="61" s="1"/>
  <c r="H15" i="61"/>
  <c r="K15" i="61" s="1"/>
  <c r="N15" i="61" s="1"/>
  <c r="F15" i="61"/>
  <c r="G15" i="61" s="1"/>
  <c r="R14" i="61"/>
  <c r="S14" i="61" s="1"/>
  <c r="S63" i="61" s="1"/>
  <c r="O13" i="61"/>
  <c r="P13" i="61" s="1"/>
  <c r="L12" i="61"/>
  <c r="M12" i="61" s="1"/>
  <c r="M62" i="61" s="1"/>
  <c r="I11" i="61"/>
  <c r="J11" i="61" s="1"/>
  <c r="F10" i="61"/>
  <c r="G10" i="61" s="1"/>
  <c r="E36" i="60"/>
  <c r="G36" i="60" s="1"/>
  <c r="E32" i="60"/>
  <c r="I32" i="60" s="1"/>
  <c r="E31" i="60"/>
  <c r="I31" i="60" s="1"/>
  <c r="E30" i="60"/>
  <c r="I30" i="60" s="1"/>
  <c r="H29" i="60"/>
  <c r="F29" i="60"/>
  <c r="E28" i="60"/>
  <c r="G28" i="60" s="1"/>
  <c r="E27" i="60"/>
  <c r="I27" i="60" s="1"/>
  <c r="E26" i="60"/>
  <c r="E25" i="60"/>
  <c r="G25" i="60" s="1"/>
  <c r="E24" i="60"/>
  <c r="G24" i="60" s="1"/>
  <c r="H23" i="60"/>
  <c r="F23" i="60"/>
  <c r="E23" i="60"/>
  <c r="I23" i="60" s="1"/>
  <c r="E22" i="60"/>
  <c r="I22" i="60" s="1"/>
  <c r="E20" i="60"/>
  <c r="I20" i="60" s="1"/>
  <c r="E19" i="60"/>
  <c r="I19" i="60" s="1"/>
  <c r="E18" i="60"/>
  <c r="I18" i="60" s="1"/>
  <c r="E17" i="60"/>
  <c r="I17" i="60" s="1"/>
  <c r="E16" i="60"/>
  <c r="G16" i="60" s="1"/>
  <c r="E15" i="60"/>
  <c r="G15" i="60" s="1"/>
  <c r="E14" i="60"/>
  <c r="I14" i="60" s="1"/>
  <c r="E13" i="60"/>
  <c r="G13" i="60" s="1"/>
  <c r="E12" i="60"/>
  <c r="E11" i="60"/>
  <c r="G11" i="60" s="1"/>
  <c r="E10" i="60"/>
  <c r="I10" i="60" s="1"/>
  <c r="M64" i="59"/>
  <c r="S63" i="59"/>
  <c r="O63" i="59"/>
  <c r="P63" i="59" s="1"/>
  <c r="L63" i="59"/>
  <c r="M63" i="59" s="1"/>
  <c r="I63" i="59"/>
  <c r="J63" i="59" s="1"/>
  <c r="G63" i="59"/>
  <c r="S62" i="59"/>
  <c r="R62" i="59"/>
  <c r="Q62" i="59"/>
  <c r="P62" i="59"/>
  <c r="O62" i="59"/>
  <c r="N62" i="59"/>
  <c r="M62" i="59"/>
  <c r="L62" i="59"/>
  <c r="K62" i="59"/>
  <c r="J62" i="59"/>
  <c r="I62" i="59"/>
  <c r="F62" i="59"/>
  <c r="G62" i="59" s="1"/>
  <c r="I61" i="59"/>
  <c r="J61" i="59" s="1"/>
  <c r="G61" i="59"/>
  <c r="F61" i="59"/>
  <c r="R57" i="59"/>
  <c r="S57" i="59" s="1"/>
  <c r="O57" i="59"/>
  <c r="P57" i="59" s="1"/>
  <c r="L57" i="59"/>
  <c r="M57" i="59" s="1"/>
  <c r="R56" i="59"/>
  <c r="S56" i="59" s="1"/>
  <c r="O55" i="59"/>
  <c r="P55" i="59" s="1"/>
  <c r="L54" i="59"/>
  <c r="M54" i="59" s="1"/>
  <c r="I53" i="59"/>
  <c r="J53" i="59" s="1"/>
  <c r="R51" i="59"/>
  <c r="S51" i="59" s="1"/>
  <c r="R50" i="59"/>
  <c r="S50" i="59" s="1"/>
  <c r="O50" i="59"/>
  <c r="P50" i="59" s="1"/>
  <c r="L49" i="59"/>
  <c r="I48" i="59"/>
  <c r="J48" i="59" s="1"/>
  <c r="I47" i="59"/>
  <c r="J47" i="59" s="1"/>
  <c r="F46" i="59"/>
  <c r="G46" i="59" s="1"/>
  <c r="F44" i="59"/>
  <c r="G44" i="59" s="1"/>
  <c r="R43" i="59"/>
  <c r="S43" i="59" s="1"/>
  <c r="F43" i="59"/>
  <c r="O43" i="59" s="1"/>
  <c r="P43" i="59" s="1"/>
  <c r="R42" i="59"/>
  <c r="S42" i="59" s="1"/>
  <c r="F42" i="59"/>
  <c r="O42" i="59" s="1"/>
  <c r="P42" i="59" s="1"/>
  <c r="R41" i="59"/>
  <c r="S41" i="59" s="1"/>
  <c r="F41" i="59"/>
  <c r="I41" i="59" s="1"/>
  <c r="J41" i="59" s="1"/>
  <c r="R40" i="59"/>
  <c r="S40" i="59" s="1"/>
  <c r="F40" i="59"/>
  <c r="O40" i="59" s="1"/>
  <c r="P40" i="59" s="1"/>
  <c r="R38" i="59"/>
  <c r="S38" i="59" s="1"/>
  <c r="F38" i="59"/>
  <c r="O38" i="59" s="1"/>
  <c r="P38" i="59" s="1"/>
  <c r="R37" i="59"/>
  <c r="S37" i="59" s="1"/>
  <c r="F37" i="59"/>
  <c r="L37" i="59" s="1"/>
  <c r="M37" i="59" s="1"/>
  <c r="R36" i="59"/>
  <c r="S36" i="59" s="1"/>
  <c r="F36" i="59"/>
  <c r="O36" i="59" s="1"/>
  <c r="P36" i="59" s="1"/>
  <c r="R35" i="59"/>
  <c r="S35" i="59" s="1"/>
  <c r="F35" i="59"/>
  <c r="O35" i="59" s="1"/>
  <c r="P35" i="59" s="1"/>
  <c r="R34" i="59"/>
  <c r="S34" i="59" s="1"/>
  <c r="F34" i="59"/>
  <c r="L34" i="59" s="1"/>
  <c r="M34" i="59" s="1"/>
  <c r="R33" i="59"/>
  <c r="S33" i="59" s="1"/>
  <c r="F33" i="59"/>
  <c r="O33" i="59" s="1"/>
  <c r="P33" i="59" s="1"/>
  <c r="R31" i="59"/>
  <c r="S31" i="59" s="1"/>
  <c r="F31" i="59"/>
  <c r="O31" i="59" s="1"/>
  <c r="P31" i="59" s="1"/>
  <c r="R30" i="59"/>
  <c r="S30" i="59" s="1"/>
  <c r="F30" i="59"/>
  <c r="L30" i="59" s="1"/>
  <c r="M30" i="59" s="1"/>
  <c r="R29" i="59"/>
  <c r="S29" i="59" s="1"/>
  <c r="F29" i="59"/>
  <c r="G29" i="59" s="1"/>
  <c r="R28" i="59"/>
  <c r="S28" i="59" s="1"/>
  <c r="Q28" i="59"/>
  <c r="N28" i="59"/>
  <c r="K28" i="59"/>
  <c r="H28" i="59"/>
  <c r="F28" i="59"/>
  <c r="L28" i="59" s="1"/>
  <c r="M28" i="59" s="1"/>
  <c r="E28" i="59"/>
  <c r="F27" i="59"/>
  <c r="L27" i="59" s="1"/>
  <c r="M27" i="59" s="1"/>
  <c r="R26" i="59"/>
  <c r="S26" i="59" s="1"/>
  <c r="F26" i="59"/>
  <c r="O26" i="59" s="1"/>
  <c r="P26" i="59" s="1"/>
  <c r="R25" i="59"/>
  <c r="S25" i="59" s="1"/>
  <c r="F25" i="59"/>
  <c r="I25" i="59" s="1"/>
  <c r="J25" i="59" s="1"/>
  <c r="R24" i="59"/>
  <c r="S24" i="59" s="1"/>
  <c r="F24" i="59"/>
  <c r="O24" i="59" s="1"/>
  <c r="P24" i="59" s="1"/>
  <c r="I23" i="59"/>
  <c r="J23" i="59" s="1"/>
  <c r="F23" i="59"/>
  <c r="G23" i="59" s="1"/>
  <c r="R22" i="59"/>
  <c r="S22" i="59" s="1"/>
  <c r="O22" i="59"/>
  <c r="P22" i="59" s="1"/>
  <c r="L22" i="59"/>
  <c r="M22" i="59" s="1"/>
  <c r="R21" i="59"/>
  <c r="S21" i="59" s="1"/>
  <c r="F21" i="59"/>
  <c r="I21" i="59" s="1"/>
  <c r="J21" i="59" s="1"/>
  <c r="R20" i="59"/>
  <c r="S20" i="59" s="1"/>
  <c r="F20" i="59"/>
  <c r="O20" i="59" s="1"/>
  <c r="P20" i="59" s="1"/>
  <c r="R19" i="59"/>
  <c r="S19" i="59" s="1"/>
  <c r="F19" i="59"/>
  <c r="O19" i="59" s="1"/>
  <c r="P19" i="59" s="1"/>
  <c r="R18" i="59"/>
  <c r="S18" i="59" s="1"/>
  <c r="F18" i="59"/>
  <c r="I18" i="59" s="1"/>
  <c r="J18" i="59" s="1"/>
  <c r="R17" i="59"/>
  <c r="S17" i="59" s="1"/>
  <c r="F17" i="59"/>
  <c r="O17" i="59" s="1"/>
  <c r="P17" i="59" s="1"/>
  <c r="R16" i="59"/>
  <c r="S16" i="59" s="1"/>
  <c r="F16" i="59"/>
  <c r="G16" i="59" s="1"/>
  <c r="R15" i="59"/>
  <c r="Q15" i="59"/>
  <c r="L15" i="59"/>
  <c r="O15" i="59" s="1"/>
  <c r="K15" i="59"/>
  <c r="N15" i="59" s="1"/>
  <c r="F14" i="59"/>
  <c r="R13" i="59"/>
  <c r="S13" i="59" s="1"/>
  <c r="O12" i="59"/>
  <c r="P12" i="59" s="1"/>
  <c r="L11" i="59"/>
  <c r="M11" i="59" s="1"/>
  <c r="I10" i="59"/>
  <c r="J10" i="59" s="1"/>
  <c r="F9" i="59"/>
  <c r="G9" i="59" s="1"/>
  <c r="G65" i="59" s="1"/>
  <c r="M62" i="58"/>
  <c r="S61" i="58"/>
  <c r="R60" i="58"/>
  <c r="S60" i="58" s="1"/>
  <c r="O60" i="58"/>
  <c r="P60" i="58" s="1"/>
  <c r="L60" i="58"/>
  <c r="M60" i="58" s="1"/>
  <c r="I60" i="58"/>
  <c r="J60" i="58" s="1"/>
  <c r="F60" i="58"/>
  <c r="G60" i="58" s="1"/>
  <c r="J59" i="58"/>
  <c r="I59" i="58"/>
  <c r="G59" i="58"/>
  <c r="F59" i="58"/>
  <c r="R55" i="58"/>
  <c r="S55" i="58" s="1"/>
  <c r="O55" i="58"/>
  <c r="P55" i="58" s="1"/>
  <c r="L55" i="58"/>
  <c r="M55" i="58" s="1"/>
  <c r="R54" i="58"/>
  <c r="S54" i="58" s="1"/>
  <c r="O53" i="58"/>
  <c r="P53" i="58" s="1"/>
  <c r="L52" i="58"/>
  <c r="M52" i="58" s="1"/>
  <c r="I51" i="58"/>
  <c r="J51" i="58" s="1"/>
  <c r="R49" i="58"/>
  <c r="S49" i="58" s="1"/>
  <c r="O49" i="58"/>
  <c r="P49" i="58" s="1"/>
  <c r="R48" i="58"/>
  <c r="S48" i="58" s="1"/>
  <c r="L48" i="58"/>
  <c r="M48" i="58" s="1"/>
  <c r="I47" i="58"/>
  <c r="L47" i="58" s="1"/>
  <c r="M47" i="58" s="1"/>
  <c r="F46" i="58"/>
  <c r="G46" i="58" s="1"/>
  <c r="F44" i="58"/>
  <c r="G44" i="58" s="1"/>
  <c r="R43" i="58"/>
  <c r="S43" i="58" s="1"/>
  <c r="F43" i="58"/>
  <c r="G43" i="58" s="1"/>
  <c r="R42" i="58"/>
  <c r="S42" i="58" s="1"/>
  <c r="F42" i="58"/>
  <c r="L42" i="58" s="1"/>
  <c r="M42" i="58" s="1"/>
  <c r="R41" i="58"/>
  <c r="S41" i="58" s="1"/>
  <c r="F41" i="58"/>
  <c r="G41" i="58" s="1"/>
  <c r="R40" i="58"/>
  <c r="S40" i="58" s="1"/>
  <c r="F40" i="58"/>
  <c r="G40" i="58" s="1"/>
  <c r="R38" i="58"/>
  <c r="S38" i="58" s="1"/>
  <c r="F38" i="58"/>
  <c r="G38" i="58" s="1"/>
  <c r="R37" i="58"/>
  <c r="S37" i="58" s="1"/>
  <c r="F37" i="58"/>
  <c r="G37" i="58" s="1"/>
  <c r="R36" i="58"/>
  <c r="S36" i="58" s="1"/>
  <c r="F36" i="58"/>
  <c r="G36" i="58" s="1"/>
  <c r="R35" i="58"/>
  <c r="S35" i="58" s="1"/>
  <c r="F35" i="58"/>
  <c r="L35" i="58" s="1"/>
  <c r="M35" i="58" s="1"/>
  <c r="R34" i="58"/>
  <c r="S34" i="58" s="1"/>
  <c r="F34" i="58"/>
  <c r="G34" i="58" s="1"/>
  <c r="R33" i="58"/>
  <c r="S33" i="58" s="1"/>
  <c r="F33" i="58"/>
  <c r="G33" i="58" s="1"/>
  <c r="R31" i="58"/>
  <c r="S31" i="58" s="1"/>
  <c r="F31" i="58"/>
  <c r="L31" i="58" s="1"/>
  <c r="M31" i="58" s="1"/>
  <c r="R30" i="58"/>
  <c r="S30" i="58" s="1"/>
  <c r="F30" i="58"/>
  <c r="G30" i="58" s="1"/>
  <c r="R29" i="58"/>
  <c r="S29" i="58" s="1"/>
  <c r="F29" i="58"/>
  <c r="I29" i="58" s="1"/>
  <c r="J29" i="58" s="1"/>
  <c r="R28" i="58"/>
  <c r="S28" i="58" s="1"/>
  <c r="Q28" i="58"/>
  <c r="N28" i="58"/>
  <c r="K28" i="58"/>
  <c r="H28" i="58"/>
  <c r="F28" i="58"/>
  <c r="O28" i="58" s="1"/>
  <c r="P28" i="58" s="1"/>
  <c r="E28" i="58"/>
  <c r="F27" i="58"/>
  <c r="L27" i="58" s="1"/>
  <c r="M27" i="58" s="1"/>
  <c r="R26" i="58"/>
  <c r="S26" i="58" s="1"/>
  <c r="F26" i="58"/>
  <c r="G26" i="58" s="1"/>
  <c r="R25" i="58"/>
  <c r="S25" i="58" s="1"/>
  <c r="F25" i="58"/>
  <c r="G25" i="58" s="1"/>
  <c r="R24" i="58"/>
  <c r="S24" i="58" s="1"/>
  <c r="F24" i="58"/>
  <c r="O24" i="58" s="1"/>
  <c r="P24" i="58" s="1"/>
  <c r="I23" i="58"/>
  <c r="J23" i="58" s="1"/>
  <c r="F23" i="58"/>
  <c r="G23" i="58" s="1"/>
  <c r="R22" i="58"/>
  <c r="S22" i="58" s="1"/>
  <c r="O22" i="58"/>
  <c r="P22" i="58" s="1"/>
  <c r="L22" i="58"/>
  <c r="M22" i="58" s="1"/>
  <c r="R21" i="58"/>
  <c r="S21" i="58" s="1"/>
  <c r="F21" i="58"/>
  <c r="G21" i="58" s="1"/>
  <c r="R20" i="58"/>
  <c r="S20" i="58" s="1"/>
  <c r="F20" i="58"/>
  <c r="L20" i="58" s="1"/>
  <c r="M20" i="58" s="1"/>
  <c r="R19" i="58"/>
  <c r="S19" i="58" s="1"/>
  <c r="F19" i="58"/>
  <c r="G19" i="58" s="1"/>
  <c r="R18" i="58"/>
  <c r="S18" i="58" s="1"/>
  <c r="F18" i="58"/>
  <c r="G18" i="58" s="1"/>
  <c r="R17" i="58"/>
  <c r="S17" i="58" s="1"/>
  <c r="F17" i="58"/>
  <c r="I17" i="58" s="1"/>
  <c r="J17" i="58" s="1"/>
  <c r="R16" i="58"/>
  <c r="S16" i="58" s="1"/>
  <c r="F16" i="58"/>
  <c r="G16" i="58" s="1"/>
  <c r="R15" i="58"/>
  <c r="L15" i="58"/>
  <c r="O15" i="58" s="1"/>
  <c r="P15" i="58" s="1"/>
  <c r="K15" i="58"/>
  <c r="N15" i="58" s="1"/>
  <c r="Q15" i="58" s="1"/>
  <c r="F14" i="58"/>
  <c r="G14" i="58" s="1"/>
  <c r="R13" i="58"/>
  <c r="S13" i="58" s="1"/>
  <c r="S64" i="58" s="1"/>
  <c r="O12" i="58"/>
  <c r="P12" i="58" s="1"/>
  <c r="L11" i="58"/>
  <c r="M11" i="58" s="1"/>
  <c r="M63" i="58" s="1"/>
  <c r="I10" i="58"/>
  <c r="J10" i="58" s="1"/>
  <c r="F9" i="58"/>
  <c r="G9" i="58" s="1"/>
  <c r="G49" i="87" l="1"/>
  <c r="G51" i="87" s="1"/>
  <c r="G52" i="87" s="1"/>
  <c r="G49" i="88"/>
  <c r="G51" i="88" s="1"/>
  <c r="G52" i="88" s="1"/>
  <c r="J19" i="81"/>
  <c r="J22" i="81" s="1"/>
  <c r="J23" i="81" s="1"/>
  <c r="I23" i="85"/>
  <c r="I24" i="85" s="1"/>
  <c r="I25" i="85" s="1"/>
  <c r="G23" i="85"/>
  <c r="G24" i="85" s="1"/>
  <c r="G24" i="82"/>
  <c r="G25" i="82" s="1"/>
  <c r="G27" i="82" s="1"/>
  <c r="K51" i="88"/>
  <c r="K52" i="88" s="1"/>
  <c r="G42" i="79"/>
  <c r="G43" i="79" s="1"/>
  <c r="G44" i="79" s="1"/>
  <c r="I50" i="88"/>
  <c r="I49" i="88"/>
  <c r="I49" i="87"/>
  <c r="I50" i="87"/>
  <c r="K49" i="87"/>
  <c r="K50" i="87"/>
  <c r="I24" i="86"/>
  <c r="I25" i="86" s="1"/>
  <c r="H30" i="74"/>
  <c r="H32" i="74" s="1"/>
  <c r="G26" i="86"/>
  <c r="G25" i="86"/>
  <c r="G20" i="84"/>
  <c r="G19" i="84"/>
  <c r="G23" i="83"/>
  <c r="G24" i="83" s="1"/>
  <c r="I25" i="83"/>
  <c r="I23" i="82"/>
  <c r="I24" i="82" s="1"/>
  <c r="M19" i="81"/>
  <c r="M20" i="81"/>
  <c r="G22" i="81"/>
  <c r="G23" i="81" s="1"/>
  <c r="P19" i="81"/>
  <c r="P20" i="81"/>
  <c r="J42" i="75"/>
  <c r="J43" i="75" s="1"/>
  <c r="I27" i="59"/>
  <c r="J27" i="59" s="1"/>
  <c r="G28" i="61"/>
  <c r="O36" i="58"/>
  <c r="P36" i="58" s="1"/>
  <c r="L33" i="59"/>
  <c r="M33" i="59" s="1"/>
  <c r="L38" i="62"/>
  <c r="M38" i="62" s="1"/>
  <c r="L16" i="61"/>
  <c r="M16" i="61" s="1"/>
  <c r="G43" i="80"/>
  <c r="G44" i="80" s="1"/>
  <c r="G48" i="78"/>
  <c r="G47" i="78"/>
  <c r="G40" i="77"/>
  <c r="G41" i="77" s="1"/>
  <c r="L36" i="58"/>
  <c r="M36" i="58" s="1"/>
  <c r="O38" i="58"/>
  <c r="P38" i="58" s="1"/>
  <c r="G27" i="59"/>
  <c r="I19" i="62"/>
  <c r="J19" i="62" s="1"/>
  <c r="H23" i="67"/>
  <c r="G22" i="70"/>
  <c r="I16" i="61"/>
  <c r="J16" i="61" s="1"/>
  <c r="L22" i="62"/>
  <c r="M22" i="62" s="1"/>
  <c r="G34" i="62"/>
  <c r="O19" i="58"/>
  <c r="P19" i="58" s="1"/>
  <c r="L19" i="62"/>
  <c r="M19" i="62" s="1"/>
  <c r="J22" i="63"/>
  <c r="H14" i="65"/>
  <c r="I33" i="59"/>
  <c r="J33" i="59" s="1"/>
  <c r="L19" i="58"/>
  <c r="M19" i="58" s="1"/>
  <c r="L29" i="58"/>
  <c r="M29" i="58" s="1"/>
  <c r="I27" i="61"/>
  <c r="J27" i="61" s="1"/>
  <c r="L47" i="61"/>
  <c r="M47" i="61" s="1"/>
  <c r="G32" i="76"/>
  <c r="G33" i="76" s="1"/>
  <c r="I41" i="61"/>
  <c r="J41" i="61" s="1"/>
  <c r="K39" i="70"/>
  <c r="H32" i="76"/>
  <c r="H33" i="76" s="1"/>
  <c r="I40" i="59"/>
  <c r="J40" i="59" s="1"/>
  <c r="L25" i="61"/>
  <c r="M25" i="61" s="1"/>
  <c r="O41" i="61"/>
  <c r="P41" i="61" s="1"/>
  <c r="G21" i="59"/>
  <c r="G20" i="59"/>
  <c r="L40" i="59"/>
  <c r="M40" i="59" s="1"/>
  <c r="G19" i="61"/>
  <c r="G33" i="61"/>
  <c r="I14" i="62"/>
  <c r="L14" i="62" s="1"/>
  <c r="O14" i="62" s="1"/>
  <c r="P14" i="62" s="1"/>
  <c r="I16" i="62"/>
  <c r="J16" i="62" s="1"/>
  <c r="I22" i="62"/>
  <c r="J22" i="62" s="1"/>
  <c r="H20" i="65"/>
  <c r="K30" i="70"/>
  <c r="G36" i="70"/>
  <c r="G12" i="71"/>
  <c r="O26" i="58"/>
  <c r="P26" i="58" s="1"/>
  <c r="I28" i="58"/>
  <c r="J28" i="58" s="1"/>
  <c r="G18" i="59"/>
  <c r="I20" i="59"/>
  <c r="J20" i="59" s="1"/>
  <c r="I19" i="61"/>
  <c r="J19" i="61" s="1"/>
  <c r="G44" i="75"/>
  <c r="G43" i="75"/>
  <c r="G30" i="74"/>
  <c r="O42" i="58"/>
  <c r="P42" i="58" s="1"/>
  <c r="G19" i="59"/>
  <c r="L20" i="59"/>
  <c r="M20" i="59" s="1"/>
  <c r="I24" i="59"/>
  <c r="J24" i="59" s="1"/>
  <c r="G25" i="59"/>
  <c r="G23" i="60"/>
  <c r="G31" i="60"/>
  <c r="O17" i="61"/>
  <c r="P17" i="61" s="1"/>
  <c r="I25" i="61"/>
  <c r="J25" i="61" s="1"/>
  <c r="G27" i="61"/>
  <c r="O42" i="61"/>
  <c r="P42" i="61" s="1"/>
  <c r="L26" i="62"/>
  <c r="I27" i="62"/>
  <c r="J27" i="62" s="1"/>
  <c r="I29" i="62"/>
  <c r="J29" i="62" s="1"/>
  <c r="I33" i="62"/>
  <c r="J33" i="62" s="1"/>
  <c r="L18" i="63"/>
  <c r="H22" i="65"/>
  <c r="G25" i="65"/>
  <c r="H11" i="66"/>
  <c r="G18" i="66"/>
  <c r="H29" i="66"/>
  <c r="H20" i="67"/>
  <c r="K32" i="70"/>
  <c r="I39" i="70"/>
  <c r="H15" i="71"/>
  <c r="O20" i="58"/>
  <c r="P20" i="58" s="1"/>
  <c r="L30" i="58"/>
  <c r="M30" i="58" s="1"/>
  <c r="I33" i="58"/>
  <c r="J33" i="58" s="1"/>
  <c r="L41" i="58"/>
  <c r="M41" i="58" s="1"/>
  <c r="I17" i="59"/>
  <c r="J17" i="59" s="1"/>
  <c r="L18" i="59"/>
  <c r="M18" i="59" s="1"/>
  <c r="L24" i="59"/>
  <c r="M24" i="59" s="1"/>
  <c r="G20" i="60"/>
  <c r="G21" i="61"/>
  <c r="O24" i="61"/>
  <c r="P24" i="61" s="1"/>
  <c r="O17" i="62"/>
  <c r="P17" i="62" s="1"/>
  <c r="G26" i="62"/>
  <c r="G36" i="62"/>
  <c r="G40" i="62"/>
  <c r="J13" i="63"/>
  <c r="J16" i="63"/>
  <c r="L19" i="63"/>
  <c r="G21" i="67"/>
  <c r="H19" i="72"/>
  <c r="G24" i="72"/>
  <c r="O30" i="58"/>
  <c r="P30" i="58" s="1"/>
  <c r="O41" i="58"/>
  <c r="P41" i="58" s="1"/>
  <c r="O21" i="61"/>
  <c r="P21" i="61" s="1"/>
  <c r="S28" i="61"/>
  <c r="S56" i="61" s="1"/>
  <c r="I31" i="61"/>
  <c r="J31" i="61" s="1"/>
  <c r="I43" i="61"/>
  <c r="J43" i="61" s="1"/>
  <c r="I36" i="62"/>
  <c r="J36" i="62" s="1"/>
  <c r="H12" i="65"/>
  <c r="H18" i="65"/>
  <c r="H21" i="65"/>
  <c r="G23" i="65"/>
  <c r="G27" i="65"/>
  <c r="G19" i="67"/>
  <c r="K23" i="70"/>
  <c r="I34" i="70"/>
  <c r="I38" i="70"/>
  <c r="H21" i="71"/>
  <c r="L17" i="59"/>
  <c r="M17" i="59" s="1"/>
  <c r="O34" i="61"/>
  <c r="P34" i="61" s="1"/>
  <c r="L16" i="62"/>
  <c r="M16" i="62" s="1"/>
  <c r="I25" i="62"/>
  <c r="J25" i="62" s="1"/>
  <c r="G31" i="62"/>
  <c r="I34" i="62"/>
  <c r="J34" i="62" s="1"/>
  <c r="G16" i="67"/>
  <c r="G25" i="67"/>
  <c r="G32" i="70"/>
  <c r="K34" i="70"/>
  <c r="I51" i="70"/>
  <c r="H17" i="71"/>
  <c r="S15" i="58"/>
  <c r="S56" i="58" s="1"/>
  <c r="O17" i="58"/>
  <c r="P17" i="58" s="1"/>
  <c r="G24" i="59"/>
  <c r="G18" i="60"/>
  <c r="G17" i="61"/>
  <c r="G25" i="61"/>
  <c r="M28" i="61"/>
  <c r="L42" i="61"/>
  <c r="M42" i="61" s="1"/>
  <c r="I15" i="62"/>
  <c r="J15" i="62" s="1"/>
  <c r="O20" i="62"/>
  <c r="P20" i="62" s="1"/>
  <c r="O23" i="62"/>
  <c r="P23" i="62" s="1"/>
  <c r="L25" i="62"/>
  <c r="M25" i="62" s="1"/>
  <c r="G27" i="62"/>
  <c r="L31" i="62"/>
  <c r="M31" i="62" s="1"/>
  <c r="G33" i="62"/>
  <c r="G41" i="62"/>
  <c r="L14" i="63"/>
  <c r="L21" i="63"/>
  <c r="H13" i="65"/>
  <c r="G20" i="66"/>
  <c r="I8" i="70"/>
  <c r="I48" i="70"/>
  <c r="H22" i="71"/>
  <c r="H22" i="72"/>
  <c r="H25" i="72"/>
  <c r="H20" i="72"/>
  <c r="I14" i="58"/>
  <c r="J14" i="58" s="1"/>
  <c r="M26" i="62"/>
  <c r="I15" i="70"/>
  <c r="I18" i="70"/>
  <c r="I27" i="70"/>
  <c r="H19" i="71"/>
  <c r="H24" i="71"/>
  <c r="H17" i="72"/>
  <c r="G13" i="73"/>
  <c r="G15" i="73" s="1"/>
  <c r="I25" i="58"/>
  <c r="J25" i="58" s="1"/>
  <c r="L33" i="58"/>
  <c r="M33" i="58" s="1"/>
  <c r="I43" i="58"/>
  <c r="J43" i="58" s="1"/>
  <c r="L21" i="59"/>
  <c r="M21" i="59" s="1"/>
  <c r="G26" i="59"/>
  <c r="I29" i="59"/>
  <c r="J29" i="59" s="1"/>
  <c r="I36" i="59"/>
  <c r="J36" i="59" s="1"/>
  <c r="G10" i="60"/>
  <c r="G14" i="60"/>
  <c r="I28" i="60"/>
  <c r="I28" i="61"/>
  <c r="J28" i="61" s="1"/>
  <c r="L31" i="61"/>
  <c r="M31" i="61" s="1"/>
  <c r="I33" i="61"/>
  <c r="J33" i="61" s="1"/>
  <c r="I37" i="61"/>
  <c r="J37" i="61" s="1"/>
  <c r="I38" i="61"/>
  <c r="J38" i="61" s="1"/>
  <c r="L40" i="61"/>
  <c r="M40" i="61" s="1"/>
  <c r="O18" i="62"/>
  <c r="P18" i="62" s="1"/>
  <c r="L34" i="62"/>
  <c r="M34" i="62" s="1"/>
  <c r="I40" i="62"/>
  <c r="J40" i="62" s="1"/>
  <c r="L41" i="62"/>
  <c r="M41" i="62" s="1"/>
  <c r="J20" i="63"/>
  <c r="J27" i="63"/>
  <c r="H11" i="65"/>
  <c r="H19" i="65"/>
  <c r="H10" i="66"/>
  <c r="G22" i="67"/>
  <c r="G24" i="67"/>
  <c r="G16" i="70"/>
  <c r="G19" i="70"/>
  <c r="I22" i="70"/>
  <c r="G29" i="70"/>
  <c r="I31" i="70"/>
  <c r="K33" i="70"/>
  <c r="I36" i="70"/>
  <c r="K38" i="70"/>
  <c r="G41" i="70"/>
  <c r="K51" i="70"/>
  <c r="G10" i="71"/>
  <c r="H20" i="71"/>
  <c r="H25" i="71"/>
  <c r="G16" i="72"/>
  <c r="H23" i="72"/>
  <c r="G41" i="69"/>
  <c r="G43" i="69" s="1"/>
  <c r="L18" i="58"/>
  <c r="M18" i="58" s="1"/>
  <c r="L21" i="58"/>
  <c r="M21" i="58" s="1"/>
  <c r="L25" i="58"/>
  <c r="M25" i="58" s="1"/>
  <c r="L28" i="58"/>
  <c r="M28" i="58" s="1"/>
  <c r="I31" i="58"/>
  <c r="J31" i="58" s="1"/>
  <c r="O33" i="58"/>
  <c r="P33" i="58" s="1"/>
  <c r="O37" i="58"/>
  <c r="P37" i="58" s="1"/>
  <c r="L40" i="58"/>
  <c r="M40" i="58" s="1"/>
  <c r="L43" i="58"/>
  <c r="M43" i="58" s="1"/>
  <c r="L25" i="59"/>
  <c r="M25" i="59" s="1"/>
  <c r="L29" i="59"/>
  <c r="M29" i="59" s="1"/>
  <c r="L36" i="59"/>
  <c r="M36" i="59" s="1"/>
  <c r="L41" i="59"/>
  <c r="M41" i="59" s="1"/>
  <c r="I43" i="59"/>
  <c r="J43" i="59" s="1"/>
  <c r="G22" i="60"/>
  <c r="I24" i="60"/>
  <c r="L19" i="61"/>
  <c r="M19" i="61" s="1"/>
  <c r="O31" i="61"/>
  <c r="P31" i="61" s="1"/>
  <c r="L33" i="61"/>
  <c r="M33" i="61" s="1"/>
  <c r="L37" i="61"/>
  <c r="M37" i="61" s="1"/>
  <c r="L38" i="61"/>
  <c r="M38" i="61" s="1"/>
  <c r="O40" i="61"/>
  <c r="P40" i="61" s="1"/>
  <c r="L27" i="62"/>
  <c r="M27" i="62" s="1"/>
  <c r="L40" i="62"/>
  <c r="M40" i="62" s="1"/>
  <c r="I16" i="70"/>
  <c r="I19" i="70"/>
  <c r="I26" i="70"/>
  <c r="I29" i="70"/>
  <c r="H23" i="71"/>
  <c r="H21" i="72"/>
  <c r="I21" i="58"/>
  <c r="J21" i="58" s="1"/>
  <c r="I20" i="58"/>
  <c r="J20" i="58" s="1"/>
  <c r="O21" i="58"/>
  <c r="P21" i="58" s="1"/>
  <c r="O25" i="58"/>
  <c r="P25" i="58" s="1"/>
  <c r="G28" i="58"/>
  <c r="G29" i="58"/>
  <c r="O31" i="58"/>
  <c r="P31" i="58" s="1"/>
  <c r="I36" i="58"/>
  <c r="J36" i="58" s="1"/>
  <c r="I42" i="58"/>
  <c r="J42" i="58" s="1"/>
  <c r="O43" i="58"/>
  <c r="P43" i="58" s="1"/>
  <c r="O48" i="58"/>
  <c r="P48" i="58" s="1"/>
  <c r="S15" i="59"/>
  <c r="S58" i="59" s="1"/>
  <c r="G17" i="59"/>
  <c r="L43" i="59"/>
  <c r="M43" i="59" s="1"/>
  <c r="G19" i="60"/>
  <c r="G16" i="61"/>
  <c r="L17" i="61"/>
  <c r="M17" i="61" s="1"/>
  <c r="L30" i="61"/>
  <c r="M30" i="61" s="1"/>
  <c r="O37" i="61"/>
  <c r="P37" i="61" s="1"/>
  <c r="O38" i="61"/>
  <c r="P38" i="61" s="1"/>
  <c r="G42" i="61"/>
  <c r="L17" i="62"/>
  <c r="M17" i="62" s="1"/>
  <c r="G29" i="62"/>
  <c r="G38" i="62"/>
  <c r="J24" i="63"/>
  <c r="G19" i="64"/>
  <c r="K37" i="70"/>
  <c r="K50" i="70"/>
  <c r="G63" i="58"/>
  <c r="P63" i="58"/>
  <c r="J63" i="58"/>
  <c r="L24" i="58"/>
  <c r="M24" i="58" s="1"/>
  <c r="G27" i="58"/>
  <c r="L61" i="58"/>
  <c r="M61" i="58" s="1"/>
  <c r="I61" i="58"/>
  <c r="J61" i="58" s="1"/>
  <c r="M15" i="58"/>
  <c r="O16" i="58"/>
  <c r="P16" i="58" s="1"/>
  <c r="I27" i="58"/>
  <c r="J27" i="58" s="1"/>
  <c r="O34" i="58"/>
  <c r="P34" i="58" s="1"/>
  <c r="O35" i="58"/>
  <c r="P35" i="58" s="1"/>
  <c r="L37" i="58"/>
  <c r="M37" i="58" s="1"/>
  <c r="I38" i="58"/>
  <c r="J38" i="58" s="1"/>
  <c r="I40" i="58"/>
  <c r="J40" i="58" s="1"/>
  <c r="L17" i="58"/>
  <c r="M17" i="58" s="1"/>
  <c r="I19" i="58"/>
  <c r="J19" i="58" s="1"/>
  <c r="G20" i="58"/>
  <c r="I30" i="58"/>
  <c r="J30" i="58" s="1"/>
  <c r="G31" i="58"/>
  <c r="L38" i="58"/>
  <c r="M38" i="58" s="1"/>
  <c r="I41" i="58"/>
  <c r="J41" i="58" s="1"/>
  <c r="G42" i="58"/>
  <c r="P15" i="59"/>
  <c r="G30" i="59"/>
  <c r="I30" i="59"/>
  <c r="J30" i="59" s="1"/>
  <c r="I34" i="59"/>
  <c r="J34" i="59" s="1"/>
  <c r="G34" i="59"/>
  <c r="I37" i="59"/>
  <c r="J37" i="59" s="1"/>
  <c r="G37" i="59"/>
  <c r="I12" i="60"/>
  <c r="G12" i="60"/>
  <c r="G26" i="60"/>
  <c r="I26" i="60"/>
  <c r="S66" i="59"/>
  <c r="P62" i="61"/>
  <c r="O18" i="58"/>
  <c r="P18" i="58" s="1"/>
  <c r="G24" i="58"/>
  <c r="I34" i="58"/>
  <c r="J34" i="58" s="1"/>
  <c r="G35" i="58"/>
  <c r="O40" i="58"/>
  <c r="P40" i="58" s="1"/>
  <c r="O61" i="58"/>
  <c r="P61" i="58" s="1"/>
  <c r="I14" i="59"/>
  <c r="J14" i="59" s="1"/>
  <c r="G14" i="59"/>
  <c r="O30" i="59"/>
  <c r="P30" i="59" s="1"/>
  <c r="O34" i="59"/>
  <c r="P34" i="59" s="1"/>
  <c r="O37" i="59"/>
  <c r="P37" i="59" s="1"/>
  <c r="O49" i="59"/>
  <c r="P49" i="59" s="1"/>
  <c r="M49" i="59"/>
  <c r="P65" i="59"/>
  <c r="I23" i="61"/>
  <c r="J23" i="61" s="1"/>
  <c r="L23" i="61"/>
  <c r="M23" i="61" s="1"/>
  <c r="G23" i="61"/>
  <c r="O23" i="61"/>
  <c r="P23" i="61" s="1"/>
  <c r="G35" i="61"/>
  <c r="L35" i="61"/>
  <c r="M35" i="61" s="1"/>
  <c r="I35" i="61"/>
  <c r="J35" i="61" s="1"/>
  <c r="O35" i="61"/>
  <c r="P35" i="61" s="1"/>
  <c r="O59" i="62"/>
  <c r="P59" i="62" s="1"/>
  <c r="M59" i="62"/>
  <c r="I35" i="58"/>
  <c r="J35" i="58" s="1"/>
  <c r="I42" i="59"/>
  <c r="J42" i="59" s="1"/>
  <c r="G42" i="59"/>
  <c r="L42" i="59"/>
  <c r="M42" i="59" s="1"/>
  <c r="G62" i="61"/>
  <c r="I24" i="58"/>
  <c r="J24" i="58" s="1"/>
  <c r="L34" i="58"/>
  <c r="M34" i="58" s="1"/>
  <c r="I26" i="58"/>
  <c r="J26" i="58" s="1"/>
  <c r="J65" i="59"/>
  <c r="G35" i="59"/>
  <c r="L35" i="59"/>
  <c r="M35" i="59" s="1"/>
  <c r="G38" i="59"/>
  <c r="L38" i="59"/>
  <c r="M38" i="59" s="1"/>
  <c r="J62" i="61"/>
  <c r="L29" i="61"/>
  <c r="M29" i="61" s="1"/>
  <c r="I29" i="61"/>
  <c r="J29" i="61" s="1"/>
  <c r="G29" i="61"/>
  <c r="O29" i="61"/>
  <c r="P29" i="61" s="1"/>
  <c r="L16" i="58"/>
  <c r="M16" i="58" s="1"/>
  <c r="I16" i="58"/>
  <c r="J16" i="58" s="1"/>
  <c r="G17" i="58"/>
  <c r="I37" i="58"/>
  <c r="J37" i="58" s="1"/>
  <c r="J47" i="58"/>
  <c r="L31" i="59"/>
  <c r="M31" i="59" s="1"/>
  <c r="G31" i="59"/>
  <c r="I18" i="58"/>
  <c r="J18" i="58" s="1"/>
  <c r="L26" i="58"/>
  <c r="M26" i="58" s="1"/>
  <c r="G61" i="58"/>
  <c r="M65" i="59"/>
  <c r="M15" i="59"/>
  <c r="G28" i="59"/>
  <c r="O28" i="59"/>
  <c r="P28" i="59" s="1"/>
  <c r="I28" i="59"/>
  <c r="J28" i="59" s="1"/>
  <c r="I31" i="59"/>
  <c r="J31" i="59" s="1"/>
  <c r="I35" i="59"/>
  <c r="J35" i="59" s="1"/>
  <c r="I38" i="59"/>
  <c r="J38" i="59" s="1"/>
  <c r="G28" i="62"/>
  <c r="L28" i="62"/>
  <c r="M28" i="62" s="1"/>
  <c r="I28" i="62"/>
  <c r="J28" i="62" s="1"/>
  <c r="O28" i="62"/>
  <c r="P28" i="62" s="1"/>
  <c r="O29" i="59"/>
  <c r="P29" i="59" s="1"/>
  <c r="L48" i="59"/>
  <c r="M48" i="59" s="1"/>
  <c r="O29" i="58"/>
  <c r="P29" i="58" s="1"/>
  <c r="I16" i="59"/>
  <c r="J16" i="59" s="1"/>
  <c r="O18" i="59"/>
  <c r="P18" i="59" s="1"/>
  <c r="I19" i="59"/>
  <c r="J19" i="59" s="1"/>
  <c r="O21" i="59"/>
  <c r="P21" i="59" s="1"/>
  <c r="O25" i="59"/>
  <c r="P25" i="59" s="1"/>
  <c r="I26" i="59"/>
  <c r="J26" i="59" s="1"/>
  <c r="G33" i="59"/>
  <c r="G36" i="59"/>
  <c r="G40" i="59"/>
  <c r="G43" i="59"/>
  <c r="I11" i="60"/>
  <c r="I25" i="60"/>
  <c r="I36" i="60"/>
  <c r="I15" i="61"/>
  <c r="L20" i="61"/>
  <c r="M20" i="61" s="1"/>
  <c r="I24" i="61"/>
  <c r="J24" i="61" s="1"/>
  <c r="I34" i="61"/>
  <c r="J34" i="61" s="1"/>
  <c r="L36" i="61"/>
  <c r="M36" i="61" s="1"/>
  <c r="I40" i="61"/>
  <c r="J40" i="61" s="1"/>
  <c r="G43" i="61"/>
  <c r="O43" i="61"/>
  <c r="P43" i="61" s="1"/>
  <c r="M62" i="62"/>
  <c r="J46" i="62"/>
  <c r="L46" i="62"/>
  <c r="M46" i="62" s="1"/>
  <c r="G48" i="69"/>
  <c r="L16" i="59"/>
  <c r="M16" i="59" s="1"/>
  <c r="L19" i="59"/>
  <c r="M19" i="59" s="1"/>
  <c r="L26" i="59"/>
  <c r="M26" i="59" s="1"/>
  <c r="O18" i="61"/>
  <c r="P18" i="61" s="1"/>
  <c r="O20" i="61"/>
  <c r="P20" i="61" s="1"/>
  <c r="I21" i="61"/>
  <c r="J21" i="61" s="1"/>
  <c r="O30" i="61"/>
  <c r="P30" i="61" s="1"/>
  <c r="L34" i="61"/>
  <c r="M34" i="61" s="1"/>
  <c r="O36" i="61"/>
  <c r="P36" i="61" s="1"/>
  <c r="L41" i="61"/>
  <c r="M41" i="61" s="1"/>
  <c r="O41" i="59"/>
  <c r="P41" i="59" s="1"/>
  <c r="G62" i="62"/>
  <c r="S63" i="62"/>
  <c r="G39" i="62"/>
  <c r="L39" i="62"/>
  <c r="M39" i="62" s="1"/>
  <c r="I39" i="62"/>
  <c r="J39" i="62" s="1"/>
  <c r="O39" i="62"/>
  <c r="P39" i="62" s="1"/>
  <c r="O16" i="59"/>
  <c r="P16" i="59" s="1"/>
  <c r="G41" i="59"/>
  <c r="I15" i="60"/>
  <c r="G27" i="60"/>
  <c r="G32" i="60"/>
  <c r="G18" i="61"/>
  <c r="G20" i="61"/>
  <c r="G30" i="61"/>
  <c r="G36" i="61"/>
  <c r="O55" i="61"/>
  <c r="P55" i="61" s="1"/>
  <c r="G59" i="61"/>
  <c r="I59" i="61"/>
  <c r="J59" i="61" s="1"/>
  <c r="J62" i="62"/>
  <c r="I13" i="60"/>
  <c r="G30" i="60"/>
  <c r="I18" i="61"/>
  <c r="J18" i="61" s="1"/>
  <c r="G24" i="61"/>
  <c r="O48" i="61"/>
  <c r="P48" i="61" s="1"/>
  <c r="L59" i="61"/>
  <c r="M59" i="61" s="1"/>
  <c r="J26" i="62"/>
  <c r="O26" i="62"/>
  <c r="P26" i="62" s="1"/>
  <c r="L15" i="62"/>
  <c r="M15" i="62" s="1"/>
  <c r="G15" i="62"/>
  <c r="G17" i="62"/>
  <c r="L20" i="62"/>
  <c r="M20" i="62" s="1"/>
  <c r="L23" i="62"/>
  <c r="M23" i="62" s="1"/>
  <c r="S26" i="62"/>
  <c r="S56" i="62" s="1"/>
  <c r="G35" i="62"/>
  <c r="L35" i="62"/>
  <c r="M35" i="62" s="1"/>
  <c r="I35" i="62"/>
  <c r="J35" i="62" s="1"/>
  <c r="J40" i="63"/>
  <c r="J18" i="63"/>
  <c r="G45" i="64"/>
  <c r="L24" i="62"/>
  <c r="M24" i="62" s="1"/>
  <c r="G24" i="62"/>
  <c r="G32" i="62"/>
  <c r="L32" i="62"/>
  <c r="M32" i="62" s="1"/>
  <c r="I32" i="62"/>
  <c r="J32" i="62" s="1"/>
  <c r="L26" i="63"/>
  <c r="J26" i="63"/>
  <c r="H26" i="63"/>
  <c r="L18" i="62"/>
  <c r="M18" i="62" s="1"/>
  <c r="G18" i="62"/>
  <c r="G20" i="62"/>
  <c r="G23" i="62"/>
  <c r="I24" i="62"/>
  <c r="J24" i="62" s="1"/>
  <c r="G16" i="62"/>
  <c r="G19" i="62"/>
  <c r="G22" i="62"/>
  <c r="L29" i="62"/>
  <c r="M29" i="62" s="1"/>
  <c r="O31" i="62"/>
  <c r="P31" i="62" s="1"/>
  <c r="L33" i="62"/>
  <c r="M33" i="62" s="1"/>
  <c r="L36" i="62"/>
  <c r="M36" i="62" s="1"/>
  <c r="O38" i="62"/>
  <c r="P38" i="62" s="1"/>
  <c r="O41" i="62"/>
  <c r="P41" i="62" s="1"/>
  <c r="H24" i="63"/>
  <c r="L25" i="63"/>
  <c r="H27" i="63"/>
  <c r="L28" i="63"/>
  <c r="J15" i="63"/>
  <c r="J17" i="63"/>
  <c r="H25" i="63"/>
  <c r="H28" i="63"/>
  <c r="G44" i="68"/>
  <c r="H24" i="65"/>
  <c r="H26" i="65"/>
  <c r="G21" i="66"/>
  <c r="G23" i="66"/>
  <c r="G25" i="66"/>
  <c r="G27" i="66"/>
  <c r="H17" i="67"/>
  <c r="I14" i="70"/>
  <c r="I17" i="70"/>
  <c r="I20" i="70"/>
  <c r="G24" i="70"/>
  <c r="G26" i="70"/>
  <c r="G27" i="70"/>
  <c r="G31" i="70"/>
  <c r="K42" i="70"/>
  <c r="H9" i="71"/>
  <c r="H11" i="71"/>
  <c r="H13" i="71"/>
  <c r="G18" i="71"/>
  <c r="H32" i="71"/>
  <c r="G51" i="68"/>
  <c r="K14" i="70"/>
  <c r="K17" i="70"/>
  <c r="G23" i="70"/>
  <c r="G30" i="70"/>
  <c r="G33" i="70"/>
  <c r="G37" i="70"/>
  <c r="G27" i="72"/>
  <c r="G16" i="65"/>
  <c r="G18" i="65"/>
  <c r="G16" i="66"/>
  <c r="G22" i="66"/>
  <c r="G24" i="66"/>
  <c r="G26" i="66"/>
  <c r="G28" i="66"/>
  <c r="G27" i="67"/>
  <c r="G47" i="69"/>
  <c r="G15" i="70"/>
  <c r="G18" i="70"/>
  <c r="G10" i="65"/>
  <c r="E15" i="56"/>
  <c r="G15" i="56" s="1"/>
  <c r="E14" i="56"/>
  <c r="G14" i="56" s="1"/>
  <c r="E13" i="56"/>
  <c r="G13" i="56" s="1"/>
  <c r="E12" i="56"/>
  <c r="G12" i="56" s="1"/>
  <c r="E11" i="56"/>
  <c r="G11" i="56" s="1"/>
  <c r="G12" i="37"/>
  <c r="F14" i="37"/>
  <c r="G14" i="37" s="1"/>
  <c r="F13" i="37"/>
  <c r="G13" i="37" s="1"/>
  <c r="F12" i="37"/>
  <c r="G45" i="79" l="1"/>
  <c r="I26" i="85"/>
  <c r="G26" i="82"/>
  <c r="G28" i="82" s="1"/>
  <c r="G29" i="82" s="1"/>
  <c r="G30" i="82" s="1"/>
  <c r="I51" i="88"/>
  <c r="I52" i="88" s="1"/>
  <c r="I26" i="86"/>
  <c r="I27" i="86" s="1"/>
  <c r="I28" i="86" s="1"/>
  <c r="I29" i="86" s="1"/>
  <c r="K51" i="87"/>
  <c r="K52" i="87" s="1"/>
  <c r="I51" i="87"/>
  <c r="I52" i="87" s="1"/>
  <c r="J44" i="75"/>
  <c r="O27" i="61"/>
  <c r="P27" i="61" s="1"/>
  <c r="G21" i="84"/>
  <c r="G22" i="84" s="1"/>
  <c r="G23" i="84" s="1"/>
  <c r="G27" i="86"/>
  <c r="G28" i="86" s="1"/>
  <c r="G29" i="86" s="1"/>
  <c r="I27" i="85"/>
  <c r="I28" i="85" s="1"/>
  <c r="I29" i="85" s="1"/>
  <c r="G25" i="83"/>
  <c r="G26" i="83" s="1"/>
  <c r="H31" i="74"/>
  <c r="H34" i="74" s="1"/>
  <c r="H37" i="74" s="1"/>
  <c r="G46" i="79"/>
  <c r="G47" i="79" s="1"/>
  <c r="J24" i="81"/>
  <c r="J26" i="81" s="1"/>
  <c r="G26" i="85"/>
  <c r="G25" i="85"/>
  <c r="G27" i="83"/>
  <c r="I27" i="83"/>
  <c r="I26" i="83"/>
  <c r="I25" i="82"/>
  <c r="P22" i="81"/>
  <c r="P23" i="81" s="1"/>
  <c r="P24" i="81" s="1"/>
  <c r="G24" i="81"/>
  <c r="M22" i="81"/>
  <c r="M23" i="81" s="1"/>
  <c r="M24" i="81" s="1"/>
  <c r="G42" i="77"/>
  <c r="G44" i="77" s="1"/>
  <c r="G45" i="80"/>
  <c r="G47" i="80" s="1"/>
  <c r="G49" i="78"/>
  <c r="G50" i="78" s="1"/>
  <c r="O25" i="62"/>
  <c r="P25" i="62" s="1"/>
  <c r="P56" i="62" s="1"/>
  <c r="P64" i="62" s="1"/>
  <c r="M14" i="62"/>
  <c r="M56" i="62" s="1"/>
  <c r="M58" i="62" s="1"/>
  <c r="G42" i="69"/>
  <c r="G29" i="72"/>
  <c r="G31" i="72" s="1"/>
  <c r="H31" i="66"/>
  <c r="H33" i="66" s="1"/>
  <c r="H34" i="76"/>
  <c r="H35" i="63"/>
  <c r="H37" i="63" s="1"/>
  <c r="G27" i="71"/>
  <c r="G29" i="71" s="1"/>
  <c r="H29" i="67"/>
  <c r="H31" i="67" s="1"/>
  <c r="J14" i="62"/>
  <c r="J56" i="62" s="1"/>
  <c r="G34" i="76"/>
  <c r="G36" i="76"/>
  <c r="H36" i="76"/>
  <c r="J48" i="75"/>
  <c r="G48" i="75"/>
  <c r="G50" i="75" s="1"/>
  <c r="G32" i="74"/>
  <c r="G31" i="74"/>
  <c r="I52" i="70"/>
  <c r="I53" i="70" s="1"/>
  <c r="G49" i="69"/>
  <c r="G29" i="67"/>
  <c r="G31" i="67" s="1"/>
  <c r="H29" i="72"/>
  <c r="H31" i="72" s="1"/>
  <c r="K52" i="70"/>
  <c r="K58" i="70" s="1"/>
  <c r="G14" i="73"/>
  <c r="G18" i="73" s="1"/>
  <c r="G19" i="73" s="1"/>
  <c r="G33" i="60"/>
  <c r="G34" i="60" s="1"/>
  <c r="J35" i="63"/>
  <c r="J37" i="63" s="1"/>
  <c r="L35" i="63"/>
  <c r="L37" i="63" s="1"/>
  <c r="G56" i="61"/>
  <c r="G57" i="61" s="1"/>
  <c r="I33" i="60"/>
  <c r="I35" i="60" s="1"/>
  <c r="G31" i="66"/>
  <c r="G32" i="66" s="1"/>
  <c r="H29" i="65"/>
  <c r="H31" i="65" s="1"/>
  <c r="P58" i="59"/>
  <c r="P59" i="59" s="1"/>
  <c r="G56" i="62"/>
  <c r="G64" i="62" s="1"/>
  <c r="P56" i="58"/>
  <c r="P57" i="58" s="1"/>
  <c r="G56" i="58"/>
  <c r="G57" i="58" s="1"/>
  <c r="G52" i="70"/>
  <c r="G58" i="70" s="1"/>
  <c r="O28" i="61"/>
  <c r="P28" i="61" s="1"/>
  <c r="J56" i="58"/>
  <c r="J65" i="58" s="1"/>
  <c r="G58" i="59"/>
  <c r="G67" i="59" s="1"/>
  <c r="M58" i="59"/>
  <c r="M59" i="59" s="1"/>
  <c r="J58" i="59"/>
  <c r="J60" i="59" s="1"/>
  <c r="S64" i="61"/>
  <c r="S57" i="61"/>
  <c r="S58" i="61"/>
  <c r="G29" i="65"/>
  <c r="H27" i="71"/>
  <c r="G52" i="68"/>
  <c r="G46" i="68"/>
  <c r="G45" i="68"/>
  <c r="G47" i="64"/>
  <c r="G46" i="64"/>
  <c r="S57" i="62"/>
  <c r="S58" i="62"/>
  <c r="S64" i="62"/>
  <c r="L15" i="61"/>
  <c r="J15" i="61"/>
  <c r="J56" i="61" s="1"/>
  <c r="M56" i="58"/>
  <c r="S65" i="58"/>
  <c r="S58" i="58"/>
  <c r="S57" i="58"/>
  <c r="S59" i="59"/>
  <c r="S60" i="59"/>
  <c r="S67" i="59"/>
  <c r="F13" i="56"/>
  <c r="I13" i="56" s="1"/>
  <c r="J13" i="56" s="1"/>
  <c r="L13" i="56" s="1"/>
  <c r="M13" i="56" s="1"/>
  <c r="F12" i="56"/>
  <c r="I12" i="56" s="1"/>
  <c r="F14" i="56"/>
  <c r="I14" i="56" s="1"/>
  <c r="F11" i="56"/>
  <c r="I11" i="56" s="1"/>
  <c r="K13" i="56"/>
  <c r="F15" i="56"/>
  <c r="I15" i="56" s="1"/>
  <c r="J25" i="81" l="1"/>
  <c r="J27" i="81" s="1"/>
  <c r="J28" i="81" s="1"/>
  <c r="G27" i="85"/>
  <c r="G28" i="85" s="1"/>
  <c r="G29" i="85" s="1"/>
  <c r="G43" i="77"/>
  <c r="G45" i="77" s="1"/>
  <c r="G46" i="77" s="1"/>
  <c r="G28" i="71"/>
  <c r="G33" i="71" s="1"/>
  <c r="G46" i="80"/>
  <c r="G48" i="80" s="1"/>
  <c r="G49" i="80" s="1"/>
  <c r="G28" i="83"/>
  <c r="G29" i="83" s="1"/>
  <c r="G32" i="83" s="1"/>
  <c r="G33" i="83" s="1"/>
  <c r="H38" i="74"/>
  <c r="H39" i="74" s="1"/>
  <c r="I28" i="83"/>
  <c r="I29" i="83" s="1"/>
  <c r="I32" i="83" s="1"/>
  <c r="I33" i="83" s="1"/>
  <c r="I26" i="82"/>
  <c r="I27" i="82"/>
  <c r="M25" i="81"/>
  <c r="M26" i="81"/>
  <c r="P25" i="81"/>
  <c r="P26" i="81"/>
  <c r="G25" i="81"/>
  <c r="G26" i="81"/>
  <c r="G30" i="67"/>
  <c r="G34" i="67" s="1"/>
  <c r="G35" i="67" s="1"/>
  <c r="G36" i="67" s="1"/>
  <c r="P57" i="62"/>
  <c r="I58" i="70"/>
  <c r="I54" i="70"/>
  <c r="H41" i="63"/>
  <c r="H42" i="63" s="1"/>
  <c r="G35" i="60"/>
  <c r="H36" i="63"/>
  <c r="G58" i="62"/>
  <c r="G66" i="62" s="1"/>
  <c r="G30" i="72"/>
  <c r="G34" i="72" s="1"/>
  <c r="G35" i="72" s="1"/>
  <c r="G36" i="72" s="1"/>
  <c r="J59" i="59"/>
  <c r="G50" i="69"/>
  <c r="G51" i="69" s="1"/>
  <c r="M67" i="59"/>
  <c r="G53" i="75"/>
  <c r="G56" i="75" s="1"/>
  <c r="H32" i="66"/>
  <c r="H36" i="66" s="1"/>
  <c r="H37" i="66" s="1"/>
  <c r="H38" i="66" s="1"/>
  <c r="G53" i="70"/>
  <c r="G54" i="70"/>
  <c r="G59" i="70" s="1"/>
  <c r="L36" i="63"/>
  <c r="H39" i="76"/>
  <c r="H40" i="76" s="1"/>
  <c r="H30" i="65"/>
  <c r="H35" i="65" s="1"/>
  <c r="H36" i="65" s="1"/>
  <c r="H40" i="74"/>
  <c r="H41" i="74" s="1"/>
  <c r="H42" i="74" s="1"/>
  <c r="S67" i="62"/>
  <c r="S68" i="62" s="1"/>
  <c r="G53" i="68"/>
  <c r="G54" i="68" s="1"/>
  <c r="G39" i="76"/>
  <c r="G40" i="76" s="1"/>
  <c r="J58" i="62"/>
  <c r="J64" i="62"/>
  <c r="J57" i="62"/>
  <c r="P58" i="58"/>
  <c r="K53" i="70"/>
  <c r="M64" i="62"/>
  <c r="M66" i="62" s="1"/>
  <c r="H30" i="67"/>
  <c r="H34" i="67" s="1"/>
  <c r="H35" i="67" s="1"/>
  <c r="G58" i="61"/>
  <c r="J36" i="63"/>
  <c r="K54" i="70"/>
  <c r="K59" i="70" s="1"/>
  <c r="J58" i="58"/>
  <c r="J67" i="58" s="1"/>
  <c r="L41" i="63"/>
  <c r="L42" i="63" s="1"/>
  <c r="G57" i="62"/>
  <c r="P67" i="59"/>
  <c r="J51" i="75"/>
  <c r="J54" i="75" s="1"/>
  <c r="G34" i="74"/>
  <c r="G37" i="74" s="1"/>
  <c r="G38" i="74" s="1"/>
  <c r="G60" i="59"/>
  <c r="G69" i="59" s="1"/>
  <c r="J41" i="63"/>
  <c r="J42" i="63" s="1"/>
  <c r="M60" i="59"/>
  <c r="G64" i="61"/>
  <c r="P60" i="59"/>
  <c r="J67" i="59"/>
  <c r="J69" i="59" s="1"/>
  <c r="H30" i="72"/>
  <c r="S67" i="61"/>
  <c r="S68" i="61" s="1"/>
  <c r="S68" i="58"/>
  <c r="S69" i="58" s="1"/>
  <c r="G58" i="58"/>
  <c r="S70" i="59"/>
  <c r="S71" i="59" s="1"/>
  <c r="J57" i="58"/>
  <c r="P65" i="58"/>
  <c r="I34" i="60"/>
  <c r="I38" i="60" s="1"/>
  <c r="I39" i="60" s="1"/>
  <c r="G33" i="66"/>
  <c r="G59" i="59"/>
  <c r="M57" i="62"/>
  <c r="G65" i="58"/>
  <c r="P58" i="62"/>
  <c r="P66" i="62" s="1"/>
  <c r="J58" i="61"/>
  <c r="J57" i="61"/>
  <c r="J64" i="61"/>
  <c r="M15" i="61"/>
  <c r="M56" i="61" s="1"/>
  <c r="O15" i="61"/>
  <c r="P15" i="61" s="1"/>
  <c r="P56" i="61" s="1"/>
  <c r="G38" i="60"/>
  <c r="G31" i="65"/>
  <c r="G30" i="65"/>
  <c r="G36" i="66"/>
  <c r="M58" i="58"/>
  <c r="M57" i="58"/>
  <c r="M65" i="58"/>
  <c r="G50" i="64"/>
  <c r="G51" i="64" s="1"/>
  <c r="G20" i="73"/>
  <c r="H29" i="71"/>
  <c r="H28" i="71"/>
  <c r="K11" i="56"/>
  <c r="J11" i="56"/>
  <c r="L11" i="56" s="1"/>
  <c r="M11" i="56" s="1"/>
  <c r="K14" i="56"/>
  <c r="J14" i="56"/>
  <c r="K15" i="56"/>
  <c r="J15" i="56"/>
  <c r="K12" i="56"/>
  <c r="J12" i="56"/>
  <c r="L12" i="56" s="1"/>
  <c r="M12" i="56" s="1"/>
  <c r="K29" i="46"/>
  <c r="G29" i="46"/>
  <c r="G28" i="46"/>
  <c r="K28" i="46"/>
  <c r="G27" i="46"/>
  <c r="K27" i="46"/>
  <c r="G107" i="33"/>
  <c r="G69" i="33"/>
  <c r="F39" i="33"/>
  <c r="H39" i="33" s="1"/>
  <c r="P27" i="81" l="1"/>
  <c r="P28" i="81" s="1"/>
  <c r="I30" i="83"/>
  <c r="G55" i="75"/>
  <c r="G58" i="75" s="1"/>
  <c r="G60" i="75" s="1"/>
  <c r="I28" i="82"/>
  <c r="I29" i="82" s="1"/>
  <c r="I30" i="82" s="1"/>
  <c r="G30" i="83"/>
  <c r="M27" i="81"/>
  <c r="M28" i="81" s="1"/>
  <c r="H43" i="63"/>
  <c r="H45" i="63" s="1"/>
  <c r="G27" i="81"/>
  <c r="G28" i="81" s="1"/>
  <c r="I59" i="70"/>
  <c r="I60" i="70" s="1"/>
  <c r="I61" i="70" s="1"/>
  <c r="P69" i="59"/>
  <c r="P71" i="59" s="1"/>
  <c r="P73" i="59" s="1"/>
  <c r="J66" i="62"/>
  <c r="J68" i="62" s="1"/>
  <c r="J70" i="62" s="1"/>
  <c r="G52" i="69"/>
  <c r="G53" i="69" s="1"/>
  <c r="G54" i="69" s="1"/>
  <c r="L43" i="63"/>
  <c r="L44" i="63" s="1"/>
  <c r="G67" i="58"/>
  <c r="G69" i="58" s="1"/>
  <c r="G71" i="58" s="1"/>
  <c r="M69" i="59"/>
  <c r="M71" i="59" s="1"/>
  <c r="M73" i="59" s="1"/>
  <c r="G42" i="76"/>
  <c r="G41" i="76"/>
  <c r="G66" i="61"/>
  <c r="G68" i="61" s="1"/>
  <c r="G70" i="61" s="1"/>
  <c r="G68" i="62"/>
  <c r="G69" i="62" s="1"/>
  <c r="K60" i="70"/>
  <c r="K61" i="70" s="1"/>
  <c r="G60" i="70"/>
  <c r="G62" i="70" s="1"/>
  <c r="G71" i="59"/>
  <c r="G72" i="59" s="1"/>
  <c r="P67" i="58"/>
  <c r="P69" i="58" s="1"/>
  <c r="P71" i="58" s="1"/>
  <c r="J71" i="59"/>
  <c r="J73" i="59" s="1"/>
  <c r="M68" i="62"/>
  <c r="H41" i="76"/>
  <c r="H42" i="76"/>
  <c r="J55" i="75"/>
  <c r="J56" i="75"/>
  <c r="G40" i="74"/>
  <c r="G39" i="74"/>
  <c r="H37" i="65"/>
  <c r="H38" i="65" s="1"/>
  <c r="J43" i="63"/>
  <c r="J44" i="63" s="1"/>
  <c r="J69" i="58"/>
  <c r="H34" i="72"/>
  <c r="H35" i="72" s="1"/>
  <c r="M67" i="58"/>
  <c r="M69" i="58" s="1"/>
  <c r="H36" i="67"/>
  <c r="H37" i="67" s="1"/>
  <c r="J66" i="61"/>
  <c r="J68" i="61" s="1"/>
  <c r="G52" i="64"/>
  <c r="G54" i="64" s="1"/>
  <c r="P68" i="62"/>
  <c r="G37" i="66"/>
  <c r="G38" i="66" s="1"/>
  <c r="H39" i="66"/>
  <c r="H41" i="66"/>
  <c r="H40" i="66"/>
  <c r="G38" i="72"/>
  <c r="G37" i="72"/>
  <c r="I40" i="60"/>
  <c r="H33" i="71"/>
  <c r="H34" i="71" s="1"/>
  <c r="G39" i="60"/>
  <c r="G40" i="60" s="1"/>
  <c r="S69" i="62"/>
  <c r="S70" i="62"/>
  <c r="S70" i="58"/>
  <c r="S71" i="58"/>
  <c r="G22" i="73"/>
  <c r="G21" i="73"/>
  <c r="G37" i="67"/>
  <c r="G38" i="67"/>
  <c r="G55" i="68"/>
  <c r="G56" i="68"/>
  <c r="P58" i="61"/>
  <c r="P64" i="61"/>
  <c r="P57" i="61"/>
  <c r="S70" i="61"/>
  <c r="S69" i="61"/>
  <c r="S73" i="59"/>
  <c r="S72" i="59"/>
  <c r="G34" i="71"/>
  <c r="G35" i="71" s="1"/>
  <c r="G35" i="65"/>
  <c r="G36" i="65" s="1"/>
  <c r="G37" i="65" s="1"/>
  <c r="M57" i="61"/>
  <c r="M64" i="61"/>
  <c r="M58" i="61"/>
  <c r="I39" i="33"/>
  <c r="J39" i="33"/>
  <c r="L15" i="56"/>
  <c r="M15" i="56" s="1"/>
  <c r="L14" i="56"/>
  <c r="M14" i="56" s="1"/>
  <c r="H44" i="63" l="1"/>
  <c r="G70" i="58"/>
  <c r="G72" i="58" s="1"/>
  <c r="G73" i="58" s="1"/>
  <c r="G61" i="70"/>
  <c r="G63" i="70" s="1"/>
  <c r="G64" i="70" s="1"/>
  <c r="I62" i="70"/>
  <c r="I63" i="70" s="1"/>
  <c r="I64" i="70" s="1"/>
  <c r="L45" i="63"/>
  <c r="L46" i="63" s="1"/>
  <c r="L55" i="63" s="1"/>
  <c r="L56" i="63" s="1"/>
  <c r="H38" i="67"/>
  <c r="H40" i="67" s="1"/>
  <c r="H41" i="67" s="1"/>
  <c r="J69" i="62"/>
  <c r="J71" i="62" s="1"/>
  <c r="J72" i="62" s="1"/>
  <c r="J59" i="75"/>
  <c r="J60" i="75" s="1"/>
  <c r="G70" i="62"/>
  <c r="G71" i="62" s="1"/>
  <c r="G72" i="62" s="1"/>
  <c r="P72" i="59"/>
  <c r="P74" i="59" s="1"/>
  <c r="P75" i="59" s="1"/>
  <c r="G41" i="74"/>
  <c r="G42" i="74" s="1"/>
  <c r="G73" i="59"/>
  <c r="G74" i="59" s="1"/>
  <c r="G75" i="59" s="1"/>
  <c r="H43" i="76"/>
  <c r="H44" i="76" s="1"/>
  <c r="G40" i="67"/>
  <c r="G41" i="67" s="1"/>
  <c r="H35" i="71"/>
  <c r="H37" i="71" s="1"/>
  <c r="K62" i="70"/>
  <c r="K63" i="70" s="1"/>
  <c r="K64" i="70" s="1"/>
  <c r="J45" i="63"/>
  <c r="J46" i="63" s="1"/>
  <c r="J55" i="63" s="1"/>
  <c r="J56" i="63" s="1"/>
  <c r="G69" i="61"/>
  <c r="G71" i="61" s="1"/>
  <c r="G72" i="61" s="1"/>
  <c r="M66" i="61"/>
  <c r="M68" i="61" s="1"/>
  <c r="G53" i="64"/>
  <c r="G55" i="64" s="1"/>
  <c r="G56" i="64" s="1"/>
  <c r="G43" i="76"/>
  <c r="G44" i="76" s="1"/>
  <c r="H39" i="65"/>
  <c r="H42" i="65" s="1"/>
  <c r="H43" i="65" s="1"/>
  <c r="J72" i="59"/>
  <c r="J74" i="59" s="1"/>
  <c r="J75" i="59" s="1"/>
  <c r="M69" i="62"/>
  <c r="M70" i="62"/>
  <c r="M72" i="59"/>
  <c r="M74" i="59" s="1"/>
  <c r="M75" i="59" s="1"/>
  <c r="P70" i="58"/>
  <c r="P72" i="58" s="1"/>
  <c r="P73" i="58" s="1"/>
  <c r="J70" i="58"/>
  <c r="J71" i="58"/>
  <c r="H36" i="72"/>
  <c r="H46" i="63"/>
  <c r="H55" i="63" s="1"/>
  <c r="H56" i="63" s="1"/>
  <c r="S72" i="58"/>
  <c r="S73" i="58" s="1"/>
  <c r="G40" i="72"/>
  <c r="G41" i="72" s="1"/>
  <c r="P69" i="62"/>
  <c r="P70" i="62"/>
  <c r="S71" i="61"/>
  <c r="S72" i="61" s="1"/>
  <c r="P66" i="61"/>
  <c r="P68" i="61" s="1"/>
  <c r="S71" i="62"/>
  <c r="S72" i="62" s="1"/>
  <c r="H42" i="66"/>
  <c r="H43" i="66" s="1"/>
  <c r="S74" i="59"/>
  <c r="S75" i="59" s="1"/>
  <c r="G57" i="68"/>
  <c r="G58" i="68" s="1"/>
  <c r="G23" i="73"/>
  <c r="G24" i="73" s="1"/>
  <c r="G39" i="65"/>
  <c r="G38" i="65"/>
  <c r="G40" i="65"/>
  <c r="G42" i="60"/>
  <c r="G41" i="60"/>
  <c r="J70" i="61"/>
  <c r="J69" i="61"/>
  <c r="G37" i="71"/>
  <c r="G36" i="71"/>
  <c r="G38" i="71"/>
  <c r="G40" i="66"/>
  <c r="G39" i="66"/>
  <c r="G41" i="66"/>
  <c r="M70" i="58"/>
  <c r="M71" i="58"/>
  <c r="I42" i="60"/>
  <c r="I41" i="60"/>
  <c r="E10" i="56"/>
  <c r="G10" i="56" s="1"/>
  <c r="E9" i="56"/>
  <c r="G9" i="56" s="1"/>
  <c r="E14" i="57"/>
  <c r="F14" i="57" s="1"/>
  <c r="E13" i="57"/>
  <c r="F13" i="57" s="1"/>
  <c r="E12" i="57"/>
  <c r="F12" i="57" s="1"/>
  <c r="E11" i="57"/>
  <c r="F11" i="57" s="1"/>
  <c r="H36" i="71" l="1"/>
  <c r="H42" i="71" s="1"/>
  <c r="H43" i="71" s="1"/>
  <c r="M71" i="62"/>
  <c r="M72" i="62" s="1"/>
  <c r="J72" i="58"/>
  <c r="J73" i="58" s="1"/>
  <c r="I43" i="60"/>
  <c r="I44" i="60" s="1"/>
  <c r="G42" i="65"/>
  <c r="G43" i="65" s="1"/>
  <c r="G43" i="60"/>
  <c r="G44" i="60" s="1"/>
  <c r="J71" i="61"/>
  <c r="J72" i="61" s="1"/>
  <c r="H37" i="72"/>
  <c r="H38" i="72"/>
  <c r="G41" i="71"/>
  <c r="G43" i="71" s="1"/>
  <c r="G42" i="66"/>
  <c r="G43" i="66" s="1"/>
  <c r="P71" i="62"/>
  <c r="P72" i="62" s="1"/>
  <c r="M72" i="58"/>
  <c r="M73" i="58" s="1"/>
  <c r="M69" i="61"/>
  <c r="M70" i="61"/>
  <c r="P70" i="61"/>
  <c r="P69" i="61"/>
  <c r="F10" i="56"/>
  <c r="I10" i="56" s="1"/>
  <c r="F9" i="56"/>
  <c r="I9" i="56" s="1"/>
  <c r="E10" i="57"/>
  <c r="M71" i="61" l="1"/>
  <c r="M72" i="61" s="1"/>
  <c r="H40" i="72"/>
  <c r="H41" i="72" s="1"/>
  <c r="P71" i="61"/>
  <c r="P72" i="61" s="1"/>
  <c r="F10" i="57"/>
  <c r="H10" i="57" s="1"/>
  <c r="K9" i="56"/>
  <c r="J9" i="56"/>
  <c r="K10" i="56"/>
  <c r="J10" i="56"/>
  <c r="H12" i="57"/>
  <c r="I12" i="57" s="1"/>
  <c r="E27" i="46"/>
  <c r="I10" i="57" l="1"/>
  <c r="H13" i="57"/>
  <c r="I13" i="57" s="1"/>
  <c r="H11" i="57"/>
  <c r="I11" i="57" s="1"/>
  <c r="H14" i="57"/>
  <c r="I14" i="57" s="1"/>
  <c r="F54" i="47"/>
  <c r="I36" i="52"/>
  <c r="G36" i="52"/>
  <c r="H23" i="52"/>
  <c r="F23" i="52"/>
  <c r="E36" i="52"/>
  <c r="G27" i="53"/>
  <c r="F27" i="53"/>
  <c r="I10" i="52"/>
  <c r="G10" i="52"/>
  <c r="E10" i="52"/>
  <c r="F10" i="53"/>
  <c r="G10" i="53" s="1"/>
  <c r="E12" i="52"/>
  <c r="I12" i="52" s="1"/>
  <c r="E22" i="52"/>
  <c r="G22" i="52" s="1"/>
  <c r="F13" i="53"/>
  <c r="F23" i="53"/>
  <c r="G23" i="53" s="1"/>
  <c r="F22" i="53"/>
  <c r="G22" i="53" s="1"/>
  <c r="I31" i="52"/>
  <c r="G31" i="52"/>
  <c r="G30" i="52"/>
  <c r="E32" i="52"/>
  <c r="G32" i="52" s="1"/>
  <c r="E31" i="52"/>
  <c r="F21" i="53"/>
  <c r="G21" i="53" s="1"/>
  <c r="E30" i="52"/>
  <c r="I30" i="52" s="1"/>
  <c r="I28" i="52"/>
  <c r="G28" i="52"/>
  <c r="E28" i="52"/>
  <c r="F19" i="53"/>
  <c r="G19" i="53" s="1"/>
  <c r="E27" i="52"/>
  <c r="I27" i="52" s="1"/>
  <c r="F18" i="53"/>
  <c r="G18" i="53" s="1"/>
  <c r="E26" i="52"/>
  <c r="G26" i="52" s="1"/>
  <c r="I25" i="52"/>
  <c r="G25" i="52"/>
  <c r="E25" i="52"/>
  <c r="E24" i="52"/>
  <c r="I24" i="52" s="1"/>
  <c r="F17" i="53"/>
  <c r="G17" i="53" s="1"/>
  <c r="G23" i="52"/>
  <c r="E23" i="52"/>
  <c r="E20" i="52"/>
  <c r="I20" i="52" s="1"/>
  <c r="I19" i="52"/>
  <c r="G19" i="52"/>
  <c r="E19" i="52"/>
  <c r="E18" i="52"/>
  <c r="I18" i="52" s="1"/>
  <c r="E17" i="52"/>
  <c r="I17" i="52" s="1"/>
  <c r="G16" i="52"/>
  <c r="E16" i="52"/>
  <c r="F16" i="53"/>
  <c r="G16" i="53" s="1"/>
  <c r="E15" i="52"/>
  <c r="I15" i="52" s="1"/>
  <c r="F15" i="53"/>
  <c r="E14" i="52"/>
  <c r="I14" i="52" s="1"/>
  <c r="F14" i="53"/>
  <c r="I13" i="52"/>
  <c r="G13" i="52"/>
  <c r="E13" i="52"/>
  <c r="F11" i="53"/>
  <c r="E11" i="52"/>
  <c r="I11" i="52" s="1"/>
  <c r="I26" i="52" l="1"/>
  <c r="I32" i="52"/>
  <c r="I22" i="52"/>
  <c r="G11" i="52"/>
  <c r="G15" i="52"/>
  <c r="G12" i="52"/>
  <c r="G27" i="52"/>
  <c r="G14" i="52"/>
  <c r="G18" i="52"/>
  <c r="G20" i="52"/>
  <c r="G24" i="52"/>
  <c r="L10" i="56"/>
  <c r="M10" i="56" s="1"/>
  <c r="E23" i="53"/>
  <c r="E22" i="53"/>
  <c r="E21" i="53"/>
  <c r="G15" i="53"/>
  <c r="G14" i="53"/>
  <c r="G13" i="53"/>
  <c r="G11" i="53"/>
  <c r="H29" i="52"/>
  <c r="F29" i="52"/>
  <c r="I23" i="52"/>
  <c r="H20" i="52"/>
  <c r="H10" i="52"/>
  <c r="L9" i="56" l="1"/>
  <c r="M9" i="56" s="1"/>
  <c r="G24" i="53"/>
  <c r="G25" i="53" l="1"/>
  <c r="G26" i="53"/>
  <c r="I33" i="52"/>
  <c r="G33" i="52"/>
  <c r="I34" i="52" l="1"/>
  <c r="I38" i="52" s="1"/>
  <c r="I35" i="52"/>
  <c r="I39" i="52" s="1"/>
  <c r="G35" i="52"/>
  <c r="G34" i="52"/>
  <c r="G38" i="52" s="1"/>
  <c r="G39" i="52" s="1"/>
  <c r="G29" i="53"/>
  <c r="G30" i="53" s="1"/>
  <c r="G40" i="52" l="1"/>
  <c r="I40" i="52"/>
  <c r="G31" i="53"/>
  <c r="I42" i="52" l="1"/>
  <c r="I41" i="52"/>
  <c r="G41" i="52"/>
  <c r="G42" i="52"/>
  <c r="G43" i="52" s="1"/>
  <c r="G44" i="52" s="1"/>
  <c r="I43" i="52"/>
  <c r="I44" i="52" s="1"/>
  <c r="G33" i="53"/>
  <c r="G32" i="53"/>
  <c r="G34" i="53" l="1"/>
  <c r="G35" i="53" s="1"/>
  <c r="H11" i="47"/>
  <c r="H10" i="47"/>
  <c r="F50" i="47"/>
  <c r="F49" i="47"/>
  <c r="H49" i="47" s="1"/>
  <c r="H48" i="47"/>
  <c r="F48" i="47"/>
  <c r="F47" i="47"/>
  <c r="H47" i="47" s="1"/>
  <c r="F46" i="47"/>
  <c r="H46" i="47" s="1"/>
  <c r="F43" i="47"/>
  <c r="H43" i="47" s="1"/>
  <c r="F42" i="47"/>
  <c r="H42" i="47" s="1"/>
  <c r="F40" i="47"/>
  <c r="H40" i="47" s="1"/>
  <c r="F33" i="47"/>
  <c r="H33" i="47" s="1"/>
  <c r="H32" i="47"/>
  <c r="F32" i="47"/>
  <c r="F31" i="47"/>
  <c r="H31" i="47" s="1"/>
  <c r="F30" i="47"/>
  <c r="H30" i="47" s="1"/>
  <c r="H29" i="47"/>
  <c r="F29" i="47"/>
  <c r="F27" i="47"/>
  <c r="H27" i="47" s="1"/>
  <c r="F26" i="47"/>
  <c r="H26" i="47" s="1"/>
  <c r="F24" i="47"/>
  <c r="H24" i="47" s="1"/>
  <c r="F25" i="47"/>
  <c r="H25" i="47" s="1"/>
  <c r="F23" i="47"/>
  <c r="H23" i="47" s="1"/>
  <c r="F20" i="47"/>
  <c r="H20" i="47" s="1"/>
  <c r="F19" i="47"/>
  <c r="F18" i="47" l="1"/>
  <c r="H18" i="47" s="1"/>
  <c r="F17" i="47"/>
  <c r="H17" i="47" s="1"/>
  <c r="F16" i="47"/>
  <c r="H16" i="47" s="1"/>
  <c r="F14" i="47"/>
  <c r="E22" i="46"/>
  <c r="G22" i="46" s="1"/>
  <c r="E21" i="46"/>
  <c r="E20" i="46"/>
  <c r="K20" i="46" s="1"/>
  <c r="E19" i="46"/>
  <c r="K19" i="46" s="1"/>
  <c r="E18" i="46"/>
  <c r="G18" i="46" s="1"/>
  <c r="E15" i="46"/>
  <c r="K15" i="46" s="1"/>
  <c r="E14" i="46"/>
  <c r="E13" i="46"/>
  <c r="E11" i="46"/>
  <c r="E10" i="46"/>
  <c r="I18" i="46" l="1"/>
  <c r="I19" i="46"/>
  <c r="K18" i="46"/>
  <c r="G20" i="46"/>
  <c r="K22" i="46"/>
  <c r="G15" i="46"/>
  <c r="I20" i="46"/>
  <c r="G19" i="46"/>
  <c r="I21" i="46"/>
  <c r="G21" i="46"/>
  <c r="K21" i="46"/>
  <c r="J107" i="33"/>
  <c r="I107" i="33"/>
  <c r="H107" i="33"/>
  <c r="J103" i="33"/>
  <c r="I103" i="33"/>
  <c r="H103" i="33"/>
  <c r="J102" i="33"/>
  <c r="I102" i="33"/>
  <c r="H102" i="33"/>
  <c r="J101" i="33"/>
  <c r="I101" i="33"/>
  <c r="H101" i="33"/>
  <c r="J100" i="33"/>
  <c r="I100" i="33"/>
  <c r="H100" i="33"/>
  <c r="J96" i="33"/>
  <c r="I96" i="33"/>
  <c r="H96" i="33"/>
  <c r="F107" i="33" l="1"/>
  <c r="F102" i="33"/>
  <c r="F101" i="33"/>
  <c r="F100" i="33"/>
  <c r="J99" i="33"/>
  <c r="I99" i="33"/>
  <c r="H99" i="33"/>
  <c r="F99" i="33"/>
  <c r="J98" i="33"/>
  <c r="I98" i="33"/>
  <c r="H98" i="33"/>
  <c r="F97" i="33"/>
  <c r="F21" i="47" l="1"/>
  <c r="H21" i="47" s="1"/>
  <c r="F41" i="47"/>
  <c r="H41" i="47" s="1"/>
  <c r="F39" i="47"/>
  <c r="H39" i="47" s="1"/>
  <c r="F22" i="47"/>
  <c r="H22" i="47" s="1"/>
  <c r="H15" i="47" l="1"/>
  <c r="F15" i="47"/>
  <c r="F45" i="47" l="1"/>
  <c r="H45" i="47" s="1"/>
  <c r="F38" i="47"/>
  <c r="H38" i="47" s="1"/>
  <c r="F37" i="47"/>
  <c r="H37" i="47" s="1"/>
  <c r="F35" i="47"/>
  <c r="H35" i="47" s="1"/>
  <c r="F34" i="47"/>
  <c r="H34" i="47" s="1"/>
  <c r="K16" i="46"/>
  <c r="E16" i="46"/>
  <c r="G16" i="46" s="1"/>
  <c r="F19" i="37"/>
  <c r="F15" i="37"/>
  <c r="F11" i="37"/>
  <c r="G11" i="37" s="1"/>
  <c r="F10" i="37"/>
  <c r="F8" i="37" l="1"/>
  <c r="F7" i="37"/>
  <c r="F9" i="37"/>
  <c r="G9" i="37" s="1"/>
  <c r="H54" i="47"/>
  <c r="H50" i="47"/>
  <c r="G36" i="47"/>
  <c r="H19" i="47"/>
  <c r="H14" i="47"/>
  <c r="H56" i="47" s="1"/>
  <c r="H12" i="47"/>
  <c r="K36" i="46"/>
  <c r="I36" i="46"/>
  <c r="G36" i="46"/>
  <c r="G14" i="46"/>
  <c r="K14" i="46" s="1"/>
  <c r="G13" i="46"/>
  <c r="K13" i="46" s="1"/>
  <c r="I11" i="46"/>
  <c r="I30" i="46" s="1"/>
  <c r="G10" i="46"/>
  <c r="G30" i="46" s="1"/>
  <c r="F44" i="47" l="1"/>
  <c r="K11" i="46"/>
  <c r="H51" i="47"/>
  <c r="K38" i="27"/>
  <c r="I38" i="27"/>
  <c r="G38" i="27"/>
  <c r="K39" i="27"/>
  <c r="I39" i="27"/>
  <c r="E38" i="27"/>
  <c r="K36" i="26"/>
  <c r="I36" i="26"/>
  <c r="G36" i="26"/>
  <c r="E36" i="26"/>
  <c r="H58" i="47" l="1"/>
  <c r="H57" i="47"/>
  <c r="H53" i="47"/>
  <c r="H52" i="47"/>
  <c r="K23" i="46"/>
  <c r="K30" i="46"/>
  <c r="K25" i="46"/>
  <c r="I23" i="46"/>
  <c r="G23" i="46"/>
  <c r="G32" i="46" l="1"/>
  <c r="K24" i="46"/>
  <c r="K31" i="46"/>
  <c r="K32" i="46" s="1"/>
  <c r="K33" i="46" s="1"/>
  <c r="I24" i="46"/>
  <c r="I31" i="46"/>
  <c r="I32" i="46" s="1"/>
  <c r="I25" i="46"/>
  <c r="G31" i="46"/>
  <c r="G24" i="46"/>
  <c r="G25" i="46"/>
  <c r="H59" i="47"/>
  <c r="H60" i="47" l="1"/>
  <c r="H62" i="47" s="1"/>
  <c r="H64" i="47" s="1"/>
  <c r="H61" i="47"/>
  <c r="K35" i="46"/>
  <c r="K34" i="46"/>
  <c r="K37" i="46" s="1"/>
  <c r="G33" i="46"/>
  <c r="I33" i="46"/>
  <c r="I34" i="46" l="1"/>
  <c r="I37" i="46" s="1"/>
  <c r="I35" i="46"/>
  <c r="G35" i="46"/>
  <c r="G34" i="46"/>
  <c r="K38" i="46"/>
  <c r="H63" i="47"/>
  <c r="H65" i="47"/>
  <c r="G37" i="46" l="1"/>
  <c r="G38" i="46" s="1"/>
  <c r="I38" i="46"/>
  <c r="F13" i="34" l="1"/>
  <c r="H13" i="34" s="1"/>
  <c r="F23" i="36"/>
  <c r="E19" i="36"/>
  <c r="G19" i="36" s="1"/>
  <c r="E18" i="36"/>
  <c r="G18" i="36" s="1"/>
  <c r="E13" i="36"/>
  <c r="G13" i="36" s="1"/>
  <c r="E12" i="36"/>
  <c r="G12" i="36" s="1"/>
  <c r="E11" i="36"/>
  <c r="G11" i="36" s="1"/>
  <c r="E9" i="36"/>
  <c r="G9" i="36" s="1"/>
  <c r="G25" i="35" l="1"/>
  <c r="F24" i="35"/>
  <c r="H24" i="35" s="1"/>
  <c r="F18" i="35"/>
  <c r="F16" i="35"/>
  <c r="H16" i="35" s="1"/>
  <c r="F15" i="35"/>
  <c r="H15" i="35" s="1"/>
  <c r="G19" i="37" l="1"/>
  <c r="G15" i="37"/>
  <c r="G10" i="37"/>
  <c r="G8" i="37"/>
  <c r="G7" i="37"/>
  <c r="G16" i="37" l="1"/>
  <c r="G39" i="36"/>
  <c r="H58" i="35"/>
  <c r="H57" i="35"/>
  <c r="H54" i="35"/>
  <c r="H53" i="35"/>
  <c r="F58" i="35"/>
  <c r="F57" i="35"/>
  <c r="F53" i="35"/>
  <c r="G18" i="37" l="1"/>
  <c r="G17" i="37"/>
  <c r="G37" i="36"/>
  <c r="E39" i="36"/>
  <c r="E37" i="36"/>
  <c r="E24" i="36"/>
  <c r="G24" i="36" s="1"/>
  <c r="E17" i="36"/>
  <c r="G17" i="36" s="1"/>
  <c r="E15" i="36"/>
  <c r="G15" i="36" s="1"/>
  <c r="E33" i="36"/>
  <c r="G33" i="36" s="1"/>
  <c r="F49" i="35"/>
  <c r="H49" i="35" s="1"/>
  <c r="E32" i="36"/>
  <c r="G32" i="36" s="1"/>
  <c r="F48" i="35"/>
  <c r="H48" i="35" s="1"/>
  <c r="E31" i="36"/>
  <c r="G31" i="36" s="1"/>
  <c r="F47" i="35"/>
  <c r="H47" i="35" s="1"/>
  <c r="E30" i="36"/>
  <c r="G30" i="36" s="1"/>
  <c r="F46" i="35"/>
  <c r="H46" i="35" s="1"/>
  <c r="E29" i="36"/>
  <c r="G29" i="36" s="1"/>
  <c r="F45" i="35"/>
  <c r="H45" i="35" s="1"/>
  <c r="E28" i="36"/>
  <c r="G28" i="36" s="1"/>
  <c r="F44" i="35"/>
  <c r="H44" i="35" s="1"/>
  <c r="E26" i="36"/>
  <c r="G26" i="36" s="1"/>
  <c r="F42" i="35"/>
  <c r="H42" i="35" s="1"/>
  <c r="E25" i="36"/>
  <c r="G25" i="36" s="1"/>
  <c r="F41" i="35"/>
  <c r="H41" i="35" s="1"/>
  <c r="F40" i="35"/>
  <c r="H40" i="35" s="1"/>
  <c r="F39" i="35"/>
  <c r="H39" i="35" s="1"/>
  <c r="F37" i="35"/>
  <c r="H37" i="35" s="1"/>
  <c r="F36" i="35"/>
  <c r="H36" i="35" s="1"/>
  <c r="F35" i="35"/>
  <c r="H35" i="35" s="1"/>
  <c r="F32" i="35"/>
  <c r="H32" i="35" s="1"/>
  <c r="F31" i="35"/>
  <c r="H31" i="35" s="1"/>
  <c r="F30" i="35"/>
  <c r="H30" i="35" s="1"/>
  <c r="F29" i="35"/>
  <c r="H29" i="35" s="1"/>
  <c r="E21" i="36"/>
  <c r="G21" i="36" s="1"/>
  <c r="E20" i="36"/>
  <c r="G20" i="36" s="1"/>
  <c r="F27" i="35"/>
  <c r="H27" i="35" s="1"/>
  <c r="E22" i="36"/>
  <c r="G22" i="36" s="1"/>
  <c r="F26" i="35"/>
  <c r="H26" i="35" s="1"/>
  <c r="E23" i="36"/>
  <c r="G23" i="36" s="1"/>
  <c r="F33" i="35"/>
  <c r="H33" i="35" s="1"/>
  <c r="F25" i="35"/>
  <c r="H25" i="35" s="1"/>
  <c r="F23" i="35"/>
  <c r="H23" i="35" s="1"/>
  <c r="F22" i="35"/>
  <c r="H22" i="35" s="1"/>
  <c r="F21" i="35"/>
  <c r="H21" i="35" s="1"/>
  <c r="E16" i="36"/>
  <c r="G16" i="36" s="1"/>
  <c r="F19" i="35"/>
  <c r="H19" i="35" s="1"/>
  <c r="H18" i="35"/>
  <c r="G21" i="37" l="1"/>
  <c r="G22" i="37" s="1"/>
  <c r="G23" i="37" s="1"/>
  <c r="E10" i="36"/>
  <c r="G10" i="36" s="1"/>
  <c r="F13" i="35"/>
  <c r="H13" i="35" s="1"/>
  <c r="F12" i="35"/>
  <c r="H12" i="35" s="1"/>
  <c r="E8" i="36"/>
  <c r="G8" i="36" s="1"/>
  <c r="F11" i="35"/>
  <c r="H11" i="35" s="1"/>
  <c r="F65" i="33"/>
  <c r="J65" i="33" s="1"/>
  <c r="F62" i="33"/>
  <c r="H62" i="33" s="1"/>
  <c r="F20" i="35"/>
  <c r="H20" i="35" s="1"/>
  <c r="F55" i="33"/>
  <c r="J55" i="33" s="1"/>
  <c r="F52" i="33"/>
  <c r="J52" i="33" s="1"/>
  <c r="F14" i="35"/>
  <c r="H14" i="35" s="1"/>
  <c r="F51" i="33"/>
  <c r="J51" i="33" s="1"/>
  <c r="G25" i="37" l="1"/>
  <c r="G24" i="37"/>
  <c r="I62" i="33"/>
  <c r="H55" i="33"/>
  <c r="J62" i="33"/>
  <c r="I55" i="33"/>
  <c r="I52" i="33"/>
  <c r="H65" i="33"/>
  <c r="H51" i="33"/>
  <c r="I65" i="33"/>
  <c r="H52" i="33"/>
  <c r="I51" i="33"/>
  <c r="F27" i="36"/>
  <c r="H55" i="35"/>
  <c r="G43" i="35"/>
  <c r="F38" i="35"/>
  <c r="F28" i="35"/>
  <c r="G26" i="37" l="1"/>
  <c r="G27" i="37" s="1"/>
  <c r="E14" i="36"/>
  <c r="G34" i="36"/>
  <c r="H50" i="35"/>
  <c r="H23" i="34"/>
  <c r="F23" i="34"/>
  <c r="F19" i="34"/>
  <c r="H19" i="34" s="1"/>
  <c r="F18" i="34"/>
  <c r="H18" i="34" s="1"/>
  <c r="F17" i="34"/>
  <c r="H17" i="34" s="1"/>
  <c r="F16" i="34"/>
  <c r="H16" i="34" s="1"/>
  <c r="F15" i="34"/>
  <c r="H15" i="34" s="1"/>
  <c r="F12" i="34"/>
  <c r="H12" i="34" s="1"/>
  <c r="F11" i="34"/>
  <c r="H11" i="34" s="1"/>
  <c r="F10" i="34"/>
  <c r="H10" i="34" s="1"/>
  <c r="F9" i="34"/>
  <c r="H9" i="34" s="1"/>
  <c r="F8" i="34"/>
  <c r="H8" i="34" s="1"/>
  <c r="G40" i="36" l="1"/>
  <c r="G36" i="36"/>
  <c r="G35" i="36"/>
  <c r="H59" i="35"/>
  <c r="H52" i="35"/>
  <c r="H51" i="35"/>
  <c r="G41" i="36" l="1"/>
  <c r="G42" i="36" s="1"/>
  <c r="H60" i="35"/>
  <c r="H61" i="35" s="1"/>
  <c r="F7" i="34"/>
  <c r="H20" i="34"/>
  <c r="H22" i="34" l="1"/>
  <c r="H21" i="34"/>
  <c r="H25" i="34"/>
  <c r="H63" i="35"/>
  <c r="H62" i="35"/>
  <c r="G43" i="36"/>
  <c r="G44" i="36"/>
  <c r="F100" i="31"/>
  <c r="L100" i="31" s="1"/>
  <c r="F73" i="31"/>
  <c r="L73" i="31" s="1"/>
  <c r="F72" i="31"/>
  <c r="L72" i="31" s="1"/>
  <c r="H64" i="35" l="1"/>
  <c r="H65" i="35" s="1"/>
  <c r="G45" i="36"/>
  <c r="G46" i="36" s="1"/>
  <c r="H26" i="34"/>
  <c r="H27" i="34" s="1"/>
  <c r="H100" i="31"/>
  <c r="J100" i="31"/>
  <c r="H73" i="31"/>
  <c r="J73" i="31"/>
  <c r="H72" i="31"/>
  <c r="J72" i="31"/>
  <c r="L31" i="31"/>
  <c r="J31" i="31"/>
  <c r="H31" i="31"/>
  <c r="H29" i="34" l="1"/>
  <c r="H28" i="34"/>
  <c r="H30" i="34" l="1"/>
  <c r="H31" i="34" s="1"/>
  <c r="L29" i="31"/>
  <c r="J29" i="31"/>
  <c r="H29" i="31"/>
  <c r="L28" i="31"/>
  <c r="J28" i="31"/>
  <c r="H28" i="31"/>
  <c r="L27" i="31"/>
  <c r="J27" i="31"/>
  <c r="H27" i="31"/>
  <c r="L26" i="31"/>
  <c r="J26" i="31"/>
  <c r="H26" i="31"/>
  <c r="L25" i="31"/>
  <c r="J25" i="31"/>
  <c r="H25" i="31"/>
  <c r="L13" i="31"/>
  <c r="J13" i="31"/>
  <c r="H13" i="31"/>
  <c r="L12" i="31"/>
  <c r="J12" i="31"/>
  <c r="H12" i="31"/>
  <c r="F143" i="31" l="1"/>
  <c r="J143" i="31" s="1"/>
  <c r="L142" i="31"/>
  <c r="J142" i="31"/>
  <c r="H142" i="31"/>
  <c r="F141" i="31"/>
  <c r="J141" i="31" s="1"/>
  <c r="F140" i="31"/>
  <c r="J140" i="31" s="1"/>
  <c r="L140" i="31" l="1"/>
  <c r="H140" i="31"/>
  <c r="H141" i="31"/>
  <c r="L141" i="31"/>
  <c r="L143" i="31"/>
  <c r="H143" i="31"/>
  <c r="F139" i="31" l="1"/>
  <c r="L139" i="31" s="1"/>
  <c r="J139" i="31" l="1"/>
  <c r="H139" i="31"/>
  <c r="H23" i="28"/>
  <c r="F23" i="28"/>
  <c r="L30" i="31" l="1"/>
  <c r="J30" i="31"/>
  <c r="H30" i="31"/>
  <c r="L24" i="31"/>
  <c r="J24" i="31"/>
  <c r="H24" i="31"/>
  <c r="H23" i="31"/>
  <c r="L23" i="31"/>
  <c r="J23" i="31"/>
  <c r="L22" i="31"/>
  <c r="J22" i="31"/>
  <c r="H22" i="31"/>
  <c r="L21" i="31"/>
  <c r="J21" i="31"/>
  <c r="H21" i="31"/>
  <c r="L20" i="31"/>
  <c r="J20" i="31"/>
  <c r="H20" i="31"/>
  <c r="H19" i="31"/>
  <c r="L18" i="31"/>
  <c r="J18" i="31"/>
  <c r="H18" i="31"/>
  <c r="L17" i="31"/>
  <c r="J17" i="31"/>
  <c r="H17" i="31"/>
  <c r="L16" i="31"/>
  <c r="J16" i="31"/>
  <c r="H16" i="31"/>
  <c r="L15" i="31"/>
  <c r="J15" i="31"/>
  <c r="H15" i="31"/>
  <c r="L14" i="31" l="1"/>
  <c r="J14" i="31"/>
  <c r="H14" i="31"/>
  <c r="L11" i="31"/>
  <c r="J11" i="31"/>
  <c r="H11" i="31"/>
  <c r="F59" i="33"/>
  <c r="H59" i="33" s="1"/>
  <c r="F97" i="31"/>
  <c r="F58" i="33"/>
  <c r="J58" i="33" s="1"/>
  <c r="F96" i="31"/>
  <c r="L96" i="31" s="1"/>
  <c r="J61" i="33"/>
  <c r="I61" i="33"/>
  <c r="H61" i="33"/>
  <c r="F61" i="33"/>
  <c r="F98" i="31"/>
  <c r="J98" i="31" s="1"/>
  <c r="F63" i="33"/>
  <c r="I63" i="33" s="1"/>
  <c r="F99" i="31"/>
  <c r="H99" i="31" s="1"/>
  <c r="F67" i="33"/>
  <c r="J67" i="33" s="1"/>
  <c r="F102" i="31"/>
  <c r="L102" i="31" s="1"/>
  <c r="F66" i="33"/>
  <c r="I66" i="33" s="1"/>
  <c r="F101" i="31"/>
  <c r="J101" i="31" s="1"/>
  <c r="F106" i="31"/>
  <c r="L106" i="31" s="1"/>
  <c r="J70" i="33"/>
  <c r="F72" i="33"/>
  <c r="I72" i="33" s="1"/>
  <c r="F71" i="33"/>
  <c r="I71" i="33" s="1"/>
  <c r="F70" i="33"/>
  <c r="I70" i="33" s="1"/>
  <c r="J71" i="33" l="1"/>
  <c r="H71" i="33"/>
  <c r="J66" i="33"/>
  <c r="J72" i="33"/>
  <c r="H67" i="33"/>
  <c r="H58" i="33"/>
  <c r="I59" i="33"/>
  <c r="H70" i="33"/>
  <c r="H72" i="33"/>
  <c r="H66" i="33"/>
  <c r="I67" i="33"/>
  <c r="I58" i="33"/>
  <c r="J59" i="33"/>
  <c r="H32" i="31"/>
  <c r="J102" i="31"/>
  <c r="L101" i="31"/>
  <c r="H102" i="31"/>
  <c r="J106" i="31"/>
  <c r="H106" i="31"/>
  <c r="H98" i="31"/>
  <c r="L98" i="31"/>
  <c r="H96" i="31"/>
  <c r="H101" i="31"/>
  <c r="L99" i="31"/>
  <c r="J96" i="31"/>
  <c r="J63" i="33"/>
  <c r="H63" i="33"/>
  <c r="F69" i="33"/>
  <c r="F105" i="31"/>
  <c r="J105" i="31" s="1"/>
  <c r="F111" i="31"/>
  <c r="J111" i="31" s="1"/>
  <c r="F110" i="31"/>
  <c r="L110" i="31" s="1"/>
  <c r="F109" i="31"/>
  <c r="L109" i="31" s="1"/>
  <c r="F108" i="31"/>
  <c r="J108" i="31" s="1"/>
  <c r="F107" i="31"/>
  <c r="J107" i="31" s="1"/>
  <c r="F80" i="33"/>
  <c r="I80" i="33" s="1"/>
  <c r="F114" i="31"/>
  <c r="J114" i="31" s="1"/>
  <c r="F79" i="33"/>
  <c r="H79" i="33" s="1"/>
  <c r="F113" i="31"/>
  <c r="L113" i="31" s="1"/>
  <c r="F85" i="33"/>
  <c r="H85" i="33" s="1"/>
  <c r="F119" i="31"/>
  <c r="J119" i="31" s="1"/>
  <c r="F84" i="33"/>
  <c r="I84" i="33" s="1"/>
  <c r="F118" i="31"/>
  <c r="J118" i="31" s="1"/>
  <c r="F83" i="33"/>
  <c r="I83" i="33" s="1"/>
  <c r="F117" i="31"/>
  <c r="J117" i="31" s="1"/>
  <c r="F82" i="33"/>
  <c r="J82" i="33" s="1"/>
  <c r="F116" i="31"/>
  <c r="J116" i="31" s="1"/>
  <c r="F81" i="33"/>
  <c r="I81" i="33" s="1"/>
  <c r="F115" i="31"/>
  <c r="F92" i="33"/>
  <c r="H92" i="33" s="1"/>
  <c r="F126" i="31"/>
  <c r="J126" i="31" s="1"/>
  <c r="F91" i="33"/>
  <c r="H91" i="33" s="1"/>
  <c r="F125" i="31"/>
  <c r="H125" i="31" s="1"/>
  <c r="F90" i="33"/>
  <c r="I90" i="33" s="1"/>
  <c r="F124" i="31"/>
  <c r="J124" i="31" s="1"/>
  <c r="F89" i="33"/>
  <c r="J89" i="33" s="1"/>
  <c r="F123" i="31"/>
  <c r="J123" i="31" s="1"/>
  <c r="F88" i="33"/>
  <c r="J88" i="33" s="1"/>
  <c r="F122" i="31"/>
  <c r="J122" i="31" s="1"/>
  <c r="I91" i="33" l="1"/>
  <c r="J84" i="33"/>
  <c r="J91" i="33"/>
  <c r="J80" i="33"/>
  <c r="H69" i="33"/>
  <c r="I69" i="33"/>
  <c r="J69" i="33"/>
  <c r="H114" i="31"/>
  <c r="L114" i="31"/>
  <c r="L108" i="31"/>
  <c r="H110" i="31"/>
  <c r="L111" i="31"/>
  <c r="J110" i="31"/>
  <c r="L124" i="31"/>
  <c r="H109" i="31"/>
  <c r="L105" i="31"/>
  <c r="H105" i="31"/>
  <c r="J109" i="31"/>
  <c r="H108" i="31"/>
  <c r="H111" i="31"/>
  <c r="J90" i="33"/>
  <c r="H88" i="33"/>
  <c r="L126" i="31"/>
  <c r="I88" i="33"/>
  <c r="H124" i="31"/>
  <c r="J81" i="33"/>
  <c r="L118" i="31"/>
  <c r="I85" i="33"/>
  <c r="H113" i="31"/>
  <c r="H80" i="33"/>
  <c r="L107" i="31"/>
  <c r="L117" i="31"/>
  <c r="J85" i="33"/>
  <c r="L123" i="31"/>
  <c r="H82" i="33"/>
  <c r="I82" i="33"/>
  <c r="H118" i="31"/>
  <c r="I79" i="33"/>
  <c r="H107" i="31"/>
  <c r="J79" i="33"/>
  <c r="H122" i="31"/>
  <c r="H89" i="33"/>
  <c r="I89" i="33"/>
  <c r="J125" i="31"/>
  <c r="I92" i="33"/>
  <c r="J113" i="31"/>
  <c r="L122" i="31"/>
  <c r="H123" i="31"/>
  <c r="H90" i="33"/>
  <c r="L125" i="31"/>
  <c r="H126" i="31"/>
  <c r="J92" i="33"/>
  <c r="H81" i="33"/>
  <c r="L116" i="31"/>
  <c r="H117" i="31"/>
  <c r="J83" i="33"/>
  <c r="H84" i="33"/>
  <c r="L119" i="31"/>
  <c r="H116" i="31"/>
  <c r="H83" i="33"/>
  <c r="H119" i="31"/>
  <c r="F130" i="31" l="1"/>
  <c r="L130" i="31" s="1"/>
  <c r="F129" i="31"/>
  <c r="H129" i="31" s="1"/>
  <c r="L128" i="31"/>
  <c r="J128" i="31"/>
  <c r="H128" i="31"/>
  <c r="F132" i="31"/>
  <c r="J132" i="31" s="1"/>
  <c r="F133" i="31"/>
  <c r="J133" i="31" s="1"/>
  <c r="F134" i="31"/>
  <c r="L134" i="31" s="1"/>
  <c r="H134" i="31" l="1"/>
  <c r="L133" i="31"/>
  <c r="J134" i="31"/>
  <c r="H132" i="31"/>
  <c r="H133" i="31"/>
  <c r="L132" i="31"/>
  <c r="J129" i="31"/>
  <c r="L129" i="31"/>
  <c r="H130" i="31"/>
  <c r="J130" i="31"/>
  <c r="F87" i="33"/>
  <c r="J87" i="33" s="1"/>
  <c r="F121" i="31"/>
  <c r="H121" i="31" s="1"/>
  <c r="F95" i="31"/>
  <c r="L95" i="31" s="1"/>
  <c r="F54" i="33"/>
  <c r="J54" i="33" s="1"/>
  <c r="F94" i="31"/>
  <c r="L94" i="31" s="1"/>
  <c r="F53" i="33"/>
  <c r="I53" i="33" s="1"/>
  <c r="F93" i="31"/>
  <c r="J93" i="31" s="1"/>
  <c r="F48" i="33"/>
  <c r="J48" i="33" s="1"/>
  <c r="F92" i="31"/>
  <c r="L92" i="31" s="1"/>
  <c r="F91" i="31"/>
  <c r="J91" i="31" s="1"/>
  <c r="F50" i="33"/>
  <c r="J50" i="33" s="1"/>
  <c r="F90" i="31"/>
  <c r="L90" i="31" s="1"/>
  <c r="F89" i="31"/>
  <c r="J89" i="31" s="1"/>
  <c r="F49" i="33"/>
  <c r="J49" i="33" s="1"/>
  <c r="F44" i="33"/>
  <c r="J44" i="33" s="1"/>
  <c r="F88" i="31"/>
  <c r="J88" i="31" s="1"/>
  <c r="F81" i="31"/>
  <c r="F80" i="31"/>
  <c r="L80" i="31" s="1"/>
  <c r="F64" i="33"/>
  <c r="J64" i="33" s="1"/>
  <c r="F79" i="31"/>
  <c r="L79" i="31" s="1"/>
  <c r="F76" i="33"/>
  <c r="J76" i="33" s="1"/>
  <c r="F78" i="31"/>
  <c r="J78" i="31" s="1"/>
  <c r="F75" i="33"/>
  <c r="J75" i="33" s="1"/>
  <c r="F77" i="31"/>
  <c r="L77" i="31" s="1"/>
  <c r="H50" i="33" l="1"/>
  <c r="L93" i="31"/>
  <c r="L121" i="31"/>
  <c r="J77" i="31"/>
  <c r="I76" i="33"/>
  <c r="H81" i="31"/>
  <c r="I49" i="33"/>
  <c r="I50" i="33"/>
  <c r="H48" i="33"/>
  <c r="H77" i="31"/>
  <c r="H76" i="33"/>
  <c r="I48" i="33"/>
  <c r="H49" i="33"/>
  <c r="L89" i="31"/>
  <c r="L91" i="31"/>
  <c r="L88" i="31"/>
  <c r="H80" i="31"/>
  <c r="H44" i="33"/>
  <c r="H90" i="31"/>
  <c r="H92" i="31"/>
  <c r="H95" i="31"/>
  <c r="H78" i="31"/>
  <c r="H75" i="33"/>
  <c r="L78" i="31"/>
  <c r="H79" i="31"/>
  <c r="J80" i="31"/>
  <c r="J90" i="31"/>
  <c r="J92" i="31"/>
  <c r="H94" i="31"/>
  <c r="J95" i="31"/>
  <c r="I44" i="33"/>
  <c r="I75" i="33"/>
  <c r="H88" i="31"/>
  <c r="H89" i="31"/>
  <c r="H91" i="31"/>
  <c r="H93" i="31"/>
  <c r="J94" i="31"/>
  <c r="J121" i="31"/>
  <c r="H64" i="33"/>
  <c r="J53" i="33"/>
  <c r="H54" i="33"/>
  <c r="H87" i="33"/>
  <c r="H53" i="33"/>
  <c r="I87" i="33"/>
  <c r="I64" i="33"/>
  <c r="I54" i="33"/>
  <c r="F47" i="33"/>
  <c r="J47" i="33" s="1"/>
  <c r="F46" i="33"/>
  <c r="J46" i="33" s="1"/>
  <c r="F43" i="33"/>
  <c r="H43" i="33" s="1"/>
  <c r="F41" i="33"/>
  <c r="J41" i="33" s="1"/>
  <c r="F74" i="33"/>
  <c r="J74" i="33" s="1"/>
  <c r="F76" i="31"/>
  <c r="H76" i="31" s="1"/>
  <c r="K85" i="31"/>
  <c r="F85" i="31"/>
  <c r="H85" i="31" s="1"/>
  <c r="F74" i="31"/>
  <c r="F71" i="31"/>
  <c r="J71" i="31" s="1"/>
  <c r="F70" i="31"/>
  <c r="L70" i="31" s="1"/>
  <c r="J43" i="33" l="1"/>
  <c r="J76" i="31"/>
  <c r="L76" i="31"/>
  <c r="I43" i="33"/>
  <c r="L85" i="31"/>
  <c r="H41" i="33"/>
  <c r="H47" i="33"/>
  <c r="I47" i="33"/>
  <c r="J85" i="31"/>
  <c r="F87" i="31"/>
  <c r="H71" i="31"/>
  <c r="I41" i="33"/>
  <c r="H74" i="33"/>
  <c r="H46" i="33"/>
  <c r="I74" i="33"/>
  <c r="I46" i="33"/>
  <c r="F86" i="31"/>
  <c r="F69" i="31"/>
  <c r="J69" i="31" s="1"/>
  <c r="J144" i="31" s="1"/>
  <c r="H69" i="31" l="1"/>
  <c r="H144" i="31" s="1"/>
  <c r="L86" i="31"/>
  <c r="J86" i="31"/>
  <c r="H86" i="31"/>
  <c r="L87" i="31"/>
  <c r="H87" i="31"/>
  <c r="F68" i="31"/>
  <c r="L68" i="31" s="1"/>
  <c r="L144" i="31" s="1"/>
  <c r="F67" i="31"/>
  <c r="L67" i="31" s="1"/>
  <c r="F66" i="31"/>
  <c r="L66" i="31" s="1"/>
  <c r="F31" i="33"/>
  <c r="H31" i="33" s="1"/>
  <c r="F64" i="31"/>
  <c r="L64" i="31" s="1"/>
  <c r="F38" i="33"/>
  <c r="F82" i="31"/>
  <c r="H82" i="31" s="1"/>
  <c r="F62" i="31"/>
  <c r="H62" i="31" s="1"/>
  <c r="F61" i="31"/>
  <c r="L61" i="31" s="1"/>
  <c r="F33" i="33"/>
  <c r="J33" i="33" s="1"/>
  <c r="F59" i="31"/>
  <c r="H59" i="31" s="1"/>
  <c r="F35" i="33"/>
  <c r="I35" i="33" s="1"/>
  <c r="F58" i="31"/>
  <c r="L58" i="31" s="1"/>
  <c r="F34" i="33"/>
  <c r="J34" i="33" s="1"/>
  <c r="F57" i="31"/>
  <c r="H57" i="31" s="1"/>
  <c r="F32" i="33"/>
  <c r="J32" i="33" s="1"/>
  <c r="F56" i="31"/>
  <c r="H56" i="31" s="1"/>
  <c r="F37" i="33"/>
  <c r="I37" i="33" s="1"/>
  <c r="F55" i="31"/>
  <c r="L55" i="31" s="1"/>
  <c r="F36" i="33"/>
  <c r="F54" i="31"/>
  <c r="J54" i="31" s="1"/>
  <c r="F29" i="33"/>
  <c r="J29" i="33" s="1"/>
  <c r="F53" i="31"/>
  <c r="L53" i="31" s="1"/>
  <c r="F28" i="33"/>
  <c r="H28" i="33" s="1"/>
  <c r="F52" i="31"/>
  <c r="H52" i="31" s="1"/>
  <c r="F51" i="31"/>
  <c r="L51" i="31" s="1"/>
  <c r="F25" i="33"/>
  <c r="H25" i="33" s="1"/>
  <c r="F50" i="31"/>
  <c r="L50" i="31" s="1"/>
  <c r="F27" i="33"/>
  <c r="J27" i="33" s="1"/>
  <c r="F49" i="31"/>
  <c r="H49" i="31" s="1"/>
  <c r="F26" i="33"/>
  <c r="J26" i="33" s="1"/>
  <c r="F48" i="31"/>
  <c r="H48" i="31" s="1"/>
  <c r="F23" i="33"/>
  <c r="I23" i="33" s="1"/>
  <c r="F24" i="33"/>
  <c r="J24" i="33" s="1"/>
  <c r="F47" i="31"/>
  <c r="J47" i="31" s="1"/>
  <c r="F20" i="33"/>
  <c r="J20" i="33" s="1"/>
  <c r="F44" i="31"/>
  <c r="H44" i="31" s="1"/>
  <c r="F19" i="33"/>
  <c r="H19" i="33" s="1"/>
  <c r="F43" i="31"/>
  <c r="L43" i="31" s="1"/>
  <c r="F22" i="33"/>
  <c r="H22" i="33" s="1"/>
  <c r="F18" i="33"/>
  <c r="H18" i="33" s="1"/>
  <c r="F42" i="31"/>
  <c r="L42" i="31" s="1"/>
  <c r="F16" i="33"/>
  <c r="J16" i="33" s="1"/>
  <c r="F40" i="31"/>
  <c r="F15" i="33"/>
  <c r="J15" i="33" s="1"/>
  <c r="F39" i="31"/>
  <c r="F14" i="33"/>
  <c r="J14" i="33" s="1"/>
  <c r="F38" i="31"/>
  <c r="F12" i="33"/>
  <c r="E13" i="32"/>
  <c r="I13" i="32" s="1"/>
  <c r="I18" i="32" s="1"/>
  <c r="F36" i="31"/>
  <c r="L36" i="31" s="1"/>
  <c r="L145" i="31" s="1"/>
  <c r="F11" i="33"/>
  <c r="I11" i="33" s="1"/>
  <c r="I109" i="33" s="1"/>
  <c r="E12" i="32"/>
  <c r="H12" i="32" s="1"/>
  <c r="H18" i="32" s="1"/>
  <c r="F35" i="31"/>
  <c r="J35" i="31" s="1"/>
  <c r="J145" i="31" s="1"/>
  <c r="J38" i="33" l="1"/>
  <c r="H38" i="33"/>
  <c r="L39" i="31"/>
  <c r="H39" i="31"/>
  <c r="L40" i="31"/>
  <c r="H40" i="31"/>
  <c r="L38" i="31"/>
  <c r="J38" i="31"/>
  <c r="H38" i="31"/>
  <c r="H64" i="31"/>
  <c r="J62" i="31"/>
  <c r="L82" i="31"/>
  <c r="J35" i="33"/>
  <c r="L62" i="31"/>
  <c r="J64" i="31"/>
  <c r="H67" i="31"/>
  <c r="J67" i="31"/>
  <c r="H35" i="33"/>
  <c r="J31" i="33"/>
  <c r="J82" i="31"/>
  <c r="I31" i="33"/>
  <c r="H66" i="31"/>
  <c r="I38" i="33"/>
  <c r="J66" i="31"/>
  <c r="L52" i="31"/>
  <c r="L59" i="31"/>
  <c r="H61" i="31"/>
  <c r="J61" i="31"/>
  <c r="L57" i="31"/>
  <c r="J59" i="31"/>
  <c r="H58" i="31"/>
  <c r="H33" i="33"/>
  <c r="J58" i="31"/>
  <c r="I33" i="33"/>
  <c r="J52" i="31"/>
  <c r="J37" i="33"/>
  <c r="J57" i="31"/>
  <c r="L56" i="31"/>
  <c r="H34" i="33"/>
  <c r="H37" i="33"/>
  <c r="I34" i="33"/>
  <c r="I29" i="33"/>
  <c r="I28" i="33"/>
  <c r="J28" i="33"/>
  <c r="H29" i="33"/>
  <c r="L54" i="31"/>
  <c r="J56" i="31"/>
  <c r="L48" i="31"/>
  <c r="H50" i="31"/>
  <c r="H51" i="31"/>
  <c r="H53" i="31"/>
  <c r="J50" i="31"/>
  <c r="J51" i="31"/>
  <c r="J53" i="31"/>
  <c r="H55" i="31"/>
  <c r="H32" i="33"/>
  <c r="H54" i="31"/>
  <c r="J55" i="31"/>
  <c r="I32" i="33"/>
  <c r="J49" i="31"/>
  <c r="J48" i="31"/>
  <c r="L49" i="31"/>
  <c r="H27" i="33"/>
  <c r="I27" i="33"/>
  <c r="L47" i="31"/>
  <c r="H24" i="33"/>
  <c r="H26" i="33"/>
  <c r="J18" i="33"/>
  <c r="H47" i="31"/>
  <c r="I26" i="33"/>
  <c r="J23" i="33"/>
  <c r="I24" i="33"/>
  <c r="F46" i="31"/>
  <c r="I19" i="33"/>
  <c r="H23" i="33"/>
  <c r="I18" i="33"/>
  <c r="J19" i="33"/>
  <c r="J40" i="31"/>
  <c r="H43" i="31"/>
  <c r="H20" i="33"/>
  <c r="I14" i="33"/>
  <c r="I15" i="33"/>
  <c r="I16" i="33"/>
  <c r="I22" i="33"/>
  <c r="J44" i="31"/>
  <c r="J39" i="31"/>
  <c r="H42" i="31"/>
  <c r="J42" i="31"/>
  <c r="J22" i="33"/>
  <c r="L44" i="31"/>
  <c r="I20" i="33"/>
  <c r="J43" i="31"/>
  <c r="J46" i="31" l="1"/>
  <c r="H46" i="31"/>
  <c r="L46" i="31"/>
  <c r="F10" i="33" l="1"/>
  <c r="H10" i="33" s="1"/>
  <c r="H109" i="33" s="1"/>
  <c r="J106" i="33"/>
  <c r="J104" i="33" s="1"/>
  <c r="I106" i="33"/>
  <c r="J97" i="33"/>
  <c r="I97" i="33"/>
  <c r="H97" i="33"/>
  <c r="G86" i="33"/>
  <c r="G75" i="33"/>
  <c r="G70" i="33"/>
  <c r="J36" i="33"/>
  <c r="F30" i="33"/>
  <c r="J12" i="33"/>
  <c r="J109" i="33" s="1"/>
  <c r="J93" i="33" l="1"/>
  <c r="J94" i="33" s="1"/>
  <c r="F60" i="33"/>
  <c r="F13" i="33"/>
  <c r="F17" i="33"/>
  <c r="F21" i="33"/>
  <c r="F42" i="33"/>
  <c r="F57" i="33"/>
  <c r="H36" i="33"/>
  <c r="H104" i="33"/>
  <c r="I36" i="33"/>
  <c r="I104" i="33"/>
  <c r="E11" i="32"/>
  <c r="F34" i="31"/>
  <c r="H34" i="31" s="1"/>
  <c r="H145" i="31" s="1"/>
  <c r="I14" i="32"/>
  <c r="H14" i="32"/>
  <c r="J95" i="33" l="1"/>
  <c r="J110" i="33"/>
  <c r="H16" i="32"/>
  <c r="H19" i="32" s="1"/>
  <c r="H15" i="32"/>
  <c r="I16" i="32"/>
  <c r="I19" i="32" s="1"/>
  <c r="I15" i="32"/>
  <c r="H93" i="33"/>
  <c r="H94" i="33" s="1"/>
  <c r="G11" i="32"/>
  <c r="F45" i="33"/>
  <c r="I93" i="33"/>
  <c r="I94" i="33" s="1"/>
  <c r="J111" i="33" l="1"/>
  <c r="I110" i="33"/>
  <c r="I95" i="33"/>
  <c r="I111" i="33" s="1"/>
  <c r="H110" i="33"/>
  <c r="H95" i="33"/>
  <c r="G14" i="32"/>
  <c r="G18" i="32"/>
  <c r="I20" i="32"/>
  <c r="J112" i="33"/>
  <c r="H20" i="32"/>
  <c r="H111" i="33" l="1"/>
  <c r="H112" i="33" s="1"/>
  <c r="J114" i="33"/>
  <c r="J113" i="33"/>
  <c r="I22" i="32"/>
  <c r="I21" i="32"/>
  <c r="H22" i="32"/>
  <c r="H21" i="32"/>
  <c r="G16" i="32"/>
  <c r="G19" i="32" s="1"/>
  <c r="G15" i="32"/>
  <c r="I112" i="33"/>
  <c r="I114" i="33" l="1"/>
  <c r="I113" i="33"/>
  <c r="H114" i="33"/>
  <c r="H113" i="33"/>
  <c r="H115" i="33" s="1"/>
  <c r="H116" i="33" s="1"/>
  <c r="J115" i="33"/>
  <c r="J116" i="33" s="1"/>
  <c r="I23" i="32"/>
  <c r="I24" i="32" s="1"/>
  <c r="G20" i="32"/>
  <c r="H23" i="32"/>
  <c r="H24" i="32" s="1"/>
  <c r="G21" i="32" l="1"/>
  <c r="G22" i="32"/>
  <c r="I115" i="33"/>
  <c r="I116" i="33" s="1"/>
  <c r="K115" i="31"/>
  <c r="L115" i="31" s="1"/>
  <c r="L135" i="31" s="1"/>
  <c r="I115" i="31"/>
  <c r="J115" i="31" s="1"/>
  <c r="G115" i="31"/>
  <c r="H115" i="31" s="1"/>
  <c r="I99" i="31"/>
  <c r="J99" i="31" s="1"/>
  <c r="L97" i="31"/>
  <c r="L103" i="31" s="1"/>
  <c r="G97" i="31"/>
  <c r="I87" i="31"/>
  <c r="J87" i="31" s="1"/>
  <c r="K81" i="31"/>
  <c r="L81" i="31" s="1"/>
  <c r="I81" i="31"/>
  <c r="J81" i="31" s="1"/>
  <c r="I79" i="31"/>
  <c r="J79" i="31" s="1"/>
  <c r="G74" i="31"/>
  <c r="J70" i="31"/>
  <c r="J68" i="31"/>
  <c r="H68" i="31"/>
  <c r="F63" i="31"/>
  <c r="K19" i="31"/>
  <c r="L19" i="31" s="1"/>
  <c r="L32" i="31" s="1"/>
  <c r="I19" i="31"/>
  <c r="J19" i="31" s="1"/>
  <c r="J32" i="31" s="1"/>
  <c r="G23" i="32" l="1"/>
  <c r="G24" i="32" s="1"/>
  <c r="I74" i="31"/>
  <c r="J74" i="31" s="1"/>
  <c r="H74" i="31"/>
  <c r="I97" i="31"/>
  <c r="J97" i="31" s="1"/>
  <c r="H97" i="31"/>
  <c r="H70" i="31"/>
  <c r="K74" i="31"/>
  <c r="L74" i="31" s="1"/>
  <c r="F60" i="31"/>
  <c r="F37" i="31"/>
  <c r="H103" i="31" l="1"/>
  <c r="H83" i="31"/>
  <c r="L83" i="31"/>
  <c r="L136" i="31" s="1"/>
  <c r="F41" i="31"/>
  <c r="J103" i="31"/>
  <c r="H135" i="31"/>
  <c r="J83" i="31"/>
  <c r="J135" i="31"/>
  <c r="F65" i="31"/>
  <c r="H136" i="31" l="1"/>
  <c r="H138" i="31" s="1"/>
  <c r="J136" i="31"/>
  <c r="J138" i="31" s="1"/>
  <c r="L138" i="31"/>
  <c r="L137" i="31"/>
  <c r="F45" i="31"/>
  <c r="H137" i="31" l="1"/>
  <c r="J137" i="31"/>
  <c r="L146" i="31"/>
  <c r="J146" i="31"/>
  <c r="J147" i="31" s="1"/>
  <c r="H146" i="31"/>
  <c r="H147" i="31" s="1"/>
  <c r="L147" i="31" l="1"/>
  <c r="L148" i="31" s="1"/>
  <c r="J148" i="31"/>
  <c r="H148" i="31"/>
  <c r="H151" i="31" l="1"/>
  <c r="H150" i="31"/>
  <c r="J151" i="31"/>
  <c r="J150" i="31"/>
  <c r="L151" i="31"/>
  <c r="L150" i="31"/>
  <c r="L149" i="31"/>
  <c r="J149" i="31"/>
  <c r="H149" i="31"/>
  <c r="H152" i="31" l="1"/>
  <c r="H153" i="31" s="1"/>
  <c r="H154" i="31" s="1"/>
  <c r="J152" i="31"/>
  <c r="J153" i="31" s="1"/>
  <c r="J154" i="31" s="1"/>
  <c r="L152" i="31"/>
  <c r="L153" i="31" s="1"/>
  <c r="L154" i="31" s="1"/>
  <c r="I35" i="28" l="1"/>
  <c r="G35" i="28"/>
  <c r="E35" i="28"/>
  <c r="O36" i="25" l="1"/>
  <c r="M36" i="25"/>
  <c r="K36" i="25"/>
  <c r="I36" i="25"/>
  <c r="G36" i="25"/>
  <c r="G35" i="2"/>
  <c r="E36" i="25" l="1"/>
  <c r="E23" i="28"/>
  <c r="I23" i="28" s="1"/>
  <c r="E9" i="28"/>
  <c r="I9" i="28" s="1"/>
  <c r="E8" i="28"/>
  <c r="G8" i="28" s="1"/>
  <c r="G23" i="28" l="1"/>
  <c r="E27" i="28"/>
  <c r="I27" i="28" s="1"/>
  <c r="E26" i="28"/>
  <c r="I26" i="28" s="1"/>
  <c r="E29" i="27"/>
  <c r="K29" i="27" s="1"/>
  <c r="E27" i="26"/>
  <c r="I27" i="26" s="1"/>
  <c r="E31" i="28"/>
  <c r="I31" i="28" s="1"/>
  <c r="E34" i="27"/>
  <c r="K34" i="27" s="1"/>
  <c r="E32" i="26"/>
  <c r="G32" i="26" s="1"/>
  <c r="E32" i="25"/>
  <c r="G32" i="25" s="1"/>
  <c r="E30" i="28"/>
  <c r="I30" i="28" s="1"/>
  <c r="E32" i="27"/>
  <c r="I32" i="27" s="1"/>
  <c r="E30" i="26"/>
  <c r="K30" i="26" s="1"/>
  <c r="E31" i="25"/>
  <c r="O31" i="25" s="1"/>
  <c r="E29" i="28"/>
  <c r="I29" i="28" s="1"/>
  <c r="E33" i="27"/>
  <c r="G33" i="27" s="1"/>
  <c r="E31" i="26"/>
  <c r="K31" i="26" s="1"/>
  <c r="E30" i="25"/>
  <c r="O30" i="25" s="1"/>
  <c r="G32" i="27" l="1"/>
  <c r="K32" i="27"/>
  <c r="G30" i="26"/>
  <c r="I32" i="26"/>
  <c r="K32" i="26"/>
  <c r="G26" i="28"/>
  <c r="I31" i="25"/>
  <c r="I30" i="26"/>
  <c r="K31" i="25"/>
  <c r="I32" i="25"/>
  <c r="I33" i="27"/>
  <c r="K33" i="27"/>
  <c r="M31" i="25"/>
  <c r="K32" i="25"/>
  <c r="G31" i="28"/>
  <c r="G31" i="25"/>
  <c r="K27" i="26"/>
  <c r="G29" i="27"/>
  <c r="G31" i="26"/>
  <c r="I30" i="25"/>
  <c r="I31" i="26"/>
  <c r="G30" i="28"/>
  <c r="M32" i="25"/>
  <c r="K30" i="25"/>
  <c r="G29" i="28"/>
  <c r="O32" i="25"/>
  <c r="G34" i="27"/>
  <c r="I29" i="27"/>
  <c r="G27" i="28"/>
  <c r="M30" i="25"/>
  <c r="I34" i="27"/>
  <c r="G27" i="26"/>
  <c r="G30" i="25"/>
  <c r="E28" i="28"/>
  <c r="G28" i="28" s="1"/>
  <c r="E25" i="27"/>
  <c r="K25" i="27" s="1"/>
  <c r="E23" i="26"/>
  <c r="K23" i="26" s="1"/>
  <c r="E29" i="25"/>
  <c r="K29" i="25" s="1"/>
  <c r="I28" i="28" l="1"/>
  <c r="M29" i="25"/>
  <c r="O29" i="25"/>
  <c r="G25" i="27"/>
  <c r="G23" i="26"/>
  <c r="I25" i="27"/>
  <c r="G29" i="25"/>
  <c r="I29" i="25"/>
  <c r="I23" i="26"/>
  <c r="E30" i="27"/>
  <c r="K30" i="27" s="1"/>
  <c r="E28" i="26"/>
  <c r="K28" i="26" s="1"/>
  <c r="E28" i="25"/>
  <c r="K28" i="25" s="1"/>
  <c r="M28" i="25" l="1"/>
  <c r="O28" i="25"/>
  <c r="G30" i="27"/>
  <c r="I30" i="27"/>
  <c r="G28" i="26"/>
  <c r="I28" i="25"/>
  <c r="G28" i="25"/>
  <c r="I28" i="26"/>
  <c r="E27" i="25"/>
  <c r="G27" i="25" s="1"/>
  <c r="I27" i="25" l="1"/>
  <c r="K27" i="25"/>
  <c r="M27" i="25"/>
  <c r="O27" i="25"/>
  <c r="E25" i="28"/>
  <c r="I25" i="28" s="1"/>
  <c r="E28" i="27"/>
  <c r="I28" i="27" s="1"/>
  <c r="E26" i="26"/>
  <c r="K26" i="26" s="1"/>
  <c r="E26" i="25"/>
  <c r="O26" i="25" s="1"/>
  <c r="E24" i="27"/>
  <c r="K24" i="27" s="1"/>
  <c r="E22" i="26"/>
  <c r="I22" i="26" s="1"/>
  <c r="E24" i="25"/>
  <c r="I24" i="25" s="1"/>
  <c r="E22" i="28"/>
  <c r="I22" i="28" s="1"/>
  <c r="E31" i="27"/>
  <c r="G31" i="27" s="1"/>
  <c r="E29" i="26"/>
  <c r="K29" i="26" s="1"/>
  <c r="E22" i="25"/>
  <c r="G22" i="25" s="1"/>
  <c r="E21" i="28"/>
  <c r="G21" i="28" s="1"/>
  <c r="E26" i="27"/>
  <c r="I26" i="27" s="1"/>
  <c r="E24" i="26"/>
  <c r="K24" i="26" s="1"/>
  <c r="E21" i="25"/>
  <c r="O21" i="25" s="1"/>
  <c r="E15" i="28"/>
  <c r="I15" i="28" s="1"/>
  <c r="E22" i="27"/>
  <c r="K22" i="27" s="1"/>
  <c r="E20" i="26"/>
  <c r="K20" i="26" s="1"/>
  <c r="E20" i="25"/>
  <c r="K20" i="25" s="1"/>
  <c r="I20" i="28"/>
  <c r="G20" i="28"/>
  <c r="E20" i="28"/>
  <c r="K21" i="27"/>
  <c r="I21" i="27"/>
  <c r="G21" i="27"/>
  <c r="E21" i="27"/>
  <c r="K19" i="26"/>
  <c r="I19" i="26"/>
  <c r="G19" i="26"/>
  <c r="E19" i="26"/>
  <c r="O19" i="25"/>
  <c r="M19" i="25"/>
  <c r="K19" i="25"/>
  <c r="I19" i="25"/>
  <c r="G19" i="25"/>
  <c r="E19" i="25"/>
  <c r="G24" i="26" l="1"/>
  <c r="M26" i="25"/>
  <c r="I24" i="26"/>
  <c r="K22" i="25"/>
  <c r="O22" i="25"/>
  <c r="K26" i="25"/>
  <c r="I22" i="25"/>
  <c r="G21" i="25"/>
  <c r="I21" i="25"/>
  <c r="G26" i="26"/>
  <c r="I20" i="26"/>
  <c r="M21" i="25"/>
  <c r="I21" i="28"/>
  <c r="G26" i="25"/>
  <c r="I26" i="26"/>
  <c r="I26" i="25"/>
  <c r="M20" i="25"/>
  <c r="O20" i="25"/>
  <c r="G22" i="27"/>
  <c r="K26" i="27"/>
  <c r="K24" i="25"/>
  <c r="K22" i="26"/>
  <c r="K28" i="27"/>
  <c r="I22" i="27"/>
  <c r="G22" i="28"/>
  <c r="M24" i="25"/>
  <c r="G20" i="25"/>
  <c r="G20" i="26"/>
  <c r="K21" i="25"/>
  <c r="M22" i="25"/>
  <c r="O24" i="25"/>
  <c r="G24" i="27"/>
  <c r="I20" i="25"/>
  <c r="I24" i="27"/>
  <c r="G26" i="27"/>
  <c r="G24" i="25"/>
  <c r="G22" i="26"/>
  <c r="G28" i="27"/>
  <c r="G29" i="26"/>
  <c r="I29" i="26"/>
  <c r="K31" i="27"/>
  <c r="I31" i="27"/>
  <c r="G25" i="28"/>
  <c r="E19" i="28"/>
  <c r="I19" i="28" s="1"/>
  <c r="E20" i="27"/>
  <c r="K20" i="27" s="1"/>
  <c r="E18" i="26"/>
  <c r="I18" i="26" s="1"/>
  <c r="E18" i="25"/>
  <c r="O18" i="25" s="1"/>
  <c r="E18" i="28"/>
  <c r="G18" i="28" s="1"/>
  <c r="E19" i="27"/>
  <c r="I19" i="27" s="1"/>
  <c r="E17" i="26"/>
  <c r="K17" i="26" s="1"/>
  <c r="E17" i="25"/>
  <c r="O17" i="25" s="1"/>
  <c r="G17" i="26" l="1"/>
  <c r="I17" i="26"/>
  <c r="G17" i="25"/>
  <c r="I18" i="25"/>
  <c r="I17" i="25"/>
  <c r="K17" i="25"/>
  <c r="K19" i="27"/>
  <c r="G18" i="26"/>
  <c r="K18" i="26"/>
  <c r="G19" i="28"/>
  <c r="I18" i="28"/>
  <c r="K18" i="25"/>
  <c r="G20" i="27"/>
  <c r="M17" i="25"/>
  <c r="G19" i="27"/>
  <c r="M18" i="25"/>
  <c r="I20" i="27"/>
  <c r="G18" i="25"/>
  <c r="E18" i="27"/>
  <c r="I18" i="27" s="1"/>
  <c r="E16" i="26"/>
  <c r="K16" i="26" s="1"/>
  <c r="E16" i="25"/>
  <c r="O16" i="25" s="1"/>
  <c r="E17" i="28"/>
  <c r="I17" i="28" s="1"/>
  <c r="E17" i="27"/>
  <c r="I17" i="27" s="1"/>
  <c r="E15" i="26"/>
  <c r="I15" i="26" s="1"/>
  <c r="E15" i="25"/>
  <c r="M15" i="25" s="1"/>
  <c r="E16" i="28"/>
  <c r="G16" i="28" s="1"/>
  <c r="E16" i="27"/>
  <c r="G16" i="27" s="1"/>
  <c r="E14" i="26"/>
  <c r="G14" i="26" s="1"/>
  <c r="E14" i="25"/>
  <c r="I14" i="25" s="1"/>
  <c r="E13" i="28"/>
  <c r="I13" i="28" s="1"/>
  <c r="E13" i="27"/>
  <c r="K13" i="27" s="1"/>
  <c r="E11" i="26"/>
  <c r="G11" i="26" s="1"/>
  <c r="E12" i="25"/>
  <c r="G12" i="25" s="1"/>
  <c r="E12" i="28"/>
  <c r="I12" i="28" s="1"/>
  <c r="E14" i="27"/>
  <c r="K14" i="27" s="1"/>
  <c r="E12" i="26"/>
  <c r="I12" i="26" s="1"/>
  <c r="E11" i="25"/>
  <c r="O11" i="25" s="1"/>
  <c r="I12" i="25" l="1"/>
  <c r="M12" i="25"/>
  <c r="O12" i="25"/>
  <c r="K12" i="26"/>
  <c r="M16" i="25"/>
  <c r="K11" i="25"/>
  <c r="G16" i="26"/>
  <c r="G12" i="28"/>
  <c r="I16" i="26"/>
  <c r="G12" i="26"/>
  <c r="I11" i="26"/>
  <c r="G11" i="25"/>
  <c r="G16" i="25"/>
  <c r="G17" i="27"/>
  <c r="K18" i="27"/>
  <c r="I11" i="25"/>
  <c r="K12" i="25"/>
  <c r="K11" i="26"/>
  <c r="G13" i="28"/>
  <c r="K15" i="25"/>
  <c r="I16" i="25"/>
  <c r="K16" i="25"/>
  <c r="G14" i="27"/>
  <c r="M11" i="25"/>
  <c r="G13" i="27"/>
  <c r="G17" i="28"/>
  <c r="I14" i="27"/>
  <c r="I13" i="27"/>
  <c r="G14" i="25"/>
  <c r="G18" i="27"/>
  <c r="H22" i="24"/>
  <c r="F22" i="24"/>
  <c r="E24" i="15"/>
  <c r="E11" i="28" l="1"/>
  <c r="I11" i="28" s="1"/>
  <c r="E12" i="27"/>
  <c r="K12" i="27" s="1"/>
  <c r="E10" i="26"/>
  <c r="I10" i="26" s="1"/>
  <c r="E10" i="25"/>
  <c r="I10" i="25" s="1"/>
  <c r="E10" i="28"/>
  <c r="I10" i="28" s="1"/>
  <c r="E11" i="27"/>
  <c r="G11" i="27" s="1"/>
  <c r="E9" i="26"/>
  <c r="K9" i="26" s="1"/>
  <c r="E9" i="25"/>
  <c r="O9" i="25" s="1"/>
  <c r="K11" i="27" l="1"/>
  <c r="I11" i="27"/>
  <c r="K10" i="25"/>
  <c r="K10" i="26"/>
  <c r="O10" i="25"/>
  <c r="G12" i="27"/>
  <c r="G9" i="25"/>
  <c r="I12" i="27"/>
  <c r="G9" i="26"/>
  <c r="M10" i="25"/>
  <c r="I9" i="25"/>
  <c r="I9" i="26"/>
  <c r="K9" i="25"/>
  <c r="G10" i="25"/>
  <c r="G10" i="26"/>
  <c r="M9" i="25"/>
  <c r="G10" i="28"/>
  <c r="G11" i="28"/>
  <c r="E10" i="27"/>
  <c r="K10" i="27" s="1"/>
  <c r="E8" i="26"/>
  <c r="G8" i="26" s="1"/>
  <c r="E8" i="25"/>
  <c r="G8" i="25" s="1"/>
  <c r="J24" i="27"/>
  <c r="H24" i="27"/>
  <c r="F24" i="27"/>
  <c r="J23" i="27"/>
  <c r="H23" i="27"/>
  <c r="F23" i="27"/>
  <c r="I37" i="26"/>
  <c r="K37" i="26" s="1"/>
  <c r="J22" i="26"/>
  <c r="H22" i="26"/>
  <c r="F22" i="26"/>
  <c r="J21" i="26"/>
  <c r="H21" i="26"/>
  <c r="F21" i="26"/>
  <c r="I37" i="25"/>
  <c r="K37" i="25" s="1"/>
  <c r="M37" i="25" s="1"/>
  <c r="O37" i="25" s="1"/>
  <c r="N24" i="25"/>
  <c r="L24" i="25"/>
  <c r="J24" i="25"/>
  <c r="H24" i="25"/>
  <c r="F24" i="25"/>
  <c r="I8" i="26" l="1"/>
  <c r="I8" i="25"/>
  <c r="K8" i="25"/>
  <c r="K8" i="26"/>
  <c r="M8" i="25"/>
  <c r="O8" i="25"/>
  <c r="G10" i="27"/>
  <c r="I10" i="27"/>
  <c r="K35" i="27"/>
  <c r="K37" i="27" l="1"/>
  <c r="K36" i="27"/>
  <c r="K40" i="27" s="1"/>
  <c r="K41" i="27"/>
  <c r="G33" i="26"/>
  <c r="G32" i="28"/>
  <c r="O33" i="25"/>
  <c r="K33" i="25"/>
  <c r="I33" i="26"/>
  <c r="I32" i="28"/>
  <c r="I35" i="27"/>
  <c r="K33" i="26"/>
  <c r="M33" i="25"/>
  <c r="G35" i="27"/>
  <c r="I33" i="25"/>
  <c r="G33" i="25"/>
  <c r="I41" i="27" l="1"/>
  <c r="I42" i="27" s="1"/>
  <c r="I37" i="27"/>
  <c r="I36" i="27"/>
  <c r="I40" i="27" s="1"/>
  <c r="K34" i="26"/>
  <c r="K38" i="26" s="1"/>
  <c r="K35" i="26"/>
  <c r="G35" i="26"/>
  <c r="G34" i="26"/>
  <c r="G38" i="26" s="1"/>
  <c r="G39" i="26"/>
  <c r="I34" i="26"/>
  <c r="I38" i="26" s="1"/>
  <c r="I35" i="26"/>
  <c r="I39" i="26" s="1"/>
  <c r="I40" i="26" s="1"/>
  <c r="G37" i="27"/>
  <c r="G36" i="27"/>
  <c r="G40" i="27" s="1"/>
  <c r="G41" i="27" s="1"/>
  <c r="K34" i="25"/>
  <c r="K38" i="25" s="1"/>
  <c r="K35" i="25"/>
  <c r="M34" i="25"/>
  <c r="M38" i="25" s="1"/>
  <c r="M35" i="25"/>
  <c r="O34" i="25"/>
  <c r="O38" i="25" s="1"/>
  <c r="O35" i="25"/>
  <c r="G34" i="28"/>
  <c r="G33" i="28"/>
  <c r="I33" i="28"/>
  <c r="I34" i="28"/>
  <c r="G35" i="25"/>
  <c r="G34" i="25"/>
  <c r="G38" i="25" s="1"/>
  <c r="I34" i="25"/>
  <c r="I38" i="25" s="1"/>
  <c r="I35" i="25"/>
  <c r="K42" i="27"/>
  <c r="I42" i="26" l="1"/>
  <c r="I41" i="26"/>
  <c r="I44" i="27"/>
  <c r="I43" i="27"/>
  <c r="K39" i="26"/>
  <c r="K40" i="26" s="1"/>
  <c r="K44" i="27"/>
  <c r="K43" i="27"/>
  <c r="G40" i="26"/>
  <c r="I37" i="28"/>
  <c r="I38" i="28" s="1"/>
  <c r="G37" i="28"/>
  <c r="G38" i="28" s="1"/>
  <c r="I39" i="25"/>
  <c r="I40" i="25" s="1"/>
  <c r="K39" i="25"/>
  <c r="K40" i="25" s="1"/>
  <c r="K42" i="25" s="1"/>
  <c r="M39" i="25"/>
  <c r="M40" i="25" s="1"/>
  <c r="O39" i="25"/>
  <c r="O40" i="25" s="1"/>
  <c r="G39" i="25"/>
  <c r="G40" i="25" s="1"/>
  <c r="G42" i="27"/>
  <c r="E58" i="24"/>
  <c r="I58" i="24" s="1"/>
  <c r="I56" i="24"/>
  <c r="G56" i="24"/>
  <c r="E55" i="24"/>
  <c r="I55" i="24" s="1"/>
  <c r="I51" i="24"/>
  <c r="G51" i="24"/>
  <c r="I50" i="24"/>
  <c r="G50" i="24"/>
  <c r="E49" i="24"/>
  <c r="G49" i="24" s="1"/>
  <c r="I48" i="24"/>
  <c r="G47" i="24"/>
  <c r="E45" i="24"/>
  <c r="G45" i="24" s="1"/>
  <c r="E44" i="24"/>
  <c r="I44" i="24" s="1"/>
  <c r="I42" i="24"/>
  <c r="G42" i="24"/>
  <c r="E41" i="24"/>
  <c r="I41" i="24" s="1"/>
  <c r="I40" i="24"/>
  <c r="G40" i="24"/>
  <c r="I39" i="24"/>
  <c r="G39" i="24"/>
  <c r="I38" i="24"/>
  <c r="G38" i="24"/>
  <c r="I37" i="24"/>
  <c r="G37" i="24"/>
  <c r="I36" i="24"/>
  <c r="G36" i="24"/>
  <c r="I35" i="24"/>
  <c r="G35" i="24"/>
  <c r="I33" i="24"/>
  <c r="G33" i="24"/>
  <c r="I32" i="24"/>
  <c r="G32" i="24"/>
  <c r="I31" i="24"/>
  <c r="G31" i="24"/>
  <c r="I30" i="24"/>
  <c r="E30" i="24"/>
  <c r="G30" i="24" s="1"/>
  <c r="E29" i="24"/>
  <c r="I29" i="24" s="1"/>
  <c r="I28" i="24"/>
  <c r="G28" i="24"/>
  <c r="I26" i="24"/>
  <c r="G26" i="24"/>
  <c r="I25" i="24"/>
  <c r="G25" i="24"/>
  <c r="E24" i="24"/>
  <c r="I24" i="24" s="1"/>
  <c r="I23" i="24"/>
  <c r="G23" i="24"/>
  <c r="I22" i="24"/>
  <c r="G22" i="24"/>
  <c r="I21" i="24"/>
  <c r="G21" i="24"/>
  <c r="E20" i="24"/>
  <c r="I20" i="24" s="1"/>
  <c r="I19" i="24"/>
  <c r="G19" i="24"/>
  <c r="E18" i="24"/>
  <c r="I18" i="24" s="1"/>
  <c r="I17" i="24"/>
  <c r="G17" i="24"/>
  <c r="I16" i="24"/>
  <c r="G16" i="24"/>
  <c r="I15" i="24"/>
  <c r="G15" i="24"/>
  <c r="I14" i="24"/>
  <c r="G14" i="24"/>
  <c r="I13" i="24"/>
  <c r="G13" i="24"/>
  <c r="I12" i="24"/>
  <c r="G12" i="24"/>
  <c r="E11" i="24"/>
  <c r="I11" i="24" s="1"/>
  <c r="I10" i="24"/>
  <c r="I59" i="24" s="1"/>
  <c r="G9" i="24"/>
  <c r="G59" i="24" s="1"/>
  <c r="K41" i="26" l="1"/>
  <c r="K42" i="26"/>
  <c r="G43" i="27"/>
  <c r="G44" i="27"/>
  <c r="G42" i="26"/>
  <c r="G41" i="26"/>
  <c r="G43" i="26" s="1"/>
  <c r="G44" i="26" s="1"/>
  <c r="G39" i="28"/>
  <c r="K41" i="25"/>
  <c r="I39" i="28"/>
  <c r="K43" i="25"/>
  <c r="K44" i="25" s="1"/>
  <c r="O42" i="25"/>
  <c r="O41" i="25"/>
  <c r="G41" i="25"/>
  <c r="G42" i="25"/>
  <c r="I42" i="25"/>
  <c r="I41" i="25"/>
  <c r="M42" i="25"/>
  <c r="M41" i="25"/>
  <c r="K43" i="26"/>
  <c r="K44" i="26" s="1"/>
  <c r="K45" i="27"/>
  <c r="K46" i="27" s="1"/>
  <c r="I45" i="27"/>
  <c r="I46" i="27" s="1"/>
  <c r="I43" i="25"/>
  <c r="I44" i="25" s="1"/>
  <c r="G24" i="24"/>
  <c r="I49" i="24"/>
  <c r="I45" i="24"/>
  <c r="I52" i="24"/>
  <c r="I43" i="26"/>
  <c r="I44" i="26" s="1"/>
  <c r="G20" i="24"/>
  <c r="G55" i="24"/>
  <c r="G18" i="24"/>
  <c r="G44" i="24"/>
  <c r="G58" i="24"/>
  <c r="G29" i="24"/>
  <c r="G41" i="24"/>
  <c r="G11" i="24"/>
  <c r="I54" i="24" l="1"/>
  <c r="I41" i="28"/>
  <c r="I40" i="28"/>
  <c r="G41" i="28"/>
  <c r="G40" i="28"/>
  <c r="O43" i="25"/>
  <c r="O44" i="25" s="1"/>
  <c r="M43" i="25"/>
  <c r="M44" i="25" s="1"/>
  <c r="G45" i="27"/>
  <c r="G46" i="27" s="1"/>
  <c r="I53" i="24"/>
  <c r="I60" i="24"/>
  <c r="I61" i="24" s="1"/>
  <c r="I62" i="24" s="1"/>
  <c r="G43" i="25"/>
  <c r="G44" i="25" s="1"/>
  <c r="G52" i="24"/>
  <c r="G60" i="24" l="1"/>
  <c r="G61" i="24" s="1"/>
  <c r="G42" i="28"/>
  <c r="G43" i="28" s="1"/>
  <c r="I42" i="28"/>
  <c r="I43" i="28" s="1"/>
  <c r="I64" i="24"/>
  <c r="I63" i="24"/>
  <c r="G54" i="24"/>
  <c r="G53" i="24"/>
  <c r="I65" i="24" l="1"/>
  <c r="I66" i="24" s="1"/>
  <c r="G62" i="24"/>
  <c r="G64" i="24" l="1"/>
  <c r="G63" i="24"/>
  <c r="G65" i="24" s="1"/>
  <c r="G66" i="24" s="1"/>
  <c r="G30" i="18" l="1"/>
  <c r="F30" i="18" l="1"/>
  <c r="G39" i="20" l="1"/>
  <c r="F39" i="20"/>
  <c r="F12" i="20"/>
  <c r="G12" i="20" s="1"/>
  <c r="F11" i="20"/>
  <c r="F27" i="20"/>
  <c r="G27" i="20" s="1"/>
  <c r="F18" i="20"/>
  <c r="G18" i="20" s="1"/>
  <c r="F35" i="20"/>
  <c r="G35" i="20" s="1"/>
  <c r="F34" i="20"/>
  <c r="G34" i="20" s="1"/>
  <c r="F14" i="20"/>
  <c r="G14" i="20" s="1"/>
  <c r="F13" i="20"/>
  <c r="G13" i="20" s="1"/>
  <c r="G31" i="17" l="1"/>
  <c r="G23" i="17"/>
  <c r="G26" i="17" l="1"/>
  <c r="F23" i="17"/>
  <c r="E19" i="17"/>
  <c r="G53" i="16" l="1"/>
  <c r="M52" i="16"/>
  <c r="J52" i="16"/>
  <c r="G52" i="16"/>
  <c r="F53" i="16"/>
  <c r="L52" i="16"/>
  <c r="I52" i="16"/>
  <c r="F52" i="16"/>
  <c r="G21" i="6" l="1"/>
  <c r="G20" i="7" l="1"/>
  <c r="G37" i="8"/>
  <c r="G35" i="8"/>
  <c r="F15" i="6" l="1"/>
  <c r="G15" i="6" s="1"/>
  <c r="F12" i="17" l="1"/>
  <c r="G12" i="17" s="1"/>
  <c r="L41" i="16"/>
  <c r="M41" i="16" s="1"/>
  <c r="I41" i="16"/>
  <c r="J41" i="16" s="1"/>
  <c r="F41" i="16"/>
  <c r="G41" i="16" s="1"/>
  <c r="F11" i="17"/>
  <c r="L40" i="16"/>
  <c r="M40" i="16" s="1"/>
  <c r="I40" i="16"/>
  <c r="J40" i="16" s="1"/>
  <c r="F40" i="16"/>
  <c r="G40" i="16" s="1"/>
  <c r="F33" i="20"/>
  <c r="G33" i="20" s="1"/>
  <c r="F26" i="18"/>
  <c r="L38" i="16"/>
  <c r="M38" i="16" s="1"/>
  <c r="I38" i="16"/>
  <c r="F38" i="16"/>
  <c r="G38" i="16" s="1"/>
  <c r="F32" i="20"/>
  <c r="G32" i="20" s="1"/>
  <c r="F25" i="18"/>
  <c r="G25" i="18" s="1"/>
  <c r="F14" i="17"/>
  <c r="G14" i="17" s="1"/>
  <c r="L44" i="16"/>
  <c r="M44" i="16" s="1"/>
  <c r="I44" i="16"/>
  <c r="J44" i="16" s="1"/>
  <c r="F44" i="16"/>
  <c r="G44" i="16" s="1"/>
  <c r="L37" i="16"/>
  <c r="I37" i="16"/>
  <c r="J37" i="16" s="1"/>
  <c r="F37" i="16"/>
  <c r="J42" i="10" l="1"/>
  <c r="G42" i="10"/>
  <c r="I42" i="10"/>
  <c r="F42" i="10"/>
  <c r="G32" i="11"/>
  <c r="E19" i="11"/>
  <c r="F32" i="11"/>
  <c r="F31" i="20" l="1"/>
  <c r="G31" i="20" s="1"/>
  <c r="F24" i="18"/>
  <c r="F18" i="17"/>
  <c r="G18" i="17" s="1"/>
  <c r="L48" i="16"/>
  <c r="M48" i="16" s="1"/>
  <c r="I48" i="16"/>
  <c r="J48" i="16" s="1"/>
  <c r="F48" i="16"/>
  <c r="G48" i="16" s="1"/>
  <c r="L36" i="16"/>
  <c r="M36" i="16" s="1"/>
  <c r="I36" i="16"/>
  <c r="F36" i="16"/>
  <c r="G36" i="16" s="1"/>
  <c r="F30" i="20"/>
  <c r="G30" i="20" s="1"/>
  <c r="F23" i="18"/>
  <c r="G23" i="18" s="1"/>
  <c r="L35" i="16"/>
  <c r="I35" i="16"/>
  <c r="J35" i="16" s="1"/>
  <c r="F35" i="16"/>
  <c r="F29" i="20"/>
  <c r="G29" i="20" s="1"/>
  <c r="F22" i="18"/>
  <c r="G22" i="18" s="1"/>
  <c r="L34" i="16"/>
  <c r="I34" i="16"/>
  <c r="J34" i="16" s="1"/>
  <c r="F34" i="16"/>
  <c r="F20" i="18"/>
  <c r="G20" i="18" s="1"/>
  <c r="L32" i="16"/>
  <c r="M32" i="16" s="1"/>
  <c r="I32" i="16"/>
  <c r="J32" i="16" s="1"/>
  <c r="F32" i="16"/>
  <c r="G32" i="16" s="1"/>
  <c r="F26" i="20"/>
  <c r="G26" i="20" s="1"/>
  <c r="F19" i="18"/>
  <c r="G19" i="18" s="1"/>
  <c r="L31" i="16"/>
  <c r="M31" i="16" s="1"/>
  <c r="I31" i="16"/>
  <c r="J31" i="16" s="1"/>
  <c r="F31" i="16"/>
  <c r="G31" i="16" s="1"/>
  <c r="F25" i="20"/>
  <c r="G25" i="20" s="1"/>
  <c r="F18" i="18"/>
  <c r="G18" i="18" s="1"/>
  <c r="L30" i="16"/>
  <c r="M30" i="16" s="1"/>
  <c r="I30" i="16"/>
  <c r="J30" i="16" s="1"/>
  <c r="F30" i="16"/>
  <c r="G30" i="16" s="1"/>
  <c r="F8" i="17"/>
  <c r="G8" i="17" s="1"/>
  <c r="L21" i="16"/>
  <c r="M21" i="16" s="1"/>
  <c r="I21" i="16"/>
  <c r="J21" i="16" s="1"/>
  <c r="F21" i="16"/>
  <c r="G21" i="16" s="1"/>
  <c r="F7" i="17" l="1"/>
  <c r="G7" i="17" s="1"/>
  <c r="L20" i="16"/>
  <c r="M20" i="16" s="1"/>
  <c r="I20" i="16"/>
  <c r="J20" i="16" s="1"/>
  <c r="F20" i="16"/>
  <c r="G20" i="16" s="1"/>
  <c r="J37" i="9" l="1"/>
  <c r="I37" i="9"/>
  <c r="G37" i="9"/>
  <c r="F37" i="9" l="1"/>
  <c r="G40" i="15"/>
  <c r="M39" i="15"/>
  <c r="J39" i="15"/>
  <c r="G39" i="15"/>
  <c r="F40" i="15"/>
  <c r="L39" i="15"/>
  <c r="I39" i="15"/>
  <c r="F39" i="15"/>
  <c r="F14" i="18" l="1"/>
  <c r="G14" i="18" s="1"/>
  <c r="F9" i="17"/>
  <c r="G9" i="17" s="1"/>
  <c r="L19" i="16"/>
  <c r="M19" i="16" s="1"/>
  <c r="I19" i="16"/>
  <c r="J19" i="16" s="1"/>
  <c r="F19" i="16"/>
  <c r="G19" i="16" s="1"/>
  <c r="F15" i="20"/>
  <c r="G15" i="20" s="1"/>
  <c r="F13" i="18"/>
  <c r="G13" i="18" s="1"/>
  <c r="L18" i="16"/>
  <c r="M18" i="16" s="1"/>
  <c r="I18" i="16"/>
  <c r="J18" i="16" s="1"/>
  <c r="F18" i="16"/>
  <c r="G18" i="16" s="1"/>
  <c r="F12" i="18"/>
  <c r="G12" i="18" s="1"/>
  <c r="L17" i="16"/>
  <c r="M17" i="16" s="1"/>
  <c r="I17" i="16"/>
  <c r="J17" i="16" s="1"/>
  <c r="F17" i="16"/>
  <c r="G17" i="16" s="1"/>
  <c r="F20" i="20" l="1"/>
  <c r="G20" i="20" s="1"/>
  <c r="F17" i="20"/>
  <c r="G17" i="20" s="1"/>
  <c r="F11" i="18"/>
  <c r="L43" i="16"/>
  <c r="M43" i="16" s="1"/>
  <c r="I43" i="16"/>
  <c r="J43" i="16" s="1"/>
  <c r="F43" i="16"/>
  <c r="G43" i="16" s="1"/>
  <c r="I25" i="16"/>
  <c r="J25" i="16" s="1"/>
  <c r="I16" i="16"/>
  <c r="J16" i="16" s="1"/>
  <c r="L24" i="16"/>
  <c r="M24" i="16" s="1"/>
  <c r="F24" i="16"/>
  <c r="G24" i="16" s="1"/>
  <c r="L15" i="16"/>
  <c r="M15" i="16" s="1"/>
  <c r="F15" i="16"/>
  <c r="G15" i="16" s="1"/>
  <c r="F9" i="18"/>
  <c r="G9" i="18" s="1"/>
  <c r="L13" i="16"/>
  <c r="M13" i="16" s="1"/>
  <c r="I13" i="16"/>
  <c r="J13" i="16" s="1"/>
  <c r="F13" i="16"/>
  <c r="G13" i="16" s="1"/>
  <c r="L12" i="16"/>
  <c r="M12" i="16" s="1"/>
  <c r="F21" i="20"/>
  <c r="G21" i="20" s="1"/>
  <c r="F17" i="17"/>
  <c r="G17" i="17" s="1"/>
  <c r="L47" i="16"/>
  <c r="M47" i="16" s="1"/>
  <c r="I47" i="16"/>
  <c r="J47" i="16" s="1"/>
  <c r="F47" i="16"/>
  <c r="G47" i="16" s="1"/>
  <c r="L26" i="16"/>
  <c r="M26" i="16" s="1"/>
  <c r="I26" i="16"/>
  <c r="J26" i="16" s="1"/>
  <c r="F26" i="16"/>
  <c r="G26" i="16" s="1"/>
  <c r="L22" i="15"/>
  <c r="M22" i="15" s="1"/>
  <c r="I22" i="15"/>
  <c r="J22" i="15" s="1"/>
  <c r="F22" i="15"/>
  <c r="G22" i="15" s="1"/>
  <c r="F19" i="20"/>
  <c r="G19" i="20" s="1"/>
  <c r="F16" i="17"/>
  <c r="G16" i="17" s="1"/>
  <c r="L46" i="16"/>
  <c r="M46" i="16" s="1"/>
  <c r="I46" i="16"/>
  <c r="J46" i="16" s="1"/>
  <c r="F46" i="16"/>
  <c r="G46" i="16" s="1"/>
  <c r="L22" i="16"/>
  <c r="M22" i="16" s="1"/>
  <c r="I22" i="16"/>
  <c r="J22" i="16" s="1"/>
  <c r="F22" i="16"/>
  <c r="G22" i="16" s="1"/>
  <c r="L19" i="15"/>
  <c r="M19" i="15" s="1"/>
  <c r="I19" i="15"/>
  <c r="J19" i="15" s="1"/>
  <c r="F19" i="15"/>
  <c r="G19" i="15" s="1"/>
  <c r="L18" i="15"/>
  <c r="M18" i="15" s="1"/>
  <c r="I18" i="15"/>
  <c r="J18" i="15" s="1"/>
  <c r="F18" i="15"/>
  <c r="G18" i="15" s="1"/>
  <c r="H38" i="14"/>
  <c r="G37" i="14"/>
  <c r="F38" i="14"/>
  <c r="F20" i="14"/>
  <c r="E38" i="14"/>
  <c r="F37" i="14"/>
  <c r="F19" i="14"/>
  <c r="E37" i="14"/>
  <c r="E33" i="14" l="1"/>
  <c r="H33" i="14" s="1"/>
  <c r="L35" i="15"/>
  <c r="M35" i="15" s="1"/>
  <c r="I35" i="15"/>
  <c r="J35" i="15" s="1"/>
  <c r="F35" i="15"/>
  <c r="G35" i="15" s="1"/>
  <c r="E32" i="14"/>
  <c r="G32" i="14" s="1"/>
  <c r="E31" i="14"/>
  <c r="H31" i="14" s="1"/>
  <c r="L31" i="15"/>
  <c r="M31" i="15" s="1"/>
  <c r="I31" i="15"/>
  <c r="J31" i="15" s="1"/>
  <c r="F31" i="15"/>
  <c r="G31" i="15" s="1"/>
  <c r="E29" i="14"/>
  <c r="H29" i="14" s="1"/>
  <c r="H32" i="14" l="1"/>
  <c r="G33" i="14"/>
  <c r="G31" i="14"/>
  <c r="L23" i="15"/>
  <c r="M23" i="15" s="1"/>
  <c r="I23" i="15"/>
  <c r="J23" i="15" s="1"/>
  <c r="F23" i="15"/>
  <c r="G23" i="15" s="1"/>
  <c r="E27" i="14"/>
  <c r="H27" i="14" s="1"/>
  <c r="L25" i="15"/>
  <c r="M25" i="15" s="1"/>
  <c r="I25" i="15"/>
  <c r="J25" i="15" s="1"/>
  <c r="F25" i="15"/>
  <c r="G25" i="15" s="1"/>
  <c r="E22" i="14"/>
  <c r="E21" i="14"/>
  <c r="E18" i="14"/>
  <c r="I17" i="15"/>
  <c r="J17" i="15" s="1"/>
  <c r="I21" i="15"/>
  <c r="J21" i="15" s="1"/>
  <c r="E17" i="14"/>
  <c r="H17" i="14" s="1"/>
  <c r="L20" i="15"/>
  <c r="M20" i="15" s="1"/>
  <c r="F20" i="15"/>
  <c r="G20" i="15" s="1"/>
  <c r="L16" i="15"/>
  <c r="M16" i="15" s="1"/>
  <c r="F16" i="15"/>
  <c r="G16" i="15" s="1"/>
  <c r="E16" i="14"/>
  <c r="G16" i="14" s="1"/>
  <c r="E15" i="14"/>
  <c r="L14" i="15"/>
  <c r="M14" i="15" s="1"/>
  <c r="I14" i="15"/>
  <c r="J14" i="15" s="1"/>
  <c r="F14" i="15"/>
  <c r="G14" i="15" s="1"/>
  <c r="E14" i="14"/>
  <c r="E13" i="14"/>
  <c r="L12" i="15"/>
  <c r="M12" i="15" s="1"/>
  <c r="I12" i="15"/>
  <c r="J12" i="15" s="1"/>
  <c r="F12" i="15"/>
  <c r="G12" i="15" s="1"/>
  <c r="E12" i="14"/>
  <c r="H12" i="14" s="1"/>
  <c r="L13" i="15"/>
  <c r="M13" i="15" s="1"/>
  <c r="I13" i="15"/>
  <c r="J13" i="15" s="1"/>
  <c r="F13" i="15"/>
  <c r="G13" i="15" s="1"/>
  <c r="E11" i="14"/>
  <c r="L10" i="15"/>
  <c r="M10" i="15" s="1"/>
  <c r="L11" i="15"/>
  <c r="M11" i="15" s="1"/>
  <c r="I11" i="15"/>
  <c r="F11" i="15"/>
  <c r="G11" i="15" s="1"/>
  <c r="E10" i="14"/>
  <c r="F10" i="20"/>
  <c r="G10" i="20" s="1"/>
  <c r="F8" i="18"/>
  <c r="G8" i="18" s="1"/>
  <c r="I11" i="16"/>
  <c r="J11" i="16" s="1"/>
  <c r="I9" i="15"/>
  <c r="J9" i="15" s="1"/>
  <c r="E9" i="14"/>
  <c r="H9" i="14" s="1"/>
  <c r="F10" i="16"/>
  <c r="G10" i="16" s="1"/>
  <c r="F8" i="15"/>
  <c r="G8" i="15" s="1"/>
  <c r="E8" i="14"/>
  <c r="G8" i="14" s="1"/>
  <c r="G11" i="14" l="1"/>
  <c r="H11" i="14"/>
  <c r="H10" i="14"/>
  <c r="G10" i="14"/>
  <c r="G22" i="14"/>
  <c r="H22" i="14"/>
  <c r="G27" i="14"/>
  <c r="G18" i="14"/>
  <c r="H18" i="14"/>
  <c r="H21" i="14"/>
  <c r="G21" i="14"/>
  <c r="G15" i="14"/>
  <c r="H15" i="14"/>
  <c r="H13" i="14"/>
  <c r="G13" i="14"/>
  <c r="G14" i="14"/>
  <c r="H14" i="14"/>
  <c r="G12" i="14"/>
  <c r="M50" i="13" l="1"/>
  <c r="J50" i="13"/>
  <c r="G50" i="13"/>
  <c r="E50" i="13"/>
  <c r="E24" i="13"/>
  <c r="L50" i="13"/>
  <c r="I50" i="13"/>
  <c r="F50" i="13"/>
  <c r="G48" i="13"/>
  <c r="F48" i="13"/>
  <c r="F15" i="17" l="1"/>
  <c r="G15" i="17" s="1"/>
  <c r="L45" i="16"/>
  <c r="M45" i="16" s="1"/>
  <c r="I45" i="16"/>
  <c r="J45" i="16" s="1"/>
  <c r="F45" i="16"/>
  <c r="G45" i="16" s="1"/>
  <c r="L41" i="13"/>
  <c r="M41" i="13" s="1"/>
  <c r="I41" i="13"/>
  <c r="J41" i="13" s="1"/>
  <c r="F41" i="13"/>
  <c r="G41" i="13" s="1"/>
  <c r="F13" i="17"/>
  <c r="L42" i="16"/>
  <c r="M42" i="16" s="1"/>
  <c r="I42" i="16"/>
  <c r="F42" i="16"/>
  <c r="L38" i="13"/>
  <c r="M38" i="13" s="1"/>
  <c r="I38" i="13"/>
  <c r="J38" i="13" s="1"/>
  <c r="F38" i="13"/>
  <c r="L37" i="13"/>
  <c r="M37" i="13" s="1"/>
  <c r="I37" i="13"/>
  <c r="J37" i="13" s="1"/>
  <c r="F37" i="13"/>
  <c r="G37" i="13" s="1"/>
  <c r="L36" i="13"/>
  <c r="M36" i="13" s="1"/>
  <c r="I36" i="13"/>
  <c r="J36" i="13" s="1"/>
  <c r="F36" i="13"/>
  <c r="G36" i="13" s="1"/>
  <c r="L34" i="13"/>
  <c r="M34" i="13" s="1"/>
  <c r="I34" i="13"/>
  <c r="F34" i="13"/>
  <c r="G34" i="13" s="1"/>
  <c r="L40" i="13"/>
  <c r="M40" i="13" s="1"/>
  <c r="I40" i="13"/>
  <c r="J40" i="13" s="1"/>
  <c r="F40" i="13"/>
  <c r="G40" i="13" s="1"/>
  <c r="L34" i="15"/>
  <c r="M34" i="15" s="1"/>
  <c r="F34" i="15"/>
  <c r="G34" i="15" s="1"/>
  <c r="L33" i="13"/>
  <c r="I33" i="13"/>
  <c r="J33" i="13" s="1"/>
  <c r="F33" i="13"/>
  <c r="L33" i="15"/>
  <c r="I33" i="15"/>
  <c r="J33" i="15" s="1"/>
  <c r="F33" i="15"/>
  <c r="L44" i="13"/>
  <c r="M44" i="13" s="1"/>
  <c r="I44" i="13"/>
  <c r="J44" i="13" s="1"/>
  <c r="F44" i="13"/>
  <c r="G44" i="13" s="1"/>
  <c r="L32" i="13"/>
  <c r="M32" i="13" s="1"/>
  <c r="I32" i="13"/>
  <c r="F32" i="13"/>
  <c r="G32" i="13" s="1"/>
  <c r="L32" i="15"/>
  <c r="M32" i="15" s="1"/>
  <c r="I32" i="15"/>
  <c r="J32" i="15" s="1"/>
  <c r="F32" i="15"/>
  <c r="G32" i="15" s="1"/>
  <c r="E30" i="14"/>
  <c r="H30" i="14" s="1"/>
  <c r="L31" i="13"/>
  <c r="I31" i="13"/>
  <c r="J31" i="13" s="1"/>
  <c r="F31" i="13"/>
  <c r="L29" i="13"/>
  <c r="M29" i="13" s="1"/>
  <c r="I29" i="13"/>
  <c r="J29" i="13" s="1"/>
  <c r="F29" i="13"/>
  <c r="G29" i="13" s="1"/>
  <c r="L29" i="15"/>
  <c r="I29" i="15"/>
  <c r="J29" i="15" s="1"/>
  <c r="F29" i="15"/>
  <c r="G29" i="15" s="1"/>
  <c r="E26" i="14"/>
  <c r="L28" i="13"/>
  <c r="M28" i="13" s="1"/>
  <c r="I28" i="13"/>
  <c r="J28" i="13" s="1"/>
  <c r="F28" i="13"/>
  <c r="G28" i="13" s="1"/>
  <c r="L28" i="15"/>
  <c r="M28" i="15" s="1"/>
  <c r="I28" i="15"/>
  <c r="J28" i="15" s="1"/>
  <c r="F28" i="15"/>
  <c r="G28" i="15" s="1"/>
  <c r="E25" i="14"/>
  <c r="G25" i="14" s="1"/>
  <c r="L27" i="13"/>
  <c r="M27" i="13" s="1"/>
  <c r="I27" i="13"/>
  <c r="J27" i="13" s="1"/>
  <c r="F27" i="13"/>
  <c r="G27" i="13" s="1"/>
  <c r="F24" i="20"/>
  <c r="G24" i="20" s="1"/>
  <c r="F17" i="18"/>
  <c r="G17" i="18" s="1"/>
  <c r="L29" i="16"/>
  <c r="M29" i="16" s="1"/>
  <c r="I29" i="16"/>
  <c r="J29" i="16" s="1"/>
  <c r="F29" i="16"/>
  <c r="G29" i="16" s="1"/>
  <c r="L27" i="15"/>
  <c r="M27" i="15" s="1"/>
  <c r="I27" i="15"/>
  <c r="J27" i="15" s="1"/>
  <c r="F27" i="15"/>
  <c r="G27" i="15" s="1"/>
  <c r="E24" i="14"/>
  <c r="H24" i="14" s="1"/>
  <c r="L26" i="13"/>
  <c r="M26" i="13" s="1"/>
  <c r="I26" i="13"/>
  <c r="J26" i="13" s="1"/>
  <c r="F26" i="13"/>
  <c r="G26" i="13" s="1"/>
  <c r="F23" i="20"/>
  <c r="G23" i="20" s="1"/>
  <c r="F16" i="18"/>
  <c r="L28" i="16"/>
  <c r="M28" i="16" s="1"/>
  <c r="I28" i="16"/>
  <c r="J28" i="16" s="1"/>
  <c r="F28" i="16"/>
  <c r="G28" i="16" s="1"/>
  <c r="L26" i="15"/>
  <c r="M26" i="15" s="1"/>
  <c r="I26" i="15"/>
  <c r="J26" i="15" s="1"/>
  <c r="F26" i="15"/>
  <c r="G26" i="15" s="1"/>
  <c r="E23" i="14"/>
  <c r="H23" i="14" s="1"/>
  <c r="L25" i="13"/>
  <c r="M25" i="13" s="1"/>
  <c r="I25" i="13"/>
  <c r="J25" i="13" s="1"/>
  <c r="F25" i="13"/>
  <c r="G25" i="13" s="1"/>
  <c r="F22" i="20"/>
  <c r="G22" i="20" s="1"/>
  <c r="F15" i="18"/>
  <c r="G15" i="18" s="1"/>
  <c r="F19" i="17"/>
  <c r="G19" i="17" s="1"/>
  <c r="L27" i="16"/>
  <c r="M27" i="16" s="1"/>
  <c r="I27" i="16"/>
  <c r="J27" i="16" s="1"/>
  <c r="F27" i="16"/>
  <c r="G27" i="16" s="1"/>
  <c r="L24" i="15"/>
  <c r="M24" i="15" s="1"/>
  <c r="I24" i="15"/>
  <c r="J24" i="15" s="1"/>
  <c r="F24" i="15"/>
  <c r="G24" i="15" s="1"/>
  <c r="E20" i="14"/>
  <c r="H20" i="14" s="1"/>
  <c r="E19" i="14"/>
  <c r="G19" i="14" s="1"/>
  <c r="L24" i="13"/>
  <c r="M24" i="13" s="1"/>
  <c r="I24" i="13"/>
  <c r="J24" i="13" s="1"/>
  <c r="F24" i="13"/>
  <c r="G24" i="13" s="1"/>
  <c r="G26" i="14" l="1"/>
  <c r="G34" i="14" s="1"/>
  <c r="H26" i="14"/>
  <c r="H25" i="14"/>
  <c r="H34" i="14" l="1"/>
  <c r="H35" i="14" s="1"/>
  <c r="G36" i="14"/>
  <c r="G35" i="14"/>
  <c r="E28" i="20"/>
  <c r="E22" i="20"/>
  <c r="G11" i="20"/>
  <c r="E10" i="20"/>
  <c r="E25" i="18"/>
  <c r="G16" i="18"/>
  <c r="G11" i="18"/>
  <c r="G13" i="17"/>
  <c r="E11" i="17"/>
  <c r="G11" i="17" s="1"/>
  <c r="K52" i="16"/>
  <c r="H52" i="16"/>
  <c r="E52" i="16"/>
  <c r="J42" i="16"/>
  <c r="G42" i="16"/>
  <c r="K27" i="16"/>
  <c r="H27" i="16"/>
  <c r="E27" i="16"/>
  <c r="K30" i="15"/>
  <c r="H30" i="15"/>
  <c r="E30" i="15"/>
  <c r="M29" i="15"/>
  <c r="K24" i="15"/>
  <c r="H24" i="15"/>
  <c r="L15" i="15"/>
  <c r="J11" i="15"/>
  <c r="H36" i="14" l="1"/>
  <c r="G40" i="14"/>
  <c r="G42" i="14" s="1"/>
  <c r="G45" i="14" s="1"/>
  <c r="H40" i="14"/>
  <c r="L39" i="16"/>
  <c r="G20" i="17"/>
  <c r="F39" i="16"/>
  <c r="M49" i="16"/>
  <c r="G27" i="18"/>
  <c r="G36" i="20"/>
  <c r="J49" i="16"/>
  <c r="G49" i="16"/>
  <c r="I39" i="16"/>
  <c r="I15" i="15"/>
  <c r="G36" i="15"/>
  <c r="F15" i="15"/>
  <c r="J36" i="15"/>
  <c r="M36" i="15"/>
  <c r="L43" i="13"/>
  <c r="M43" i="13" s="1"/>
  <c r="I43" i="13"/>
  <c r="J43" i="13" s="1"/>
  <c r="F43" i="13"/>
  <c r="G43" i="13" s="1"/>
  <c r="L23" i="13"/>
  <c r="M23" i="13" s="1"/>
  <c r="I23" i="13"/>
  <c r="J23" i="13" s="1"/>
  <c r="F23" i="13"/>
  <c r="G23" i="13" s="1"/>
  <c r="L42" i="13"/>
  <c r="M42" i="13" s="1"/>
  <c r="I42" i="13"/>
  <c r="J42" i="13" s="1"/>
  <c r="F42" i="13"/>
  <c r="G42" i="13" s="1"/>
  <c r="L20" i="13"/>
  <c r="M20" i="13" s="1"/>
  <c r="I20" i="13"/>
  <c r="J20" i="13" s="1"/>
  <c r="F20" i="13"/>
  <c r="G20" i="13" s="1"/>
  <c r="L19" i="13"/>
  <c r="M19" i="13" s="1"/>
  <c r="I19" i="13"/>
  <c r="J19" i="13" s="1"/>
  <c r="F19" i="13"/>
  <c r="G19" i="13" s="1"/>
  <c r="L18" i="13"/>
  <c r="M18" i="13" s="1"/>
  <c r="I18" i="13"/>
  <c r="J18" i="13" s="1"/>
  <c r="F18" i="13"/>
  <c r="G18" i="13" s="1"/>
  <c r="L17" i="13"/>
  <c r="M17" i="13" s="1"/>
  <c r="I17" i="13"/>
  <c r="J17" i="13" s="1"/>
  <c r="F17" i="13"/>
  <c r="G17" i="13" s="1"/>
  <c r="G28" i="18" l="1"/>
  <c r="G29" i="18"/>
  <c r="G38" i="20"/>
  <c r="G37" i="20"/>
  <c r="G41" i="20" s="1"/>
  <c r="G51" i="16"/>
  <c r="G50" i="16"/>
  <c r="G55" i="16" s="1"/>
  <c r="J50" i="16"/>
  <c r="J55" i="16" s="1"/>
  <c r="J51" i="16"/>
  <c r="G22" i="17"/>
  <c r="G21" i="17"/>
  <c r="G25" i="17" s="1"/>
  <c r="M50" i="16"/>
  <c r="M55" i="16" s="1"/>
  <c r="M51" i="16"/>
  <c r="H43" i="14"/>
  <c r="H46" i="14" s="1"/>
  <c r="G47" i="14"/>
  <c r="G48" i="14"/>
  <c r="G38" i="15"/>
  <c r="G37" i="15"/>
  <c r="G42" i="15" s="1"/>
  <c r="M38" i="15"/>
  <c r="M37" i="15"/>
  <c r="M42" i="15" s="1"/>
  <c r="J38" i="15"/>
  <c r="J37" i="15"/>
  <c r="J42" i="15" s="1"/>
  <c r="L16" i="13"/>
  <c r="M16" i="13" s="1"/>
  <c r="I16" i="13"/>
  <c r="J16" i="13" s="1"/>
  <c r="F16" i="13"/>
  <c r="G16" i="13" s="1"/>
  <c r="L15" i="13"/>
  <c r="M15" i="13" s="1"/>
  <c r="I15" i="13"/>
  <c r="J15" i="13" s="1"/>
  <c r="F15" i="13"/>
  <c r="G15" i="13" s="1"/>
  <c r="L39" i="13"/>
  <c r="M39" i="13" s="1"/>
  <c r="I39" i="13"/>
  <c r="J39" i="13" s="1"/>
  <c r="F39" i="13"/>
  <c r="G39" i="13" s="1"/>
  <c r="I22" i="13"/>
  <c r="J22" i="13" s="1"/>
  <c r="I14" i="13"/>
  <c r="J14" i="13" s="1"/>
  <c r="L21" i="13"/>
  <c r="M21" i="13" s="1"/>
  <c r="F21" i="13"/>
  <c r="G21" i="13" s="1"/>
  <c r="L13" i="13"/>
  <c r="M13" i="13" s="1"/>
  <c r="F13" i="13"/>
  <c r="G13" i="13" s="1"/>
  <c r="L11" i="13"/>
  <c r="M11" i="13" s="1"/>
  <c r="I11" i="13"/>
  <c r="J11" i="13" s="1"/>
  <c r="F11" i="13"/>
  <c r="G11" i="13" s="1"/>
  <c r="L10" i="13"/>
  <c r="M10" i="13" s="1"/>
  <c r="I9" i="13"/>
  <c r="J9" i="13" s="1"/>
  <c r="F8" i="13"/>
  <c r="G8" i="13" s="1"/>
  <c r="K50" i="13"/>
  <c r="H50" i="13"/>
  <c r="G38" i="13"/>
  <c r="K24" i="13"/>
  <c r="H24" i="13"/>
  <c r="H23" i="13"/>
  <c r="F37" i="8"/>
  <c r="J56" i="16" l="1"/>
  <c r="G32" i="18"/>
  <c r="G33" i="18" s="1"/>
  <c r="G34" i="18" s="1"/>
  <c r="G42" i="20"/>
  <c r="G56" i="16"/>
  <c r="G57" i="16" s="1"/>
  <c r="G27" i="17"/>
  <c r="G28" i="17" s="1"/>
  <c r="M56" i="16"/>
  <c r="M57" i="16" s="1"/>
  <c r="M43" i="15"/>
  <c r="M44" i="15" s="1"/>
  <c r="G43" i="15"/>
  <c r="G44" i="15" s="1"/>
  <c r="H48" i="14"/>
  <c r="H47" i="14"/>
  <c r="J43" i="15"/>
  <c r="J44" i="15" s="1"/>
  <c r="J57" i="16"/>
  <c r="J35" i="13"/>
  <c r="J45" i="13" s="1"/>
  <c r="M35" i="13"/>
  <c r="M45" i="13" s="1"/>
  <c r="G35" i="13"/>
  <c r="G45" i="13" s="1"/>
  <c r="G35" i="18" l="1"/>
  <c r="G36" i="18"/>
  <c r="G43" i="20"/>
  <c r="G29" i="17"/>
  <c r="G30" i="17"/>
  <c r="J59" i="16"/>
  <c r="J58" i="16"/>
  <c r="G59" i="16"/>
  <c r="G58" i="16"/>
  <c r="M59" i="16"/>
  <c r="M58" i="16"/>
  <c r="H49" i="14"/>
  <c r="M46" i="15"/>
  <c r="M45" i="15"/>
  <c r="G46" i="15"/>
  <c r="G45" i="15"/>
  <c r="J46" i="15"/>
  <c r="J45" i="15"/>
  <c r="G46" i="13"/>
  <c r="G51" i="13" s="1"/>
  <c r="G47" i="13"/>
  <c r="M46" i="13"/>
  <c r="M51" i="13" s="1"/>
  <c r="M47" i="13"/>
  <c r="J47" i="13"/>
  <c r="J46" i="13"/>
  <c r="J51" i="13" s="1"/>
  <c r="G37" i="18" l="1"/>
  <c r="G38" i="18" s="1"/>
  <c r="G45" i="20"/>
  <c r="G44" i="20"/>
  <c r="M60" i="16"/>
  <c r="M61" i="16" s="1"/>
  <c r="G32" i="17"/>
  <c r="G33" i="17" s="1"/>
  <c r="G49" i="14"/>
  <c r="G50" i="14" s="1"/>
  <c r="G52" i="13"/>
  <c r="G53" i="13" s="1"/>
  <c r="G60" i="16"/>
  <c r="G61" i="16" s="1"/>
  <c r="J52" i="13"/>
  <c r="J53" i="13" s="1"/>
  <c r="M52" i="13"/>
  <c r="M53" i="13" s="1"/>
  <c r="J47" i="15"/>
  <c r="J48" i="15" s="1"/>
  <c r="J60" i="16"/>
  <c r="J61" i="16" s="1"/>
  <c r="G47" i="15"/>
  <c r="G48" i="15" s="1"/>
  <c r="M47" i="15"/>
  <c r="M48" i="15" s="1"/>
  <c r="H50" i="14"/>
  <c r="G46" i="20" l="1"/>
  <c r="G47" i="20" s="1"/>
  <c r="M55" i="13"/>
  <c r="M54" i="13"/>
  <c r="G54" i="13"/>
  <c r="G55" i="13"/>
  <c r="J55" i="13"/>
  <c r="J54" i="13"/>
  <c r="M56" i="13" l="1"/>
  <c r="M57" i="13" s="1"/>
  <c r="G56" i="13"/>
  <c r="G57" i="13" s="1"/>
  <c r="J56" i="13"/>
  <c r="J57" i="13" s="1"/>
  <c r="F35" i="8"/>
  <c r="M40" i="5" l="1"/>
  <c r="K40" i="5"/>
  <c r="I40" i="5"/>
  <c r="G40" i="5"/>
  <c r="M38" i="5"/>
  <c r="K38" i="5"/>
  <c r="F32" i="2"/>
  <c r="F41" i="1"/>
  <c r="E38" i="5"/>
  <c r="E40" i="5"/>
  <c r="G27" i="4" l="1"/>
  <c r="F27" i="4"/>
  <c r="J47" i="3" l="1"/>
  <c r="I47" i="3"/>
  <c r="G47" i="3"/>
  <c r="F47" i="3"/>
  <c r="F18" i="11" l="1"/>
  <c r="G18" i="11" s="1"/>
  <c r="F15" i="11"/>
  <c r="G15" i="11" s="1"/>
  <c r="F9" i="11"/>
  <c r="F21" i="10"/>
  <c r="G21" i="10" s="1"/>
  <c r="F18" i="10"/>
  <c r="G18" i="10" s="1"/>
  <c r="I17" i="10"/>
  <c r="J17" i="10" s="1"/>
  <c r="F12" i="11"/>
  <c r="G12" i="11" s="1"/>
  <c r="F15" i="10"/>
  <c r="G15" i="10" s="1"/>
  <c r="F13" i="10"/>
  <c r="I13" i="10" s="1"/>
  <c r="J13" i="10" s="1"/>
  <c r="F12" i="10"/>
  <c r="G12" i="10" s="1"/>
  <c r="F8" i="11"/>
  <c r="G8" i="11" s="1"/>
  <c r="F10" i="10"/>
  <c r="G10" i="10" s="1"/>
  <c r="I14" i="9"/>
  <c r="J14" i="9" s="1"/>
  <c r="F14" i="9"/>
  <c r="G14" i="9" s="1"/>
  <c r="F11" i="11"/>
  <c r="G11" i="11" s="1"/>
  <c r="I13" i="9"/>
  <c r="J13" i="9" s="1"/>
  <c r="F13" i="9"/>
  <c r="G13" i="9" s="1"/>
  <c r="F10" i="11"/>
  <c r="G10" i="11" s="1"/>
  <c r="I12" i="9"/>
  <c r="F12" i="9"/>
  <c r="G12" i="9" s="1"/>
  <c r="I11" i="9"/>
  <c r="F11" i="9"/>
  <c r="F28" i="11"/>
  <c r="G28" i="11" s="1"/>
  <c r="F20" i="11"/>
  <c r="F14" i="10"/>
  <c r="G14" i="10" s="1"/>
  <c r="I26" i="9"/>
  <c r="J26" i="9" s="1"/>
  <c r="F26" i="9"/>
  <c r="G26" i="9" s="1"/>
  <c r="F24" i="8"/>
  <c r="G24" i="8" s="1"/>
  <c r="I33" i="9"/>
  <c r="J33" i="9" s="1"/>
  <c r="F33" i="9"/>
  <c r="G33" i="9" s="1"/>
  <c r="F30" i="8"/>
  <c r="G30" i="8" s="1"/>
  <c r="F14" i="11"/>
  <c r="G14" i="11" s="1"/>
  <c r="I16" i="9"/>
  <c r="J16" i="9" s="1"/>
  <c r="F16" i="9"/>
  <c r="G16" i="9" s="1"/>
  <c r="F21" i="8"/>
  <c r="G21" i="8" s="1"/>
  <c r="F18" i="8"/>
  <c r="G18" i="8" s="1"/>
  <c r="F17" i="8"/>
  <c r="G17" i="8" s="1"/>
  <c r="F13" i="8"/>
  <c r="G13" i="8" s="1"/>
  <c r="F11" i="8"/>
  <c r="G11" i="8" s="1"/>
  <c r="F10" i="8"/>
  <c r="G10" i="8" s="1"/>
  <c r="F9" i="8"/>
  <c r="G9" i="8" s="1"/>
  <c r="F38" i="10"/>
  <c r="G38" i="10" s="1"/>
  <c r="F14" i="7"/>
  <c r="G14" i="7" s="1"/>
  <c r="F14" i="6"/>
  <c r="G14" i="6" s="1"/>
  <c r="F34" i="10"/>
  <c r="G34" i="10" s="1"/>
  <c r="F10" i="7"/>
  <c r="G10" i="7" s="1"/>
  <c r="F10" i="6"/>
  <c r="G10" i="6" s="1"/>
  <c r="F8" i="6"/>
  <c r="G8" i="6" s="1"/>
  <c r="E34" i="5"/>
  <c r="M34" i="5" s="1"/>
  <c r="E26" i="5"/>
  <c r="I26" i="5" s="1"/>
  <c r="E24" i="5"/>
  <c r="M24" i="5" s="1"/>
  <c r="E22" i="5"/>
  <c r="K22" i="5" s="1"/>
  <c r="F12" i="8"/>
  <c r="G12" i="8" s="1"/>
  <c r="E21" i="5"/>
  <c r="K21" i="5" s="1"/>
  <c r="F16" i="8"/>
  <c r="G16" i="8" s="1"/>
  <c r="E18" i="5"/>
  <c r="G18" i="5" s="1"/>
  <c r="F15" i="8"/>
  <c r="G15" i="8" s="1"/>
  <c r="E17" i="5"/>
  <c r="I17" i="5" s="1"/>
  <c r="F14" i="8"/>
  <c r="G14" i="8" s="1"/>
  <c r="E16" i="5"/>
  <c r="M16" i="5" s="1"/>
  <c r="E15" i="5"/>
  <c r="M15" i="5" s="1"/>
  <c r="E14" i="5"/>
  <c r="M14" i="5" s="1"/>
  <c r="E13" i="5"/>
  <c r="M13" i="5" s="1"/>
  <c r="E12" i="5"/>
  <c r="K12" i="5" s="1"/>
  <c r="E11" i="5"/>
  <c r="M11" i="5" s="1"/>
  <c r="F13" i="4"/>
  <c r="G13" i="4" s="1"/>
  <c r="I42" i="3"/>
  <c r="J42" i="3" s="1"/>
  <c r="F42" i="3"/>
  <c r="G42" i="3" s="1"/>
  <c r="F35" i="10"/>
  <c r="I35" i="10" s="1"/>
  <c r="J35" i="10" s="1"/>
  <c r="F11" i="7"/>
  <c r="F11" i="6"/>
  <c r="G11" i="6" s="1"/>
  <c r="I39" i="3"/>
  <c r="J39" i="3" s="1"/>
  <c r="F39" i="3"/>
  <c r="G39" i="3" s="1"/>
  <c r="M26" i="5" l="1"/>
  <c r="G35" i="10"/>
  <c r="K26" i="5"/>
  <c r="G26" i="5"/>
  <c r="G13" i="10"/>
  <c r="I15" i="10"/>
  <c r="J15" i="10" s="1"/>
  <c r="G34" i="5"/>
  <c r="I34" i="5"/>
  <c r="K34" i="5"/>
  <c r="G21" i="5"/>
  <c r="M22" i="5"/>
  <c r="I21" i="5"/>
  <c r="G24" i="5"/>
  <c r="I24" i="5"/>
  <c r="K24" i="5"/>
  <c r="I22" i="5"/>
  <c r="G22" i="5"/>
  <c r="M21" i="5"/>
  <c r="G17" i="5"/>
  <c r="K18" i="5"/>
  <c r="I18" i="5"/>
  <c r="K17" i="5"/>
  <c r="M18" i="5"/>
  <c r="M17" i="5"/>
  <c r="G16" i="5"/>
  <c r="I16" i="5"/>
  <c r="K16" i="5"/>
  <c r="G15" i="5"/>
  <c r="I15" i="5"/>
  <c r="K15" i="5"/>
  <c r="G14" i="5"/>
  <c r="I14" i="5"/>
  <c r="K14" i="5"/>
  <c r="I13" i="5"/>
  <c r="G12" i="5"/>
  <c r="K11" i="5"/>
  <c r="F33" i="10" l="1"/>
  <c r="F9" i="7"/>
  <c r="F9" i="6"/>
  <c r="I37" i="3"/>
  <c r="F37" i="3"/>
  <c r="I35" i="3"/>
  <c r="J35" i="3" s="1"/>
  <c r="E33" i="5"/>
  <c r="M33" i="5" s="1"/>
  <c r="F22" i="4"/>
  <c r="G22" i="4" s="1"/>
  <c r="F34" i="3"/>
  <c r="G34" i="3" s="1"/>
  <c r="G33" i="5" l="1"/>
  <c r="I33" i="5"/>
  <c r="K33" i="5"/>
  <c r="F31" i="10" l="1"/>
  <c r="G31" i="10" s="1"/>
  <c r="I33" i="3"/>
  <c r="J33" i="3" s="1"/>
  <c r="F27" i="11"/>
  <c r="G27" i="11" s="1"/>
  <c r="F30" i="10"/>
  <c r="G30" i="10" s="1"/>
  <c r="F29" i="8"/>
  <c r="G29" i="8" s="1"/>
  <c r="E32" i="5"/>
  <c r="G32" i="5" s="1"/>
  <c r="F21" i="4"/>
  <c r="G21" i="4" s="1"/>
  <c r="F32" i="3"/>
  <c r="G32" i="3" s="1"/>
  <c r="F26" i="11"/>
  <c r="G26" i="11" s="1"/>
  <c r="F29" i="10"/>
  <c r="G29" i="10" s="1"/>
  <c r="I32" i="9"/>
  <c r="J32" i="9" s="1"/>
  <c r="F32" i="9"/>
  <c r="G32" i="9" s="1"/>
  <c r="E31" i="5"/>
  <c r="I31" i="5" s="1"/>
  <c r="F20" i="4"/>
  <c r="G20" i="4" s="1"/>
  <c r="F31" i="3"/>
  <c r="G31" i="3" s="1"/>
  <c r="F27" i="10"/>
  <c r="G27" i="10" s="1"/>
  <c r="I29" i="3"/>
  <c r="J29" i="3" s="1"/>
  <c r="F29" i="3"/>
  <c r="G29" i="3" s="1"/>
  <c r="F24" i="11"/>
  <c r="F26" i="10"/>
  <c r="G26" i="10" s="1"/>
  <c r="I30" i="9"/>
  <c r="F30" i="9"/>
  <c r="F26" i="8"/>
  <c r="G26" i="8" s="1"/>
  <c r="E25" i="5"/>
  <c r="G25" i="5" s="1"/>
  <c r="F18" i="4"/>
  <c r="I28" i="3"/>
  <c r="J28" i="3" s="1"/>
  <c r="F28" i="3"/>
  <c r="G28" i="3" s="1"/>
  <c r="F23" i="11"/>
  <c r="G23" i="11" s="1"/>
  <c r="F25" i="10"/>
  <c r="G25" i="10" s="1"/>
  <c r="I29" i="9"/>
  <c r="J29" i="9" s="1"/>
  <c r="F29" i="9"/>
  <c r="G29" i="9" s="1"/>
  <c r="F25" i="8"/>
  <c r="G25" i="8" s="1"/>
  <c r="E23" i="5"/>
  <c r="M23" i="5" s="1"/>
  <c r="F17" i="4"/>
  <c r="G17" i="4" s="1"/>
  <c r="I27" i="3"/>
  <c r="J27" i="3" s="1"/>
  <c r="F27" i="3"/>
  <c r="G27" i="3" s="1"/>
  <c r="I32" i="5" l="1"/>
  <c r="K32" i="5"/>
  <c r="M32" i="5"/>
  <c r="K31" i="5"/>
  <c r="M31" i="5"/>
  <c r="G31" i="5"/>
  <c r="I25" i="5"/>
  <c r="K25" i="5"/>
  <c r="M25" i="5"/>
  <c r="G23" i="5"/>
  <c r="I23" i="5"/>
  <c r="K23" i="5"/>
  <c r="F22" i="11"/>
  <c r="G22" i="11" s="1"/>
  <c r="F24" i="10"/>
  <c r="G24" i="10" s="1"/>
  <c r="I28" i="9"/>
  <c r="J28" i="9" s="1"/>
  <c r="F28" i="9"/>
  <c r="G28" i="9" s="1"/>
  <c r="F23" i="8"/>
  <c r="G23" i="8" s="1"/>
  <c r="E29" i="5"/>
  <c r="G29" i="5" s="1"/>
  <c r="I26" i="3"/>
  <c r="J26" i="3" s="1"/>
  <c r="F26" i="3"/>
  <c r="G26" i="3" s="1"/>
  <c r="F21" i="11"/>
  <c r="G21" i="11" s="1"/>
  <c r="F23" i="10"/>
  <c r="G23" i="10" s="1"/>
  <c r="I27" i="9"/>
  <c r="J27" i="9" s="1"/>
  <c r="F27" i="9"/>
  <c r="G27" i="9" s="1"/>
  <c r="F22" i="8"/>
  <c r="G22" i="8" s="1"/>
  <c r="E28" i="5"/>
  <c r="G28" i="5" s="1"/>
  <c r="I25" i="3"/>
  <c r="J25" i="3" s="1"/>
  <c r="F25" i="3"/>
  <c r="G25" i="3" s="1"/>
  <c r="F19" i="11"/>
  <c r="G19" i="11" s="1"/>
  <c r="F22" i="10"/>
  <c r="G22" i="10" s="1"/>
  <c r="F25" i="9"/>
  <c r="G25" i="9" s="1"/>
  <c r="I25" i="9"/>
  <c r="J25" i="9" s="1"/>
  <c r="F27" i="8"/>
  <c r="G27" i="8" s="1"/>
  <c r="E27" i="5"/>
  <c r="M27" i="5" s="1"/>
  <c r="F16" i="4"/>
  <c r="G16" i="4" s="1"/>
  <c r="I24" i="3"/>
  <c r="J24" i="3" s="1"/>
  <c r="F24" i="3"/>
  <c r="G24" i="3" s="1"/>
  <c r="F17" i="11"/>
  <c r="G17" i="11" s="1"/>
  <c r="F36" i="10"/>
  <c r="G36" i="10" s="1"/>
  <c r="F20" i="10"/>
  <c r="G20" i="10" s="1"/>
  <c r="I21" i="9"/>
  <c r="F21" i="9"/>
  <c r="G21" i="9" s="1"/>
  <c r="F12" i="7"/>
  <c r="G12" i="7" s="1"/>
  <c r="F12" i="6"/>
  <c r="G12" i="6" s="1"/>
  <c r="E20" i="5"/>
  <c r="K20" i="5" s="1"/>
  <c r="I40" i="3"/>
  <c r="J40" i="3" s="1"/>
  <c r="F40" i="3"/>
  <c r="G40" i="3" s="1"/>
  <c r="I20" i="3"/>
  <c r="J20" i="3" s="1"/>
  <c r="F20" i="3"/>
  <c r="G20" i="3" s="1"/>
  <c r="F16" i="11"/>
  <c r="G16" i="11" s="1"/>
  <c r="F37" i="10"/>
  <c r="G37" i="10" s="1"/>
  <c r="F19" i="10"/>
  <c r="G19" i="10" s="1"/>
  <c r="I20" i="9"/>
  <c r="J20" i="9" s="1"/>
  <c r="F20" i="9"/>
  <c r="G20" i="9" s="1"/>
  <c r="F13" i="7"/>
  <c r="G13" i="7" s="1"/>
  <c r="F13" i="6"/>
  <c r="G13" i="6" s="1"/>
  <c r="E19" i="5"/>
  <c r="I19" i="5" s="1"/>
  <c r="I41" i="3"/>
  <c r="F41" i="3"/>
  <c r="I19" i="3"/>
  <c r="F19" i="3"/>
  <c r="F16" i="10"/>
  <c r="F8" i="7"/>
  <c r="I18" i="3"/>
  <c r="J18" i="3" s="1"/>
  <c r="F18" i="3"/>
  <c r="G18" i="3" s="1"/>
  <c r="F17" i="3"/>
  <c r="I16" i="3"/>
  <c r="F16" i="3"/>
  <c r="F15" i="3"/>
  <c r="I15" i="3"/>
  <c r="I14" i="3"/>
  <c r="J14" i="3" s="1"/>
  <c r="F14" i="3"/>
  <c r="G14" i="3" s="1"/>
  <c r="I24" i="9"/>
  <c r="J24" i="9" s="1"/>
  <c r="I19" i="9"/>
  <c r="J19" i="9" s="1"/>
  <c r="I23" i="3"/>
  <c r="J23" i="3" s="1"/>
  <c r="I13" i="3"/>
  <c r="J13" i="3" s="1"/>
  <c r="F23" i="9"/>
  <c r="G23" i="9" s="1"/>
  <c r="F18" i="9"/>
  <c r="G18" i="9" s="1"/>
  <c r="F20" i="8"/>
  <c r="G20" i="8" s="1"/>
  <c r="F19" i="8"/>
  <c r="F12" i="4"/>
  <c r="F22" i="3"/>
  <c r="F12" i="3"/>
  <c r="F11" i="10"/>
  <c r="F9" i="4"/>
  <c r="G9" i="4" s="1"/>
  <c r="F10" i="4"/>
  <c r="I10" i="3"/>
  <c r="J10" i="3" s="1"/>
  <c r="F10" i="3"/>
  <c r="G10" i="3" s="1"/>
  <c r="I9" i="3"/>
  <c r="J9" i="3" s="1"/>
  <c r="I10" i="9"/>
  <c r="J10" i="9" s="1"/>
  <c r="F9" i="9"/>
  <c r="R413" i="12"/>
  <c r="R412" i="12"/>
  <c r="R411" i="12"/>
  <c r="R410" i="12"/>
  <c r="R409" i="12"/>
  <c r="I29" i="5" l="1"/>
  <c r="M19" i="5"/>
  <c r="M20" i="5"/>
  <c r="I28" i="5"/>
  <c r="G27" i="5"/>
  <c r="G20" i="5"/>
  <c r="I27" i="5"/>
  <c r="I20" i="5"/>
  <c r="K27" i="5"/>
  <c r="K19" i="5"/>
  <c r="G19" i="5"/>
  <c r="F8" i="8" l="1"/>
  <c r="H10" i="5"/>
  <c r="F10" i="5"/>
  <c r="I10" i="5"/>
  <c r="G10" i="5"/>
  <c r="E10" i="5"/>
  <c r="F8" i="3"/>
  <c r="G24" i="11" l="1"/>
  <c r="G20" i="11"/>
  <c r="G9" i="11"/>
  <c r="I38" i="10"/>
  <c r="J38" i="10" s="1"/>
  <c r="I36" i="10"/>
  <c r="J36" i="10" s="1"/>
  <c r="H36" i="10"/>
  <c r="I34" i="10"/>
  <c r="J34" i="10" s="1"/>
  <c r="I33" i="10"/>
  <c r="J33" i="10" s="1"/>
  <c r="G33" i="10"/>
  <c r="I31" i="10"/>
  <c r="J31" i="10" s="1"/>
  <c r="I30" i="10"/>
  <c r="J30" i="10" s="1"/>
  <c r="I29" i="10"/>
  <c r="J29" i="10" s="1"/>
  <c r="H28" i="10"/>
  <c r="E28" i="10"/>
  <c r="I27" i="10"/>
  <c r="J27" i="10" s="1"/>
  <c r="I26" i="10"/>
  <c r="J26" i="10" s="1"/>
  <c r="I25" i="10"/>
  <c r="J25" i="10" s="1"/>
  <c r="I24" i="10"/>
  <c r="J24" i="10" s="1"/>
  <c r="I23" i="10"/>
  <c r="J23" i="10" s="1"/>
  <c r="H22" i="10"/>
  <c r="I22" i="10"/>
  <c r="E22" i="10"/>
  <c r="I20" i="10"/>
  <c r="J20" i="10" s="1"/>
  <c r="H20" i="10"/>
  <c r="I19" i="10"/>
  <c r="J19" i="10" s="1"/>
  <c r="I18" i="10"/>
  <c r="J18" i="10" s="1"/>
  <c r="G16" i="10"/>
  <c r="I14" i="10"/>
  <c r="J14" i="10" s="1"/>
  <c r="I12" i="10"/>
  <c r="J12" i="10" s="1"/>
  <c r="I11" i="10"/>
  <c r="J11" i="10" s="1"/>
  <c r="H10" i="10"/>
  <c r="I10" i="10"/>
  <c r="J10" i="10" s="1"/>
  <c r="J30" i="9"/>
  <c r="G30" i="9"/>
  <c r="H25" i="9"/>
  <c r="E25" i="9"/>
  <c r="J21" i="9"/>
  <c r="J12" i="9"/>
  <c r="J11" i="9"/>
  <c r="G11" i="9"/>
  <c r="G9" i="9"/>
  <c r="E9" i="9"/>
  <c r="E27" i="8"/>
  <c r="G19" i="8"/>
  <c r="G8" i="8"/>
  <c r="G11" i="7"/>
  <c r="G9" i="7"/>
  <c r="G8" i="7"/>
  <c r="G9" i="6"/>
  <c r="G16" i="6" s="1"/>
  <c r="L40" i="5"/>
  <c r="J40" i="5"/>
  <c r="H40" i="5"/>
  <c r="F40" i="5"/>
  <c r="L27" i="5"/>
  <c r="J27" i="5"/>
  <c r="H27" i="5"/>
  <c r="F27" i="5"/>
  <c r="G17" i="6" l="1"/>
  <c r="G18" i="6"/>
  <c r="J22" i="10"/>
  <c r="I21" i="10"/>
  <c r="J21" i="10" s="1"/>
  <c r="J34" i="9"/>
  <c r="G15" i="7"/>
  <c r="G29" i="11"/>
  <c r="I37" i="10"/>
  <c r="J37" i="10" s="1"/>
  <c r="G11" i="10"/>
  <c r="G34" i="9"/>
  <c r="G31" i="8"/>
  <c r="J41" i="3"/>
  <c r="J19" i="3"/>
  <c r="G19" i="3"/>
  <c r="F38" i="3"/>
  <c r="G38" i="3" s="1"/>
  <c r="G14" i="4"/>
  <c r="J15" i="3"/>
  <c r="G15" i="3"/>
  <c r="G15" i="4"/>
  <c r="G16" i="3"/>
  <c r="J16" i="3"/>
  <c r="I17" i="3"/>
  <c r="G33" i="8" l="1"/>
  <c r="G32" i="8"/>
  <c r="G36" i="8" s="1"/>
  <c r="G17" i="7"/>
  <c r="G16" i="7"/>
  <c r="G20" i="6"/>
  <c r="G22" i="6" s="1"/>
  <c r="J36" i="9"/>
  <c r="J35" i="9"/>
  <c r="J39" i="9" s="1"/>
  <c r="G31" i="11"/>
  <c r="G30" i="11"/>
  <c r="G34" i="11" s="1"/>
  <c r="G36" i="9"/>
  <c r="G35" i="9"/>
  <c r="G39" i="9" s="1"/>
  <c r="I38" i="3"/>
  <c r="J38" i="3" s="1"/>
  <c r="G35" i="5"/>
  <c r="G39" i="10"/>
  <c r="M35" i="5"/>
  <c r="J39" i="10"/>
  <c r="G41" i="3"/>
  <c r="I35" i="5"/>
  <c r="K35" i="5"/>
  <c r="E22" i="4"/>
  <c r="E21" i="4"/>
  <c r="E20" i="4"/>
  <c r="G18" i="4"/>
  <c r="G12" i="4"/>
  <c r="G10" i="4"/>
  <c r="H47" i="3"/>
  <c r="E47" i="3"/>
  <c r="J37" i="3"/>
  <c r="G37" i="3"/>
  <c r="H30" i="3"/>
  <c r="E30" i="3"/>
  <c r="H24" i="3"/>
  <c r="E24" i="3"/>
  <c r="G22" i="3"/>
  <c r="J17" i="3"/>
  <c r="G17" i="3"/>
  <c r="G12" i="3"/>
  <c r="G8" i="3"/>
  <c r="E8" i="3"/>
  <c r="G38" i="8" l="1"/>
  <c r="G39" i="8" s="1"/>
  <c r="G23" i="6"/>
  <c r="G19" i="7"/>
  <c r="G21" i="7" s="1"/>
  <c r="J40" i="9"/>
  <c r="J41" i="9" s="1"/>
  <c r="G40" i="9"/>
  <c r="G41" i="9" s="1"/>
  <c r="G35" i="11"/>
  <c r="G36" i="11" s="1"/>
  <c r="G41" i="10"/>
  <c r="G40" i="10"/>
  <c r="G44" i="10" s="1"/>
  <c r="J40" i="10"/>
  <c r="J44" i="10" s="1"/>
  <c r="J41" i="10"/>
  <c r="K37" i="5"/>
  <c r="K36" i="5"/>
  <c r="K41" i="5" s="1"/>
  <c r="M36" i="5"/>
  <c r="M41" i="5" s="1"/>
  <c r="M37" i="5"/>
  <c r="I37" i="5"/>
  <c r="I36" i="5"/>
  <c r="I41" i="5" s="1"/>
  <c r="G37" i="5"/>
  <c r="G36" i="5"/>
  <c r="J43" i="3"/>
  <c r="G23" i="4"/>
  <c r="G43" i="3"/>
  <c r="G36" i="2"/>
  <c r="G34" i="2"/>
  <c r="G32" i="2"/>
  <c r="G31" i="2"/>
  <c r="G30" i="2"/>
  <c r="F34" i="2"/>
  <c r="G22" i="7" l="1"/>
  <c r="G41" i="8"/>
  <c r="G40" i="8"/>
  <c r="G25" i="6"/>
  <c r="G24" i="6"/>
  <c r="J45" i="10"/>
  <c r="J46" i="10" s="1"/>
  <c r="I42" i="5"/>
  <c r="I43" i="5" s="1"/>
  <c r="G45" i="10"/>
  <c r="G46" i="10" s="1"/>
  <c r="G43" i="9"/>
  <c r="G42" i="9"/>
  <c r="G44" i="9" s="1"/>
  <c r="G45" i="9" s="1"/>
  <c r="G37" i="11"/>
  <c r="G38" i="11"/>
  <c r="J43" i="9"/>
  <c r="J42" i="9"/>
  <c r="K42" i="5"/>
  <c r="K43" i="5" s="1"/>
  <c r="M42" i="5"/>
  <c r="M43" i="5" s="1"/>
  <c r="G41" i="5"/>
  <c r="G42" i="5" s="1"/>
  <c r="G44" i="3"/>
  <c r="G48" i="3" s="1"/>
  <c r="G45" i="3"/>
  <c r="G25" i="4"/>
  <c r="G24" i="4"/>
  <c r="G28" i="4" s="1"/>
  <c r="J45" i="3"/>
  <c r="J44" i="3"/>
  <c r="G24" i="7" l="1"/>
  <c r="G23" i="7"/>
  <c r="G39" i="11"/>
  <c r="G40" i="11" s="1"/>
  <c r="G42" i="8"/>
  <c r="G43" i="8" s="1"/>
  <c r="J44" i="9"/>
  <c r="J45" i="9" s="1"/>
  <c r="J48" i="10"/>
  <c r="J47" i="10"/>
  <c r="G48" i="10"/>
  <c r="G47" i="10"/>
  <c r="G26" i="6"/>
  <c r="G27" i="6" s="1"/>
  <c r="M45" i="5"/>
  <c r="M44" i="5"/>
  <c r="G43" i="5"/>
  <c r="I44" i="5"/>
  <c r="I45" i="5"/>
  <c r="K45" i="5"/>
  <c r="K44" i="5"/>
  <c r="G49" i="3"/>
  <c r="G50" i="3" s="1"/>
  <c r="G29" i="4"/>
  <c r="G30" i="4" s="1"/>
  <c r="J48" i="3"/>
  <c r="J49" i="3" s="1"/>
  <c r="I41" i="1"/>
  <c r="G41" i="1"/>
  <c r="G25" i="7" l="1"/>
  <c r="G26" i="7" s="1"/>
  <c r="J49" i="10"/>
  <c r="J50" i="10" s="1"/>
  <c r="G49" i="10"/>
  <c r="G50" i="10" s="1"/>
  <c r="M46" i="5"/>
  <c r="M47" i="5" s="1"/>
  <c r="G44" i="5"/>
  <c r="G45" i="5"/>
  <c r="J50" i="3"/>
  <c r="G32" i="4"/>
  <c r="G31" i="4"/>
  <c r="G51" i="3"/>
  <c r="G52" i="3"/>
  <c r="K46" i="5"/>
  <c r="K47" i="5" s="1"/>
  <c r="I46" i="5"/>
  <c r="I47" i="5" s="1"/>
  <c r="F18" i="2"/>
  <c r="F15" i="2"/>
  <c r="F24" i="2"/>
  <c r="F32" i="1"/>
  <c r="G46" i="5" l="1"/>
  <c r="G47" i="5" s="1"/>
  <c r="J52" i="3"/>
  <c r="J51" i="3"/>
  <c r="G33" i="4"/>
  <c r="G34" i="4" s="1"/>
  <c r="G53" i="3"/>
  <c r="G54" i="3" s="1"/>
  <c r="F23" i="1"/>
  <c r="I16" i="1"/>
  <c r="F15" i="1"/>
  <c r="J53" i="3" l="1"/>
  <c r="J54" i="3" s="1"/>
  <c r="F34" i="1"/>
  <c r="F33" i="1"/>
  <c r="F19" i="1"/>
  <c r="F31" i="1"/>
  <c r="G28" i="2" l="1"/>
  <c r="G27" i="2"/>
  <c r="G25" i="2"/>
  <c r="G24" i="2"/>
  <c r="G23" i="2"/>
  <c r="G22" i="2"/>
  <c r="G21" i="2"/>
  <c r="G20" i="2"/>
  <c r="E20" i="2"/>
  <c r="G19" i="2"/>
  <c r="G18" i="2"/>
  <c r="G17" i="2"/>
  <c r="G16" i="2"/>
  <c r="G15" i="2"/>
  <c r="G13" i="2"/>
  <c r="G12" i="2"/>
  <c r="G11" i="2"/>
  <c r="G10" i="2"/>
  <c r="G9" i="2"/>
  <c r="G29" i="2" l="1"/>
  <c r="J41" i="1"/>
  <c r="I37" i="1"/>
  <c r="J37" i="1" s="1"/>
  <c r="H37" i="1"/>
  <c r="F37" i="1"/>
  <c r="G37" i="1" s="1"/>
  <c r="E37" i="1"/>
  <c r="H36" i="1"/>
  <c r="E36" i="1"/>
  <c r="I35" i="1"/>
  <c r="J35" i="1" s="1"/>
  <c r="G34" i="1"/>
  <c r="G33" i="1"/>
  <c r="I32" i="1"/>
  <c r="J32" i="1" s="1"/>
  <c r="G31" i="1"/>
  <c r="G30" i="1"/>
  <c r="G28" i="1"/>
  <c r="I27" i="1"/>
  <c r="J27" i="1" s="1"/>
  <c r="H26" i="1"/>
  <c r="E26" i="1"/>
  <c r="I25" i="1"/>
  <c r="J25" i="1" s="1"/>
  <c r="G24" i="1"/>
  <c r="G23" i="1"/>
  <c r="I22" i="1"/>
  <c r="J22" i="1" s="1"/>
  <c r="G21" i="1"/>
  <c r="G20" i="1"/>
  <c r="I19" i="1"/>
  <c r="J19" i="1" s="1"/>
  <c r="G18" i="1"/>
  <c r="G17" i="1"/>
  <c r="J16" i="1"/>
  <c r="G15" i="1"/>
  <c r="I14" i="1"/>
  <c r="J14" i="1" s="1"/>
  <c r="G13" i="1"/>
  <c r="I12" i="1"/>
  <c r="J12" i="1" s="1"/>
  <c r="I11" i="1"/>
  <c r="J11" i="1" s="1"/>
  <c r="G10" i="1"/>
  <c r="I9" i="1"/>
  <c r="J9" i="1" s="1"/>
  <c r="G11" i="1" l="1"/>
  <c r="I23" i="1"/>
  <c r="J23" i="1" s="1"/>
  <c r="I20" i="1"/>
  <c r="J20" i="1" s="1"/>
  <c r="I17" i="1"/>
  <c r="J17" i="1" s="1"/>
  <c r="G14" i="1"/>
  <c r="I34" i="1"/>
  <c r="J34" i="1" s="1"/>
  <c r="I18" i="1"/>
  <c r="J18" i="1" s="1"/>
  <c r="I21" i="1"/>
  <c r="J21" i="1" s="1"/>
  <c r="I24" i="1"/>
  <c r="J24" i="1" s="1"/>
  <c r="I28" i="1"/>
  <c r="J28" i="1" s="1"/>
  <c r="I10" i="1"/>
  <c r="J10" i="1" s="1"/>
  <c r="I13" i="1"/>
  <c r="J13" i="1" s="1"/>
  <c r="I30" i="1"/>
  <c r="J30" i="1" s="1"/>
  <c r="I33" i="1"/>
  <c r="J33" i="1" s="1"/>
  <c r="I31" i="1"/>
  <c r="J31" i="1" s="1"/>
  <c r="G9" i="1"/>
  <c r="G12" i="1"/>
  <c r="G19" i="1"/>
  <c r="G22" i="1"/>
  <c r="G25" i="1"/>
  <c r="G27" i="1"/>
  <c r="G32" i="1"/>
  <c r="G35" i="1"/>
  <c r="G37" i="2" l="1"/>
  <c r="I29" i="1"/>
  <c r="J38" i="1"/>
  <c r="F29" i="1"/>
  <c r="G38" i="1"/>
  <c r="G39" i="2" l="1"/>
  <c r="G38" i="2"/>
  <c r="G40" i="1"/>
  <c r="G39" i="1"/>
  <c r="G43" i="1" s="1"/>
  <c r="J39" i="1"/>
  <c r="J43" i="1" s="1"/>
  <c r="J40" i="1"/>
  <c r="G44" i="1" l="1"/>
  <c r="G45" i="1" s="1"/>
  <c r="G40" i="2"/>
  <c r="G41" i="2" s="1"/>
  <c r="J44" i="1"/>
  <c r="J45" i="1" l="1"/>
  <c r="J47" i="1" s="1"/>
  <c r="G46" i="1"/>
  <c r="G47" i="1"/>
  <c r="G48" i="1" l="1"/>
  <c r="G49" i="1" s="1"/>
  <c r="J46" i="1"/>
  <c r="J48" i="1" s="1"/>
  <c r="J49" i="1" s="1"/>
</calcChain>
</file>

<file path=xl/comments1.xml><?xml version="1.0" encoding="utf-8"?>
<comments xmlns="http://schemas.openxmlformats.org/spreadsheetml/2006/main">
  <authors>
    <author>Barun Chakraborty</author>
  </authors>
  <commentList>
    <comment ref="D189" authorId="0" shapeId="0">
      <text>
        <r>
          <rPr>
            <b/>
            <sz val="9"/>
            <color indexed="81"/>
            <rFont val="Tahoma"/>
            <family val="2"/>
          </rPr>
          <t>Barun Chakraborty:</t>
        </r>
        <r>
          <rPr>
            <sz val="9"/>
            <color indexed="81"/>
            <rFont val="Tahoma"/>
            <family val="2"/>
          </rPr>
          <t xml:space="preserve">
GST applicable separately.</t>
        </r>
      </text>
    </comment>
    <comment ref="D190" authorId="0" shapeId="0">
      <text>
        <r>
          <rPr>
            <b/>
            <sz val="9"/>
            <color indexed="81"/>
            <rFont val="Tahoma"/>
            <family val="2"/>
          </rPr>
          <t>Barun Chakraborty:</t>
        </r>
        <r>
          <rPr>
            <sz val="9"/>
            <color indexed="81"/>
            <rFont val="Tahoma"/>
            <family val="2"/>
          </rPr>
          <t xml:space="preserve">
GST applicable separately.</t>
        </r>
      </text>
    </comment>
    <comment ref="B305" authorId="0" shapeId="0">
      <text>
        <r>
          <rPr>
            <b/>
            <sz val="9"/>
            <color indexed="81"/>
            <rFont val="Tahoma"/>
            <family val="2"/>
          </rPr>
          <t>Barun Chakraborty:</t>
        </r>
        <r>
          <rPr>
            <sz val="9"/>
            <color indexed="81"/>
            <rFont val="Tahoma"/>
            <family val="2"/>
          </rPr>
          <t xml:space="preserve">
Name changed. Earlier name - GSM Modem</t>
        </r>
      </text>
    </comment>
    <comment ref="A342" authorId="0" shapeId="0">
      <text>
        <r>
          <rPr>
            <b/>
            <sz val="9"/>
            <color indexed="81"/>
            <rFont val="Tahoma"/>
            <family val="2"/>
          </rPr>
          <t>Barun Chakraborty:</t>
        </r>
        <r>
          <rPr>
            <sz val="9"/>
            <color indexed="81"/>
            <rFont val="Tahoma"/>
            <family val="2"/>
          </rPr>
          <t xml:space="preserve">
Bin code changed. Old Bin code was - 7131310043</t>
        </r>
      </text>
    </comment>
    <comment ref="A343" authorId="0" shapeId="0">
      <text>
        <r>
          <rPr>
            <b/>
            <sz val="9"/>
            <color indexed="81"/>
            <rFont val="Tahoma"/>
            <family val="2"/>
          </rPr>
          <t>Barun Chakraborty:</t>
        </r>
        <r>
          <rPr>
            <sz val="9"/>
            <color indexed="81"/>
            <rFont val="Tahoma"/>
            <family val="2"/>
          </rPr>
          <t xml:space="preserve">
Bin code changed. Old Bin code was - 7131310044</t>
        </r>
      </text>
    </comment>
    <comment ref="A351" authorId="0" shapeId="0">
      <text>
        <r>
          <rPr>
            <b/>
            <sz val="9"/>
            <color indexed="81"/>
            <rFont val="Tahoma"/>
            <family val="2"/>
          </rPr>
          <t>Barun Chakraborty:</t>
        </r>
        <r>
          <rPr>
            <sz val="9"/>
            <color indexed="81"/>
            <rFont val="Tahoma"/>
            <family val="2"/>
          </rPr>
          <t xml:space="preserve">
Bin code changed. Old Bin code was - 7131310037</t>
        </r>
      </text>
    </comment>
    <comment ref="A457" authorId="0" shapeId="0">
      <text>
        <r>
          <rPr>
            <b/>
            <sz val="9"/>
            <color indexed="81"/>
            <rFont val="Tahoma"/>
            <family val="2"/>
          </rPr>
          <t>Barun Chakraborty:</t>
        </r>
        <r>
          <rPr>
            <sz val="9"/>
            <color indexed="81"/>
            <rFont val="Tahoma"/>
            <family val="2"/>
          </rPr>
          <t xml:space="preserve">
Bin code changed. Earlier bin code was- 7132072007</t>
        </r>
      </text>
    </comment>
    <comment ref="A582" authorId="0" shapeId="0">
      <text>
        <r>
          <rPr>
            <b/>
            <sz val="9"/>
            <color indexed="81"/>
            <rFont val="Tahoma"/>
            <family val="2"/>
          </rPr>
          <t>Barun Chakraborty:</t>
        </r>
        <r>
          <rPr>
            <sz val="9"/>
            <color indexed="81"/>
            <rFont val="Tahoma"/>
            <family val="2"/>
          </rPr>
          <t xml:space="preserve">
Bin code changed. Old Bin code was - 7130310043</t>
        </r>
      </text>
    </comment>
    <comment ref="B631"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16 kVA DISTRIBUTION TRANSFORMER :-</t>
        </r>
      </text>
    </comment>
    <comment ref="B632"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25 kVA DISTRIBUTION TRANSFORMER :-</t>
        </r>
      </text>
    </comment>
    <comment ref="B633"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63 kVA DISTRIBUTION TRANSFORMER :-</t>
        </r>
      </text>
    </comment>
    <comment ref="B634" authorId="0" shapeId="0">
      <text>
        <r>
          <rPr>
            <b/>
            <sz val="9"/>
            <color indexed="81"/>
            <rFont val="Tahoma"/>
            <family val="2"/>
          </rPr>
          <t>Barun Chakraborty:</t>
        </r>
        <r>
          <rPr>
            <sz val="9"/>
            <color indexed="81"/>
            <rFont val="Tahoma"/>
            <family val="2"/>
          </rPr>
          <t xml:space="preserve">
Earlier -- ENERGY EFFICIENCY LEVEL-2, I.S.I. MARKED 11/0.4 kV 100 kVA DISTRIBUTION TRANSFORMER :-</t>
        </r>
      </text>
    </comment>
    <comment ref="B635"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200 kVA DISTRIBUTION TRANSFORMER :-</t>
        </r>
      </text>
    </comment>
    <comment ref="B636"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315 kVA DISTRIBUTION TRANSFORMER :-</t>
        </r>
      </text>
    </comment>
    <comment ref="B637"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500 kVA DISTRIBUTION TRANSFORMER :-</t>
        </r>
      </text>
    </comment>
    <comment ref="B638"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25 kVA DISTRIBUTION TRANSFORMER :-</t>
        </r>
      </text>
    </comment>
    <comment ref="B639"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63 kVA DISTRIBUTION TRANSFORMER :-</t>
        </r>
      </text>
    </comment>
    <comment ref="B640"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100 kVA DISTRIBUTION TRANSFORMER :-</t>
        </r>
      </text>
    </comment>
    <comment ref="B641" authorId="0" shapeId="0">
      <text>
        <r>
          <rPr>
            <b/>
            <sz val="9"/>
            <color indexed="81"/>
            <rFont val="Tahoma"/>
            <family val="2"/>
          </rPr>
          <t>Barun Chakraborty:</t>
        </r>
        <r>
          <rPr>
            <sz val="9"/>
            <color indexed="81"/>
            <rFont val="Tahoma"/>
            <family val="2"/>
          </rPr>
          <t xml:space="preserve">
</t>
        </r>
        <r>
          <rPr>
            <sz val="8"/>
            <color indexed="81"/>
            <rFont val="Tahoma"/>
            <family val="2"/>
          </rPr>
          <t>Earlier -- ENERGY EFFICIENCY LEVEL-2, I.S.I. MARKED 11/0.4 kV 200 kVA DISTRIBUTION TRANSFORMER :-</t>
        </r>
      </text>
    </comment>
  </commentList>
</comments>
</file>

<file path=xl/comments10.xml><?xml version="1.0" encoding="utf-8"?>
<comments xmlns="http://schemas.openxmlformats.org/spreadsheetml/2006/main">
  <authors>
    <author>Barun Chakraborty</author>
  </authors>
  <commentList>
    <comment ref="B34" authorId="0" shapeId="0">
      <text>
        <r>
          <rPr>
            <b/>
            <sz val="9"/>
            <color indexed="81"/>
            <rFont val="Tahoma"/>
            <family val="2"/>
          </rPr>
          <t>Barun Chakraborty:</t>
        </r>
        <r>
          <rPr>
            <sz val="9"/>
            <color indexed="81"/>
            <rFont val="Tahoma"/>
            <family val="2"/>
          </rPr>
          <t xml:space="preserve">
Earlier name was - Transport Charges</t>
        </r>
      </text>
    </comment>
  </commentList>
</comments>
</file>

<file path=xl/comments11.xml><?xml version="1.0" encoding="utf-8"?>
<comments xmlns="http://schemas.openxmlformats.org/spreadsheetml/2006/main">
  <authors>
    <author>Barun Chakraborty</author>
  </authors>
  <commentList>
    <comment ref="D12" authorId="0" shapeId="0">
      <text>
        <r>
          <rPr>
            <b/>
            <sz val="9"/>
            <color indexed="81"/>
            <rFont val="Tahoma"/>
            <family val="2"/>
          </rPr>
          <t>Barun Chakraborty:</t>
        </r>
        <r>
          <rPr>
            <sz val="9"/>
            <color indexed="81"/>
            <rFont val="Tahoma"/>
            <family val="2"/>
          </rPr>
          <t xml:space="preserve">
Earlier unit was - No.</t>
        </r>
      </text>
    </comment>
    <comment ref="B36" authorId="0" shapeId="0">
      <text>
        <r>
          <rPr>
            <b/>
            <sz val="9"/>
            <color indexed="81"/>
            <rFont val="Tahoma"/>
            <family val="2"/>
          </rPr>
          <t>Barun Chakraborty:</t>
        </r>
        <r>
          <rPr>
            <sz val="9"/>
            <color indexed="81"/>
            <rFont val="Tahoma"/>
            <family val="2"/>
          </rPr>
          <t xml:space="preserve">
Name changed. Earlier name was - 33 kV Polymer Lightning Arrestors</t>
        </r>
      </text>
    </comment>
    <comment ref="B40" authorId="0" shapeId="0">
      <text>
        <r>
          <rPr>
            <b/>
            <sz val="9"/>
            <color indexed="81"/>
            <rFont val="Tahoma"/>
            <family val="2"/>
          </rPr>
          <t>Barun Chakraborty:</t>
        </r>
        <r>
          <rPr>
            <sz val="9"/>
            <color indexed="81"/>
            <rFont val="Tahoma"/>
            <family val="2"/>
          </rPr>
          <t xml:space="preserve">
Item replaced. Earlier item was - " Universal Meter Box for HT meters"</t>
        </r>
      </text>
    </comment>
    <comment ref="C40" authorId="0" shapeId="0">
      <text>
        <r>
          <rPr>
            <b/>
            <sz val="9"/>
            <color indexed="81"/>
            <rFont val="Tahoma"/>
            <family val="2"/>
          </rPr>
          <t>Barun Chakraborty:</t>
        </r>
        <r>
          <rPr>
            <sz val="9"/>
            <color indexed="81"/>
            <rFont val="Tahoma"/>
            <family val="2"/>
          </rPr>
          <t xml:space="preserve">
Bin code replaced. Earlier bin code was - 7132406425</t>
        </r>
      </text>
    </comment>
    <comment ref="C41" authorId="0" shapeId="0">
      <text>
        <r>
          <rPr>
            <b/>
            <sz val="9"/>
            <color indexed="81"/>
            <rFont val="Tahoma"/>
            <family val="2"/>
          </rPr>
          <t>Barun Chakraborty:</t>
        </r>
        <r>
          <rPr>
            <sz val="9"/>
            <color indexed="81"/>
            <rFont val="Tahoma"/>
            <family val="2"/>
          </rPr>
          <t xml:space="preserve">
Bin code changed. Earlier bin code was - 7131310037</t>
        </r>
      </text>
    </comment>
    <comment ref="B48" authorId="0" shapeId="0">
      <text>
        <r>
          <rPr>
            <b/>
            <sz val="9"/>
            <color indexed="81"/>
            <rFont val="Tahoma"/>
            <family val="2"/>
          </rPr>
          <t>Barun Chakraborty:</t>
        </r>
        <r>
          <rPr>
            <sz val="9"/>
            <color indexed="81"/>
            <rFont val="Tahoma"/>
            <family val="2"/>
          </rPr>
          <t xml:space="preserve">
Earlier name was - Transport charges upto 50 Kms average lead from Area Store to construction camp including site Transport (Trans. Schedule T-1)</t>
        </r>
      </text>
    </comment>
  </commentList>
</comments>
</file>

<file path=xl/comments12.xml><?xml version="1.0" encoding="utf-8"?>
<comments xmlns="http://schemas.openxmlformats.org/spreadsheetml/2006/main">
  <authors>
    <author>Barun Chakraborty</author>
  </authors>
  <commentList>
    <comment ref="D13" authorId="0" shapeId="0">
      <text>
        <r>
          <rPr>
            <b/>
            <sz val="9"/>
            <color indexed="81"/>
            <rFont val="Tahoma"/>
            <family val="2"/>
          </rPr>
          <t>Barun Chakraborty:</t>
        </r>
        <r>
          <rPr>
            <sz val="9"/>
            <color indexed="81"/>
            <rFont val="Tahoma"/>
            <family val="2"/>
          </rPr>
          <t xml:space="preserve">
Earlier unit was - Set</t>
        </r>
      </text>
    </comment>
    <comment ref="B36" authorId="0" shapeId="0">
      <text>
        <r>
          <rPr>
            <b/>
            <sz val="9"/>
            <color indexed="81"/>
            <rFont val="Tahoma"/>
            <family val="2"/>
          </rPr>
          <t>Barun Chakraborty:</t>
        </r>
        <r>
          <rPr>
            <sz val="9"/>
            <color indexed="81"/>
            <rFont val="Tahoma"/>
            <family val="2"/>
          </rPr>
          <t xml:space="preserve">
Earlier name was - Transport Charges</t>
        </r>
      </text>
    </comment>
  </commentList>
</comments>
</file>

<file path=xl/comments13.xml><?xml version="1.0" encoding="utf-8"?>
<comments xmlns="http://schemas.openxmlformats.org/spreadsheetml/2006/main">
  <authors>
    <author>89326879</author>
    <author>Barun Chakraborty</author>
  </authors>
  <commentList>
    <comment ref="B14" authorId="0" shapeId="0">
      <text>
        <r>
          <rPr>
            <b/>
            <sz val="9"/>
            <color indexed="81"/>
            <rFont val="Tahoma"/>
            <family val="2"/>
          </rPr>
          <t>89326879:</t>
        </r>
        <r>
          <rPr>
            <sz val="9"/>
            <color indexed="81"/>
            <rFont val="Tahoma"/>
            <family val="2"/>
          </rPr>
          <t xml:space="preserve">
Earlier name was -- End terminating jointing kit for 240 sqmm XLPE cable</t>
        </r>
      </text>
    </comment>
    <comment ref="E17" authorId="1" shapeId="0">
      <text>
        <r>
          <rPr>
            <b/>
            <sz val="9"/>
            <color indexed="81"/>
            <rFont val="Tahoma"/>
            <family val="2"/>
          </rPr>
          <t>Barun Chakraborty:</t>
        </r>
        <r>
          <rPr>
            <sz val="9"/>
            <color indexed="81"/>
            <rFont val="Tahoma"/>
            <family val="2"/>
          </rPr>
          <t xml:space="preserve">
Assuming 2 kg M-seal @ Rs 450/- per kg + PVC Plate 10 mm thick</t>
        </r>
      </text>
    </comment>
    <comment ref="B22" authorId="1" shapeId="0">
      <text>
        <r>
          <rPr>
            <b/>
            <sz val="9"/>
            <color indexed="81"/>
            <rFont val="Tahoma"/>
            <family val="2"/>
          </rPr>
          <t>Barun Chakraborty:</t>
        </r>
        <r>
          <rPr>
            <sz val="9"/>
            <color indexed="81"/>
            <rFont val="Tahoma"/>
            <family val="2"/>
          </rPr>
          <t xml:space="preserve">
Name changed. Earlier name was - 33 kV Polymer Lightning Arrestors</t>
        </r>
      </text>
    </comment>
    <comment ref="B36" authorId="1" shapeId="0">
      <text>
        <r>
          <rPr>
            <b/>
            <sz val="9"/>
            <color indexed="81"/>
            <rFont val="Tahoma"/>
            <family val="2"/>
          </rPr>
          <t>Barun Chakraborty:</t>
        </r>
        <r>
          <rPr>
            <sz val="9"/>
            <color indexed="81"/>
            <rFont val="Tahoma"/>
            <family val="2"/>
          </rPr>
          <t xml:space="preserve">
Earlier name was - Transportation Charges</t>
        </r>
      </text>
    </comment>
  </commentList>
</comments>
</file>

<file path=xl/comments14.xml><?xml version="1.0" encoding="utf-8"?>
<comments xmlns="http://schemas.openxmlformats.org/spreadsheetml/2006/main">
  <authors>
    <author>Barun Chakraborty</author>
  </authors>
  <commentList>
    <comment ref="B34" authorId="0" shapeId="0">
      <text>
        <r>
          <rPr>
            <b/>
            <sz val="9"/>
            <color indexed="81"/>
            <rFont val="Tahoma"/>
            <family val="2"/>
          </rPr>
          <t>Barun Chakraborty:</t>
        </r>
        <r>
          <rPr>
            <sz val="9"/>
            <color indexed="81"/>
            <rFont val="Tahoma"/>
            <family val="2"/>
          </rPr>
          <t xml:space="preserve">
Earlier name was - Transport Charges</t>
        </r>
      </text>
    </comment>
  </commentList>
</comments>
</file>

<file path=xl/comments15.xml><?xml version="1.0" encoding="utf-8"?>
<comments xmlns="http://schemas.openxmlformats.org/spreadsheetml/2006/main">
  <authors>
    <author>Barun Chakraborty</author>
    <author>89326879</author>
  </authors>
  <commentList>
    <comment ref="C11" authorId="0" shapeId="0">
      <text>
        <r>
          <rPr>
            <b/>
            <sz val="9"/>
            <color indexed="81"/>
            <rFont val="Tahoma"/>
            <family val="2"/>
          </rPr>
          <t>Barun Chakraborty:</t>
        </r>
        <r>
          <rPr>
            <sz val="9"/>
            <color indexed="81"/>
            <rFont val="Tahoma"/>
            <family val="2"/>
          </rPr>
          <t xml:space="preserve">
Earlier name was - Construction of 1.5 Mtr high barbed wire fencing in angle iron post as per given drawing including all labour, T&amp;P, curing, materials, transportation, loading, unloading, royalty, taxes etc. complete.</t>
        </r>
      </text>
    </comment>
    <comment ref="C14" authorId="0" shapeId="0">
      <text>
        <r>
          <rPr>
            <b/>
            <sz val="9"/>
            <color indexed="81"/>
            <rFont val="Tahoma"/>
            <family val="2"/>
          </rPr>
          <t>Barun Chakraborty:</t>
        </r>
        <r>
          <rPr>
            <sz val="9"/>
            <color indexed="81"/>
            <rFont val="Tahoma"/>
            <family val="2"/>
          </rPr>
          <t xml:space="preserve">
Earlier name was - Drilling of 150 mm dia bore well (upto 100 Mtr depth) with 1.5 HP Submersible motor pump and water supply line for switch yard including all taxes, T&amp;P, materials, labours, transportation etc complete.</t>
        </r>
      </text>
    </comment>
    <comment ref="C15" authorId="0" shapeId="0">
      <text>
        <r>
          <rPr>
            <b/>
            <sz val="9"/>
            <color indexed="81"/>
            <rFont val="Tahoma"/>
            <family val="2"/>
          </rPr>
          <t>Barun Chakraborty:</t>
        </r>
        <r>
          <rPr>
            <sz val="9"/>
            <color indexed="81"/>
            <rFont val="Tahoma"/>
            <family val="2"/>
          </rPr>
          <t xml:space="preserve">
Earlier name was - Construction of A1 type Control Room with toilet as per Drg. No. 04-01/AR/24-R2 date 13.06.2007 including all taxes royalty, T&amp;P, materials, labours, transportation etc. complete.</t>
        </r>
      </text>
    </comment>
    <comment ref="C16" authorId="0" shapeId="0">
      <text>
        <r>
          <rPr>
            <b/>
            <sz val="9"/>
            <color indexed="81"/>
            <rFont val="Tahoma"/>
            <family val="2"/>
          </rPr>
          <t>Barun Chakraborty:</t>
        </r>
        <r>
          <rPr>
            <sz val="9"/>
            <color indexed="81"/>
            <rFont val="Tahoma"/>
            <family val="2"/>
          </rPr>
          <t xml:space="preserve">
Earlier name was - Construction of 2.4 Mtr high Chain link wire mesh fencing on Hard Soil or Hard Moorum as per given drawing including all labour, T&amp;P, curing, materials, transportation, loading, unloading, royalty, taxes etc. complete. </t>
        </r>
      </text>
    </comment>
    <comment ref="C17" authorId="0" shapeId="0">
      <text>
        <r>
          <rPr>
            <b/>
            <sz val="9"/>
            <color indexed="81"/>
            <rFont val="Tahoma"/>
            <family val="2"/>
          </rPr>
          <t>Barun Chakraborty:</t>
        </r>
        <r>
          <rPr>
            <sz val="9"/>
            <color indexed="81"/>
            <rFont val="Tahoma"/>
            <family val="2"/>
          </rPr>
          <t xml:space="preserve">
Earlier name was - Construction of 2.4 Mtr high Chain link wire mesh fencing on Black Cotton Soil as per given drawing including all labour, T&amp;P, curing, materials, transportation, loading, unloading, royalty, taxes etc. complete. </t>
        </r>
      </text>
    </comment>
    <comment ref="C18" authorId="0" shapeId="0">
      <text>
        <r>
          <rPr>
            <b/>
            <sz val="9"/>
            <color indexed="81"/>
            <rFont val="Tahoma"/>
            <family val="2"/>
          </rPr>
          <t>Barun Chakraborty:</t>
        </r>
        <r>
          <rPr>
            <sz val="9"/>
            <color indexed="81"/>
            <rFont val="Tahoma"/>
            <family val="2"/>
          </rPr>
          <t xml:space="preserve">
Earlier name was - Construction of 4.50 m x 2.15 m size yard / area gate as per given drawing including all labour, T&amp;P, curing, materials, transportation, loading, unloading, royalty, taxes etc. complete. </t>
        </r>
      </text>
    </comment>
    <comment ref="C20" authorId="0" shapeId="0">
      <text>
        <r>
          <rPr>
            <b/>
            <sz val="9"/>
            <color indexed="81"/>
            <rFont val="Tahoma"/>
            <family val="2"/>
          </rPr>
          <t>Barun Chakraborty:</t>
        </r>
        <r>
          <rPr>
            <sz val="9"/>
            <color indexed="81"/>
            <rFont val="Tahoma"/>
            <family val="2"/>
          </rPr>
          <t xml:space="preserve">
Earlier name was - Supply, stacking and spreading of 40 mm nominal size crusher broken hard stone (metal) including all labour, T&amp;P, transportation, loading unloading, royalty, taxes etc. complete (Metal measured in stacks will be reduced by 8% for voids).</t>
        </r>
      </text>
    </comment>
    <comment ref="C21" authorId="0" shapeId="0">
      <text>
        <r>
          <rPr>
            <b/>
            <sz val="9"/>
            <color indexed="81"/>
            <rFont val="Tahoma"/>
            <family val="2"/>
          </rPr>
          <t>Barun Chakraborty:</t>
        </r>
        <r>
          <rPr>
            <sz val="9"/>
            <color indexed="81"/>
            <rFont val="Tahoma"/>
            <family val="2"/>
          </rPr>
          <t xml:space="preserve">
Earlier name was - Construction of 4.0 Mtr wide Cement Concrete Road on hard soil or hard moorum as per given drawing including cost of mixture machine, vibrator, curing all materials, T&amp;P, labour, transportation, loading, unloading, royalty taxes etc. complete.</t>
        </r>
      </text>
    </comment>
    <comment ref="C22" authorId="0" shapeId="0">
      <text>
        <r>
          <rPr>
            <b/>
            <sz val="9"/>
            <color indexed="81"/>
            <rFont val="Tahoma"/>
            <family val="2"/>
          </rPr>
          <t>Barun Chakraborty:</t>
        </r>
        <r>
          <rPr>
            <sz val="9"/>
            <color indexed="81"/>
            <rFont val="Tahoma"/>
            <family val="2"/>
          </rPr>
          <t xml:space="preserve">
Earlier name was - Construction of 4.0 Mtr wide Cement Concrete Road on black cotton soil as per given drawing including cost of mixture machine, vibrator, curing all materials, T&amp;P, labour, transportation, loading, unloading, royalty taxes etc. complete.</t>
        </r>
      </text>
    </comment>
    <comment ref="C23" authorId="0" shapeId="0">
      <text>
        <r>
          <rPr>
            <b/>
            <sz val="9"/>
            <color indexed="81"/>
            <rFont val="Tahoma"/>
            <family val="2"/>
          </rPr>
          <t>Barun Chakraborty:</t>
        </r>
        <r>
          <rPr>
            <sz val="9"/>
            <color indexed="81"/>
            <rFont val="Tahoma"/>
            <family val="2"/>
          </rPr>
          <t xml:space="preserve">
Earlier name was - Construction of 7.50 M long 600 mm internal dia. NP-3 Hume pipe culvert as per given drawing including all labour,  T&amp;P, curing, materials, transportation, loading, unloading, royalty taxes etc. complete. </t>
        </r>
      </text>
    </comment>
    <comment ref="C24" authorId="0" shapeId="0">
      <text>
        <r>
          <rPr>
            <b/>
            <sz val="9"/>
            <color indexed="81"/>
            <rFont val="Tahoma"/>
            <family val="2"/>
          </rPr>
          <t>Barun Chakraborty:</t>
        </r>
        <r>
          <rPr>
            <sz val="9"/>
            <color indexed="81"/>
            <rFont val="Tahoma"/>
            <family val="2"/>
          </rPr>
          <t xml:space="preserve">
Earlier name was - Construction of 1.0 M high (from G.L.) brick masonary retaining wall as per given drawing including all labour, material, T&amp;P, curing, transportation, loading, unloading, royalty taxes etc. complete. </t>
        </r>
      </text>
    </comment>
    <comment ref="H32" authorId="1" shapeId="0">
      <text>
        <r>
          <rPr>
            <b/>
            <sz val="9"/>
            <color indexed="81"/>
            <rFont val="Tahoma"/>
            <family val="2"/>
          </rPr>
          <t>89326879:</t>
        </r>
        <r>
          <rPr>
            <sz val="9"/>
            <color indexed="81"/>
            <rFont val="Tahoma"/>
            <family val="2"/>
          </rPr>
          <t xml:space="preserve">
Please select any one appropriate row [A] out of three for S.No. 1 [ { i (a) }, { i (b) } or { i (c) } ;;  [B] out of two for S.No. 1 [{ iv (a) } or { iv (b) } ;; [C] out of two for S.No. 1 [ { viii (a) } or { viii (b) } ;; &amp; [D] out of six for S.No. 1 [ { x (a) }, { x (b)}, { x (c)}, { x (d)}, { x (e)} or { x (f) }] according to actual field condition as per type of soil strata.</t>
        </r>
      </text>
    </comment>
    <comment ref="J32" authorId="1" shapeId="0">
      <text>
        <r>
          <rPr>
            <b/>
            <sz val="9"/>
            <color indexed="81"/>
            <rFont val="Tahoma"/>
            <family val="2"/>
          </rPr>
          <t>89326879:</t>
        </r>
        <r>
          <rPr>
            <sz val="9"/>
            <color indexed="81"/>
            <rFont val="Tahoma"/>
            <family val="2"/>
          </rPr>
          <t xml:space="preserve">
Please select any one appropriate row [A] out of three for S.No. 1 [ { i (a) }, { i (b) } or { i (c) } ;;  [B] out of two for S.No. 1 [{ iv (a) } or { iv (b) } ;; [C] out of two for S.No. 1 [ { viii (a) } or { viii (b) } ;; &amp; [D] out of six for S.No. 1 [ { x (a) }, { x (b)}, { x (c)}, { x (d)}, { x (e)} or { x (f) }] according to actual field condition as per type of soil strata.</t>
        </r>
      </text>
    </comment>
    <comment ref="L32" authorId="1" shapeId="0">
      <text>
        <r>
          <rPr>
            <b/>
            <sz val="9"/>
            <color indexed="81"/>
            <rFont val="Tahoma"/>
            <family val="2"/>
          </rPr>
          <t>89326879:</t>
        </r>
        <r>
          <rPr>
            <sz val="9"/>
            <color indexed="81"/>
            <rFont val="Tahoma"/>
            <family val="2"/>
          </rPr>
          <t xml:space="preserve">
Please select any one appropriate row [A] out of three for S.No. 1 [ { i (a) }, { i (b) } or { i (c) } ;;  [B] out of two for S.No. 1 [{ iv (a) } or { iv (b) } ;; [C] out of two for S.No. 1 [ { viii (a) } or { viii (b) } ;; &amp; [D] out of six for S.No. 1 [ { x (a) }, { x (b)}, { x (c)}, { x (d)}, { x (e)} or { x (f) }] according to actual field condition as per type of soil strata.</t>
        </r>
      </text>
    </comment>
    <comment ref="C52" authorId="0" shapeId="0">
      <text>
        <r>
          <rPr>
            <b/>
            <sz val="9"/>
            <color indexed="81"/>
            <rFont val="Tahoma"/>
            <family val="2"/>
          </rPr>
          <t>Barun Chakraborty:</t>
        </r>
        <r>
          <rPr>
            <sz val="9"/>
            <color indexed="81"/>
            <rFont val="Tahoma"/>
            <family val="2"/>
          </rPr>
          <t xml:space="preserve">
Item changed. Earlier it was - 33 kV Polymer Lightning Arrestors</t>
        </r>
      </text>
    </comment>
    <comment ref="C61" authorId="0" shapeId="0">
      <text>
        <r>
          <rPr>
            <b/>
            <sz val="9"/>
            <color indexed="81"/>
            <rFont val="Tahoma"/>
            <family val="2"/>
          </rPr>
          <t>Barun Chakraborty:</t>
        </r>
        <r>
          <rPr>
            <sz val="9"/>
            <color indexed="81"/>
            <rFont val="Tahoma"/>
            <family val="2"/>
          </rPr>
          <t xml:space="preserve">
Name changed. Earlier name was - LT Meter (CT Operated) 100/5 A</t>
        </r>
      </text>
    </comment>
    <comment ref="C69" authorId="0" shapeId="0">
      <text>
        <r>
          <rPr>
            <b/>
            <sz val="9"/>
            <color indexed="81"/>
            <rFont val="Tahoma"/>
            <family val="2"/>
          </rPr>
          <t>Barun Chakraborty:</t>
        </r>
        <r>
          <rPr>
            <sz val="9"/>
            <color indexed="81"/>
            <rFont val="Tahoma"/>
            <family val="2"/>
          </rPr>
          <t xml:space="preserve">
Name changed. Earlier name was - Energy efficient 11/0.4 kV station transformer (100 kVA) [LEVEL-2] *</t>
        </r>
      </text>
    </comment>
    <comment ref="C146" authorId="0" shapeId="0">
      <text>
        <r>
          <rPr>
            <b/>
            <sz val="9"/>
            <color indexed="81"/>
            <rFont val="Tahoma"/>
            <family val="2"/>
          </rPr>
          <t>Barun Chakraborty:</t>
        </r>
        <r>
          <rPr>
            <sz val="9"/>
            <color indexed="81"/>
            <rFont val="Tahoma"/>
            <family val="2"/>
          </rPr>
          <t xml:space="preserve">
Name changed. Earlier name was - Transport charges </t>
        </r>
      </text>
    </comment>
  </commentList>
</comments>
</file>

<file path=xl/comments16.xml><?xml version="1.0" encoding="utf-8"?>
<comments xmlns="http://schemas.openxmlformats.org/spreadsheetml/2006/main">
  <authors>
    <author>Barun Chakraborty</author>
  </authors>
  <commentList>
    <comment ref="B18" authorId="0" shapeId="0">
      <text>
        <r>
          <rPr>
            <b/>
            <sz val="9"/>
            <color indexed="81"/>
            <rFont val="Tahoma"/>
            <family val="2"/>
          </rPr>
          <t>Barun Chakraborty:</t>
        </r>
        <r>
          <rPr>
            <sz val="9"/>
            <color indexed="81"/>
            <rFont val="Tahoma"/>
            <family val="2"/>
          </rPr>
          <t xml:space="preserve">
Name changed. Earlier name was - Transport charges upto 50 Km average lead from Area Store to construction camp including site transport (Transport Sch T-2)</t>
        </r>
      </text>
    </comment>
  </commentList>
</comments>
</file>

<file path=xl/comments17.xml><?xml version="1.0" encoding="utf-8"?>
<comments xmlns="http://schemas.openxmlformats.org/spreadsheetml/2006/main">
  <authors>
    <author>Barun Chakraborty</author>
    <author>89326879</author>
  </authors>
  <commentList>
    <comment ref="C28" authorId="0" shapeId="0">
      <text>
        <r>
          <rPr>
            <b/>
            <sz val="9"/>
            <color indexed="81"/>
            <rFont val="Tahoma"/>
            <family val="2"/>
          </rPr>
          <t>Barun Chakraborty:</t>
        </r>
        <r>
          <rPr>
            <sz val="9"/>
            <color indexed="81"/>
            <rFont val="Tahoma"/>
            <family val="2"/>
          </rPr>
          <t xml:space="preserve">
Item changed. Earlier it was - 33 kV Polymer Lightning Arrestors</t>
        </r>
      </text>
    </comment>
    <comment ref="C69" authorId="0" shapeId="0">
      <text>
        <r>
          <rPr>
            <b/>
            <sz val="9"/>
            <color indexed="81"/>
            <rFont val="Tahoma"/>
            <family val="2"/>
          </rPr>
          <t>Barun Chakraborty:</t>
        </r>
        <r>
          <rPr>
            <sz val="9"/>
            <color indexed="81"/>
            <rFont val="Tahoma"/>
            <family val="2"/>
          </rPr>
          <t xml:space="preserve">
Name changed. Earlier name was - Concreting of structure @ 0.45 Cmt. per bus structure (1:3:6) = 7.2 Cmt for 16 Nos structure.</t>
        </r>
      </text>
    </comment>
    <comment ref="C98" authorId="1" shapeId="0">
      <text>
        <r>
          <rPr>
            <b/>
            <sz val="9"/>
            <color indexed="81"/>
            <rFont val="Tahoma"/>
            <family val="2"/>
          </rPr>
          <t>89326879:</t>
        </r>
        <r>
          <rPr>
            <sz val="9"/>
            <color indexed="81"/>
            <rFont val="Tahoma"/>
            <family val="2"/>
          </rPr>
          <t xml:space="preserve">
Earlier name was - Supply, stacking and spreading of 40 mm nominal size crusher broken hard stone (metal) including all labour, T&amp;P, transportation, loading unloading, royalty, taxes etc. complete (Metal measured in stacks will be reduced by 8% for voids).</t>
        </r>
      </text>
    </comment>
    <comment ref="C103" authorId="0" shapeId="0">
      <text>
        <r>
          <rPr>
            <b/>
            <sz val="9"/>
            <color indexed="81"/>
            <rFont val="Tahoma"/>
            <family val="2"/>
          </rPr>
          <t>Barun Chakraborty:</t>
        </r>
        <r>
          <rPr>
            <sz val="9"/>
            <color indexed="81"/>
            <rFont val="Tahoma"/>
            <family val="2"/>
          </rPr>
          <t xml:space="preserve">
Name changed. Earlier name was - Construction of brick masonry cable trench with cover</t>
        </r>
      </text>
    </comment>
    <comment ref="C106" authorId="0" shapeId="0">
      <text>
        <r>
          <rPr>
            <b/>
            <sz val="9"/>
            <color indexed="81"/>
            <rFont val="Tahoma"/>
            <family val="2"/>
          </rPr>
          <t>Barun Chakraborty:</t>
        </r>
        <r>
          <rPr>
            <sz val="9"/>
            <color indexed="81"/>
            <rFont val="Tahoma"/>
            <family val="2"/>
          </rPr>
          <t xml:space="preserve">
Name changed. Earlier name was - Other items as per schedule [Labour Schedule BL-2+(4*BL-4)] </t>
        </r>
      </text>
    </comment>
    <comment ref="C108" authorId="0" shapeId="0">
      <text>
        <r>
          <rPr>
            <b/>
            <sz val="9"/>
            <color indexed="81"/>
            <rFont val="Tahoma"/>
            <family val="2"/>
          </rPr>
          <t>Barun Chakraborty:</t>
        </r>
        <r>
          <rPr>
            <sz val="9"/>
            <color indexed="81"/>
            <rFont val="Tahoma"/>
            <family val="2"/>
          </rPr>
          <t xml:space="preserve">
Name changed. Earlier name was - Transport charges upto 50 Km lead from area stores to construction site for addl. lead refer Schedule T-2</t>
        </r>
      </text>
    </comment>
    <comment ref="C109" authorId="0" shapeId="0">
      <text>
        <r>
          <rPr>
            <b/>
            <sz val="9"/>
            <color indexed="81"/>
            <rFont val="Tahoma"/>
            <family val="2"/>
          </rPr>
          <t>Barun Chakraborty:</t>
        </r>
        <r>
          <rPr>
            <sz val="9"/>
            <color indexed="81"/>
            <rFont val="Tahoma"/>
            <family val="2"/>
          </rPr>
          <t xml:space="preserve">
Name changed. Earlier name was - For Transformer only </t>
        </r>
      </text>
    </comment>
    <comment ref="C110" authorId="0" shapeId="0">
      <text>
        <r>
          <rPr>
            <b/>
            <sz val="9"/>
            <color indexed="81"/>
            <rFont val="Tahoma"/>
            <family val="2"/>
          </rPr>
          <t>Barun Chakraborty:</t>
        </r>
        <r>
          <rPr>
            <sz val="9"/>
            <color indexed="81"/>
            <rFont val="Tahoma"/>
            <family val="2"/>
          </rPr>
          <t xml:space="preserve">
Name changed. Earlier name was - For other material (Excluding Power Transformer) </t>
        </r>
      </text>
    </comment>
  </commentList>
</comments>
</file>

<file path=xl/comments18.xml><?xml version="1.0" encoding="utf-8"?>
<comments xmlns="http://schemas.openxmlformats.org/spreadsheetml/2006/main">
  <authors>
    <author>Barun Chakraborty</author>
  </authors>
  <commentList>
    <comment ref="C18" authorId="0" shapeId="0">
      <text>
        <r>
          <rPr>
            <b/>
            <sz val="9"/>
            <color indexed="81"/>
            <rFont val="Tahoma"/>
            <family val="2"/>
          </rPr>
          <t>Barun Chakraborty:</t>
        </r>
        <r>
          <rPr>
            <sz val="9"/>
            <color indexed="81"/>
            <rFont val="Tahoma"/>
            <family val="2"/>
          </rPr>
          <t xml:space="preserve">
Name changed. Earlier name was - 11 kV Polymer Disc insulator for double disc</t>
        </r>
      </text>
    </comment>
    <comment ref="C20" authorId="0" shapeId="0">
      <text>
        <r>
          <rPr>
            <b/>
            <sz val="9"/>
            <color indexed="81"/>
            <rFont val="Tahoma"/>
            <family val="2"/>
          </rPr>
          <t>Barun Chakraborty:</t>
        </r>
        <r>
          <rPr>
            <sz val="9"/>
            <color indexed="81"/>
            <rFont val="Tahoma"/>
            <family val="2"/>
          </rPr>
          <t xml:space="preserve">
Name changed. Earlier name was- 11 kV Polymeric Pin insulator with Pin</t>
        </r>
      </text>
    </comment>
    <comment ref="C54" authorId="0" shapeId="0">
      <text>
        <r>
          <rPr>
            <b/>
            <sz val="9"/>
            <color indexed="81"/>
            <rFont val="Tahoma"/>
            <family val="2"/>
          </rPr>
          <t>Barun Chakraborty:</t>
        </r>
        <r>
          <rPr>
            <sz val="9"/>
            <color indexed="81"/>
            <rFont val="Tahoma"/>
            <family val="2"/>
          </rPr>
          <t xml:space="preserve">
Name changed. Earlier name was - Construction of brick masonry cable trench with cover.</t>
        </r>
      </text>
    </comment>
    <comment ref="C59" authorId="0" shapeId="0">
      <text>
        <r>
          <rPr>
            <b/>
            <sz val="9"/>
            <color indexed="81"/>
            <rFont val="Tahoma"/>
            <family val="2"/>
          </rPr>
          <t>Barun Chakraborty:</t>
        </r>
        <r>
          <rPr>
            <sz val="9"/>
            <color indexed="81"/>
            <rFont val="Tahoma"/>
            <family val="2"/>
          </rPr>
          <t xml:space="preserve">
Name changed. Earlier name was - Transport charges upto 50 Km lead from area stores to construction site for addl. lead refer Schedule T-2. </t>
        </r>
      </text>
    </comment>
  </commentList>
</comments>
</file>

<file path=xl/comments19.xml><?xml version="1.0" encoding="utf-8"?>
<comments xmlns="http://schemas.openxmlformats.org/spreadsheetml/2006/main">
  <authors>
    <author>Barun Chakraborty</author>
  </authors>
  <commentList>
    <comment ref="F15" authorId="0" shapeId="0">
      <text>
        <r>
          <rPr>
            <b/>
            <sz val="9"/>
            <color indexed="81"/>
            <rFont val="Tahoma"/>
            <family val="2"/>
          </rPr>
          <t>Barun Chakraborty:</t>
        </r>
        <r>
          <rPr>
            <sz val="9"/>
            <color indexed="81"/>
            <rFont val="Tahoma"/>
            <family val="2"/>
          </rPr>
          <t xml:space="preserve">
Qty. changed. Earlier quantity was 45 Nos.</t>
        </r>
      </text>
    </comment>
    <comment ref="F16" authorId="0" shapeId="0">
      <text>
        <r>
          <rPr>
            <b/>
            <sz val="9"/>
            <color indexed="81"/>
            <rFont val="Tahoma"/>
            <family val="2"/>
          </rPr>
          <t>Barun Chakraborty:</t>
        </r>
        <r>
          <rPr>
            <sz val="9"/>
            <color indexed="81"/>
            <rFont val="Tahoma"/>
            <family val="2"/>
          </rPr>
          <t xml:space="preserve">
Qty. changed. Earlier quantity was 15 Nos.</t>
        </r>
      </text>
    </comment>
    <comment ref="B40" authorId="0" shapeId="0">
      <text>
        <r>
          <rPr>
            <b/>
            <sz val="9"/>
            <color indexed="81"/>
            <rFont val="Tahoma"/>
            <family val="2"/>
          </rPr>
          <t>Barun Chakraborty:</t>
        </r>
        <r>
          <rPr>
            <sz val="9"/>
            <color indexed="81"/>
            <rFont val="Tahoma"/>
            <family val="2"/>
          </rPr>
          <t xml:space="preserve">
Name changed. Earlier name was - Transport charges upto 50 Km lead from Area stores to construction site for addl. lead refer Schedule T-2. </t>
        </r>
      </text>
    </comment>
  </commentList>
</comments>
</file>

<file path=xl/comments2.xml><?xml version="1.0" encoding="utf-8"?>
<comments xmlns="http://schemas.openxmlformats.org/spreadsheetml/2006/main">
  <authors>
    <author>Barun Chakraborty</author>
  </authors>
  <commentList>
    <comment ref="B51"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including site Transport (Trans. Schedule T-1) </t>
        </r>
      </text>
    </comment>
  </commentList>
</comments>
</file>

<file path=xl/comments20.xml><?xml version="1.0" encoding="utf-8"?>
<comments xmlns="http://schemas.openxmlformats.org/spreadsheetml/2006/main">
  <authors>
    <author>Barun Chakraborty</author>
  </authors>
  <commentList>
    <comment ref="C25"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21.xml><?xml version="1.0" encoding="utf-8"?>
<comments xmlns="http://schemas.openxmlformats.org/spreadsheetml/2006/main">
  <authors>
    <author>Barun Chakraborty</author>
  </authors>
  <commentList>
    <comment ref="B15" authorId="0" shapeId="0">
      <text>
        <r>
          <rPr>
            <b/>
            <sz val="9"/>
            <color indexed="81"/>
            <rFont val="Tahoma"/>
            <family val="2"/>
          </rPr>
          <t>Barun Chakraborty:</t>
        </r>
        <r>
          <rPr>
            <sz val="9"/>
            <color indexed="81"/>
            <rFont val="Tahoma"/>
            <family val="2"/>
          </rPr>
          <t xml:space="preserve">
Name changed. Earlier name was - 33 kV CT's (300-150/5) Amps</t>
        </r>
      </text>
    </comment>
    <comment ref="B30" authorId="0" shapeId="0">
      <text>
        <r>
          <rPr>
            <b/>
            <sz val="9"/>
            <color indexed="81"/>
            <rFont val="Tahoma"/>
            <family val="2"/>
          </rPr>
          <t>Barun Chakraborty:</t>
        </r>
        <r>
          <rPr>
            <sz val="9"/>
            <color indexed="81"/>
            <rFont val="Tahoma"/>
            <family val="2"/>
          </rPr>
          <t xml:space="preserve">
Name changed. Earlier name was - Transport charges for transformer upto 50 Kms lead</t>
        </r>
      </text>
    </comment>
    <comment ref="B31" authorId="0" shapeId="0">
      <text>
        <r>
          <rPr>
            <b/>
            <sz val="9"/>
            <color indexed="81"/>
            <rFont val="Tahoma"/>
            <family val="2"/>
          </rPr>
          <t>Barun Chakraborty:</t>
        </r>
        <r>
          <rPr>
            <sz val="9"/>
            <color indexed="81"/>
            <rFont val="Tahoma"/>
            <family val="2"/>
          </rPr>
          <t xml:space="preserve">
Name changed. Earlier name was - Transport charges for VCB </t>
        </r>
      </text>
    </comment>
  </commentList>
</comments>
</file>

<file path=xl/comments22.xml><?xml version="1.0" encoding="utf-8"?>
<comments xmlns="http://schemas.openxmlformats.org/spreadsheetml/2006/main">
  <authors>
    <author>Barun Chakraborty</author>
  </authors>
  <commentList>
    <comment ref="C10" authorId="0" shapeId="0">
      <text>
        <r>
          <rPr>
            <b/>
            <sz val="9"/>
            <color indexed="81"/>
            <rFont val="Tahoma"/>
            <family val="2"/>
          </rPr>
          <t>Barun Chakraborty:</t>
        </r>
        <r>
          <rPr>
            <sz val="9"/>
            <color indexed="81"/>
            <rFont val="Tahoma"/>
            <family val="2"/>
          </rPr>
          <t xml:space="preserve">
Name changed. Earlier name was - Construction of 1.5 Mtr high barbed wire fencing in angle iron post as per given drawing including all labour, T&amp;P, curing, materials, transportation, loading, unloading, royalty, taxes etc. complete.</t>
        </r>
      </text>
    </comment>
    <comment ref="C11" authorId="0" shapeId="0">
      <text>
        <r>
          <rPr>
            <b/>
            <sz val="9"/>
            <color indexed="81"/>
            <rFont val="Tahoma"/>
            <family val="2"/>
          </rPr>
          <t>Barun Chakraborty:</t>
        </r>
        <r>
          <rPr>
            <sz val="9"/>
            <color indexed="81"/>
            <rFont val="Tahoma"/>
            <family val="2"/>
          </rPr>
          <t xml:space="preserve">
Name changed. Earlier name was - Construction of 4.50 m x 2.15 m size yard / area gate as per given drawing including all labour, T&amp;P, curing, materials, transportation, loading, unloading, royalty, taxes etc. complete.</t>
        </r>
      </text>
    </comment>
    <comment ref="C21" authorId="0" shapeId="0">
      <text>
        <r>
          <rPr>
            <b/>
            <sz val="9"/>
            <color indexed="81"/>
            <rFont val="Tahoma"/>
            <family val="2"/>
          </rPr>
          <t>Barun Chakraborty:</t>
        </r>
        <r>
          <rPr>
            <sz val="9"/>
            <color indexed="81"/>
            <rFont val="Tahoma"/>
            <family val="2"/>
          </rPr>
          <t xml:space="preserve">
Name changed. Earlier name was - 33 kV Polymer Lightning Arrestors</t>
        </r>
      </text>
    </comment>
    <comment ref="E23" authorId="0" shapeId="0">
      <text>
        <r>
          <rPr>
            <b/>
            <sz val="9"/>
            <color indexed="81"/>
            <rFont val="Tahoma"/>
            <family val="2"/>
          </rPr>
          <t>Barun Chakraborty:</t>
        </r>
        <r>
          <rPr>
            <sz val="9"/>
            <color indexed="81"/>
            <rFont val="Tahoma"/>
            <family val="2"/>
          </rPr>
          <t xml:space="preserve">
Unit changed. Earlier it was - Set</t>
        </r>
      </text>
    </comment>
    <comment ref="C56"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23.xml><?xml version="1.0" encoding="utf-8"?>
<comments xmlns="http://schemas.openxmlformats.org/spreadsheetml/2006/main">
  <authors>
    <author>Barun Chakraborty</author>
  </authors>
  <commentList>
    <comment ref="B43" authorId="0" shapeId="0">
      <text>
        <r>
          <rPr>
            <b/>
            <sz val="9"/>
            <color indexed="81"/>
            <rFont val="Tahoma"/>
            <family val="2"/>
          </rPr>
          <t>Barun Chakraborty:</t>
        </r>
        <r>
          <rPr>
            <sz val="9"/>
            <color indexed="81"/>
            <rFont val="Tahoma"/>
            <family val="2"/>
          </rPr>
          <t xml:space="preserve">
Earlier name was - SUB TOTAL-1 </t>
        </r>
      </text>
    </comment>
    <comment ref="B48"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 site transport (Transport Sch. T-1)</t>
        </r>
      </text>
    </comment>
  </commentList>
</comments>
</file>

<file path=xl/comments24.xml><?xml version="1.0" encoding="utf-8"?>
<comments xmlns="http://schemas.openxmlformats.org/spreadsheetml/2006/main">
  <authors>
    <author>Barun Chakraborty</author>
  </authors>
  <commentList>
    <comment ref="B26" authorId="0" shapeId="0">
      <text>
        <r>
          <rPr>
            <b/>
            <sz val="9"/>
            <color indexed="81"/>
            <rFont val="Tahoma"/>
            <family val="2"/>
          </rPr>
          <t>Barun Chakraborty:</t>
        </r>
        <r>
          <rPr>
            <sz val="9"/>
            <color indexed="81"/>
            <rFont val="Tahoma"/>
            <family val="2"/>
          </rPr>
          <t xml:space="preserve">
Earlier name was - Labour charges as per Sch No. CL-4 (revised based on one pole)</t>
        </r>
      </text>
    </comment>
    <comment ref="B28"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 site transport (Transport Sch  T-1) - Taken 5% of  </t>
        </r>
      </text>
    </comment>
  </commentList>
</comments>
</file>

<file path=xl/comments25.xml><?xml version="1.0" encoding="utf-8"?>
<comments xmlns="http://schemas.openxmlformats.org/spreadsheetml/2006/main">
  <authors>
    <author>Barun Chakraborty</author>
  </authors>
  <commentList>
    <comment ref="B41" authorId="0" shapeId="0">
      <text>
        <r>
          <rPr>
            <b/>
            <sz val="9"/>
            <color indexed="81"/>
            <rFont val="Tahoma"/>
            <family val="2"/>
          </rPr>
          <t>Barun Chakraborty:</t>
        </r>
        <r>
          <rPr>
            <sz val="9"/>
            <color indexed="81"/>
            <rFont val="Tahoma"/>
            <family val="2"/>
          </rPr>
          <t xml:space="preserve">
Earlier name was - Transportation charges </t>
        </r>
      </text>
    </comment>
  </commentList>
</comments>
</file>

<file path=xl/comments26.xml><?xml version="1.0" encoding="utf-8"?>
<comments xmlns="http://schemas.openxmlformats.org/spreadsheetml/2006/main">
  <authors>
    <author>Barun Chakraborty</author>
  </authors>
  <commentList>
    <comment ref="B20" authorId="0" shapeId="0">
      <text>
        <r>
          <rPr>
            <b/>
            <sz val="9"/>
            <color indexed="81"/>
            <rFont val="Tahoma"/>
            <family val="2"/>
          </rPr>
          <t>Barun Chakraborty:</t>
        </r>
        <r>
          <rPr>
            <sz val="9"/>
            <color indexed="81"/>
            <rFont val="Tahoma"/>
            <family val="2"/>
          </rPr>
          <t xml:space="preserve">
Earlier name was - Transportation charges </t>
        </r>
      </text>
    </comment>
  </commentList>
</comments>
</file>

<file path=xl/comments27.xml><?xml version="1.0" encoding="utf-8"?>
<comments xmlns="http://schemas.openxmlformats.org/spreadsheetml/2006/main">
  <authors>
    <author>Barun Chakraborty</author>
  </authors>
  <commentList>
    <comment ref="B19" authorId="0" shapeId="0">
      <text>
        <r>
          <rPr>
            <b/>
            <sz val="9"/>
            <color indexed="81"/>
            <rFont val="Tahoma"/>
            <family val="2"/>
          </rPr>
          <t>Barun Chakraborty:</t>
        </r>
        <r>
          <rPr>
            <sz val="9"/>
            <color indexed="81"/>
            <rFont val="Tahoma"/>
            <family val="2"/>
          </rPr>
          <t xml:space="preserve">
Earlier name was - Transportation charges </t>
        </r>
      </text>
    </comment>
  </commentList>
</comments>
</file>

<file path=xl/comments28.xml><?xml version="1.0" encoding="utf-8"?>
<comments xmlns="http://schemas.openxmlformats.org/spreadsheetml/2006/main">
  <authors>
    <author>Barun Chakraborty</author>
    <author>89326879</author>
  </authors>
  <commentList>
    <comment ref="B9" authorId="0" shapeId="0">
      <text>
        <r>
          <rPr>
            <b/>
            <sz val="9"/>
            <color indexed="81"/>
            <rFont val="Tahoma"/>
            <family val="2"/>
          </rPr>
          <t>Barun Chakraborty:</t>
        </r>
        <r>
          <rPr>
            <sz val="9"/>
            <color indexed="81"/>
            <rFont val="Tahoma"/>
            <family val="2"/>
          </rPr>
          <t xml:space="preserve">
Earlier name was - 11 kV XLPE 3 Core Cable 120 sqmm (incl. sag 6%)</t>
        </r>
      </text>
    </comment>
    <comment ref="C9" authorId="0" shapeId="0">
      <text>
        <r>
          <rPr>
            <b/>
            <sz val="9"/>
            <color indexed="81"/>
            <rFont val="Tahoma"/>
            <family val="2"/>
          </rPr>
          <t>Barun Chakraborty:</t>
        </r>
        <r>
          <rPr>
            <sz val="9"/>
            <color indexed="81"/>
            <rFont val="Tahoma"/>
            <family val="2"/>
          </rPr>
          <t xml:space="preserve">
Earlier Bin Code was - 7130310078</t>
        </r>
      </text>
    </comment>
    <comment ref="B10" authorId="1" shapeId="0">
      <text>
        <r>
          <rPr>
            <b/>
            <sz val="9"/>
            <color indexed="81"/>
            <rFont val="Tahoma"/>
            <family val="2"/>
          </rPr>
          <t>89326879:</t>
        </r>
        <r>
          <rPr>
            <sz val="9"/>
            <color indexed="81"/>
            <rFont val="Tahoma"/>
            <family val="2"/>
          </rPr>
          <t xml:space="preserve">
Earlier name was - 11 kV End Termination kit for XLPE Cable 150 sqmm</t>
        </r>
      </text>
    </comment>
    <comment ref="B36"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including site transport (Transport Sch. T-1)</t>
        </r>
      </text>
    </comment>
  </commentList>
</comments>
</file>

<file path=xl/comments29.xml><?xml version="1.0" encoding="utf-8"?>
<comments xmlns="http://schemas.openxmlformats.org/spreadsheetml/2006/main">
  <authors>
    <author>Barun Chakraborty</author>
  </authors>
  <commentList>
    <comment ref="B39"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 site transport (Transport Sch. T-1) </t>
        </r>
      </text>
    </comment>
  </commentList>
</comments>
</file>

<file path=xl/comments3.xml><?xml version="1.0" encoding="utf-8"?>
<comments xmlns="http://schemas.openxmlformats.org/spreadsheetml/2006/main">
  <authors>
    <author>89326879</author>
    <author>Barun Chakraborty</author>
  </authors>
  <commentList>
    <comment ref="C19" authorId="0" shapeId="0">
      <text>
        <r>
          <rPr>
            <b/>
            <sz val="9"/>
            <color indexed="81"/>
            <rFont val="Tahoma"/>
            <family val="2"/>
          </rPr>
          <t>89326879:</t>
        </r>
        <r>
          <rPr>
            <sz val="9"/>
            <color indexed="81"/>
            <rFont val="Tahoma"/>
            <family val="2"/>
          </rPr>
          <t xml:space="preserve">
2.6 cmt for H-Beam and 2.2 Cmt for PCC Pole </t>
        </r>
      </text>
    </comment>
    <comment ref="C20" authorId="0" shapeId="0">
      <text>
        <r>
          <rPr>
            <b/>
            <sz val="9"/>
            <color indexed="81"/>
            <rFont val="Tahoma"/>
            <family val="2"/>
          </rPr>
          <t>89326879:</t>
        </r>
        <r>
          <rPr>
            <sz val="9"/>
            <color indexed="81"/>
            <rFont val="Tahoma"/>
            <family val="2"/>
          </rPr>
          <t xml:space="preserve">
2.6 cmt for H-Beam and 2.2 Cmt for PCC Pole </t>
        </r>
      </text>
    </comment>
    <comment ref="B40" authorId="1" shapeId="0">
      <text>
        <r>
          <rPr>
            <b/>
            <sz val="9"/>
            <color indexed="81"/>
            <rFont val="Tahoma"/>
            <family val="2"/>
          </rPr>
          <t>Barun Chakraborty:</t>
        </r>
        <r>
          <rPr>
            <sz val="9"/>
            <color indexed="81"/>
            <rFont val="Tahoma"/>
            <family val="2"/>
          </rPr>
          <t xml:space="preserve">
Earlier name was - Transportation charges</t>
        </r>
      </text>
    </comment>
  </commentList>
</comments>
</file>

<file path=xl/comments30.xml><?xml version="1.0" encoding="utf-8"?>
<comments xmlns="http://schemas.openxmlformats.org/spreadsheetml/2006/main">
  <authors>
    <author>Barun Chakraborty</author>
  </authors>
  <commentList>
    <comment ref="B44"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including site transport (Transport Sch. T-1) </t>
        </r>
      </text>
    </comment>
  </commentList>
</comments>
</file>

<file path=xl/comments31.xml><?xml version="1.0" encoding="utf-8"?>
<comments xmlns="http://schemas.openxmlformats.org/spreadsheetml/2006/main">
  <authors>
    <author>Barun Chakraborty</author>
  </authors>
  <commentList>
    <comment ref="B34"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 site transport (Transport Sch T-1) </t>
        </r>
      </text>
    </comment>
  </commentList>
</comments>
</file>

<file path=xl/comments32.xml><?xml version="1.0" encoding="utf-8"?>
<comments xmlns="http://schemas.openxmlformats.org/spreadsheetml/2006/main">
  <authors>
    <author>Barun Chakraborty</author>
  </authors>
  <commentList>
    <comment ref="B9" authorId="0" shapeId="0">
      <text>
        <r>
          <rPr>
            <b/>
            <sz val="9"/>
            <color indexed="81"/>
            <rFont val="Tahoma"/>
            <family val="2"/>
          </rPr>
          <t>Barun Chakraborty:</t>
        </r>
        <r>
          <rPr>
            <sz val="9"/>
            <color indexed="81"/>
            <rFont val="Tahoma"/>
            <family val="2"/>
          </rPr>
          <t xml:space="preserve">
Name changed - Earlier Level-2 Transformer</t>
        </r>
      </text>
    </comment>
    <comment ref="B10" authorId="0" shapeId="0">
      <text>
        <r>
          <rPr>
            <b/>
            <sz val="9"/>
            <color indexed="81"/>
            <rFont val="Tahoma"/>
            <family val="2"/>
          </rPr>
          <t>Barun Chakraborty:</t>
        </r>
        <r>
          <rPr>
            <sz val="9"/>
            <color indexed="81"/>
            <rFont val="Tahoma"/>
            <family val="2"/>
          </rPr>
          <t xml:space="preserve">
Name changed - Earlier Level-2 Transformer</t>
        </r>
      </text>
    </comment>
    <comment ref="B11" authorId="0" shapeId="0">
      <text>
        <r>
          <rPr>
            <b/>
            <sz val="9"/>
            <color indexed="81"/>
            <rFont val="Tahoma"/>
            <family val="2"/>
          </rPr>
          <t>Barun Chakraborty:</t>
        </r>
        <r>
          <rPr>
            <sz val="9"/>
            <color indexed="81"/>
            <rFont val="Tahoma"/>
            <family val="2"/>
          </rPr>
          <t xml:space="preserve">
Name changed - Earlier Level-2 Transformer</t>
        </r>
      </text>
    </comment>
    <comment ref="B12" authorId="0" shapeId="0">
      <text>
        <r>
          <rPr>
            <b/>
            <sz val="9"/>
            <color indexed="81"/>
            <rFont val="Tahoma"/>
            <family val="2"/>
          </rPr>
          <t>Barun Chakraborty:</t>
        </r>
        <r>
          <rPr>
            <sz val="9"/>
            <color indexed="81"/>
            <rFont val="Tahoma"/>
            <family val="2"/>
          </rPr>
          <t xml:space="preserve">
Name changed - Earlier Level-2 Transformer</t>
        </r>
      </text>
    </comment>
    <comment ref="B28" authorId="0" shapeId="0">
      <text>
        <r>
          <rPr>
            <b/>
            <sz val="9"/>
            <color indexed="81"/>
            <rFont val="Tahoma"/>
            <family val="2"/>
          </rPr>
          <t>Barun Chakraborty:</t>
        </r>
        <r>
          <rPr>
            <sz val="9"/>
            <color indexed="81"/>
            <rFont val="Tahoma"/>
            <family val="2"/>
          </rPr>
          <t xml:space="preserve">
Name changed. Earlier name was - Concreting of supports @ 0.3 Cmt/pole &amp; @ 0.2 Cmt/Stay &amp; base padding @ 0.05 Cmt per pole (1:3:6)</t>
        </r>
      </text>
    </comment>
    <comment ref="B65"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including site transport (Transport Sch T-1) </t>
        </r>
      </text>
    </comment>
    <comment ref="B69" authorId="0" shapeId="0">
      <text>
        <r>
          <rPr>
            <b/>
            <sz val="9"/>
            <color indexed="81"/>
            <rFont val="Tahoma"/>
            <family val="2"/>
          </rPr>
          <t>Barun Chakraborty:</t>
        </r>
        <r>
          <rPr>
            <sz val="9"/>
            <color indexed="81"/>
            <rFont val="Tahoma"/>
            <family val="2"/>
          </rPr>
          <t xml:space="preserve">
Name changed. Earlier name was - Total Estimated Cost excluding GST (Row 25, 26, 27, 28, 29, 30, 31, 32)</t>
        </r>
      </text>
    </comment>
  </commentList>
</comments>
</file>

<file path=xl/comments33.xml><?xml version="1.0" encoding="utf-8"?>
<comments xmlns="http://schemas.openxmlformats.org/spreadsheetml/2006/main">
  <authors>
    <author>Barun Chakraborty</author>
  </authors>
  <commentList>
    <comment ref="B9" authorId="0" shapeId="0">
      <text>
        <r>
          <rPr>
            <b/>
            <sz val="9"/>
            <color indexed="81"/>
            <rFont val="Tahoma"/>
            <family val="2"/>
          </rPr>
          <t>Barun Chakraborty:</t>
        </r>
        <r>
          <rPr>
            <sz val="9"/>
            <color indexed="81"/>
            <rFont val="Tahoma"/>
            <family val="2"/>
          </rPr>
          <t xml:space="preserve">
</t>
        </r>
        <r>
          <rPr>
            <sz val="11"/>
            <color indexed="81"/>
            <rFont val="Tahoma"/>
            <family val="2"/>
          </rPr>
          <t>Name changed - Earlier Level-2 Transformer</t>
        </r>
      </text>
    </comment>
    <comment ref="B10" authorId="0" shapeId="0">
      <text>
        <r>
          <rPr>
            <b/>
            <sz val="9"/>
            <color indexed="81"/>
            <rFont val="Tahoma"/>
            <family val="2"/>
          </rPr>
          <t>Barun Chakraborty:</t>
        </r>
        <r>
          <rPr>
            <sz val="9"/>
            <color indexed="81"/>
            <rFont val="Tahoma"/>
            <family val="2"/>
          </rPr>
          <t xml:space="preserve">
</t>
        </r>
        <r>
          <rPr>
            <sz val="11"/>
            <color indexed="81"/>
            <rFont val="Tahoma"/>
            <family val="2"/>
          </rPr>
          <t>Name changed - Earlier Level-2 Transformer</t>
        </r>
      </text>
    </comment>
    <comment ref="B11" authorId="0" shapeId="0">
      <text>
        <r>
          <rPr>
            <b/>
            <sz val="9"/>
            <color indexed="81"/>
            <rFont val="Tahoma"/>
            <family val="2"/>
          </rPr>
          <t>Barun Chakraborty:</t>
        </r>
        <r>
          <rPr>
            <sz val="9"/>
            <color indexed="81"/>
            <rFont val="Tahoma"/>
            <family val="2"/>
          </rPr>
          <t xml:space="preserve">
</t>
        </r>
        <r>
          <rPr>
            <sz val="11"/>
            <color indexed="81"/>
            <rFont val="Tahoma"/>
            <family val="2"/>
          </rPr>
          <t>Name changed - Earlier Level-2 Transformer</t>
        </r>
      </text>
    </comment>
    <comment ref="B12" authorId="0" shapeId="0">
      <text>
        <r>
          <rPr>
            <b/>
            <sz val="9"/>
            <color indexed="81"/>
            <rFont val="Tahoma"/>
            <family val="2"/>
          </rPr>
          <t>Barun Chakraborty:</t>
        </r>
        <r>
          <rPr>
            <sz val="9"/>
            <color indexed="81"/>
            <rFont val="Tahoma"/>
            <family val="2"/>
          </rPr>
          <t xml:space="preserve">
</t>
        </r>
        <r>
          <rPr>
            <sz val="11"/>
            <color indexed="81"/>
            <rFont val="Tahoma"/>
            <family val="2"/>
          </rPr>
          <t>Name changed - Earlier Level-2 Transformer</t>
        </r>
      </text>
    </comment>
    <comment ref="B67" authorId="0" shapeId="0">
      <text>
        <r>
          <rPr>
            <b/>
            <sz val="9"/>
            <color indexed="81"/>
            <rFont val="Tahoma"/>
            <family val="2"/>
          </rPr>
          <t>Barun Chakraborty:</t>
        </r>
        <r>
          <rPr>
            <sz val="9"/>
            <color indexed="81"/>
            <rFont val="Tahoma"/>
            <family val="2"/>
          </rPr>
          <t xml:space="preserve">
</t>
        </r>
        <r>
          <rPr>
            <sz val="11"/>
            <color indexed="81"/>
            <rFont val="Tahoma"/>
            <family val="2"/>
          </rPr>
          <t>Name changed. Earlier name was - Transport charges upto 50 Kms average lead from Area stores to construction camp inc. site transport (Transport Sch T-1)</t>
        </r>
        <r>
          <rPr>
            <sz val="9"/>
            <color indexed="81"/>
            <rFont val="Tahoma"/>
            <family val="2"/>
          </rPr>
          <t xml:space="preserve"> </t>
        </r>
      </text>
    </comment>
    <comment ref="B71" authorId="0" shapeId="0">
      <text>
        <r>
          <rPr>
            <b/>
            <sz val="9"/>
            <color indexed="81"/>
            <rFont val="Tahoma"/>
            <family val="2"/>
          </rPr>
          <t>Barun Chakraborty:</t>
        </r>
        <r>
          <rPr>
            <sz val="9"/>
            <color indexed="81"/>
            <rFont val="Tahoma"/>
            <family val="2"/>
          </rPr>
          <t xml:space="preserve">
</t>
        </r>
        <r>
          <rPr>
            <sz val="11"/>
            <color indexed="81"/>
            <rFont val="Tahoma"/>
            <family val="2"/>
          </rPr>
          <t>Name changed. Earlier name was - Total Estimated Cost excluding GST (Row 26, 27, 28, 29, 30, 31, 32, 33)</t>
        </r>
      </text>
    </comment>
  </commentList>
</comments>
</file>

<file path=xl/comments34.xml><?xml version="1.0" encoding="utf-8"?>
<comments xmlns="http://schemas.openxmlformats.org/spreadsheetml/2006/main">
  <authors>
    <author>Barun Chakraborty</author>
  </authors>
  <commentList>
    <comment ref="B10" authorId="0" shapeId="0">
      <text>
        <r>
          <rPr>
            <b/>
            <sz val="9"/>
            <color indexed="81"/>
            <rFont val="Tahoma"/>
            <family val="2"/>
          </rPr>
          <t>Barun Chakraborty:</t>
        </r>
        <r>
          <rPr>
            <sz val="9"/>
            <color indexed="81"/>
            <rFont val="Tahoma"/>
            <family val="2"/>
          </rPr>
          <t xml:space="preserve">
Name changed - Earlier Level-2 Transformer</t>
        </r>
      </text>
    </comment>
    <comment ref="B11" authorId="0" shapeId="0">
      <text>
        <r>
          <rPr>
            <b/>
            <sz val="9"/>
            <color indexed="81"/>
            <rFont val="Tahoma"/>
            <family val="2"/>
          </rPr>
          <t>Barun Chakraborty:</t>
        </r>
        <r>
          <rPr>
            <sz val="9"/>
            <color indexed="81"/>
            <rFont val="Tahoma"/>
            <family val="2"/>
          </rPr>
          <t xml:space="preserve">
</t>
        </r>
        <r>
          <rPr>
            <sz val="10"/>
            <color indexed="81"/>
            <rFont val="Tahoma"/>
            <family val="2"/>
          </rPr>
          <t>Name changed - Earlier Level-2 Transformer</t>
        </r>
      </text>
    </comment>
    <comment ref="B12" authorId="0" shapeId="0">
      <text>
        <r>
          <rPr>
            <b/>
            <sz val="9"/>
            <color indexed="81"/>
            <rFont val="Tahoma"/>
            <family val="2"/>
          </rPr>
          <t>Barun Chakraborty:</t>
        </r>
        <r>
          <rPr>
            <sz val="9"/>
            <color indexed="81"/>
            <rFont val="Tahoma"/>
            <family val="2"/>
          </rPr>
          <t xml:space="preserve">
Name changed - Earlier Level-2 Transformer</t>
        </r>
      </text>
    </comment>
    <comment ref="B13" authorId="0" shapeId="0">
      <text>
        <r>
          <rPr>
            <b/>
            <sz val="9"/>
            <color indexed="81"/>
            <rFont val="Tahoma"/>
            <family val="2"/>
          </rPr>
          <t>Barun Chakraborty:</t>
        </r>
        <r>
          <rPr>
            <sz val="9"/>
            <color indexed="81"/>
            <rFont val="Tahoma"/>
            <family val="2"/>
          </rPr>
          <t xml:space="preserve">
Name changed - Earlier Level-2 Transformer</t>
        </r>
      </text>
    </comment>
    <comment ref="B64"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 site transport  (Transport Sch T-1)</t>
        </r>
      </text>
    </comment>
    <comment ref="B68" authorId="0" shapeId="0">
      <text>
        <r>
          <rPr>
            <b/>
            <sz val="9"/>
            <color indexed="81"/>
            <rFont val="Tahoma"/>
            <family val="2"/>
          </rPr>
          <t>Barun Chakraborty:</t>
        </r>
        <r>
          <rPr>
            <sz val="9"/>
            <color indexed="81"/>
            <rFont val="Tahoma"/>
            <family val="2"/>
          </rPr>
          <t xml:space="preserve">
Name changed. Earlier name was - Total Estimated Cost excluding GST (Row 25, 26, 27, 28, 29, 30, 31)</t>
        </r>
      </text>
    </comment>
  </commentList>
</comments>
</file>

<file path=xl/comments35.xml><?xml version="1.0" encoding="utf-8"?>
<comments xmlns="http://schemas.openxmlformats.org/spreadsheetml/2006/main">
  <authors>
    <author>Barun Chakraborty</author>
  </authors>
  <commentList>
    <comment ref="B58" authorId="0" shapeId="0">
      <text>
        <r>
          <rPr>
            <b/>
            <sz val="9"/>
            <color indexed="81"/>
            <rFont val="Tahoma"/>
            <family val="2"/>
          </rPr>
          <t>Barun Chakraborty:</t>
        </r>
        <r>
          <rPr>
            <sz val="9"/>
            <color indexed="81"/>
            <rFont val="Tahoma"/>
            <family val="2"/>
          </rPr>
          <t xml:space="preserve">
</t>
        </r>
        <r>
          <rPr>
            <sz val="10"/>
            <color indexed="81"/>
            <rFont val="Tahoma"/>
            <family val="2"/>
          </rPr>
          <t xml:space="preserve">Name changed. Earlier name was - Transport charges upto 50 Kms average lead from Area stores to construction camp incl. site transport (Transport Sch T-1) </t>
        </r>
      </text>
    </comment>
  </commentList>
</comments>
</file>

<file path=xl/comments36.xml><?xml version="1.0" encoding="utf-8"?>
<comments xmlns="http://schemas.openxmlformats.org/spreadsheetml/2006/main">
  <authors>
    <author>Barun Chakraborty</author>
  </authors>
  <commentList>
    <comment ref="B31" authorId="0" shapeId="0">
      <text>
        <r>
          <rPr>
            <b/>
            <sz val="9"/>
            <color indexed="81"/>
            <rFont val="Tahoma"/>
            <family val="2"/>
          </rPr>
          <t>Barun Chakraborty:</t>
        </r>
        <r>
          <rPr>
            <sz val="9"/>
            <color indexed="81"/>
            <rFont val="Tahoma"/>
            <family val="2"/>
          </rPr>
          <t xml:space="preserve">
Name changed. Earlier name was - Transportation charges</t>
        </r>
      </text>
    </comment>
  </commentList>
</comments>
</file>

<file path=xl/comments37.xml><?xml version="1.0" encoding="utf-8"?>
<comments xmlns="http://schemas.openxmlformats.org/spreadsheetml/2006/main">
  <authors>
    <author>Barun Chakraborty</author>
  </authors>
  <commentList>
    <comment ref="B9" authorId="0" shapeId="0">
      <text>
        <r>
          <rPr>
            <b/>
            <sz val="9"/>
            <color indexed="81"/>
            <rFont val="Tahoma"/>
            <family val="2"/>
          </rPr>
          <t>Barun Chakraborty:</t>
        </r>
        <r>
          <rPr>
            <sz val="9"/>
            <color indexed="81"/>
            <rFont val="Tahoma"/>
            <family val="2"/>
          </rPr>
          <t xml:space="preserve">
Name changed - Earlier Level-2 Transformer</t>
        </r>
      </text>
    </comment>
    <comment ref="B10" authorId="0" shapeId="0">
      <text>
        <r>
          <rPr>
            <b/>
            <sz val="9"/>
            <color indexed="81"/>
            <rFont val="Tahoma"/>
            <family val="2"/>
          </rPr>
          <t>Barun Chakraborty:</t>
        </r>
        <r>
          <rPr>
            <sz val="9"/>
            <color indexed="81"/>
            <rFont val="Tahoma"/>
            <family val="2"/>
          </rPr>
          <t xml:space="preserve">
Name changed - Earlier Level-2 Transformer</t>
        </r>
      </text>
    </comment>
    <comment ref="B11" authorId="0" shapeId="0">
      <text>
        <r>
          <rPr>
            <b/>
            <sz val="9"/>
            <color indexed="81"/>
            <rFont val="Tahoma"/>
            <family val="2"/>
          </rPr>
          <t>Barun Chakraborty:</t>
        </r>
        <r>
          <rPr>
            <sz val="9"/>
            <color indexed="81"/>
            <rFont val="Tahoma"/>
            <family val="2"/>
          </rPr>
          <t xml:space="preserve">
Name changed - Earlier Level-2 Transformer</t>
        </r>
      </text>
    </comment>
    <comment ref="B12" authorId="0" shapeId="0">
      <text>
        <r>
          <rPr>
            <b/>
            <sz val="9"/>
            <color indexed="81"/>
            <rFont val="Tahoma"/>
            <family val="2"/>
          </rPr>
          <t>Barun Chakraborty:</t>
        </r>
        <r>
          <rPr>
            <sz val="9"/>
            <color indexed="81"/>
            <rFont val="Tahoma"/>
            <family val="2"/>
          </rPr>
          <t xml:space="preserve">
Name changed - Earlier Level-2 Transformer</t>
        </r>
      </text>
    </comment>
    <comment ref="B64" authorId="0" shapeId="0">
      <text>
        <r>
          <rPr>
            <b/>
            <sz val="9"/>
            <color indexed="81"/>
            <rFont val="Tahoma"/>
            <family val="2"/>
          </rPr>
          <t>Barun Chakraborty:</t>
        </r>
        <r>
          <rPr>
            <sz val="9"/>
            <color indexed="81"/>
            <rFont val="Tahoma"/>
            <family val="2"/>
          </rPr>
          <t xml:space="preserve">
</t>
        </r>
        <r>
          <rPr>
            <sz val="10"/>
            <color indexed="81"/>
            <rFont val="Tahoma"/>
            <family val="2"/>
          </rPr>
          <t xml:space="preserve">Name changed. Earlier name was - Transport charges upto 50 Kms averg. lead from Area stores to construction camp inc. site transport (Transport Sch T-1) </t>
        </r>
      </text>
    </comment>
    <comment ref="B68" authorId="0" shapeId="0">
      <text>
        <r>
          <rPr>
            <b/>
            <sz val="9"/>
            <color indexed="81"/>
            <rFont val="Tahoma"/>
            <family val="2"/>
          </rPr>
          <t>Barun Chakraborty:</t>
        </r>
        <r>
          <rPr>
            <sz val="9"/>
            <color indexed="81"/>
            <rFont val="Tahoma"/>
            <family val="2"/>
          </rPr>
          <t xml:space="preserve">
</t>
        </r>
        <r>
          <rPr>
            <sz val="10"/>
            <color indexed="81"/>
            <rFont val="Tahoma"/>
            <family val="2"/>
          </rPr>
          <t>Name changed. Earlier name was - Total Estimated Cost excluding GST (Row 25, 26, 27, 28, 29, 30, 31)</t>
        </r>
      </text>
    </comment>
  </commentList>
</comments>
</file>

<file path=xl/comments38.xml><?xml version="1.0" encoding="utf-8"?>
<comments xmlns="http://schemas.openxmlformats.org/spreadsheetml/2006/main">
  <authors>
    <author>Barun Chakraborty</author>
  </authors>
  <commentList>
    <comment ref="B38"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including site transport (Transport Sch T-1) </t>
        </r>
      </text>
    </comment>
  </commentList>
</comments>
</file>

<file path=xl/comments39.xml><?xml version="1.0" encoding="utf-8"?>
<comments xmlns="http://schemas.openxmlformats.org/spreadsheetml/2006/main">
  <authors>
    <author>Barun Chakraborty</author>
  </authors>
  <commentList>
    <comment ref="B38"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including site transport (Transport Sch T-1)</t>
        </r>
      </text>
    </comment>
  </commentList>
</comments>
</file>

<file path=xl/comments4.xml><?xml version="1.0" encoding="utf-8"?>
<comments xmlns="http://schemas.openxmlformats.org/spreadsheetml/2006/main">
  <authors>
    <author>Barun Chakraborty</author>
  </authors>
  <commentList>
    <comment ref="B42" authorId="0" shapeId="0">
      <text>
        <r>
          <rPr>
            <b/>
            <sz val="9"/>
            <color indexed="81"/>
            <rFont val="Tahoma"/>
            <family val="2"/>
          </rPr>
          <t>Barun Chakraborty:</t>
        </r>
        <r>
          <rPr>
            <sz val="9"/>
            <color indexed="81"/>
            <rFont val="Tahoma"/>
            <family val="2"/>
          </rPr>
          <t xml:space="preserve">
Earlier name was - Transport charges upto 50 Kms average lead from Area Store to construction camp including site Transport (Trans. Schedule T-1) </t>
        </r>
      </text>
    </comment>
  </commentList>
</comments>
</file>

<file path=xl/comments40.xml><?xml version="1.0" encoding="utf-8"?>
<comments xmlns="http://schemas.openxmlformats.org/spreadsheetml/2006/main">
  <authors>
    <author>Barun Chakraborty</author>
  </authors>
  <commentList>
    <comment ref="B29"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 site transport (Transport Sch T-1) - Taken 5% of </t>
        </r>
      </text>
    </comment>
  </commentList>
</comments>
</file>

<file path=xl/comments41.xml><?xml version="1.0" encoding="utf-8"?>
<comments xmlns="http://schemas.openxmlformats.org/spreadsheetml/2006/main">
  <authors>
    <author>Barun Chakraborty</author>
  </authors>
  <commentList>
    <comment ref="B10" authorId="0" shapeId="0">
      <text>
        <r>
          <rPr>
            <b/>
            <sz val="9"/>
            <color indexed="81"/>
            <rFont val="Tahoma"/>
            <family val="2"/>
          </rPr>
          <t>Barun Chakraborty:</t>
        </r>
        <r>
          <rPr>
            <sz val="9"/>
            <color indexed="81"/>
            <rFont val="Tahoma"/>
            <family val="2"/>
          </rPr>
          <t xml:space="preserve">
</t>
        </r>
        <r>
          <rPr>
            <sz val="10"/>
            <color indexed="81"/>
            <rFont val="Tahoma"/>
            <family val="2"/>
          </rPr>
          <t>Name changed - Earlier Level-2 Transformer</t>
        </r>
      </text>
    </comment>
    <comment ref="B11" authorId="0" shapeId="0">
      <text>
        <r>
          <rPr>
            <b/>
            <sz val="9"/>
            <color indexed="81"/>
            <rFont val="Tahoma"/>
            <family val="2"/>
          </rPr>
          <t>Barun Chakraborty:</t>
        </r>
        <r>
          <rPr>
            <sz val="9"/>
            <color indexed="81"/>
            <rFont val="Tahoma"/>
            <family val="2"/>
          </rPr>
          <t xml:space="preserve">
</t>
        </r>
        <r>
          <rPr>
            <sz val="10"/>
            <color indexed="81"/>
            <rFont val="Tahoma"/>
            <family val="2"/>
          </rPr>
          <t>Name changed - Earlier Level-2 Transformer</t>
        </r>
      </text>
    </comment>
    <comment ref="B12" authorId="0" shapeId="0">
      <text>
        <r>
          <rPr>
            <b/>
            <sz val="9"/>
            <color indexed="81"/>
            <rFont val="Tahoma"/>
            <family val="2"/>
          </rPr>
          <t>Barun Chakraborty:</t>
        </r>
        <r>
          <rPr>
            <sz val="9"/>
            <color indexed="81"/>
            <rFont val="Tahoma"/>
            <family val="2"/>
          </rPr>
          <t xml:space="preserve">
</t>
        </r>
        <r>
          <rPr>
            <sz val="10"/>
            <color indexed="81"/>
            <rFont val="Tahoma"/>
            <family val="2"/>
          </rPr>
          <t>Name changed - Earlier Level-2 Transformer</t>
        </r>
      </text>
    </comment>
    <comment ref="B41" authorId="0" shapeId="0">
      <text>
        <r>
          <rPr>
            <b/>
            <sz val="9"/>
            <color indexed="81"/>
            <rFont val="Tahoma"/>
            <family val="2"/>
          </rPr>
          <t>Barun Chakraborty:</t>
        </r>
        <r>
          <rPr>
            <sz val="9"/>
            <color indexed="81"/>
            <rFont val="Tahoma"/>
            <family val="2"/>
          </rPr>
          <t xml:space="preserve">
</t>
        </r>
        <r>
          <rPr>
            <sz val="11"/>
            <color indexed="81"/>
            <rFont val="Tahoma"/>
            <family val="2"/>
          </rPr>
          <t xml:space="preserve">Name changed. Earlier name was - Transportation charges </t>
        </r>
      </text>
    </comment>
    <comment ref="B48" authorId="0" shapeId="0">
      <text>
        <r>
          <rPr>
            <b/>
            <sz val="9"/>
            <color indexed="81"/>
            <rFont val="Tahoma"/>
            <family val="2"/>
          </rPr>
          <t>Barun Chakraborty:</t>
        </r>
        <r>
          <rPr>
            <sz val="9"/>
            <color indexed="81"/>
            <rFont val="Tahoma"/>
            <family val="2"/>
          </rPr>
          <t xml:space="preserve">
</t>
        </r>
        <r>
          <rPr>
            <sz val="11"/>
            <color indexed="81"/>
            <rFont val="Tahoma"/>
            <family val="2"/>
          </rPr>
          <t xml:space="preserve">Rate in 2013-14. </t>
        </r>
      </text>
    </comment>
    <comment ref="B49" authorId="0" shapeId="0">
      <text>
        <r>
          <rPr>
            <b/>
            <sz val="9"/>
            <color indexed="81"/>
            <rFont val="Tahoma"/>
            <family val="2"/>
          </rPr>
          <t>Barun Chakraborty:</t>
        </r>
        <r>
          <rPr>
            <sz val="9"/>
            <color indexed="81"/>
            <rFont val="Tahoma"/>
            <family val="2"/>
          </rPr>
          <t xml:space="preserve">
</t>
        </r>
        <r>
          <rPr>
            <sz val="11"/>
            <color indexed="81"/>
            <rFont val="Tahoma"/>
            <family val="2"/>
          </rPr>
          <t xml:space="preserve">Rate in 2013-14. </t>
        </r>
      </text>
    </comment>
    <comment ref="B50" authorId="0" shapeId="0">
      <text>
        <r>
          <rPr>
            <b/>
            <sz val="9"/>
            <color indexed="81"/>
            <rFont val="Tahoma"/>
            <family val="2"/>
          </rPr>
          <t>Barun Chakraborty:</t>
        </r>
        <r>
          <rPr>
            <sz val="9"/>
            <color indexed="81"/>
            <rFont val="Tahoma"/>
            <family val="2"/>
          </rPr>
          <t xml:space="preserve">
</t>
        </r>
        <r>
          <rPr>
            <sz val="11"/>
            <color indexed="81"/>
            <rFont val="Tahoma"/>
            <family val="2"/>
          </rPr>
          <t xml:space="preserve">Rate in 2013-14. </t>
        </r>
      </text>
    </comment>
  </commentList>
</comments>
</file>

<file path=xl/comments42.xml><?xml version="1.0" encoding="utf-8"?>
<comments xmlns="http://schemas.openxmlformats.org/spreadsheetml/2006/main">
  <authors>
    <author>Barun Chakraborty</author>
  </authors>
  <commentList>
    <comment ref="B10" authorId="0" shapeId="0">
      <text>
        <r>
          <rPr>
            <b/>
            <sz val="9"/>
            <color indexed="81"/>
            <rFont val="Tahoma"/>
            <family val="2"/>
          </rPr>
          <t>Barun Chakraborty:</t>
        </r>
        <r>
          <rPr>
            <sz val="9"/>
            <color indexed="81"/>
            <rFont val="Tahoma"/>
            <family val="2"/>
          </rPr>
          <t xml:space="preserve">
</t>
        </r>
        <r>
          <rPr>
            <sz val="10"/>
            <color indexed="81"/>
            <rFont val="Tahoma"/>
            <family val="2"/>
          </rPr>
          <t>Name changed - Earlier Level-2 Transformer</t>
        </r>
      </text>
    </comment>
    <comment ref="D14" authorId="0" shapeId="0">
      <text>
        <r>
          <rPr>
            <b/>
            <sz val="9"/>
            <color indexed="81"/>
            <rFont val="Tahoma"/>
            <family val="2"/>
          </rPr>
          <t>Barun Chakraborty:</t>
        </r>
        <r>
          <rPr>
            <sz val="9"/>
            <color indexed="81"/>
            <rFont val="Tahoma"/>
            <family val="2"/>
          </rPr>
          <t xml:space="preserve">
</t>
        </r>
        <r>
          <rPr>
            <sz val="11"/>
            <color indexed="81"/>
            <rFont val="Tahoma"/>
            <family val="2"/>
          </rPr>
          <t>Unit earlier was - Set.</t>
        </r>
      </text>
    </comment>
    <comment ref="B40" authorId="0" shapeId="0">
      <text>
        <r>
          <rPr>
            <b/>
            <sz val="9"/>
            <color indexed="81"/>
            <rFont val="Tahoma"/>
            <family val="2"/>
          </rPr>
          <t>Barun Chakraborty:</t>
        </r>
        <r>
          <rPr>
            <sz val="9"/>
            <color indexed="81"/>
            <rFont val="Tahoma"/>
            <family val="2"/>
          </rPr>
          <t xml:space="preserve">
</t>
        </r>
        <r>
          <rPr>
            <sz val="10"/>
            <color indexed="81"/>
            <rFont val="Tahoma"/>
            <family val="2"/>
          </rPr>
          <t>Earlier name was - CT operated electronic static meters 100/5 Amp. with data storage.</t>
        </r>
      </text>
    </comment>
    <comment ref="B52" authorId="0" shapeId="0">
      <text>
        <r>
          <rPr>
            <b/>
            <sz val="9"/>
            <color indexed="81"/>
            <rFont val="Tahoma"/>
            <family val="2"/>
          </rPr>
          <t>Barun Chakraborty:</t>
        </r>
        <r>
          <rPr>
            <sz val="9"/>
            <color indexed="81"/>
            <rFont val="Tahoma"/>
            <family val="2"/>
          </rPr>
          <t xml:space="preserve">
</t>
        </r>
        <r>
          <rPr>
            <sz val="10"/>
            <color indexed="81"/>
            <rFont val="Tahoma"/>
            <family val="2"/>
          </rPr>
          <t xml:space="preserve">Name changed. Earlier name was - Transport charges upto 50 Kms average lead from Area stores to construction camp including site transport (Transport Sch. T-1) </t>
        </r>
      </text>
    </comment>
  </commentList>
</comments>
</file>

<file path=xl/comments43.xml><?xml version="1.0" encoding="utf-8"?>
<comments xmlns="http://schemas.openxmlformats.org/spreadsheetml/2006/main">
  <authors>
    <author>89326879</author>
    <author>Barun Chakraborty</author>
  </authors>
  <commentList>
    <comment ref="E14" authorId="0" shapeId="0">
      <text>
        <r>
          <rPr>
            <b/>
            <sz val="9"/>
            <color indexed="81"/>
            <rFont val="Tahoma"/>
            <family val="2"/>
          </rPr>
          <t>89326879:</t>
        </r>
        <r>
          <rPr>
            <sz val="9"/>
            <color indexed="81"/>
            <rFont val="Tahoma"/>
            <family val="2"/>
          </rPr>
          <t xml:space="preserve">
Assuming 2 kg M-seal @ Rs 450/- per kg + PVC Plate 10 mm thick</t>
        </r>
      </text>
    </comment>
    <comment ref="B32" authorId="1" shapeId="0">
      <text>
        <r>
          <rPr>
            <b/>
            <sz val="9"/>
            <color indexed="81"/>
            <rFont val="Tahoma"/>
            <family val="2"/>
          </rPr>
          <t>Barun Chakraborty:</t>
        </r>
        <r>
          <rPr>
            <sz val="9"/>
            <color indexed="81"/>
            <rFont val="Tahoma"/>
            <family val="2"/>
          </rPr>
          <t xml:space="preserve">
</t>
        </r>
        <r>
          <rPr>
            <sz val="10"/>
            <color indexed="81"/>
            <rFont val="Tahoma"/>
            <family val="2"/>
          </rPr>
          <t>Name changed. Earlier name was - Labour Charges for excavation of cable trench beyond the length of HDPE Pipe upto DP Structure</t>
        </r>
      </text>
    </comment>
    <comment ref="B33" authorId="1" shapeId="0">
      <text>
        <r>
          <rPr>
            <b/>
            <sz val="9"/>
            <color indexed="81"/>
            <rFont val="Tahoma"/>
            <family val="2"/>
          </rPr>
          <t>Barun Chakraborty:</t>
        </r>
        <r>
          <rPr>
            <sz val="9"/>
            <color indexed="81"/>
            <rFont val="Tahoma"/>
            <family val="2"/>
          </rPr>
          <t xml:space="preserve">
Earlier name was - Transportation Charges</t>
        </r>
      </text>
    </comment>
  </commentList>
</comments>
</file>

<file path=xl/comments44.xml><?xml version="1.0" encoding="utf-8"?>
<comments xmlns="http://schemas.openxmlformats.org/spreadsheetml/2006/main">
  <authors>
    <author>Barun Chakraborty</author>
  </authors>
  <commentList>
    <comment ref="B9" authorId="0" shapeId="0">
      <text>
        <r>
          <rPr>
            <b/>
            <sz val="9"/>
            <color indexed="81"/>
            <rFont val="Tahoma"/>
            <family val="2"/>
          </rPr>
          <t>Barun Chakraborty:</t>
        </r>
        <r>
          <rPr>
            <sz val="9"/>
            <color indexed="81"/>
            <rFont val="Tahoma"/>
            <family val="2"/>
          </rPr>
          <t xml:space="preserve">
Name changed - Earlier Level-2 Transformer</t>
        </r>
      </text>
    </comment>
    <comment ref="B48"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 to const. camping site transport</t>
        </r>
      </text>
    </comment>
  </commentList>
</comments>
</file>

<file path=xl/comments45.xml><?xml version="1.0" encoding="utf-8"?>
<comments xmlns="http://schemas.openxmlformats.org/spreadsheetml/2006/main">
  <authors>
    <author>Barun Chakraborty</author>
  </authors>
  <commentList>
    <comment ref="B11" authorId="0" shapeId="0">
      <text>
        <r>
          <rPr>
            <b/>
            <sz val="9"/>
            <color indexed="81"/>
            <rFont val="Tahoma"/>
            <family val="2"/>
          </rPr>
          <t>Barun Chakraborty:</t>
        </r>
        <r>
          <rPr>
            <sz val="9"/>
            <color indexed="81"/>
            <rFont val="Tahoma"/>
            <family val="2"/>
          </rPr>
          <t xml:space="preserve">
Name changed - Earlier Level-2 Transformer</t>
        </r>
      </text>
    </comment>
    <comment ref="B12" authorId="0" shapeId="0">
      <text>
        <r>
          <rPr>
            <b/>
            <sz val="9"/>
            <color indexed="81"/>
            <rFont val="Tahoma"/>
            <family val="2"/>
          </rPr>
          <t>Barun Chakraborty:</t>
        </r>
        <r>
          <rPr>
            <sz val="9"/>
            <color indexed="81"/>
            <rFont val="Tahoma"/>
            <family val="2"/>
          </rPr>
          <t xml:space="preserve">
Name changed - Earlier Level-2 Transformer</t>
        </r>
      </text>
    </comment>
    <comment ref="B13" authorId="0" shapeId="0">
      <text>
        <r>
          <rPr>
            <b/>
            <sz val="9"/>
            <color indexed="81"/>
            <rFont val="Tahoma"/>
            <family val="2"/>
          </rPr>
          <t>Barun Chakraborty:</t>
        </r>
        <r>
          <rPr>
            <sz val="9"/>
            <color indexed="81"/>
            <rFont val="Tahoma"/>
            <family val="2"/>
          </rPr>
          <t xml:space="preserve">
Name changed - Earlier Level-2 Transformer</t>
        </r>
      </text>
    </comment>
    <comment ref="B26" authorId="0" shapeId="0">
      <text>
        <r>
          <rPr>
            <b/>
            <sz val="9"/>
            <color indexed="81"/>
            <rFont val="Tahoma"/>
            <family val="2"/>
          </rPr>
          <t>Barun Chakraborty:</t>
        </r>
        <r>
          <rPr>
            <sz val="9"/>
            <color indexed="81"/>
            <rFont val="Tahoma"/>
            <family val="2"/>
          </rPr>
          <t xml:space="preserve">
Name changed. Earlier name was - Concreting of support [0.3 Cmt per RSJ, 0.5 Cmt per H-Beam, 0.2 Cmt per stay, 9 cub.m. (1.5x1.5x4 m) for  X-mer plinth] (1:3:6)</t>
        </r>
      </text>
    </comment>
    <comment ref="F26" authorId="0" shapeId="0">
      <text>
        <r>
          <rPr>
            <b/>
            <sz val="9"/>
            <color indexed="81"/>
            <rFont val="Tahoma"/>
            <family val="2"/>
          </rPr>
          <t>Barun Chakraborty:</t>
        </r>
        <r>
          <rPr>
            <sz val="9"/>
            <color indexed="81"/>
            <rFont val="Tahoma"/>
            <family val="2"/>
          </rPr>
          <t xml:space="preserve">
Earlier it was -10.4</t>
        </r>
      </text>
    </comment>
    <comment ref="H26" authorId="0" shapeId="0">
      <text>
        <r>
          <rPr>
            <b/>
            <sz val="9"/>
            <color indexed="81"/>
            <rFont val="Tahoma"/>
            <family val="2"/>
          </rPr>
          <t>Barun Chakraborty:</t>
        </r>
        <r>
          <rPr>
            <sz val="9"/>
            <color indexed="81"/>
            <rFont val="Tahoma"/>
            <family val="2"/>
          </rPr>
          <t xml:space="preserve">
Earlier it was - 10.4</t>
        </r>
      </text>
    </comment>
    <comment ref="J26" authorId="0" shapeId="0">
      <text>
        <r>
          <rPr>
            <b/>
            <sz val="9"/>
            <color indexed="81"/>
            <rFont val="Tahoma"/>
            <family val="2"/>
          </rPr>
          <t>Barun Chakraborty:</t>
        </r>
        <r>
          <rPr>
            <sz val="9"/>
            <color indexed="81"/>
            <rFont val="Tahoma"/>
            <family val="2"/>
          </rPr>
          <t xml:space="preserve">
Earlier it was - 10.8</t>
        </r>
      </text>
    </comment>
    <comment ref="B58" authorId="0" shapeId="0">
      <text>
        <r>
          <rPr>
            <b/>
            <sz val="9"/>
            <color indexed="81"/>
            <rFont val="Tahoma"/>
            <family val="2"/>
          </rPr>
          <t>Barun Chakraborty:</t>
        </r>
        <r>
          <rPr>
            <sz val="9"/>
            <color indexed="81"/>
            <rFont val="Tahoma"/>
            <family val="2"/>
          </rPr>
          <t xml:space="preserve">
Name changed. Earlier name was - Transportation Charges</t>
        </r>
      </text>
    </comment>
  </commentList>
</comments>
</file>

<file path=xl/comments46.xml><?xml version="1.0" encoding="utf-8"?>
<comments xmlns="http://schemas.openxmlformats.org/spreadsheetml/2006/main">
  <authors>
    <author>Barun Chakraborty</author>
  </authors>
  <commentList>
    <comment ref="B34" authorId="0" shapeId="0">
      <text>
        <r>
          <rPr>
            <b/>
            <sz val="9"/>
            <color indexed="81"/>
            <rFont val="Tahoma"/>
            <family val="2"/>
          </rPr>
          <t>Barun Chakraborty:</t>
        </r>
        <r>
          <rPr>
            <sz val="9"/>
            <color indexed="81"/>
            <rFont val="Tahoma"/>
            <family val="2"/>
          </rPr>
          <t xml:space="preserve">
Earlier name was - Transportation Charges</t>
        </r>
      </text>
    </comment>
  </commentList>
</comments>
</file>

<file path=xl/comments47.xml><?xml version="1.0" encoding="utf-8"?>
<comments xmlns="http://schemas.openxmlformats.org/spreadsheetml/2006/main">
  <authors>
    <author>Barun Chakraborty</author>
  </authors>
  <commentList>
    <comment ref="B33" authorId="0" shapeId="0">
      <text>
        <r>
          <rPr>
            <b/>
            <sz val="9"/>
            <color indexed="81"/>
            <rFont val="Tahoma"/>
            <family val="2"/>
          </rPr>
          <t>Barun Chakraborty:</t>
        </r>
        <r>
          <rPr>
            <sz val="9"/>
            <color indexed="81"/>
            <rFont val="Tahoma"/>
            <family val="2"/>
          </rPr>
          <t xml:space="preserve">
Item replaced. Earlier item was - " Universal Meter Box for HT meters"</t>
        </r>
      </text>
    </comment>
    <comment ref="C33" authorId="0" shapeId="0">
      <text>
        <r>
          <rPr>
            <b/>
            <sz val="9"/>
            <color indexed="81"/>
            <rFont val="Tahoma"/>
            <family val="2"/>
          </rPr>
          <t>Barun Chakraborty:</t>
        </r>
        <r>
          <rPr>
            <sz val="9"/>
            <color indexed="81"/>
            <rFont val="Tahoma"/>
            <family val="2"/>
          </rPr>
          <t xml:space="preserve">
Bin code replaced. Earlier bin code was - 7132406425</t>
        </r>
      </text>
    </comment>
    <comment ref="C34" authorId="0" shapeId="0">
      <text>
        <r>
          <rPr>
            <b/>
            <sz val="9"/>
            <color indexed="81"/>
            <rFont val="Tahoma"/>
            <family val="2"/>
          </rPr>
          <t>Barun Chakraborty:</t>
        </r>
        <r>
          <rPr>
            <sz val="9"/>
            <color indexed="81"/>
            <rFont val="Tahoma"/>
            <family val="2"/>
          </rPr>
          <t xml:space="preserve">
Bin code changed. Old bin code was - 7131310037</t>
        </r>
      </text>
    </comment>
    <comment ref="B40"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 site transport (Transport Sch. T-1)</t>
        </r>
      </text>
    </comment>
  </commentList>
</comments>
</file>

<file path=xl/comments48.xml><?xml version="1.0" encoding="utf-8"?>
<comments xmlns="http://schemas.openxmlformats.org/spreadsheetml/2006/main">
  <authors>
    <author>Barun Chakraborty</author>
  </authors>
  <commentList>
    <comment ref="B37" authorId="0" shapeId="0">
      <text>
        <r>
          <rPr>
            <b/>
            <sz val="9"/>
            <color indexed="81"/>
            <rFont val="Tahoma"/>
            <family val="2"/>
          </rPr>
          <t>Barun Chakraborty:</t>
        </r>
        <r>
          <rPr>
            <sz val="9"/>
            <color indexed="81"/>
            <rFont val="Tahoma"/>
            <family val="2"/>
          </rPr>
          <t xml:space="preserve">
Name changed. Earlier name was - Transport Charges</t>
        </r>
      </text>
    </comment>
  </commentList>
</comments>
</file>

<file path=xl/comments49.xml><?xml version="1.0" encoding="utf-8"?>
<comments xmlns="http://schemas.openxmlformats.org/spreadsheetml/2006/main">
  <authors>
    <author>Barun Chakraborty</author>
  </authors>
  <commentList>
    <comment ref="B18" authorId="0" shapeId="0">
      <text>
        <r>
          <rPr>
            <b/>
            <sz val="9"/>
            <color indexed="81"/>
            <rFont val="Tahoma"/>
            <family val="2"/>
          </rPr>
          <t>Barun Chakraborty:</t>
        </r>
        <r>
          <rPr>
            <sz val="9"/>
            <color indexed="81"/>
            <rFont val="Tahoma"/>
            <family val="2"/>
          </rPr>
          <t xml:space="preserve">
Earlier name was - Transportation Charges</t>
        </r>
      </text>
    </comment>
  </commentList>
</comments>
</file>

<file path=xl/comments5.xml><?xml version="1.0" encoding="utf-8"?>
<comments xmlns="http://schemas.openxmlformats.org/spreadsheetml/2006/main">
  <authors>
    <author>Barun Chakraborty</author>
  </authors>
  <commentList>
    <comment ref="B55"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including site Transport (Trans. Schedule T-1) </t>
        </r>
      </text>
    </comment>
  </commentList>
</comments>
</file>

<file path=xl/comments50.xml><?xml version="1.0" encoding="utf-8"?>
<comments xmlns="http://schemas.openxmlformats.org/spreadsheetml/2006/main">
  <authors>
    <author>Barun Chakraborty</author>
  </authors>
  <commentList>
    <comment ref="B16"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51.xml><?xml version="1.0" encoding="utf-8"?>
<comments xmlns="http://schemas.openxmlformats.org/spreadsheetml/2006/main">
  <authors>
    <author>Barun Chakraborty</author>
  </authors>
  <commentList>
    <comment ref="B44"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 to const. camping site transport</t>
        </r>
      </text>
    </comment>
  </commentList>
</comments>
</file>

<file path=xl/comments52.xml><?xml version="1.0" encoding="utf-8"?>
<comments xmlns="http://schemas.openxmlformats.org/spreadsheetml/2006/main">
  <authors>
    <author>Barun Chakraborty</author>
  </authors>
  <commentList>
    <comment ref="B38"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 site transport (Transport Sch. T-1) </t>
        </r>
      </text>
    </comment>
  </commentList>
</comments>
</file>

<file path=xl/comments53.xml><?xml version="1.0" encoding="utf-8"?>
<comments xmlns="http://schemas.openxmlformats.org/spreadsheetml/2006/main">
  <authors>
    <author>Barun Chakraborty</author>
  </authors>
  <commentList>
    <comment ref="B38"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including site transport (Transport Sch T-1)</t>
        </r>
      </text>
    </comment>
  </commentList>
</comments>
</file>

<file path=xl/comments54.xml><?xml version="1.0" encoding="utf-8"?>
<comments xmlns="http://schemas.openxmlformats.org/spreadsheetml/2006/main">
  <authors>
    <author>Barun Chakraborty</author>
  </authors>
  <commentList>
    <comment ref="B40"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including site transport (Transport Sch T-1)</t>
        </r>
      </text>
    </comment>
  </commentList>
</comments>
</file>

<file path=xl/comments55.xml><?xml version="1.0" encoding="utf-8"?>
<comments xmlns="http://schemas.openxmlformats.org/spreadsheetml/2006/main">
  <authors>
    <author>Barun Chakraborty</author>
  </authors>
  <commentList>
    <comment ref="F5" authorId="0" shapeId="0">
      <text>
        <r>
          <rPr>
            <b/>
            <sz val="9"/>
            <color indexed="81"/>
            <rFont val="Tahoma"/>
            <family val="2"/>
          </rPr>
          <t>Barun Chakraborty:</t>
        </r>
        <r>
          <rPr>
            <sz val="9"/>
            <color indexed="81"/>
            <rFont val="Tahoma"/>
            <family val="2"/>
          </rPr>
          <t xml:space="preserve">
Name changed. Earlier name was - 3 Ph, 5 Wire line on RSJ 125x70 mm 9.3 Mtr long with max. span 45 Mtrs for size of conductor upto 3x50 Sqmm + 2x30 Sqmm ACSR</t>
        </r>
      </text>
    </comment>
    <comment ref="B8" authorId="0" shapeId="0">
      <text>
        <r>
          <rPr>
            <b/>
            <sz val="9"/>
            <color indexed="81"/>
            <rFont val="Tahoma"/>
            <family val="2"/>
          </rPr>
          <t>Barun Chakraborty:</t>
        </r>
        <r>
          <rPr>
            <sz val="9"/>
            <color indexed="81"/>
            <rFont val="Tahoma"/>
            <family val="2"/>
          </rPr>
          <t xml:space="preserve">
Item changed. Earlier item was - (i) R.S. Joist (125x70 mm) 9.3 Mtr long @13.198 Kg = 122.74 kg/pole x 22 No = 2700.28 Kgs </t>
        </r>
      </text>
    </comment>
    <comment ref="C8" authorId="0" shapeId="0">
      <text>
        <r>
          <rPr>
            <b/>
            <sz val="9"/>
            <color indexed="81"/>
            <rFont val="Tahoma"/>
            <family val="2"/>
          </rPr>
          <t>Barun Chakraborty:</t>
        </r>
        <r>
          <rPr>
            <sz val="9"/>
            <color indexed="81"/>
            <rFont val="Tahoma"/>
            <family val="2"/>
          </rPr>
          <t xml:space="preserve">
Old Bin code was - 7130600635</t>
        </r>
      </text>
    </comment>
    <comment ref="B37"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 site transport (Transport Sch T-1)</t>
        </r>
      </text>
    </comment>
  </commentList>
</comments>
</file>

<file path=xl/comments56.xml><?xml version="1.0" encoding="utf-8"?>
<comments xmlns="http://schemas.openxmlformats.org/spreadsheetml/2006/main">
  <authors>
    <author>Barun Chakraborty</author>
  </authors>
  <commentList>
    <comment ref="B10" authorId="0" shapeId="0">
      <text>
        <r>
          <rPr>
            <b/>
            <sz val="9"/>
            <color indexed="81"/>
            <rFont val="Tahoma"/>
            <family val="2"/>
          </rPr>
          <t>Barun Chakraborty:</t>
        </r>
        <r>
          <rPr>
            <sz val="9"/>
            <color indexed="81"/>
            <rFont val="Tahoma"/>
            <family val="2"/>
          </rPr>
          <t xml:space="preserve">
Material replaced. Earlier it was - R.S.Joist (125x70 mm) 9.3 Mtr long @ 13.198 Kg/mtr = 122.74 Kg/pole x 22 Nos = 2700.28 Kgs.</t>
        </r>
      </text>
    </comment>
    <comment ref="B39"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including site transport (Transport Sch T-1)</t>
        </r>
      </text>
    </comment>
  </commentList>
</comments>
</file>

<file path=xl/comments57.xml><?xml version="1.0" encoding="utf-8"?>
<comments xmlns="http://schemas.openxmlformats.org/spreadsheetml/2006/main">
  <authors>
    <author>Barun Chakraborty</author>
  </authors>
  <commentList>
    <comment ref="B46"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58.xml><?xml version="1.0" encoding="utf-8"?>
<comments xmlns="http://schemas.openxmlformats.org/spreadsheetml/2006/main">
  <authors>
    <author>Barun Chakraborty</author>
  </authors>
  <commentList>
    <comment ref="B46"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59.xml><?xml version="1.0" encoding="utf-8"?>
<comments xmlns="http://schemas.openxmlformats.org/spreadsheetml/2006/main">
  <authors>
    <author>Barun Chakraborty</author>
  </authors>
  <commentList>
    <comment ref="B41"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stores to construction camp including site transport (Transport Sch T-1)</t>
        </r>
      </text>
    </comment>
  </commentList>
</comments>
</file>

<file path=xl/comments6.xml><?xml version="1.0" encoding="utf-8"?>
<comments xmlns="http://schemas.openxmlformats.org/spreadsheetml/2006/main">
  <authors>
    <author>Barun Chakraborty</author>
  </authors>
  <commentList>
    <comment ref="B31" authorId="0" shapeId="0">
      <text>
        <r>
          <rPr>
            <b/>
            <sz val="9"/>
            <color indexed="81"/>
            <rFont val="Tahoma"/>
            <family val="2"/>
          </rPr>
          <t>Barun Chakraborty:</t>
        </r>
        <r>
          <rPr>
            <sz val="9"/>
            <color indexed="81"/>
            <rFont val="Tahoma"/>
            <family val="2"/>
          </rPr>
          <t xml:space="preserve">
Earlier name was - Labour charges as per Schedule No.- AL-3 (B) (Revised for one Pole)</t>
        </r>
      </text>
    </comment>
    <comment ref="B32" authorId="0" shapeId="0">
      <text>
        <r>
          <rPr>
            <b/>
            <sz val="9"/>
            <color indexed="81"/>
            <rFont val="Tahoma"/>
            <family val="2"/>
          </rPr>
          <t>Barun Chakraborty:</t>
        </r>
        <r>
          <rPr>
            <sz val="9"/>
            <color indexed="81"/>
            <rFont val="Tahoma"/>
            <family val="2"/>
          </rPr>
          <t xml:space="preserve">
Earlier name was - Transport charges upto 50 Kms average lead from area stores to construction camp including site Transport (Trans. Schedule T-1) </t>
        </r>
      </text>
    </comment>
  </commentList>
</comments>
</file>

<file path=xl/comments60.xml><?xml version="1.0" encoding="utf-8"?>
<comments xmlns="http://schemas.openxmlformats.org/spreadsheetml/2006/main">
  <authors>
    <author>Barun Chakraborty</author>
  </authors>
  <commentList>
    <comment ref="B43"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61.xml><?xml version="1.0" encoding="utf-8"?>
<comments xmlns="http://schemas.openxmlformats.org/spreadsheetml/2006/main">
  <authors>
    <author>Barun Chakraborty</author>
  </authors>
  <commentList>
    <comment ref="B7" authorId="0" shapeId="0">
      <text>
        <r>
          <rPr>
            <b/>
            <sz val="9"/>
            <color indexed="81"/>
            <rFont val="Tahoma"/>
            <family val="2"/>
          </rPr>
          <t>Barun Chakraborty:</t>
        </r>
        <r>
          <rPr>
            <sz val="9"/>
            <color indexed="81"/>
            <rFont val="Tahoma"/>
            <family val="2"/>
          </rPr>
          <t xml:space="preserve">
Material replaced. Earlier it was - RSJ (125x70 mm) 9.3 Mtr long @ 13.198 kg</t>
        </r>
      </text>
    </comment>
    <comment ref="B21" authorId="0" shapeId="0">
      <text>
        <r>
          <rPr>
            <b/>
            <sz val="9"/>
            <color indexed="81"/>
            <rFont val="Tahoma"/>
            <family val="2"/>
          </rPr>
          <t>Barun Chakraborty:</t>
        </r>
        <r>
          <rPr>
            <sz val="9"/>
            <color indexed="81"/>
            <rFont val="Tahoma"/>
            <family val="2"/>
          </rPr>
          <t xml:space="preserve">
Earlier name was - Transportation Charges</t>
        </r>
      </text>
    </comment>
  </commentList>
</comments>
</file>

<file path=xl/comments62.xml><?xml version="1.0" encoding="utf-8"?>
<comments xmlns="http://schemas.openxmlformats.org/spreadsheetml/2006/main">
  <authors>
    <author>Barun Chakraborty</author>
  </authors>
  <commentList>
    <comment ref="B8" authorId="0" shapeId="0">
      <text>
        <r>
          <rPr>
            <b/>
            <sz val="9"/>
            <color indexed="81"/>
            <rFont val="Tahoma"/>
            <family val="2"/>
          </rPr>
          <t>Barun Chakraborty:</t>
        </r>
        <r>
          <rPr>
            <sz val="9"/>
            <color indexed="81"/>
            <rFont val="Tahoma"/>
            <family val="2"/>
          </rPr>
          <t xml:space="preserve">
Name changed - Earlier Level-2 Transformer</t>
        </r>
      </text>
    </comment>
    <comment ref="B9" authorId="0" shapeId="0">
      <text>
        <r>
          <rPr>
            <b/>
            <sz val="9"/>
            <color indexed="81"/>
            <rFont val="Tahoma"/>
            <family val="2"/>
          </rPr>
          <t>Barun Chakraborty:</t>
        </r>
        <r>
          <rPr>
            <sz val="9"/>
            <color indexed="81"/>
            <rFont val="Tahoma"/>
            <family val="2"/>
          </rPr>
          <t xml:space="preserve">
Name changed - Earlier Level-2 Transformer</t>
        </r>
      </text>
    </comment>
    <comment ref="B51"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63.xml><?xml version="1.0" encoding="utf-8"?>
<comments xmlns="http://schemas.openxmlformats.org/spreadsheetml/2006/main">
  <authors>
    <author>Barun Chakraborty</author>
  </authors>
  <commentList>
    <comment ref="B8" authorId="0" shapeId="0">
      <text>
        <r>
          <rPr>
            <b/>
            <sz val="9"/>
            <color indexed="81"/>
            <rFont val="Tahoma"/>
            <family val="2"/>
          </rPr>
          <t>Barun Chakraborty:</t>
        </r>
        <r>
          <rPr>
            <sz val="9"/>
            <color indexed="81"/>
            <rFont val="Tahoma"/>
            <family val="2"/>
          </rPr>
          <t xml:space="preserve">
Name changed - Earlier Level-2 Transformer</t>
        </r>
      </text>
    </comment>
    <comment ref="B9" authorId="0" shapeId="0">
      <text>
        <r>
          <rPr>
            <b/>
            <sz val="9"/>
            <color indexed="81"/>
            <rFont val="Tahoma"/>
            <family val="2"/>
          </rPr>
          <t>Barun Chakraborty:</t>
        </r>
        <r>
          <rPr>
            <sz val="9"/>
            <color indexed="81"/>
            <rFont val="Tahoma"/>
            <family val="2"/>
          </rPr>
          <t xml:space="preserve">
Name changed - Earlier Level-2 Transformer</t>
        </r>
      </text>
    </comment>
    <comment ref="B51"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64.xml><?xml version="1.0" encoding="utf-8"?>
<comments xmlns="http://schemas.openxmlformats.org/spreadsheetml/2006/main">
  <authors>
    <author>Barun Chakraborty</author>
  </authors>
  <commentList>
    <comment ref="B8" authorId="0" shapeId="0">
      <text>
        <r>
          <rPr>
            <b/>
            <sz val="9"/>
            <color indexed="81"/>
            <rFont val="Tahoma"/>
            <family val="2"/>
          </rPr>
          <t>Barun Chakraborty:</t>
        </r>
        <r>
          <rPr>
            <sz val="9"/>
            <color indexed="81"/>
            <rFont val="Tahoma"/>
            <family val="2"/>
          </rPr>
          <t xml:space="preserve">
Name changed - Earlier Level-2 Transformer</t>
        </r>
      </text>
    </comment>
    <comment ref="B9" authorId="0" shapeId="0">
      <text>
        <r>
          <rPr>
            <b/>
            <sz val="9"/>
            <color indexed="81"/>
            <rFont val="Tahoma"/>
            <family val="2"/>
          </rPr>
          <t>Barun Chakraborty:</t>
        </r>
        <r>
          <rPr>
            <sz val="9"/>
            <color indexed="81"/>
            <rFont val="Tahoma"/>
            <family val="2"/>
          </rPr>
          <t xml:space="preserve">
Name changed - Earlier Level-2 Transformer</t>
        </r>
      </text>
    </comment>
    <comment ref="B51"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65.xml><?xml version="1.0" encoding="utf-8"?>
<comments xmlns="http://schemas.openxmlformats.org/spreadsheetml/2006/main">
  <authors>
    <author>Barun Chakraborty</author>
  </authors>
  <commentList>
    <comment ref="B36"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 to const. camping site transport</t>
        </r>
      </text>
    </comment>
  </commentList>
</comments>
</file>

<file path=xl/comments66.xml><?xml version="1.0" encoding="utf-8"?>
<comments xmlns="http://schemas.openxmlformats.org/spreadsheetml/2006/main">
  <authors>
    <author>Barun Chakraborty</author>
  </authors>
  <commentList>
    <comment ref="B24" authorId="0" shapeId="0">
      <text>
        <r>
          <rPr>
            <b/>
            <sz val="9"/>
            <color indexed="81"/>
            <rFont val="Tahoma"/>
            <family val="2"/>
          </rPr>
          <t>Barun Chakraborty:</t>
        </r>
        <r>
          <rPr>
            <sz val="9"/>
            <color indexed="81"/>
            <rFont val="Tahoma"/>
            <family val="2"/>
          </rPr>
          <t xml:space="preserve">
Earlier name was - SUB TOTAL-1 </t>
        </r>
      </text>
    </comment>
    <comment ref="B28" authorId="0" shapeId="0">
      <text>
        <r>
          <rPr>
            <b/>
            <sz val="9"/>
            <color indexed="81"/>
            <rFont val="Tahoma"/>
            <family val="2"/>
          </rPr>
          <t>Barun Chakraborty:</t>
        </r>
        <r>
          <rPr>
            <sz val="9"/>
            <color indexed="81"/>
            <rFont val="Tahoma"/>
            <family val="2"/>
          </rPr>
          <t xml:space="preserve">
Name changed. Earlier name was - Transportation Charges </t>
        </r>
      </text>
    </comment>
  </commentList>
</comments>
</file>

<file path=xl/comments67.xml><?xml version="1.0" encoding="utf-8"?>
<comments xmlns="http://schemas.openxmlformats.org/spreadsheetml/2006/main">
  <authors>
    <author>Barun Chakraborty</author>
  </authors>
  <commentList>
    <comment ref="B39"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 to construction camping site transport</t>
        </r>
      </text>
    </comment>
  </commentList>
</comments>
</file>

<file path=xl/comments68.xml><?xml version="1.0" encoding="utf-8"?>
<comments xmlns="http://schemas.openxmlformats.org/spreadsheetml/2006/main">
  <authors>
    <author>Barun Chakraborty</author>
  </authors>
  <commentList>
    <comment ref="B38" authorId="0" shapeId="0">
      <text>
        <r>
          <rPr>
            <b/>
            <sz val="9"/>
            <color indexed="81"/>
            <rFont val="Tahoma"/>
            <family val="2"/>
          </rPr>
          <t>Barun Chakraborty:</t>
        </r>
        <r>
          <rPr>
            <sz val="9"/>
            <color indexed="81"/>
            <rFont val="Tahoma"/>
            <family val="2"/>
          </rPr>
          <t xml:space="preserve">
Name changed. Earlier name was - Transport charges upto 50 Kms. Average lead from Area Store to construction camping site transport</t>
        </r>
      </text>
    </comment>
  </commentList>
</comments>
</file>

<file path=xl/comments69.xml><?xml version="1.0" encoding="utf-8"?>
<comments xmlns="http://schemas.openxmlformats.org/spreadsheetml/2006/main">
  <authors>
    <author>Barun Chakraborty</author>
  </authors>
  <commentList>
    <comment ref="E7" authorId="0" shapeId="0">
      <text>
        <r>
          <rPr>
            <b/>
            <sz val="9"/>
            <color indexed="81"/>
            <rFont val="Tahoma"/>
            <family val="2"/>
          </rPr>
          <t>Barun Chakraborty:</t>
        </r>
        <r>
          <rPr>
            <sz val="9"/>
            <color indexed="81"/>
            <rFont val="Tahoma"/>
            <family val="2"/>
          </rPr>
          <t xml:space="preserve">
Earlier name was - Rate per Distribution Box 
</t>
        </r>
      </text>
    </comment>
    <comment ref="G7" authorId="0" shapeId="0">
      <text>
        <r>
          <rPr>
            <b/>
            <sz val="9"/>
            <color indexed="81"/>
            <rFont val="Tahoma"/>
            <family val="2"/>
          </rPr>
          <t>Barun Chakraborty:</t>
        </r>
        <r>
          <rPr>
            <sz val="9"/>
            <color indexed="81"/>
            <rFont val="Tahoma"/>
            <family val="2"/>
          </rPr>
          <t xml:space="preserve">
Earlier name was - Incidental Charges (9%)</t>
        </r>
      </text>
    </comment>
    <comment ref="I7" authorId="0" shapeId="0">
      <text>
        <r>
          <rPr>
            <b/>
            <sz val="9"/>
            <color indexed="81"/>
            <rFont val="Tahoma"/>
            <family val="2"/>
          </rPr>
          <t>Barun Chakraborty:</t>
        </r>
        <r>
          <rPr>
            <sz val="9"/>
            <color indexed="81"/>
            <rFont val="Tahoma"/>
            <family val="2"/>
          </rPr>
          <t xml:space="preserve">
Earlier name was - Cost per Distribution Box
</t>
        </r>
      </text>
    </comment>
  </commentList>
</comments>
</file>

<file path=xl/comments7.xml><?xml version="1.0" encoding="utf-8"?>
<comments xmlns="http://schemas.openxmlformats.org/spreadsheetml/2006/main">
  <authors>
    <author>Barun Chakraborty</author>
  </authors>
  <commentList>
    <comment ref="B50" authorId="0" shapeId="0">
      <text>
        <r>
          <rPr>
            <b/>
            <sz val="9"/>
            <color indexed="81"/>
            <rFont val="Tahoma"/>
            <family val="2"/>
          </rPr>
          <t>Barun Chakraborty:</t>
        </r>
        <r>
          <rPr>
            <sz val="9"/>
            <color indexed="81"/>
            <rFont val="Tahoma"/>
            <family val="2"/>
          </rPr>
          <t xml:space="preserve">
Earlier name was - Transport Charges up to 50 km average lead from area Stores to Construction Camp Including Side Transport </t>
        </r>
      </text>
    </comment>
  </commentList>
</comments>
</file>

<file path=xl/comments70.xml><?xml version="1.0" encoding="utf-8"?>
<comments xmlns="http://schemas.openxmlformats.org/spreadsheetml/2006/main">
  <authors>
    <author>Barun Chakraborty</author>
  </authors>
  <commentList>
    <comment ref="B11" authorId="0" shapeId="0">
      <text>
        <r>
          <rPr>
            <b/>
            <sz val="9"/>
            <color indexed="81"/>
            <rFont val="Tahoma"/>
            <family val="2"/>
          </rPr>
          <t>Barun Chakraborty:</t>
        </r>
        <r>
          <rPr>
            <sz val="9"/>
            <color indexed="81"/>
            <rFont val="Tahoma"/>
            <family val="2"/>
          </rPr>
          <t xml:space="preserve">
Earlier name was - CT operated electronic static meters 100/5 Amp. With data storage.</t>
        </r>
      </text>
    </comment>
  </commentList>
</comments>
</file>

<file path=xl/comments71.xml><?xml version="1.0" encoding="utf-8"?>
<comments xmlns="http://schemas.openxmlformats.org/spreadsheetml/2006/main">
  <authors>
    <author>Barun Chakraborty</author>
  </authors>
  <commentList>
    <comment ref="B8" authorId="0" shapeId="0">
      <text>
        <r>
          <rPr>
            <b/>
            <sz val="9"/>
            <color indexed="81"/>
            <rFont val="Tahoma"/>
            <family val="2"/>
          </rPr>
          <t>Barun Chakraborty:</t>
        </r>
        <r>
          <rPr>
            <sz val="9"/>
            <color indexed="81"/>
            <rFont val="Tahoma"/>
            <family val="2"/>
          </rPr>
          <t xml:space="preserve">
Earlier name was - CT operated electronic static meters 100/5 Amp. With data storage.</t>
        </r>
      </text>
    </comment>
  </commentList>
</comments>
</file>

<file path=xl/comments8.xml><?xml version="1.0" encoding="utf-8"?>
<comments xmlns="http://schemas.openxmlformats.org/spreadsheetml/2006/main">
  <authors>
    <author>Barun Chakraborty</author>
  </authors>
  <commentList>
    <comment ref="B41" authorId="0" shapeId="0">
      <text>
        <r>
          <rPr>
            <b/>
            <sz val="9"/>
            <color indexed="81"/>
            <rFont val="Tahoma"/>
            <family val="2"/>
          </rPr>
          <t>Barun Chakraborty:</t>
        </r>
        <r>
          <rPr>
            <sz val="9"/>
            <color indexed="81"/>
            <rFont val="Tahoma"/>
            <family val="2"/>
          </rPr>
          <t xml:space="preserve">
Earlier name was - Transport Charges up to 50 km. average lead from area Stores to Construction Camp including Side Transport (Transport Schedule T-1)</t>
        </r>
      </text>
    </comment>
  </commentList>
</comments>
</file>

<file path=xl/comments9.xml><?xml version="1.0" encoding="utf-8"?>
<comments xmlns="http://schemas.openxmlformats.org/spreadsheetml/2006/main">
  <authors>
    <author>89326879</author>
    <author>Barun Chakraborty</author>
  </authors>
  <commentList>
    <comment ref="E15" authorId="0" shapeId="0">
      <text>
        <r>
          <rPr>
            <b/>
            <sz val="9"/>
            <color indexed="81"/>
            <rFont val="Tahoma"/>
            <family val="2"/>
          </rPr>
          <t>89326879:</t>
        </r>
        <r>
          <rPr>
            <sz val="9"/>
            <color indexed="81"/>
            <rFont val="Tahoma"/>
            <family val="2"/>
          </rPr>
          <t xml:space="preserve">
Assuming 2 kg M-seal @ Rs 450/- per kg + PVC Plate 10 mm thick</t>
        </r>
      </text>
    </comment>
    <comment ref="B20" authorId="1" shapeId="0">
      <text>
        <r>
          <rPr>
            <b/>
            <sz val="9"/>
            <color indexed="81"/>
            <rFont val="Tahoma"/>
            <family val="2"/>
          </rPr>
          <t>Barun Chakraborty:</t>
        </r>
        <r>
          <rPr>
            <sz val="9"/>
            <color indexed="81"/>
            <rFont val="Tahoma"/>
            <family val="2"/>
          </rPr>
          <t xml:space="preserve">
Name changed. Earlier name was - 33 kV Polymer Lightning Arrestors</t>
        </r>
      </text>
    </comment>
    <comment ref="G33" authorId="0" shapeId="0">
      <text>
        <r>
          <rPr>
            <b/>
            <sz val="9"/>
            <color indexed="81"/>
            <rFont val="Tahoma"/>
            <family val="2"/>
          </rPr>
          <t xml:space="preserve">89326879: </t>
        </r>
        <r>
          <rPr>
            <b/>
            <sz val="14"/>
            <color indexed="81"/>
            <rFont val="Arial"/>
            <family val="2"/>
          </rPr>
          <t>***</t>
        </r>
        <r>
          <rPr>
            <sz val="9"/>
            <color indexed="81"/>
            <rFont val="Tahoma"/>
            <family val="2"/>
          </rPr>
          <t xml:space="preserve">
</t>
        </r>
      </text>
    </comment>
    <comment ref="B34" authorId="1" shapeId="0">
      <text>
        <r>
          <rPr>
            <b/>
            <sz val="9"/>
            <color indexed="81"/>
            <rFont val="Tahoma"/>
            <family val="2"/>
          </rPr>
          <t>Barun Chakraborty:</t>
        </r>
        <r>
          <rPr>
            <sz val="9"/>
            <color indexed="81"/>
            <rFont val="Tahoma"/>
            <family val="2"/>
          </rPr>
          <t xml:space="preserve">
Name changed. Earlier name was - Labour Charges for excavation of cable trench beyond the length of HDPE Pipe upto DP Structure</t>
        </r>
      </text>
    </comment>
    <comment ref="B35" authorId="1" shapeId="0">
      <text>
        <r>
          <rPr>
            <b/>
            <sz val="9"/>
            <color indexed="81"/>
            <rFont val="Tahoma"/>
            <family val="2"/>
          </rPr>
          <t>Barun Chakraborty:</t>
        </r>
        <r>
          <rPr>
            <sz val="9"/>
            <color indexed="81"/>
            <rFont val="Tahoma"/>
            <family val="2"/>
          </rPr>
          <t xml:space="preserve">
Earlier name was - Transportation Charges</t>
        </r>
      </text>
    </comment>
    <comment ref="H41" authorId="0" shapeId="0">
      <text>
        <r>
          <rPr>
            <b/>
            <sz val="9"/>
            <color indexed="81"/>
            <rFont val="Tahoma"/>
            <family val="2"/>
          </rPr>
          <t>89326879:</t>
        </r>
        <r>
          <rPr>
            <sz val="9"/>
            <color indexed="81"/>
            <rFont val="Tahoma"/>
            <family val="2"/>
          </rPr>
          <t xml:space="preserve">
Fill appropriate cost here</t>
        </r>
      </text>
    </comment>
  </commentList>
</comments>
</file>

<file path=xl/sharedStrings.xml><?xml version="1.0" encoding="utf-8"?>
<sst xmlns="http://schemas.openxmlformats.org/spreadsheetml/2006/main" count="9538" uniqueCount="3101">
  <si>
    <t>COST SCHEDULE  C-1</t>
  </si>
  <si>
    <t>1 KM OF 11 kV LINE ON PCC POLE 140 KG 8.0 METER LONG WITH MAXIMUM OF 65 Mtrs SPAN USING RABBIT AND WEASEL CONDUCTOR</t>
  </si>
  <si>
    <t>S. No.</t>
  </si>
  <si>
    <t>PARTICULARS</t>
  </si>
  <si>
    <t xml:space="preserve"> New SAP Bin Code</t>
  </si>
  <si>
    <t>Unit</t>
  </si>
  <si>
    <t>Using RABBIT Conductor</t>
  </si>
  <si>
    <t>Using WEASEL Conductor</t>
  </si>
  <si>
    <t>Qnty</t>
  </si>
  <si>
    <t xml:space="preserve">Rate </t>
  </si>
  <si>
    <t xml:space="preserve">Amount </t>
  </si>
  <si>
    <t>140 Kg, 8.0 Mtr long PCC Poles</t>
  </si>
  <si>
    <t>No</t>
  </si>
  <si>
    <t>11 kV "V" cross arm 65x65x6 mm angle type with back cleat</t>
  </si>
  <si>
    <t>Cross Arm Clamp</t>
  </si>
  <si>
    <t>Pair</t>
  </si>
  <si>
    <t>11 kV Top clamp angle type with cleat</t>
  </si>
  <si>
    <t>Earthing Set (Coil earth as per Drawing No :-G/007</t>
  </si>
  <si>
    <t>16</t>
  </si>
  <si>
    <t>11 kV Polymeric Pin Insulator with Pin</t>
  </si>
  <si>
    <t>ACSR conductor RABBIT with 3% sag</t>
  </si>
  <si>
    <t>Mtr</t>
  </si>
  <si>
    <t>ACSR conductor Weasel with 3% sag</t>
  </si>
  <si>
    <t xml:space="preserve">Jointing sleeves suitable for 80 Sq mm. Al. Eq. ACSR Raccoon Conductor  </t>
  </si>
  <si>
    <t xml:space="preserve">(i) Stay set 16 mm </t>
  </si>
  <si>
    <t xml:space="preserve">(ii) Stay Wire 7/10 SWG @ 5.5 Kg/Stay </t>
  </si>
  <si>
    <t>Kg</t>
  </si>
  <si>
    <t xml:space="preserve">(iii) Stay Clamp </t>
  </si>
  <si>
    <t xml:space="preserve">Red Oxide Paint </t>
  </si>
  <si>
    <t>Ltr</t>
  </si>
  <si>
    <t xml:space="preserve">Aluminium Paint </t>
  </si>
  <si>
    <t>Barbed Wire [@ 2 Kg/Pole]</t>
  </si>
  <si>
    <t xml:space="preserve">Danger Board </t>
  </si>
  <si>
    <t>Each</t>
  </si>
  <si>
    <t xml:space="preserve">Binding wire and tape   </t>
  </si>
  <si>
    <t>MS Nuts and Bolts</t>
  </si>
  <si>
    <t>16x90 mm</t>
  </si>
  <si>
    <t>16x160 mm</t>
  </si>
  <si>
    <t>Guarding :-</t>
  </si>
  <si>
    <t>(i) 11 kV Guarding Channel 100x50 mm set</t>
  </si>
  <si>
    <t>Set</t>
  </si>
  <si>
    <t>(ii) G.I. Wire 8 SWG</t>
  </si>
  <si>
    <t>(iv) Stay Wire 7/10 SWG @ 5.5 Kg/Stay</t>
  </si>
  <si>
    <t xml:space="preserve">(v) Stay set 16 mm </t>
  </si>
  <si>
    <t>(vi) I- Bolt Big size</t>
  </si>
  <si>
    <t>Use of R.C.C. Block for base padding of PCC pole @ 01 No. / pole and for stay set @ 02 Nos. per stay set.</t>
  </si>
  <si>
    <r>
      <t xml:space="preserve">RCC Block (with 6 mm MS Bar) </t>
    </r>
    <r>
      <rPr>
        <sz val="11"/>
        <rFont val="Arial"/>
        <family val="2"/>
      </rPr>
      <t>*</t>
    </r>
  </si>
  <si>
    <t>Material cost including GST and labour.</t>
  </si>
  <si>
    <t>SUB TOTAL-1 (Material cost including GST)</t>
  </si>
  <si>
    <t>Material cost excluding GST (Sub Total-1/1.18)</t>
  </si>
  <si>
    <t>Incidental Charges @ 7.5% on Sub-Total-1 : -</t>
  </si>
  <si>
    <t>Back filling of poles with boulders @ 0.3 CMT per pole.</t>
  </si>
  <si>
    <t>Labour charges as per Sch No.- CL-1</t>
  </si>
  <si>
    <t>Transport charges @ 4% on Column no. 20</t>
  </si>
  <si>
    <t>Overhead Charges @ 12.5% [Market Fluctuation, Service Tax, Contractor's profit etc.] on Row - 19, 21, 22, 23, 24</t>
  </si>
  <si>
    <t>Total Estimated Cost excluding GST (Row 20, 21, 22, 23, 24, 25)</t>
  </si>
  <si>
    <t>Applicable CGST @ 9% on Row 26</t>
  </si>
  <si>
    <t>Applicable SGST @ 9% on Row 26</t>
  </si>
  <si>
    <t>Total Estimated Cost including GST (Row 26+27+28)</t>
  </si>
  <si>
    <t xml:space="preserve">Total Estimated Cost including GST (Rounded off) </t>
  </si>
  <si>
    <t>Note: - Schedule C-2 is to be supplemented with every 1.0 Km. 11 kV line.</t>
  </si>
  <si>
    <t>All the rates are with considering price variation clause.</t>
  </si>
  <si>
    <t>*</t>
  </si>
  <si>
    <t>One No. RCC Block for base padding and two numbers for stay set (except DP Structure)</t>
  </si>
  <si>
    <t>COST SCHEDULE  C-2</t>
  </si>
  <si>
    <t xml:space="preserve">11 kV DP STRUCTURE ON PCC POLE 140 KG 8 METER LONG (TO BE SUPPLEMENTED WITH EVERY 1.0 Kms OF LINE) </t>
  </si>
  <si>
    <t>DC Cross arm of 100x50 mm channel (4'/1.2 Mtr. Centre)</t>
  </si>
  <si>
    <t>11 kV Polymer Disc Insulator</t>
  </si>
  <si>
    <t>No.</t>
  </si>
  <si>
    <t>11 kV Strain H.W. fitting</t>
  </si>
  <si>
    <t xml:space="preserve">Horizontal &amp; Cross Bracing 4' Center with set of 4 back Clamps </t>
  </si>
  <si>
    <t>(i) M.S.Angle 65x65x6 mm</t>
  </si>
  <si>
    <t>(ii) Back Clamp for Pole</t>
  </si>
  <si>
    <t>(ii) Stay Wire 7/10 SWG @ 5.5 Kg per Stay</t>
  </si>
  <si>
    <t>(iii) Stay Clamp</t>
  </si>
  <si>
    <t>Concreting of pole @ 0.3 Cmt and 0.2 Cmt per stay (1:3:6)</t>
  </si>
  <si>
    <t>Cmt</t>
  </si>
  <si>
    <t>Earthing Set (Coil earth as per Drawing No.-G/007)</t>
  </si>
  <si>
    <t xml:space="preserve">Red Oxide paint </t>
  </si>
  <si>
    <t>16x40 mm</t>
  </si>
  <si>
    <t>16x200 mm</t>
  </si>
  <si>
    <t>Labour charges as per Sch. No - CL-2</t>
  </si>
  <si>
    <t>Labour charges for concreting</t>
  </si>
  <si>
    <t>Overhead Charges @ 12.5% [Market Fluctuation, Service Tax, Contractor's profit etc.] on Row - 15, 17, 18, 19, 20, 21</t>
  </si>
  <si>
    <t>Total Estimated Cost excluding GST (Row 16, 17, 18, 19, 20, 21, 22)</t>
  </si>
  <si>
    <t>Applicable CGST @ 9% on Row 23</t>
  </si>
  <si>
    <t>Applicable SGST @ 9% on Row 23</t>
  </si>
  <si>
    <t>Total Estimated Cost including GST (Row 23+24+25)</t>
  </si>
  <si>
    <t>Note:</t>
  </si>
  <si>
    <t>2023-24</t>
  </si>
  <si>
    <t>Transport charges @ 4% on Column no. 16</t>
  </si>
  <si>
    <t>COST SCHEDULE C-3</t>
  </si>
  <si>
    <t>1 KM OF 11 kV LINE ON H-BEAM / PCC POLE SUPPORT WITH MAXIMUM OF 80 Mtrs SPAN USING RABBIT  CONDUCTOR</t>
  </si>
  <si>
    <t xml:space="preserve">H-Beam 152X152 mm 37.1 Kg/Mtr 11.0 Mtr Long </t>
  </si>
  <si>
    <t>365 Kg 11 Mtr long PCC Pole</t>
  </si>
  <si>
    <t>Qty</t>
  </si>
  <si>
    <t>Rate</t>
  </si>
  <si>
    <t xml:space="preserve">H-BEAM 152x152 mm 37.1 Kg /Mtr 11.0 Mtr long i.e. 408.1 Kg/pole x 12 Nos = 4897.2 Kgs  </t>
  </si>
  <si>
    <t xml:space="preserve">365 Kg; 11 Mtr long PCC Pole </t>
  </si>
  <si>
    <t xml:space="preserve">Back Clamp for Cross Arm </t>
  </si>
  <si>
    <t>(i) Stay Clamp for "H" Beam</t>
  </si>
  <si>
    <t>(ii) Stay Clamp for PCC Pole</t>
  </si>
  <si>
    <t>11 kV Polymeric Pin insulator with Pin</t>
  </si>
  <si>
    <t xml:space="preserve">Jointing sleeves suitable for 50 Sqmm Al Eq. ACSR Conductor  </t>
  </si>
  <si>
    <t>(I) Stay set 16 mm with turn buckle without stay wire</t>
  </si>
  <si>
    <t xml:space="preserve">(II) Stay Wire 7/10 SWG @ 8.5 Kg/Stay </t>
  </si>
  <si>
    <t xml:space="preserve">(III) Stay Clamp </t>
  </si>
  <si>
    <t>(i) Stay Clamp For "H" Beam</t>
  </si>
  <si>
    <t>Concreting of supports @ 0.6 Cmt. Per Pole for H-Beam ; @ 0.5 Cmt. Per pole for 365 kG PCC &amp; @ 0.2 Cmt. Per Stay and @ 0.05 Cmt per pole for base padding (1:3:6)</t>
  </si>
  <si>
    <t>Cmt.</t>
  </si>
  <si>
    <t xml:space="preserve">Binding wire and tape  </t>
  </si>
  <si>
    <t>16x65 mm</t>
  </si>
  <si>
    <t>16x140 mm</t>
  </si>
  <si>
    <t xml:space="preserve">Guarding </t>
  </si>
  <si>
    <t>LS</t>
  </si>
  <si>
    <t>(i) 11 kV Guarding Channel 100x50 mm</t>
  </si>
  <si>
    <t>(iv) Stay Wire 7/10 SWG @ 8.5 Kg/Stay</t>
  </si>
  <si>
    <t>(v) Stay set 16 mm with turn buckle without stay wire</t>
  </si>
  <si>
    <t xml:space="preserve">(vi) I- Bolt Big Size </t>
  </si>
  <si>
    <t>NEW ROW ADDED</t>
  </si>
  <si>
    <t>0.075</t>
  </si>
  <si>
    <t>Labour charges as per Sch No - CL-4</t>
  </si>
  <si>
    <t>COST  SCHEDULE C-3 (A)</t>
  </si>
  <si>
    <r>
      <t xml:space="preserve">                   </t>
    </r>
    <r>
      <rPr>
        <b/>
        <u/>
        <sz val="13"/>
        <rFont val="Arial"/>
        <family val="2"/>
      </rPr>
      <t xml:space="preserve"> ADDITIONAL (MID SPAN) POLES FOR  11 kV LINE</t>
    </r>
  </si>
  <si>
    <t xml:space="preserve">H-BEAM 152X152 MM 37.10 Kg/MTR  11.0 MTR LONG </t>
  </si>
  <si>
    <t xml:space="preserve">H-BEAM 152x152 mm 37.1Kg /Mtr 11.0 Mtr long i.e. 408.1 Kg/pole  </t>
  </si>
  <si>
    <t>11 kV Top Clamp Angle type with cleat</t>
  </si>
  <si>
    <t>Concreting of supports H-Beam @ 0.6 Cmt. Per Pole &amp; @ 0.2 Cmt. Per Stay  and 0.05 Cmt per pole for base padding (1:3:6)</t>
  </si>
  <si>
    <t>Danger Board</t>
  </si>
  <si>
    <t>Overhead Charges @ 12.5% [Market Fluctuation, Service Tax, Contractor's profit etc.] on Row - 11, 13, 14, 15, 16</t>
  </si>
  <si>
    <t>Total Estimated Cost excluding GST (Row 12, 13, 14, 15, 16, 17)</t>
  </si>
  <si>
    <t>Applicable CGST @ 9% on Row 18</t>
  </si>
  <si>
    <t>Applicable SGST @ 9% on Row 18</t>
  </si>
  <si>
    <t>Total Estimated Cost per pole including GST (Row 18+19+20)</t>
  </si>
  <si>
    <t xml:space="preserve">Total Estimated Cost per pole including GST (Rounded off) </t>
  </si>
  <si>
    <t>Earthing Set (Coil earth as per Drawing No :- G/007)</t>
  </si>
  <si>
    <t>Earthing Set (Coil earth as per Drawing No:-G/007)</t>
  </si>
  <si>
    <t>COST  SCHEDULE C-3 (B)</t>
  </si>
  <si>
    <t>COST PER KM OF 11 kV LINE ON AERIAL BUNCHED CABLE (ABC) OF 35 &amp; 70 SQ.MM. ON  11 MTR. LONG H - BEAM / 9.0 MTR LONG PCC POLE OF SPAN 35 MTRS.</t>
  </si>
  <si>
    <t>"H" Beam 152x152mm 37.1 Kg/Mtr 11.0 Mtr long</t>
  </si>
  <si>
    <t>200 Kg; 9.0 Mtr long PCC Pole</t>
  </si>
  <si>
    <t>Using 11 kV  3 phase Aerial Bunched Cable 3x35+35 sqmm</t>
  </si>
  <si>
    <t>Using 11 kV  3 phase Aerial Bunched Cable 3x70+70 sqmm</t>
  </si>
  <si>
    <t>Qty.</t>
  </si>
  <si>
    <t>H-BEAM 152x152 mm 37.1 Kg /Mtr 11.0 Mtr long i.e. 408.1 Kg/pole x 29 Nos = 11835 Kgs</t>
  </si>
  <si>
    <t>200 Kg 9.0 Meter long PCC Pole</t>
  </si>
  <si>
    <t>11 kV  3 phase Aerial Bunched Cable 3x35+35 sqmm (incl. 6% sag)</t>
  </si>
  <si>
    <t>Km</t>
  </si>
  <si>
    <t>11 kV  3 phase Aerial Bunched Cable 3x70+70 sqmm (incl. 6% sag)</t>
  </si>
  <si>
    <t>11 kV Termination kit 35-70 sqmm</t>
  </si>
  <si>
    <t>11 kV AB Cable straight through jointing kit suitable for 35-70 sqmm</t>
  </si>
  <si>
    <t>Dead-end Assembly (Suitable for all size cable)</t>
  </si>
  <si>
    <t>Straight line Suspension Assembly (Suitable for all size cable)</t>
  </si>
  <si>
    <t>Eye Hook</t>
  </si>
  <si>
    <t xml:space="preserve">Stay set 16 mm </t>
  </si>
  <si>
    <t>Stay wire 7/10 SWG 10 kg/stay</t>
  </si>
  <si>
    <t>Earth spike</t>
  </si>
  <si>
    <t xml:space="preserve">G.I. Wire 6 SWG </t>
  </si>
  <si>
    <t>Pole Clamp</t>
  </si>
  <si>
    <t>Pad Connector</t>
  </si>
  <si>
    <t>Concreting of Pole @ 0.65 Cmt per pole and 0.2 Cmt per stay (1:3:6)</t>
  </si>
  <si>
    <t>Red Oxide Paint</t>
  </si>
  <si>
    <t>Aluminium Paint</t>
  </si>
  <si>
    <t>M.S.Nuts and Bolts</t>
  </si>
  <si>
    <t>Cable tie (UV protected black colour) for AB Cable (at every two meter)</t>
  </si>
  <si>
    <t xml:space="preserve">Labour charges as per Sch No. CL-3(B) </t>
  </si>
  <si>
    <t>Overhead Charges @ 12.5% [Market Fluctuation, Service Tax, Contractor's profit etc.] on Row - 23, 25, 26, 27, 28, 29</t>
  </si>
  <si>
    <t>Total Estimated Cost excluding GST (Row 24, 25, 26, 27, 28, 29, 30)</t>
  </si>
  <si>
    <t>Applicable CGST @ 9% on Row 31</t>
  </si>
  <si>
    <t>0.09</t>
  </si>
  <si>
    <t>Applicable SGST @ 9% on Row 31</t>
  </si>
  <si>
    <t>Total Estimated Cost including GST (Row 31+32+33)</t>
  </si>
  <si>
    <t>COST SCHEDULE  C-3 (C)</t>
  </si>
  <si>
    <t>SCHEDULE  FOR  AUGMENTATION  OF 1 kM OF 11 kV LINE  FROM  WEASEL TO  RACCOON CONDUCTOR</t>
  </si>
  <si>
    <r>
      <t>Rate</t>
    </r>
    <r>
      <rPr>
        <b/>
        <sz val="12"/>
        <rFont val="Arial"/>
        <family val="2"/>
      </rPr>
      <t xml:space="preserve"> </t>
    </r>
  </si>
  <si>
    <t>Raccoon Conductor</t>
  </si>
  <si>
    <t>11 kV Guarding Channel 100x50 mm set.</t>
  </si>
  <si>
    <t>G.I. Wire 8 SWG</t>
  </si>
  <si>
    <t xml:space="preserve">Stay Clamp </t>
  </si>
  <si>
    <t xml:space="preserve">Stay Wire 7/10 SWG @ 5.5 Kg/Stay </t>
  </si>
  <si>
    <t>I-Bolt Big size</t>
  </si>
  <si>
    <t xml:space="preserve"> </t>
  </si>
  <si>
    <t>COST SCHEDULE  C-3 (D)</t>
  </si>
  <si>
    <t>SCHEDULE  FOR  AUGMENTATION  OF 1 kM OF 11 kV LINE  FROM  WEASEL TO  RABBIT CONDUCTOR</t>
  </si>
  <si>
    <t>3</t>
  </si>
  <si>
    <t>Rabbit Conductor</t>
  </si>
  <si>
    <t>COST  SCHEDULE C-3 (E)</t>
  </si>
  <si>
    <t>COST  PER  KM  OF  11 kV  OVERHEAD  XLPE  CABLE  LINE  ON  H - BEAM  POLE WITH  AVERAGE  SPAN  30 MTRS.</t>
  </si>
  <si>
    <t>Assumed as if cable length is 500 Mtr. in one stroke.</t>
  </si>
  <si>
    <t xml:space="preserve">H-BEAM 152x152 mm 37.1 Kg /Mtr 11.0 Mtr long i.e. 408.1 Kg/pole x 33 Nos = 13467.3 Kgs  </t>
  </si>
  <si>
    <t>Mtr.</t>
  </si>
  <si>
    <t>11 kV Heat Shrinkable Type Straight Through jointing kit for 150 sqmm XLPE Cable</t>
  </si>
  <si>
    <t>11 kV  Straight thru' joint kit suitable for 120 sqmm Cable</t>
  </si>
  <si>
    <t>D.C.Cross Arm 5.2 Mtr. Channel</t>
  </si>
  <si>
    <t>Stay set without stay wire 20 mm</t>
  </si>
  <si>
    <t>Stay wire 7/8 SWG 10 kg/stay</t>
  </si>
  <si>
    <t>Stay clamp for H-Beam</t>
  </si>
  <si>
    <t>Clamp for H-Beam</t>
  </si>
  <si>
    <t>M.S.Angle 65x65x6 mm</t>
  </si>
  <si>
    <t>Earthing Coil</t>
  </si>
  <si>
    <t>Concreting of Pole @ 0.65 Cmt per pole and 0.3 Cmt per stay (1:3:6)</t>
  </si>
  <si>
    <t xml:space="preserve">Service in lieu of Earthing Coal &amp; Salt etc </t>
  </si>
  <si>
    <t>Overhead Charges @ 12.5% [Market Fluctuation, Service Tax, Contractor's profit etc.] on Row - 22, 24, 25, 26, 27, 28</t>
  </si>
  <si>
    <t>Total Estimated Cost excluding GST (Row 23, 24, 25, 26, 27, 28, 29)</t>
  </si>
  <si>
    <t>Applicable CGST @ 9% on Row 30</t>
  </si>
  <si>
    <t>Applicable SGST @ 9% on Row 30</t>
  </si>
  <si>
    <t>Total Estimated Cost including labour charges &amp; GST (Row 30+31+32)</t>
  </si>
  <si>
    <t>COST SCHEDULE   C-4</t>
  </si>
  <si>
    <t>11 kV DP STRUCTURE ON H-BEAM / PCC POLE SUPPORT (TO BE SUPPLEMENTED WITH EVERY 1.0 Kms OF LINE)</t>
  </si>
  <si>
    <t>H-BEAM 152x152 mm 37.1 Kg /Mtr 11.0 Mtr long i.e. 408.1 Kg/pole x 2 Nos = 816.2 Kgs</t>
  </si>
  <si>
    <t>DC Cross Arm of 100x50 mm channel (4'/1.2 Mtr. Centre)</t>
  </si>
  <si>
    <t xml:space="preserve">Horizontal &amp; Cross Bracing 4' center with set of 4 back clamp </t>
  </si>
  <si>
    <t xml:space="preserve"> Back Clamp for Pole</t>
  </si>
  <si>
    <t xml:space="preserve">(I) Stay set 16 mm </t>
  </si>
  <si>
    <t>(II) Stay Wire 7/10 SWG @ 8.5 Kg per stay</t>
  </si>
  <si>
    <t>(III) Stay Clamp</t>
  </si>
  <si>
    <t>Concreting of pole @ 0.6 Cmt Per Pole for H-Beam ; @ 0.5 Cmt. Per pole for 365 kG PCC &amp; @ 0.2 Cmt per stay and @ 0.05 Cmt per pole for base padding (1:3:6)</t>
  </si>
  <si>
    <t>Labour charges as per Sch No.- CL-5</t>
  </si>
  <si>
    <t>Overhead Charges @ 12.5% [Market Fluctuation, Service Tax, Contractor's profit etc.] on Row - 16, 18, 19, 20, 21</t>
  </si>
  <si>
    <t>Total Estimated Cost excluding GST (Row 17, 18, 19, 20, 21, 22)</t>
  </si>
  <si>
    <t>COST SCHEDULE C-5</t>
  </si>
  <si>
    <t>1 kM OF 11 kV LINE ON 175x85 MM R.S. JOIST WITH MAXIMUM OF 65 Mtrs. SPAN USING RABBIT AND WEASEL CONDUCTOR</t>
  </si>
  <si>
    <t xml:space="preserve">R.S. Joist (175X85) mm 11 Mtr. Long i.e. 19.495 kg/mtr x 11 Mtr = 214.44 kg x 12 No = 2573.28 Kgs </t>
  </si>
  <si>
    <t>11 kV Top clamp Angle type with cleat</t>
  </si>
  <si>
    <t xml:space="preserve">Jointing sleeves suitable for 80 Sq.mm. Al Eq. ACSR Conductor  </t>
  </si>
  <si>
    <t xml:space="preserve">(ii) Stay Wire 7/10 SWG @ 8.5 Kg/Stay </t>
  </si>
  <si>
    <t>(iii) Stay Clamp for R.S. Joist</t>
  </si>
  <si>
    <t>Concreting of pole @ 0.3 Cmt and 0.2 Cmt per stay &amp; pole base padding @ 0.05 cmt/pole (1:3:6)</t>
  </si>
  <si>
    <t>Labour charges as per Sch. No. CL-6</t>
  </si>
  <si>
    <t>Note: - (1) Schedule C-2 is to be supplemented with every 1.0 Km. 11 kV line.</t>
  </si>
  <si>
    <t xml:space="preserve">    (2) All the rates are with considering price variation clause.</t>
  </si>
  <si>
    <t>COST SCHEDULE   C-6</t>
  </si>
  <si>
    <t>11 kV  DP  STRUCTURE  ON  175X85  MM R.S. JOIST  (TO BE SUPPLEMENTED WITH EVERY 1.0 Kms OF LINE)</t>
  </si>
  <si>
    <t>Sl. No.</t>
  </si>
  <si>
    <t>R.S. Joist (175x85 mm) 11 Mtr Long i.e. 214.44 Kg/pole @ 19.495 Kg/Mtr. i.e.214.44x2 No pole=428.89 Kgs</t>
  </si>
  <si>
    <t xml:space="preserve">Horizontal &amp; Cross Bracing 4' Center with set of 4 back clamp </t>
  </si>
  <si>
    <t>(i) Stay set 16 mm</t>
  </si>
  <si>
    <t>(ii) Stay Wire 7/10 SWG @ 8.5 Kg per stay</t>
  </si>
  <si>
    <t>Concreting of pole @ 0.3 Cmt and 0.2 Cmt per stay &amp; pole base padding @ 0.05 Cmt/pole (1:3:6)</t>
  </si>
  <si>
    <t>Earthing Set (Coil earth as per Drawing No - G/007)</t>
  </si>
  <si>
    <t>Labour charges as per Sch. No. CL-7</t>
  </si>
  <si>
    <t>Overhead Charges @ 12.5% [Market Fluctuation, Service Tax, Contractor's profit etc.] on Row - 15, 17, 18, 19, 20</t>
  </si>
  <si>
    <t>Total Estimated Cost excluding GST (Row 16, 17, 18, 19, 20, 21)</t>
  </si>
  <si>
    <t>Applicable CGST @ 9% on Row 22</t>
  </si>
  <si>
    <t>Applicable SGST @ 9% on Row 22</t>
  </si>
  <si>
    <t>Total Estimated Cost including GST (Row 22+23+24)</t>
  </si>
  <si>
    <t xml:space="preserve">  All the rates are with considering price variation clause.</t>
  </si>
  <si>
    <t>RATE OF ALL MATERIALS ARE INCLUSIVE OF G.S.T. UNLESS MENTIONED SPECIFICALLY IN REMARKS COLUMN</t>
  </si>
  <si>
    <t xml:space="preserve">Material Code </t>
  </si>
  <si>
    <t>Description</t>
  </si>
  <si>
    <t>SAP DESCRIPTION</t>
  </si>
  <si>
    <t>REMARKS</t>
  </si>
  <si>
    <t>1:1.5:3 Ratio</t>
  </si>
  <si>
    <t>1:3:6 Ratio</t>
  </si>
  <si>
    <t>Route &amp; joint indicating stone with M.S. anchor rod</t>
  </si>
  <si>
    <t>Nos.</t>
  </si>
  <si>
    <t>ROUTE &amp; JOINT INDICATING STONE WITH M.S.</t>
  </si>
  <si>
    <t>Cement in 50 kg bags</t>
  </si>
  <si>
    <t>Bags</t>
  </si>
  <si>
    <t>Cement</t>
  </si>
  <si>
    <t>Cable covering tiles 250x250x40 mm</t>
  </si>
  <si>
    <t>Ltr.</t>
  </si>
  <si>
    <t>Aluminium Paint.</t>
  </si>
  <si>
    <t>Grey Enamel Paint smoke/battle ship</t>
  </si>
  <si>
    <t>Red Oxide Paint.</t>
  </si>
  <si>
    <t>LT 3 phase 5 Wire Aerial Bunched Cable of Size 3X70+1x16+1x50</t>
  </si>
  <si>
    <t>km</t>
  </si>
  <si>
    <t>LT AB CABLE 3X70+1X16 (STREET LIGHT)+1X5</t>
  </si>
  <si>
    <t>ISI MARK</t>
  </si>
  <si>
    <t>70 Sqmm.</t>
  </si>
  <si>
    <t>Km.</t>
  </si>
  <si>
    <t>ISI MARKED CABLE ALU 1CORE 70 SQMM 1100V</t>
  </si>
  <si>
    <t>120 Sqmm.</t>
  </si>
  <si>
    <t>ISI MARKED CABLE ALU 1CORE 120 SQMM 1100</t>
  </si>
  <si>
    <t>33KV 400 sqmm XLPE cable (Underground)</t>
  </si>
  <si>
    <t>35 Sqmm.</t>
  </si>
  <si>
    <t>ISI MARKED CABLE ALU 1CORE 35 SQMM 1100V</t>
  </si>
  <si>
    <t>50 Sqmm.</t>
  </si>
  <si>
    <t>ISI MARKED CABLE ALU 1CORE 50 SQMM 1100V</t>
  </si>
  <si>
    <t>LT 3 phase 5 Wire Aerial Bunched Cable of Size 3X16+1X16+1x25</t>
  </si>
  <si>
    <t>1.1KV LT AB CABLE 3X16+1X16+1X25 SQMM</t>
  </si>
  <si>
    <t>LT 3 phase 5 Wire Aerial Bunched Cable of Size 3X25+1X16+1x25</t>
  </si>
  <si>
    <t>1.1KV LT AB CABLE 3X25+1X16+1X25 SQMM</t>
  </si>
  <si>
    <t>LT 3 phase 5 Wire Aerial Bunched Cable of Size 3X35+1x16+1x25</t>
  </si>
  <si>
    <t>1.1KV LT AB CABLE 3X35+1X16+1X25 SQMM</t>
  </si>
  <si>
    <t>2.5 Sqmm.</t>
  </si>
  <si>
    <t>Per Mtr.</t>
  </si>
  <si>
    <t>11KV PVC INSULATED 2.5 SQMM TWIN CORE SI</t>
  </si>
  <si>
    <t>6.0 Sqmm.</t>
  </si>
  <si>
    <t>11KV PVC INSULATED 6 SQMM TWIN CORE SING</t>
  </si>
  <si>
    <t>10 Sq.mm.</t>
  </si>
  <si>
    <t>11KV PVC INSULATED 10 SQMM FOUR CORE THR</t>
  </si>
  <si>
    <t>150 Sqmm.</t>
  </si>
  <si>
    <t>11KV PVC INSULATED 150SQMM SINGLE CORE X</t>
  </si>
  <si>
    <t>16.0 Sqmm.</t>
  </si>
  <si>
    <t>11KV PVC INSULATED 16SQMM 2 CORE ARMOURE</t>
  </si>
  <si>
    <t>11KV PVC INSULATED 10SQMM 4 CORE ARMOURE</t>
  </si>
  <si>
    <t>25 Sq.mm.</t>
  </si>
  <si>
    <t>120 Sq.mm.</t>
  </si>
  <si>
    <t>ITEM DELETED: NOT TO BE USED</t>
  </si>
  <si>
    <t xml:space="preserve">400 Sqmm. </t>
  </si>
  <si>
    <t>3x95 Sq.mm.</t>
  </si>
  <si>
    <t>33KV A.B. XLPE CABLE 3X95 SQMM</t>
  </si>
  <si>
    <t>3x150 Sq.mm.</t>
  </si>
  <si>
    <t>3x185 Sq.mm.</t>
  </si>
  <si>
    <t>33KV A.B. XLPE CABLE 3X185 SQMM</t>
  </si>
  <si>
    <t>3x240 Sq.mm.</t>
  </si>
  <si>
    <t>33KV A.B. XLPE CABLE 3X240 SQMM</t>
  </si>
  <si>
    <t>33 kV AB Cable Straight thru' joint kit suitable for 35-70 sqmm</t>
  </si>
  <si>
    <t>33 kV AB Cable Straight thru' joint kit suitable for 95-120 sqmm</t>
  </si>
  <si>
    <t xml:space="preserve">11 kV 3 phase Aerial Bunched Cable 3x35 + 35 Sq mm </t>
  </si>
  <si>
    <t>11KV 3 PHASE AERIAL BUNCHED XLPE CABLE 3</t>
  </si>
  <si>
    <t xml:space="preserve">11 kV 3 phase Aerial Bunched Cable 3x70 + 70 Sq mm </t>
  </si>
  <si>
    <t xml:space="preserve">11 kV 3 phase Aerial Bunched Cable 3x95 + 95 Sq mm </t>
  </si>
  <si>
    <t xml:space="preserve">11 kV 3 phase Aerial Bunched Cable 3x120 + 120 Sq mm </t>
  </si>
  <si>
    <t>11 kV AB Cable Straight thru' joint kit suitable for 35-70 sqmm</t>
  </si>
  <si>
    <t>11KV AB XLPE CABLE STRAIGHT THRU JOINT K</t>
  </si>
  <si>
    <t>11 kV AB Cable Straight thru' joint kit suitable for 95-120 sqmm</t>
  </si>
  <si>
    <t>LT 1 phase 3 Wire Aerial Bunched Cable of Size 1X25+1X16+1x25</t>
  </si>
  <si>
    <t>LT 1PH 3 WIRE AERIAL BUNCHED CABLE OF SI</t>
  </si>
  <si>
    <t>LT 3 phase 5 Wire Aerial Bunched Cable of Size 3X50+1x16+1x35</t>
  </si>
  <si>
    <t>1.1KV LT  AB CABLE 3X50+1X16+1X35 SQMM</t>
  </si>
  <si>
    <t>LT 3 phase 5 Wire Aerial Bunched Cable of Size 3X50+1X25+1x35</t>
  </si>
  <si>
    <t>LT 3PH 5 WIRE AERIAL BUNCHED CABLE OF SI</t>
  </si>
  <si>
    <t>LT 3 phase 4 Wire Aerial Bunched Cable of Size 3X16+1x25</t>
  </si>
  <si>
    <t>LT AB CABLEB 3X16+1X25 SQMM</t>
  </si>
  <si>
    <t>LT 3 phase 4 Wire Aerial Bunched Cable of Size 3X25+1x25</t>
  </si>
  <si>
    <t>LT AB CABLEB 3X25+1X25 SQMM</t>
  </si>
  <si>
    <t>33KV 3 CORE XLPE UG CABLE 3X 240SQMM</t>
  </si>
  <si>
    <t>70 Sq.mm</t>
  </si>
  <si>
    <t>11KV 3 CORE XLPE UG CABLE 70 SQMM</t>
  </si>
  <si>
    <t>95 Sq.mm</t>
  </si>
  <si>
    <t>11KV 3 CORE XLPE UG CABLE 95 SQMM</t>
  </si>
  <si>
    <t>120 Sq.mm</t>
  </si>
  <si>
    <t>11KV 3 CORE XLPE UG CABLE 120 SQMM</t>
  </si>
  <si>
    <t>240 Sq.mm</t>
  </si>
  <si>
    <t>11KV 3 CORE XLPE UG CABLE 240 SQMM</t>
  </si>
  <si>
    <t>400 Sq.mm</t>
  </si>
  <si>
    <t>11KV 3 CORE XLPE UG CABLE 400 SQMM</t>
  </si>
  <si>
    <t>PVC Insulated 1100 Volts grade Aluminium Twin Core Single Phase 4.0 sq.mm. Unarmoured service cable.</t>
  </si>
  <si>
    <t>PVC Insulated 11kV 2 Core 4.0 sqmm cable</t>
  </si>
  <si>
    <t>PVC Insulated 1100 Volts grade 70 SQMM, 4 CORE, ARMOURED AL. CABLE</t>
  </si>
  <si>
    <t>PVC Insul. 70 Sqmm 4C Armour UG AL. Cable</t>
  </si>
  <si>
    <t>PVC Insulated 1100 Volts grade 95 SQMM, 4 CORE, ARMOURED AL. CABLE</t>
  </si>
  <si>
    <t>PVC Insul. 95 Sqmm 4C Armour UG AL Cable</t>
  </si>
  <si>
    <t>PVC Insulated 1100 Volts grade 150 SQMM, 4 CORE, ARMOURED AL. CABLE</t>
  </si>
  <si>
    <t>PVC Insu. 150 Sqmm 4C Armour UG Al Cable</t>
  </si>
  <si>
    <t>PVC Insulated 1100 Volts grade 300 SQMM, 4 CORE, ARMOURED AL. CABLE</t>
  </si>
  <si>
    <t>PVC Insul. 300 Sqmm. 4C Armour Al. Cable</t>
  </si>
  <si>
    <t>PVC Insulated 1100 Volts grade 400 SQMM, 4 CORE, ARMOURED AL. CABLE</t>
  </si>
  <si>
    <t>PVC Insul. 400 Sqmm. 4C Armour Al. Cable</t>
  </si>
  <si>
    <t>33 kV AB Cable Straight thru' joint kit suitable for 185 sqmm</t>
  </si>
  <si>
    <t>33 kV ABC Straight thru jointkit 185 sqmm</t>
  </si>
  <si>
    <t>33 kV XLPE UG Cable Straight through heat shrinkable cable jointing kit with lugs for 3 core 120-240 sq mm XLPE cable</t>
  </si>
  <si>
    <t>33kV UGCable Straight thru jointkit 120-240 sqmm</t>
  </si>
  <si>
    <t>33 kV XLPE UG Cable Straight through heat shrinkable cable jointing kit with lugs for 3 core 300-400 sq mm XLPE cable</t>
  </si>
  <si>
    <t>33kV UGCable Straight thru jointkit 300-400 sqmm</t>
  </si>
  <si>
    <t>2 Core (UNARMOURED)</t>
  </si>
  <si>
    <t>CONTROL CABLE COP 2 CORE 2.5 SQMM PVC/PVC</t>
  </si>
  <si>
    <t>2 Core (ARMOURED)</t>
  </si>
  <si>
    <t>4 Core (UNARMOURED)</t>
  </si>
  <si>
    <t>CONTROL CABLE COP 4 CORE 2.5 SQMM PVC/PVC</t>
  </si>
  <si>
    <t>4 Core (ARMOURED)</t>
  </si>
  <si>
    <t>8 Core (UNARMOURED)</t>
  </si>
  <si>
    <t>CONTROL CABLE COP 8 CORE 2.5 SQ MM PVC/P</t>
  </si>
  <si>
    <t>10 Core (UNARMOURED)</t>
  </si>
  <si>
    <t>CONTROL CABLE COP 10 CORE 2.5 SQMM PVC/PVC</t>
  </si>
  <si>
    <t>10 Core (ARMOURED)</t>
  </si>
  <si>
    <t>12 Core (UNARMOURED)</t>
  </si>
  <si>
    <t>CONTROL CABLE COP 12 CORE 2.5 SQMM PVC/PVC</t>
  </si>
  <si>
    <t>16 Sq.mm.</t>
  </si>
  <si>
    <t>KM</t>
  </si>
  <si>
    <t>ALUMINIUM 1C 16 SQ MM UNARMOURED LT PVC</t>
  </si>
  <si>
    <t>50 Sq.mm.</t>
  </si>
  <si>
    <t>ALUMINIUM 1C 50 SQ MM UNARMOURED LT PVC</t>
  </si>
  <si>
    <t>ALUMINIUM 1C 70 SQ MM UNARMOURED LT PVC</t>
  </si>
  <si>
    <t>150 Sq.mm</t>
  </si>
  <si>
    <t>ALUMINIUM 1C 150 SQ MM UNARMOURED LT PVC</t>
  </si>
  <si>
    <t>300 Sq.mm</t>
  </si>
  <si>
    <t>ALUMINIUM 1C 300 SQ MM UNARMOURED LT PVC</t>
  </si>
  <si>
    <t>ALUMINIUM 1C 400 SQ MM UNARMOURED LT PV</t>
  </si>
  <si>
    <t xml:space="preserve">  70 Sqmm.</t>
  </si>
  <si>
    <t>POWERCABLE ARM ALU 3.5CORE 70/35SQMM PVC</t>
  </si>
  <si>
    <t>POWERCABLE ARM ALU 3.5CORE 150/70SQMM PV</t>
  </si>
  <si>
    <t>300 Sqmm.</t>
  </si>
  <si>
    <t>Power Cable ARM ALU 3.5CORE 300/150SQMM</t>
  </si>
  <si>
    <t>16,0 SQMM, 4 CORE, ARMOURED AL. CABLE</t>
  </si>
  <si>
    <t>33 kV ABC Termination kit 35-70 sqmm</t>
  </si>
  <si>
    <t>33 kV ABC Termination kit 95-120 sqmm</t>
  </si>
  <si>
    <t>33KV ABC TERMINATION KIT 95-120 SQMM</t>
  </si>
  <si>
    <t>33 kV ABC Termination kit 185 sqmm</t>
  </si>
  <si>
    <t>33KV ABC TERMINATION KIT 185 SQMM</t>
  </si>
  <si>
    <t>33 kV ABC Termination kit 240 sqmm</t>
  </si>
  <si>
    <t>33KV ABC TERMINATION KIT 240 SQMM</t>
  </si>
  <si>
    <t>33 kV ABC Termination kit 300 sqmm</t>
  </si>
  <si>
    <t>33 kV ABC Termination kit 400 sqmm</t>
  </si>
  <si>
    <t>STRAIGHT LINE SUSPENSION ASSEMBLY FOR AL</t>
  </si>
  <si>
    <t>Cable tie for AB Cable</t>
  </si>
  <si>
    <t>11 kV ABC-T Jointing kit 95-120 sqmm</t>
  </si>
  <si>
    <t>11KV ABC T-JOINTING KIT 95-120 SQMM</t>
  </si>
  <si>
    <t>11 kV ABC Termination kit 35-70 sqmm</t>
  </si>
  <si>
    <t>11KV ABC TERMINATION KIT 35-70 SQMM</t>
  </si>
  <si>
    <t>11 kV ABC Termination kit 95-120 sqmm</t>
  </si>
  <si>
    <t>Cable tie (UV protected black colour) for AB Cable</t>
  </si>
  <si>
    <t>CABLE TIE FOR AB CABLE (UV PROTECTED BLA</t>
  </si>
  <si>
    <t>End terminating jointing kit for 400 sqmm XLPE cable</t>
  </si>
  <si>
    <t>Jointing kit 33KV 3x400sqmm XLPE cable</t>
  </si>
  <si>
    <t>10 Sq.mm, 4 Core</t>
  </si>
  <si>
    <t>16 Sq.mm, 4 Core</t>
  </si>
  <si>
    <t>1.1KV STRAIGHT THROUGH JOINTING KIT FOR</t>
  </si>
  <si>
    <t>25 Sq.mm, 4 Core</t>
  </si>
  <si>
    <t>70 Sq.mm, 3.5 Core</t>
  </si>
  <si>
    <t>150 Sq.mm, 3.5 Core</t>
  </si>
  <si>
    <t>300 Sq.mm, 3.5 Core</t>
  </si>
  <si>
    <t>400 Sq.mm, 3.5 Core</t>
  </si>
  <si>
    <t>End terminating jointing kit upto 240 sqmm XLPE cable</t>
  </si>
  <si>
    <r>
      <t xml:space="preserve">33KV END TERMINAL JOINTING KIT </t>
    </r>
    <r>
      <rPr>
        <b/>
        <sz val="10"/>
        <rFont val="Verdana"/>
        <family val="2"/>
      </rPr>
      <t>FOR</t>
    </r>
    <r>
      <rPr>
        <sz val="10"/>
        <rFont val="Verdana"/>
        <family val="2"/>
      </rPr>
      <t xml:space="preserve"> 240SQ</t>
    </r>
  </si>
  <si>
    <t>3x50 Sq.mm</t>
  </si>
  <si>
    <t>3X50 SQMM 11KV HEAT SHRINKABLE TYPE JOIN</t>
  </si>
  <si>
    <t>3x95 Sq.mm</t>
  </si>
  <si>
    <t>3X95 SQMM 11KV HEAT SHRINKABLE TYPE JOIN</t>
  </si>
  <si>
    <t>3x150 Sq.mm</t>
  </si>
  <si>
    <t>3X150 SQMM 11KV HEAT SHRINKABLE TYPE JOI</t>
  </si>
  <si>
    <t>3x240 Sq. mm</t>
  </si>
  <si>
    <t>3X240 SQMM 11KV HEAT SHRINKABLE TYPE JOI</t>
  </si>
  <si>
    <t>3x400 Sq. mm</t>
  </si>
  <si>
    <t>3X400 SQMM 11KV HEAT SHRINKABLE TYPE JOI</t>
  </si>
  <si>
    <t>3X95 SQMM 11KV HEAT SHRINKABLE INDOOR TY</t>
  </si>
  <si>
    <t>3X240 SQMM 11KV HEAT SHRINKABLE INDOOR T</t>
  </si>
  <si>
    <t>3X400 SQMM 11KV HEAT SHRINKABLE INDOOR T</t>
  </si>
  <si>
    <t>Marshelling Box (with 10 No. connectors)</t>
  </si>
  <si>
    <t>MARSHELLING BOX</t>
  </si>
  <si>
    <t>10 Sq mm</t>
  </si>
  <si>
    <t>10 SQMM ALUMINIUM END TERMINALS (LUGS)</t>
  </si>
  <si>
    <t>16 Sq mm</t>
  </si>
  <si>
    <t>16 SQMM ALUMINIUM END TERMINALS (LUGS)</t>
  </si>
  <si>
    <t>25 Sq mm</t>
  </si>
  <si>
    <t>32 Sq mm</t>
  </si>
  <si>
    <t>50 Sq mm</t>
  </si>
  <si>
    <t>50 SQMM ALUMINIUM END TERMINALS (LUGS)</t>
  </si>
  <si>
    <t>70 Sq mm</t>
  </si>
  <si>
    <t>70 SQMM ALUMINIUM END TERMINALS (LUGS)</t>
  </si>
  <si>
    <t>95 Sq mm</t>
  </si>
  <si>
    <t>95 SQMM ALUMINIUM END TERMINALS (LUGS)</t>
  </si>
  <si>
    <t>120 Sq mm</t>
  </si>
  <si>
    <t>120 SQMM ALUMINIUM END TERMINALS (LUGS)</t>
  </si>
  <si>
    <t>150 Sq mm</t>
  </si>
  <si>
    <t>150 SQMM ALUMINIUM END TERMINALS (LUGS)</t>
  </si>
  <si>
    <t>185 Sq mm</t>
  </si>
  <si>
    <t>225 Sq mm</t>
  </si>
  <si>
    <t>240 Sq mm</t>
  </si>
  <si>
    <t>300 Sq mm</t>
  </si>
  <si>
    <t>300 SQMM ALUMINIUM END TERMINALS (LUGS)</t>
  </si>
  <si>
    <t>400 Sq mm</t>
  </si>
  <si>
    <t>Pre-Insulated Bimetallic crimping lugs for Transformer connector</t>
  </si>
  <si>
    <t>PRE- INSULATED BIMETALLIC CRIMPING TYPE</t>
  </si>
  <si>
    <t xml:space="preserve">Piercing connector suitable for 95- 16 sqmm to 10-2.5 sqmm. for street light and service connection. </t>
  </si>
  <si>
    <t>INSULATING PIERCING CONNECTOR AB CABLE(S</t>
  </si>
  <si>
    <t xml:space="preserve">Piercing connector suitable for 95- 16 sqmm to 50-16 sqmm. cable for Distribution Box. </t>
  </si>
  <si>
    <t>INSULATING PIERCING CONNECTOR FOR AB CAB</t>
  </si>
  <si>
    <t>Piercing connector suitable for 95- 16 sqmm to 95-16 sqmm. for Tee connection.</t>
  </si>
  <si>
    <t>INSULATING PIERCING CONNECTOR FOR ABC TO</t>
  </si>
  <si>
    <t>Universal distribution connector</t>
  </si>
  <si>
    <t>UDC- UNIVERSAL DISTRIBUTION CONNECTOR</t>
  </si>
  <si>
    <t xml:space="preserve">Straight through joints </t>
  </si>
  <si>
    <t>STRAIGHT THROUGH JOINT</t>
  </si>
  <si>
    <t>End cap for 50/70 Sq.mm</t>
  </si>
  <si>
    <t>END CLAMP CAP FOR 50/70 SQMM</t>
  </si>
  <si>
    <t>M.S. ANGLE 35 x 35 x 5 mm</t>
  </si>
  <si>
    <t>MT</t>
  </si>
  <si>
    <t>50 x 50 x 6 mm</t>
  </si>
  <si>
    <t>M S ANGLE 50X50X5 MM</t>
  </si>
  <si>
    <t>65 x 65 x 6 mm</t>
  </si>
  <si>
    <t>M S ANGLE 65X65X6 MM</t>
  </si>
  <si>
    <t>75 x 75 x 6 mm</t>
  </si>
  <si>
    <t>M S ANGLE 75X75X6 MM</t>
  </si>
  <si>
    <t>75x40 mm</t>
  </si>
  <si>
    <t>M S CHANNEL 75X40 MM CP</t>
  </si>
  <si>
    <t>50x6 mm</t>
  </si>
  <si>
    <t>M.S.FLATE 50X6 MM CP</t>
  </si>
  <si>
    <t>100x50 mm</t>
  </si>
  <si>
    <t>M S CHANNEL 100X50 MM</t>
  </si>
  <si>
    <t>65x8 mm</t>
  </si>
  <si>
    <t>M S FLAT 65X8 MM</t>
  </si>
  <si>
    <t>125 x 70 mm</t>
  </si>
  <si>
    <t>R.S.JOIST 125 x 70 mm</t>
  </si>
  <si>
    <t>175 x 85 mm</t>
  </si>
  <si>
    <t>R S JOIST 175X85 MM</t>
  </si>
  <si>
    <t>52 kgs per mtr/105 lbs yard</t>
  </si>
  <si>
    <t>Rails 52.09 kgs per Mtr./105 lbs yard</t>
  </si>
  <si>
    <t>60 kgs per mtr</t>
  </si>
  <si>
    <t>RAIL 60 KG PER METER</t>
  </si>
  <si>
    <t xml:space="preserve"> 37.1 Kg/Mtr.; 13 Mtr. Length</t>
  </si>
  <si>
    <t>H BEAMS 152X152MM; 37.1 KG/MTR.</t>
  </si>
  <si>
    <t xml:space="preserve"> 37.1 Kg/Mtr.; 11 Mtr. Length</t>
  </si>
  <si>
    <t>MS H BEAMS 152X152MM, 37.1 KG/MTR 11MTR</t>
  </si>
  <si>
    <t>Wide Parallel Flange Beam (WPB) 13 Meter long (160x160 mm) ; 30.44 Kg/Mtr.</t>
  </si>
  <si>
    <t>Wide Parallel Flange Beam (WPB) 11 Meter long (160x160 mm) ; 30.44 Kg/Mtr.</t>
  </si>
  <si>
    <t>Barbed wire</t>
  </si>
  <si>
    <t>G.I. WIRES: - Barbed wire.</t>
  </si>
  <si>
    <t>I-Bolt (big size)</t>
  </si>
  <si>
    <t>I BOLT M 20X128MM THREAD PORTION 50 MM I</t>
  </si>
  <si>
    <t>12x65 mm</t>
  </si>
  <si>
    <t>BOLT WITH NUT G I 16X40 MM</t>
  </si>
  <si>
    <t>BOLT WITH NUT GI 16X65 MM</t>
  </si>
  <si>
    <t>12x100 mm</t>
  </si>
  <si>
    <t>BOLT WITH NUT M S 12X100 MM</t>
  </si>
  <si>
    <t>12x120 mm</t>
  </si>
  <si>
    <t>M S NUTS AND BOLTS: - 12x120mm</t>
  </si>
  <si>
    <t>12x140 mm</t>
  </si>
  <si>
    <t>M S NUTS AND BOLTS: - 12x140mm</t>
  </si>
  <si>
    <t>M S NUTS AND BOLTS: - 16x40mm</t>
  </si>
  <si>
    <t>M S NUTS AND BOLTS: - 16x65mm</t>
  </si>
  <si>
    <t>M S NUTS AND BOLTS: - 16x90mm</t>
  </si>
  <si>
    <t>16x100 mm</t>
  </si>
  <si>
    <t>M S NUTS AND BOLTS: - 16x100mm</t>
  </si>
  <si>
    <t>M S NUTS AND BOLTS: - 16x140mm</t>
  </si>
  <si>
    <t>M S NUTS AND BOLTS: - 16x160mm</t>
  </si>
  <si>
    <t>M S NUTS AND BOLTS - 16x200mm</t>
  </si>
  <si>
    <t>16x300 mm</t>
  </si>
  <si>
    <t>M S NUTS AND BOLTS: - 16x300mm</t>
  </si>
  <si>
    <t>16x250 mm</t>
  </si>
  <si>
    <t>M S NUTS AND BOLTS: - 16x250mm</t>
  </si>
  <si>
    <t>20x75 mm</t>
  </si>
  <si>
    <t>M S NUTS AND BOLTS: - 20x75mm</t>
  </si>
  <si>
    <t>20x90 mm</t>
  </si>
  <si>
    <t>M S NUTS AND BOLTS: - 20x90mm</t>
  </si>
  <si>
    <t>20x110 mm</t>
  </si>
  <si>
    <t>M S NUTS AND BOLTS: - 20x110mm</t>
  </si>
  <si>
    <t>24x120 mm</t>
  </si>
  <si>
    <t>M S NUTS AND BOLTS: - 24x120mm</t>
  </si>
  <si>
    <t>Foundation bolt</t>
  </si>
  <si>
    <t>Foundation bolt 25x1200 mm</t>
  </si>
  <si>
    <t>G.I. Spring Washer</t>
  </si>
  <si>
    <t>WASHER SPRING 25MM HOLE DIA</t>
  </si>
  <si>
    <t>G.I. Pipe 200 mm for 400 sqmm cable of dia 105 mm</t>
  </si>
  <si>
    <t>RM</t>
  </si>
  <si>
    <t>G.I. PIPE 200MM FOR 400MM CABLE OF DIA 1</t>
  </si>
  <si>
    <t>G.I. bend 200 mm</t>
  </si>
  <si>
    <t>G.I.BEND 200MM</t>
  </si>
  <si>
    <t>Caping of HDPE Pipe on both end of pipe with concreting and bricks work.</t>
  </si>
  <si>
    <t>CAPING OF HDPE PIPE ON BOTH END OF PIPE</t>
  </si>
  <si>
    <t>Caping of RCC Pipe on both end of pipe with Concreting and Bricks work</t>
  </si>
  <si>
    <t>RCC Pipe Type NP-3 (2.5 mtr long) on first class bedding - 600 mm</t>
  </si>
  <si>
    <t>RCC Pipe Type NP-3 (2.5 mtr long) on first class bedding - 900 mm</t>
  </si>
  <si>
    <t>900 MM RCC PIPE TYPE NP-2(2.5MTR LONG)</t>
  </si>
  <si>
    <t>M.S.Pipe 200 mm dia with collars</t>
  </si>
  <si>
    <r>
      <t xml:space="preserve">RM </t>
    </r>
    <r>
      <rPr>
        <sz val="9"/>
        <rFont val="Verdana"/>
        <family val="2"/>
      </rPr>
      <t>(medium)</t>
    </r>
  </si>
  <si>
    <t>RM (light)</t>
  </si>
  <si>
    <t>M.S. PIPE 200 MM DIA WITH COLLARS</t>
  </si>
  <si>
    <t>G.I. Bend 40 mm</t>
  </si>
  <si>
    <t>Gl Pipe 40 mm</t>
  </si>
  <si>
    <t>Per Mtr</t>
  </si>
  <si>
    <t>PIPE GI 40 MM MEDIUM QUALITY</t>
  </si>
  <si>
    <t>GI earthing pipe of 40 mm dia 3.04 mtr long with 12 mm hole at 18 places at equal distance trapered casing at lower end.</t>
  </si>
  <si>
    <t>G.I. EARTHING PIPE 40 MM</t>
  </si>
  <si>
    <t xml:space="preserve">25 mm dia 2500 mm long GI rod earth electrodes </t>
  </si>
  <si>
    <t>G.I.EARTHING PIPE/ROD SIZE 2500x25 mm</t>
  </si>
  <si>
    <t>Providing, Fabricating and fixing 8 SWG Chain link fencing 75 x 75 mm Size Gl Chain link Mesh fencing made out of 65 x 65 x 6 mm MS angle as per drawing no. 04-01/ST/62 R2 Date 05.06.2007</t>
  </si>
  <si>
    <t>Wall mounting type holder for Hydrometer</t>
  </si>
  <si>
    <t xml:space="preserve">Anchor clamp assembly (consisting of GI Pole Clamp, GI Flat type I-hook &amp; Nylon Cable tie). </t>
  </si>
  <si>
    <t>ANCHOR CLAMP/ DEAD END CLAMP</t>
  </si>
  <si>
    <t xml:space="preserve">Suspension clamp assembly (consisting of GI Pole Clamp, GI Flat type I-hook &amp; Nylon Cable tie). </t>
  </si>
  <si>
    <t>SUSPENSION CLAMP</t>
  </si>
  <si>
    <t>140 Kg; 8.0 Mtr long</t>
  </si>
  <si>
    <t>PCC POLE 140 KG; 8,0 MTR LONG</t>
  </si>
  <si>
    <t>410-SP-29, 9 Mtrs. Long.</t>
  </si>
  <si>
    <t>280 Kg; 9.1 Mtr long</t>
  </si>
  <si>
    <t>PCC POLE 280 KG; 9.1 MTR LONG</t>
  </si>
  <si>
    <t>410-SP-60, 12 Mtrs. Long.</t>
  </si>
  <si>
    <t>POLE-STEEL TUBULAR 100X125X150MM 10.9 MT</t>
  </si>
  <si>
    <t>350 Kg; 7.0 Mtr long</t>
  </si>
  <si>
    <t>PCC POLE 350 KG; 7,0 MTR LONG</t>
  </si>
  <si>
    <t>Through Bolt</t>
  </si>
  <si>
    <t>Through Bolt 12 mm</t>
  </si>
  <si>
    <t>D.C. Cross arm 3.8 Mtr 100 x 50 mm.</t>
  </si>
  <si>
    <t>Stay clamp for 140 kG PCC Pole</t>
  </si>
  <si>
    <t>Stay clamp LT/Pair</t>
  </si>
  <si>
    <t>Stay clamp HT per pair</t>
  </si>
  <si>
    <t>LT U CLAMP</t>
  </si>
  <si>
    <t>Strain Plate (50x6 mm) for 11 kV</t>
  </si>
  <si>
    <t>Strain Plate</t>
  </si>
  <si>
    <t>POLE CLAMP</t>
  </si>
  <si>
    <t>Service Ring</t>
  </si>
  <si>
    <t>Service ring made of 16 mm</t>
  </si>
  <si>
    <t>Stay Clamp for 280 kG. PCC Pole</t>
  </si>
  <si>
    <t>HT STAY CLAMP PCC POLE 280 KG A TYPE</t>
  </si>
  <si>
    <t>Stay Clamp Rail "A" type</t>
  </si>
  <si>
    <t>HT STAY CLAMP RAIL POLE A TYPE</t>
  </si>
  <si>
    <t>Stay Clamp for R.S.Joist "A" type</t>
  </si>
  <si>
    <t>HT STAY CLAMP R S JOIST A TYPE</t>
  </si>
  <si>
    <t>Stay Clamp Rail "B" type</t>
  </si>
  <si>
    <t>HT STAY CLAMP RAIL POLE B TYPE</t>
  </si>
  <si>
    <t>Back Clamp Rail for H-Beam</t>
  </si>
  <si>
    <t>33 KV TOP CLAMP SEMIFINISHED</t>
  </si>
  <si>
    <t>L.T. 3 Pin Cross Arm 50x50x6 mm</t>
  </si>
  <si>
    <t>LT THREE PIN CROSS ARM</t>
  </si>
  <si>
    <t>L.T. 4 Pin Cross Arm 50x50x6 mm</t>
  </si>
  <si>
    <t>713081LT 4-Pin cross arms 50 x 50 x 6 mm</t>
  </si>
  <si>
    <t>L.T. 5 Pin Cross Arm 50x50x6 mm</t>
  </si>
  <si>
    <t>LT FIVE PIN CROSS ARM</t>
  </si>
  <si>
    <t>11 kV Cross Arm Cleat type</t>
  </si>
  <si>
    <t>11 KV V CROSS ARM</t>
  </si>
  <si>
    <t>D.O. Mounting Channel 75x40 mm</t>
  </si>
  <si>
    <t>D.O. / LA Mounting channel 75x40 mm.</t>
  </si>
  <si>
    <t>11 kV Guarding Channel 100x50 mm</t>
  </si>
  <si>
    <t>1.1 MTR DPDC CROSS ARM</t>
  </si>
  <si>
    <t>D.C.Cross arm 4' Centre 100x50 mm Channel 2 Nos.</t>
  </si>
  <si>
    <t>11KV 4 FEET CENTRE DC CROSS ARM</t>
  </si>
  <si>
    <t xml:space="preserve">D.C.Cross arm 4' Centre 75x40 mm Channel </t>
  </si>
  <si>
    <t xml:space="preserve">D.C.Cross arm 4' Centre Angle 100x100x6 mm  </t>
  </si>
  <si>
    <t>D.C.Cross arm 8' Centre 100x50 mm  Channel</t>
  </si>
  <si>
    <t>11KV 8 FEET CENTRE DC CROSS ARM</t>
  </si>
  <si>
    <t>33 kV Cross Arm 75x75x6 mm</t>
  </si>
  <si>
    <t>33 KV V CROSS ARM</t>
  </si>
  <si>
    <t>D.C.Cross arm 5' Centre 100x50 mm M.S.Channel</t>
  </si>
  <si>
    <t>33 KV 5 FEET CENTRE DC CROSS ARM</t>
  </si>
  <si>
    <t>Strain Plate (65x8 mm) for 33 kV</t>
  </si>
  <si>
    <t>STRAIN PLATE</t>
  </si>
  <si>
    <t>33 kV Top Channel 75x75x6 mm</t>
  </si>
  <si>
    <t>33KV top clamp</t>
  </si>
  <si>
    <t>11 kV Top Clamp Angle type 65x65x6 mm</t>
  </si>
  <si>
    <t>11 kV top clamp</t>
  </si>
  <si>
    <t>Single Pole Cut Point Fitting 100x50 mm</t>
  </si>
  <si>
    <t>11 kV Cut point channel paint</t>
  </si>
  <si>
    <t>33 KV 4.8 MTR DC CROSS ARM</t>
  </si>
  <si>
    <t>Stay Clamp Rail for H-Beam</t>
  </si>
  <si>
    <t>Stay clamp for 'H' Beam</t>
  </si>
  <si>
    <t>11KV 5KN PIN INSULATOR (POLYMER)</t>
  </si>
  <si>
    <t>33 kV Pin insulator with Pin</t>
  </si>
  <si>
    <t>33KV 10KN PIN INSULATOR (POLYMER)</t>
  </si>
  <si>
    <t>11 kV Disc Insulator</t>
  </si>
  <si>
    <t>11KV 45KN DISC INSULATOR T&amp;C TYPE (POLYM</t>
  </si>
  <si>
    <t>33 kV Composite Disc insulator</t>
  </si>
  <si>
    <t>33KV POLYMER (COMPOSITE) DISC INSULATOR</t>
  </si>
  <si>
    <t>Split insulator</t>
  </si>
  <si>
    <t>Split insulators.</t>
  </si>
  <si>
    <t>11 kV Post Insulator</t>
  </si>
  <si>
    <t>11KV POST INSULATOR</t>
  </si>
  <si>
    <t>33 kV Post Insulator</t>
  </si>
  <si>
    <t>33KV POST INSULATOR</t>
  </si>
  <si>
    <t xml:space="preserve">Disc insulator </t>
  </si>
  <si>
    <t>Disc Insulator</t>
  </si>
  <si>
    <t>11 kV Pin insulator</t>
  </si>
  <si>
    <t>11 KV Pin insulator without GI Pin</t>
  </si>
  <si>
    <t xml:space="preserve">33 kV Pin insulator </t>
  </si>
  <si>
    <t>33 KV Pin insulator without GI Pin.</t>
  </si>
  <si>
    <t>65 x 50 mm.</t>
  </si>
  <si>
    <t>SHACKEL INSULATORS: - 65 x 50 mm.</t>
  </si>
  <si>
    <t>90 x 75 mm.</t>
  </si>
  <si>
    <t>SHACKEL INSULATORS 90 x 75 mm.</t>
  </si>
  <si>
    <t>Stay insulator</t>
  </si>
  <si>
    <t>Stay insulators.</t>
  </si>
  <si>
    <t>GI Pin for 11 kV Pin insulator.</t>
  </si>
  <si>
    <t>GI Pin for 11 KV Pin insulator</t>
  </si>
  <si>
    <t>GI Pin for 33 kV Pin insulator.</t>
  </si>
  <si>
    <t>GI Pin for 33 KV Pin insulator</t>
  </si>
  <si>
    <t>Aluminium bobbin.</t>
  </si>
  <si>
    <t>Aluminium Bobbin.</t>
  </si>
  <si>
    <t>For 65 x 50 mm insulators</t>
  </si>
  <si>
    <t>7H.W. 50X65MM LT SHACKLE INSULATOR CMPLT</t>
  </si>
  <si>
    <t>For 90 x 75 mm insulators</t>
  </si>
  <si>
    <t>HARDWARE FOR 75X90 MM LT SHACKLE INSULATOR</t>
  </si>
  <si>
    <t>Strain H/W up to Rabbit.</t>
  </si>
  <si>
    <t>11 KV Strain hardware fittings.</t>
  </si>
  <si>
    <t>Strain H/W for Raccoon &amp; Dog.</t>
  </si>
  <si>
    <t>33 KV Strain hardware fittings.</t>
  </si>
  <si>
    <t>Suspension H/W suitable for Panther Conductor.</t>
  </si>
  <si>
    <t>SSH ASSEMBLY WITH ARCING HORN FOR PANTHE</t>
  </si>
  <si>
    <t>Aluminium binding wire and tape.</t>
  </si>
  <si>
    <t>BINDING WIRE</t>
  </si>
  <si>
    <t>0.02 Sq.inch (20/22 Sqmm Al. Eq.) (Squirrel)</t>
  </si>
  <si>
    <t>CONDUCTOR AAA SQURREL</t>
  </si>
  <si>
    <t>0.03 Sq.inch (30/34 Sqmm Al. Eq.) (Weasel)</t>
  </si>
  <si>
    <t>CONDUCTOR AAA WEASEL</t>
  </si>
  <si>
    <t>0.05 Sq.inch (50/55 Sqmm Al. Eq.) (Rabbit)</t>
  </si>
  <si>
    <t>CONDUCTOR AAA RABBIT</t>
  </si>
  <si>
    <t>0.075 Sq.inch (80 Sqmm Al. Eq.) (Raccoon)</t>
  </si>
  <si>
    <t>CONDUCTOR AAA RACOON</t>
  </si>
  <si>
    <t>Jointing sleeve for Raccoon Conductor.</t>
  </si>
  <si>
    <t>JOINTING SLEEVE FOR RACCOON CONDUCTOR</t>
  </si>
  <si>
    <t>Jointing sleeve for Dog Conductor.</t>
  </si>
  <si>
    <t>JOINTING SLEEVE FOR DOG CONDUCTOR</t>
  </si>
  <si>
    <t>Bimetallic clamp for Power Transformer</t>
  </si>
  <si>
    <t>0.02 Sq.inch (20 Sqmm Al. Eq.) (Squirrel)</t>
  </si>
  <si>
    <t>ACSR CONDUCTOR 0.02 sqmm(20 Sqmm Al.Eq)</t>
  </si>
  <si>
    <t>Bimetallic clamp for VCB</t>
  </si>
  <si>
    <t>0.03 Sq.inch (30 Sqmm Al. Eq.) (Weasel)</t>
  </si>
  <si>
    <t>ACSR CONDUCTOR 0.03 Sqmm (30 Sqmm AlEq)</t>
  </si>
  <si>
    <t>Bimetallic clamp for CT-PT Unit</t>
  </si>
  <si>
    <t>0.05 Sq.inch (50 Sqmm Al. Eq.) (Rabbit)</t>
  </si>
  <si>
    <t>ACSR CONDUCTOR 0.05 Sqmm (50 Sqmm Al q)</t>
  </si>
  <si>
    <t>Bimetallic clamp for Distribution Transformer (HT)</t>
  </si>
  <si>
    <t>ACSR CONDUCTOR 0.075 Sqmm (80 Sqmm Al.E</t>
  </si>
  <si>
    <t>0.10 Sq.inch (100 Sqmm Al. Eq.) (Dog)</t>
  </si>
  <si>
    <t>ACSR CONDUCTOR 0.10 Sqmm (100 Sqmm lEq)</t>
  </si>
  <si>
    <t>0.2 Sq inch ( 130 Sqmm Al.Eq.)(Panther)</t>
  </si>
  <si>
    <t>CONDUCTOR ACSR PANTHER 130 sq mm</t>
  </si>
  <si>
    <t>CONDUCTOR AAA DOG</t>
  </si>
  <si>
    <t>T-Clamp for Dog Conductor.</t>
  </si>
  <si>
    <t>T-CLAMPS FOR ACSR CONDUCTOR Dog Condutor</t>
  </si>
  <si>
    <t>T-Clamp for Raccoon Conductor.</t>
  </si>
  <si>
    <t>T-CLAMPS FOR ACSR Raccoon Conductor.</t>
  </si>
  <si>
    <t>T-Clamp for Panther Conductor.</t>
  </si>
  <si>
    <t>Bimetallic clamp for Distribution Transformer (LT)</t>
  </si>
  <si>
    <t>Bimetallic clamps for transformer &amp; kiosk</t>
  </si>
  <si>
    <t>Jointing sleeves for Weasel, Squirrel &amp; Rabbit Conductor.</t>
  </si>
  <si>
    <t>SLEEVE JOINTING ALUMINIUM FOR 0.03 SQ INC</t>
  </si>
  <si>
    <t>Jointing sleeves for Panther Conductor.</t>
  </si>
  <si>
    <t>SLEEVE REPAIR ALUMINIUM FOR .2 SQ INCH AC</t>
  </si>
  <si>
    <t>33 kV Porcelain Lightning Arrestor</t>
  </si>
  <si>
    <t>LIGHTNING ARRESTORS 30 KV gapless type</t>
  </si>
  <si>
    <t>11 kV Polymer Lightning Arrestor</t>
  </si>
  <si>
    <t>LIGHTNING ARRESTORS 11 KV gapless type.</t>
  </si>
  <si>
    <t>GI Structure for complete Equipment</t>
  </si>
  <si>
    <t>D Transformer Mounting 100x50 mm Channel</t>
  </si>
  <si>
    <t>Transformer mounting 100 x 50 mm channel</t>
  </si>
  <si>
    <t>Transformer Mounting with Belting for Addl. X-Arm</t>
  </si>
  <si>
    <t>I-Bolt - 16 mm</t>
  </si>
  <si>
    <t>I bolt 16 mm Dia</t>
  </si>
  <si>
    <t>Stay Set 16 mm (Painted) LT &amp; 11 KV</t>
  </si>
  <si>
    <t>STAY SET WITHOUT STAY WIRE 16 mm Paint 11 KV</t>
  </si>
  <si>
    <t>Stay Set 20 mm (Painted)</t>
  </si>
  <si>
    <t>STAY SET WITHOUT STAY WIRE 20 mm (Painted)</t>
  </si>
  <si>
    <t>Stay Wire 7/4.00 mm (7/8 SWG)</t>
  </si>
  <si>
    <t>STAY WIRES : - 7/4,00 MM (7/8 SWG).</t>
  </si>
  <si>
    <t>Stay Wire 7/3.15 mm (7/10 SWG)</t>
  </si>
  <si>
    <t>STAY WIRES: - 7/3,05 MM (7/10 SWG)</t>
  </si>
  <si>
    <t>Earthing coil (Coil of 115 turns of 50 mm dia. &amp; 2.5 Mtrs lead of 4.0 mm GI wire)</t>
  </si>
  <si>
    <t>EARTHING COIL 8SWG GI WIRE 50 MM DIA 450M</t>
  </si>
  <si>
    <t>Earthing Rod 25 mm 1.2 Mtr.</t>
  </si>
  <si>
    <t>Earthing rod 25mm x 1.2 Mtrs.</t>
  </si>
  <si>
    <t>G.I.Wire 3.15 mm (10 SWG)</t>
  </si>
  <si>
    <t>G.I. WIRES: - 3,15MM (10 SWG)</t>
  </si>
  <si>
    <t>G.I.Wire 4.0 mm (8 SWG)</t>
  </si>
  <si>
    <t>G.I.Wire 5.0 mm (6 SWG)</t>
  </si>
  <si>
    <t>Earthing set (Pipe earth as per DRG No.-G/008)</t>
  </si>
  <si>
    <t>Tension hardware suitable for Panther Conductor.</t>
  </si>
  <si>
    <t>DOUB TENS H/W FOR ZEB/ CAMEL COND S/S TY</t>
  </si>
  <si>
    <t>Jointing kit 11 kV ABC Cable DEAD END ASM</t>
  </si>
  <si>
    <t>Jointing Kit&amp;HW LT ABC CableStraight Sus</t>
  </si>
  <si>
    <t>Cable marker for U/G cable</t>
  </si>
  <si>
    <t>CABLE MARKER FOR U/G CABLE</t>
  </si>
  <si>
    <t>Pad Connector (for Panther conductor)</t>
  </si>
  <si>
    <t>Danger board 33 kV &amp; 11 kV</t>
  </si>
  <si>
    <t>Danger boards 33 KV &amp; 11 KV.</t>
  </si>
  <si>
    <t>LT Feeder Piller box for 1 phase 8 connection made of M.S.Sheet.</t>
  </si>
  <si>
    <t>LT FEEDER PILLER BOX FOR 1PH 8 CONNECTIO</t>
  </si>
  <si>
    <t>LT Feeder Piller box for 1 phase 12 connection made of M.S.Sheet.</t>
  </si>
  <si>
    <t xml:space="preserve">LT Feeder Piller box for 3 phase 4 connection made of M.S.Sheet. </t>
  </si>
  <si>
    <t>LT FEEDER PILLER BOX FOR 3PH 4 CONNECTIO</t>
  </si>
  <si>
    <t>LT Feeder Piller box for 3 phase 8 connection made of M.S.Sheet.</t>
  </si>
  <si>
    <t>LT FEEDER PILLER BOX FOR 3PH 8 CONNECTIO</t>
  </si>
  <si>
    <t>L.T.Line Spacers</t>
  </si>
  <si>
    <t>LT LINE SPACERS</t>
  </si>
  <si>
    <t xml:space="preserve">Stainless steel strap with buckle (for installation of Service Distribution Box) </t>
  </si>
  <si>
    <t>EYE HOOK</t>
  </si>
  <si>
    <t>33 kV Guarding Channel 100x50 mm</t>
  </si>
  <si>
    <t>33 KV guarding channel 100x50 mm.</t>
  </si>
  <si>
    <t>Panel lndication lamps</t>
  </si>
  <si>
    <t>LED 7 Watt lamp with holder</t>
  </si>
  <si>
    <t>LED 12 Watt lamp with holder</t>
  </si>
  <si>
    <t>LED 14 Watt lamp with holder</t>
  </si>
  <si>
    <t>LED 15 Watt lamp with holder</t>
  </si>
  <si>
    <t>LED  Lamps with COMPLETE FITTING - 15 W</t>
  </si>
  <si>
    <t>LED  LAMPS WITH COMPLETE FITTING - 20 W</t>
  </si>
  <si>
    <t>CFL 7 Watts</t>
  </si>
  <si>
    <t xml:space="preserve">250 Watt Metal Halide  </t>
  </si>
  <si>
    <t>METAL HALIDE LAMP 250 WATT</t>
  </si>
  <si>
    <t>Tube Light Rod (T5 type)</t>
  </si>
  <si>
    <t>LAMPS: -Tube Light (40 Watts.)</t>
  </si>
  <si>
    <t xml:space="preserve">250 Watt Sodium Vapour </t>
  </si>
  <si>
    <t>250 WATT SODIUM VAPOUR LAMP WITH HOLDER</t>
  </si>
  <si>
    <t xml:space="preserve">250 Watt Mercury Vapour </t>
  </si>
  <si>
    <t>MERCURY VAPOUR LAMP 250 WATTS 230/250 VO</t>
  </si>
  <si>
    <t>Mercury vapour lamp for Gate lighting 2 Nos</t>
  </si>
  <si>
    <t>S/ V HIGH PRESSURE LAMP 400W 230/250V</t>
  </si>
  <si>
    <t>CFL 15 Watts</t>
  </si>
  <si>
    <t>CFL 20 Watts</t>
  </si>
  <si>
    <t>CFL 20 WATTS LAMP</t>
  </si>
  <si>
    <t>CFL 23 Watts</t>
  </si>
  <si>
    <t xml:space="preserve">125 Watt Mercury Vapour </t>
  </si>
  <si>
    <t>Halogen Filament (1000 Watts)</t>
  </si>
  <si>
    <t>Search Light Unit with 1000 Watt Halogen Lamp.</t>
  </si>
  <si>
    <t xml:space="preserve">Street Light fitting with tube light </t>
  </si>
  <si>
    <t>STREET LIGHT FITTING WITH TUBE LIGHT</t>
  </si>
  <si>
    <t>Street Light fitting with CFL</t>
  </si>
  <si>
    <t>STREET LIGHT FITTING WITH CFL</t>
  </si>
  <si>
    <t>HPSV lamp 150 watt</t>
  </si>
  <si>
    <t>HPSV LAMP 150 WATT</t>
  </si>
  <si>
    <t>HPSV Choke 250 watt</t>
  </si>
  <si>
    <t>HPSV LAMP 250 WATT</t>
  </si>
  <si>
    <t>150 Watt metal halide fitting / HPSV fitting</t>
  </si>
  <si>
    <t>150 WATT METAL HALIDE HPSV FITTING</t>
  </si>
  <si>
    <t>250 Watt metal halide fitting / HPSV fitting</t>
  </si>
  <si>
    <t>250 WATT METAL HALIDE HPSV FITTING</t>
  </si>
  <si>
    <t>CFL 11 Watts</t>
  </si>
  <si>
    <t>Three Phase, 10-60 Amps. with poly carbonate Meter Box</t>
  </si>
  <si>
    <t>ENERGY METER ENECTRONIC 10-60 AMPS</t>
  </si>
  <si>
    <t>3 Ø 4 Wire 0.2S accuracy class CT operated meter (for __/110 Volts; __/1 Amps; or __/5 Amps)</t>
  </si>
  <si>
    <t>SUMMATION METER</t>
  </si>
  <si>
    <t>Specific gravity correction chart</t>
  </si>
  <si>
    <t>RATE  EXCLUDING G.S.T.</t>
  </si>
  <si>
    <t>D.C.Volt meter range - 3V to + 5V</t>
  </si>
  <si>
    <t>DC VOLT METER RANG -3V TO +5V</t>
  </si>
  <si>
    <t>Static 5.0-30 Amps Pilfer proof with transparent poly carbonate meter box.</t>
  </si>
  <si>
    <t>STATIC ENERGY METER S.PH 2 WIRE 5-30 A</t>
  </si>
  <si>
    <t xml:space="preserve">CMRI (Common Meter Reading Instrument) </t>
  </si>
  <si>
    <t>Common Meter Reading Instrument CMRI</t>
  </si>
  <si>
    <t>CT operated electronic static bidirectional meter with DLMS for net metering</t>
  </si>
  <si>
    <t>CT operated electronic static bidirectional meters with DLMS protocol for net metering</t>
  </si>
  <si>
    <t>3 Ø 4 Wire 0.5S, 5 Amp. Bulk consumer meter</t>
  </si>
  <si>
    <t>HT TRIVECTOR METER 5 AMPS</t>
  </si>
  <si>
    <t>CT operated electronic static meters with AMR (Composite Unit) with LTCTs / Modem / Meter / Meter Box.</t>
  </si>
  <si>
    <t>ELECTORNIC LTCT METER 3X4 100/5 A</t>
  </si>
  <si>
    <t>3 Ø 4 Wire 0.5S, 5 Amp. with DLMS Protocol category A</t>
  </si>
  <si>
    <t>3PHASE 4WIRE HT TRIVECTOR STATIC (ELECTR</t>
  </si>
  <si>
    <t>3 Ø 4 Wire 0.5S, 5 Amp. with DLMS Protocol category B</t>
  </si>
  <si>
    <t>3 Ø 4 Wire 0.2S, 1 Amp.  bulk consumer meter</t>
  </si>
  <si>
    <t>3PHASE 4WIRE 1AMP HT TRIVECTOR STATIC (</t>
  </si>
  <si>
    <t xml:space="preserve">3 Ø 3 Wire 0.2S, 1 Amp. bulk consumer meter </t>
  </si>
  <si>
    <t>3PHASE 3WIRE 1AMP HT TRIVECTOR STATIC (</t>
  </si>
  <si>
    <t>3 Ø 4 Wire 0.2S 5A bulk consumer meter</t>
  </si>
  <si>
    <t>Test terminal Box (TTB)</t>
  </si>
  <si>
    <t>TTB</t>
  </si>
  <si>
    <t>CT operated electronic static bidirectional meters with DLMS Protocol.</t>
  </si>
  <si>
    <t>3 PHASE 4 WIRE LTCT OPERATED METER</t>
  </si>
  <si>
    <t>Digital Multimeter Electronic Type</t>
  </si>
  <si>
    <t>MULTIMETER ELECTRONIC DIGITAL</t>
  </si>
  <si>
    <t>Earth resistance tester (20/200/2000 Ω) Digital</t>
  </si>
  <si>
    <t>Megger 500 V</t>
  </si>
  <si>
    <t>Megger up to 2.5 kV</t>
  </si>
  <si>
    <t>MEGGER 1000VOLTS</t>
  </si>
  <si>
    <t>Non Directional, 30-V, 5-Amps IDMT relay.</t>
  </si>
  <si>
    <t>Set of 3 O.C. relays + 1 E/F  instantaneous high set feature numerical type</t>
  </si>
  <si>
    <t>SET OF 3 O.C. RELAYS INSTANTANEOUS HIGH</t>
  </si>
  <si>
    <t>Set of 2 O.C. + 1 earth fault relay without numerical instantaneous high set feature</t>
  </si>
  <si>
    <t>SET OF 2 O.C. +1 EARTH FAULT RELAY WITHO</t>
  </si>
  <si>
    <t>Master trip relays</t>
  </si>
  <si>
    <t xml:space="preserve">Auxiliary Relay </t>
  </si>
  <si>
    <t>Electrically Reset type Master Trip relay</t>
  </si>
  <si>
    <t xml:space="preserve">NEW  ITEM  INTRODUCED </t>
  </si>
  <si>
    <t xml:space="preserve">SCADA Compatible Relay (As per IEC 107/IEC61850 protocol) </t>
  </si>
  <si>
    <t>Transformer Oil Dielectric Breakdown testkit</t>
  </si>
  <si>
    <t>Neon tester</t>
  </si>
  <si>
    <t>TESTER NEON/PENCIL/SCREW DRIVER</t>
  </si>
  <si>
    <t>Battery Hydrometer</t>
  </si>
  <si>
    <t>Thermometer (Wall Mounted)</t>
  </si>
  <si>
    <t>THERMOMETER (WALL MOUNTED)</t>
  </si>
  <si>
    <t>Earthing Coil for messenger wire</t>
  </si>
  <si>
    <t>Anchor sleeve for messenger wire</t>
  </si>
  <si>
    <t>Universal hook &amp; Bolts &amp; nuts</t>
  </si>
  <si>
    <t>LT Single Phase MCB 5 Amps.</t>
  </si>
  <si>
    <t>LT Single Phase MCB 6 to 16 Amps.</t>
  </si>
  <si>
    <t>6 TO 16 AMPS LT SINGLE PHASE MCB</t>
  </si>
  <si>
    <t>LT Three Phase MCB 16 Amps.</t>
  </si>
  <si>
    <t>LT Three Phase MCB 32 Amps.</t>
  </si>
  <si>
    <t>ELCB-MCB Composite Unit 10 Amps. (100 mA DP)</t>
  </si>
  <si>
    <t>ELCB-MCB Composite Unit 16 Amps. (100 mA DP)</t>
  </si>
  <si>
    <t>ELCB-MCB Composite Unit 20 Amps. (100 mA DP)</t>
  </si>
  <si>
    <t>MCCB 32 Amps. (10 kA TP)</t>
  </si>
  <si>
    <t>MCCB 160 Amps. (10 kA TP)</t>
  </si>
  <si>
    <t>160AMPS(10 KA TP) MOULDED CASE CIRCUIT B</t>
  </si>
  <si>
    <t>Locally fabricated - 3 Phase fuse units 150 Amps. (Robust fuse for circuit base).</t>
  </si>
  <si>
    <t>LT ROBUST POLE FUSE UNIT</t>
  </si>
  <si>
    <t>D.O.Fuse element 11 kV (1.5 Amp. to 10 Amp.)</t>
  </si>
  <si>
    <t>11KV D.O.FUSE ELEMENT (1.5 AMP TO 10 AMP</t>
  </si>
  <si>
    <t>H.R.C. Fuse 250 Amps.</t>
  </si>
  <si>
    <t>HRC FUSE 250 AMPS</t>
  </si>
  <si>
    <t>H.R.C. Fuse 400 Amps.</t>
  </si>
  <si>
    <t>HRC FUSE 400 AMPS</t>
  </si>
  <si>
    <t>D.O.Fuse element 33 kV (25 Amp.)</t>
  </si>
  <si>
    <t>FUSE ELEMENT 25 AMPS FOR 33 KV DO</t>
  </si>
  <si>
    <t>D.O.Fuse element 33 kV (50 Amp.)</t>
  </si>
  <si>
    <t>FUSE ELEMENT 50 AMPS FOR 33 KV DO</t>
  </si>
  <si>
    <t>H.R.C. Fuse Unit 100 Amps.</t>
  </si>
  <si>
    <t>H.R.C. FUSE UNITS: -100 Amps.</t>
  </si>
  <si>
    <t>H.R.C. Fuse 100 Amps.</t>
  </si>
  <si>
    <t>H.R.C. Fuse Unit 250 Amps.</t>
  </si>
  <si>
    <t>H.R.C. FUSE UNITS: -200 Amps.</t>
  </si>
  <si>
    <t>H.R.C. Fuse Unit 400 Amps.</t>
  </si>
  <si>
    <t>H.R.C. FUSE UNITS: -300 Amps.</t>
  </si>
  <si>
    <t>T.C. Fuse Wire 22 SWG</t>
  </si>
  <si>
    <t>F WIRE TINNED COPER 22 SWG24 AMP.RATING</t>
  </si>
  <si>
    <t>T.C. Fuse Wire 20 SWG</t>
  </si>
  <si>
    <t>FUSE WIRE TINNED COPPER 20 SWG FOR 34 AM</t>
  </si>
  <si>
    <t>T.C. Fuse Wire 18 SWG</t>
  </si>
  <si>
    <t>FUSE WIRE TINNED COPPER 18 SWG FOR 45 AM</t>
  </si>
  <si>
    <t>T.C. Fuse Wire 16 SWG</t>
  </si>
  <si>
    <t>FUSE WIRE TINNED COPPER 16 SWG FOR 73 AM</t>
  </si>
  <si>
    <t>T.C. Fuse Wire 14 SWG</t>
  </si>
  <si>
    <t>FUSE WIRE TINNED COPPER 14 SWG FOR 102 A</t>
  </si>
  <si>
    <t>T.C. Fuse Wire 12 SWG</t>
  </si>
  <si>
    <t>FUSE WIRE TINNED COPPER 12 SWG</t>
  </si>
  <si>
    <t>T.C. Fuse Wire 10 SWG</t>
  </si>
  <si>
    <t>FUSE WIRE TINNED COPPER 10 SWG</t>
  </si>
  <si>
    <t>T.C. Fuse Wire 8 SWG</t>
  </si>
  <si>
    <t>FUSE WIRE TINNED COPPER 8 SWG</t>
  </si>
  <si>
    <t>Porcelain Kit-kat fuse unit 32 Amps.</t>
  </si>
  <si>
    <t>PORCELAIN KIT-KATS FUSE UNITS 32 Amps.</t>
  </si>
  <si>
    <t>Porcelain Kit-kat fuse unit 63 Amps.</t>
  </si>
  <si>
    <t>PORCELAIN KIT-KATS FUSE UNITS 63 Amps.</t>
  </si>
  <si>
    <t>Porcelain Kit-kat fuse unit 16 Amps.</t>
  </si>
  <si>
    <t>PORCELAIN KITKATS FUSE UNITS 16 AMPS</t>
  </si>
  <si>
    <t>Porcelain Kit-kat fuse unit 100 Amps.</t>
  </si>
  <si>
    <t>PORCELAIN KIT-KATS FUSE UNITS 100 Amps.</t>
  </si>
  <si>
    <t>Porcelain Kit-kat fuse unit 200 Amps.</t>
  </si>
  <si>
    <t>PORCELAIN KIT-KATS FUSE UNITS 200 Amps</t>
  </si>
  <si>
    <t>Porcelain Kit-kat fuse unit 300 Amps.</t>
  </si>
  <si>
    <t>PORCELAIN KIT-KATS FUSE UNITS 300 Amps.</t>
  </si>
  <si>
    <t>Load break switches only without panel</t>
  </si>
  <si>
    <t>LOAD BREAK SWITCH WITHOUT PANEL</t>
  </si>
  <si>
    <t>Load break switches with panel</t>
  </si>
  <si>
    <t>LOAD BREAK SWITCH WITH PANEL</t>
  </si>
  <si>
    <t>3 Way Load break switch</t>
  </si>
  <si>
    <t>3 WAY LOAD BREAK SWITCH</t>
  </si>
  <si>
    <r>
      <t>11 kV Kiosk VCB</t>
    </r>
    <r>
      <rPr>
        <sz val="10"/>
        <rFont val="Verdana"/>
        <family val="2"/>
      </rPr>
      <t xml:space="preserve"> </t>
    </r>
  </si>
  <si>
    <t>12KV KIOSK TYPE OUTDOOR VACUUM CIRCUIT B</t>
  </si>
  <si>
    <t>TPN Switches 32 Amps.</t>
  </si>
  <si>
    <t>TPN SWITCHES, 415 VOLTS: - 32 AMPS.</t>
  </si>
  <si>
    <t>TPN Switches 63 Amps.</t>
  </si>
  <si>
    <t>TPN SWITCHES, 415 VOLTS: - 63 AMPS.</t>
  </si>
  <si>
    <t>TPN Switches 100 Amps.</t>
  </si>
  <si>
    <t>TPN SWITCHES, 415 VOLTS: - 100 AMPS.</t>
  </si>
  <si>
    <t>TPN Switches 200 Amps.</t>
  </si>
  <si>
    <t>TPN SWITCHES, 415 VOLTS: - 200 AMPS.</t>
  </si>
  <si>
    <t>TPN Switches 300 Amps.</t>
  </si>
  <si>
    <t>TPN SWITCHES, 415 VOLTS: - 300 AMPS.</t>
  </si>
  <si>
    <t>TPN Switches 400 Amps.</t>
  </si>
  <si>
    <t>TPN SWITCHES, 415 VOLTS: - 400 AMPS.</t>
  </si>
  <si>
    <t>33 kV ; 600 Amps with earth switch.</t>
  </si>
  <si>
    <t>33 KV 600 AMPS WITH EARTH SWITCH ISOLATO</t>
  </si>
  <si>
    <t>11 kV Porcelain A.B. Switch</t>
  </si>
  <si>
    <t>AB Switch with complete fitting 11 KV</t>
  </si>
  <si>
    <t>33 kV Porcelain A.B. Switch</t>
  </si>
  <si>
    <t>AB SWITCH WITH COMPLETE FITTING. 33 KV</t>
  </si>
  <si>
    <t>11 kV Porcelain D.O. Fuse unit</t>
  </si>
  <si>
    <t>DO fuse units 11KV</t>
  </si>
  <si>
    <t>33 kV Porcelain D.O. Fuse unit</t>
  </si>
  <si>
    <t>D.O. FUSE UNITS 33 KV</t>
  </si>
  <si>
    <t>11 kV ; 600 Amps.</t>
  </si>
  <si>
    <t>ISOLATORS COMPLETE SET11 KV; 600 Amps.</t>
  </si>
  <si>
    <t>33 kV ; 600 Amps without earth switch.</t>
  </si>
  <si>
    <t>33 KV Isolator 800A without earth switch</t>
  </si>
  <si>
    <t>11 kV, 400 Amp, Off Load Isolator with earth switch and mounting GI structure</t>
  </si>
  <si>
    <t>Mounting GI structure for above isolator</t>
  </si>
  <si>
    <t>MCCB 100 Amps. (10 kA TP)</t>
  </si>
  <si>
    <t>METER MVAR 50-0-50 32 CTR-400/1,PTR-132</t>
  </si>
  <si>
    <t>MCCB 300 Amps. (35 kA TP)</t>
  </si>
  <si>
    <t>MOULDED CASE CIRCUIT BREAKER 250/300A</t>
  </si>
  <si>
    <t>MCCB 450 TO 500 Amps. (35 kA TP)</t>
  </si>
  <si>
    <t>Indoor Type Automatic Control Unit along with APFC Relay</t>
  </si>
  <si>
    <r>
      <t>11 kV VCB</t>
    </r>
    <r>
      <rPr>
        <sz val="10"/>
        <rFont val="Verdana"/>
        <family val="2"/>
      </rPr>
      <t xml:space="preserve"> without control panel &amp; CT's.</t>
    </r>
  </si>
  <si>
    <t>11 KV VCB without control panel &amp; CT's.</t>
  </si>
  <si>
    <r>
      <t>33 kV VCB</t>
    </r>
    <r>
      <rPr>
        <sz val="10"/>
        <rFont val="Verdana"/>
        <family val="2"/>
      </rPr>
      <t xml:space="preserve"> without control panel &amp; CT's.</t>
    </r>
  </si>
  <si>
    <t>33KV VCB FOR 30 VOLT DC</t>
  </si>
  <si>
    <t>Distribution box 1 ph. 9 connectors along with 2 Nos. Steel Strap &amp; Buckles.</t>
  </si>
  <si>
    <t>DISTRIBUTION BOX 1 PH 9 CONNECTOR</t>
  </si>
  <si>
    <t>Distribution box 3 phase 5 connectors along with 2 Nos. Steel Strap &amp; Buckles.</t>
  </si>
  <si>
    <t>DISTRIBUTION BOX 3 PH 4 CONNECTOR</t>
  </si>
  <si>
    <t>L.T.Distribution Box for 500 kVA X'mer (800 A, isolator &amp; 12 SP MCCB of 150 A)</t>
  </si>
  <si>
    <t>11 kV Sectionalizer.</t>
  </si>
  <si>
    <t>L.T. Distribution Box for 63 kVA X'mer (200 A, isolator &amp; 6 SP MCCB of 100 A)</t>
  </si>
  <si>
    <t>DISTRIBUTION BOX FOR MCCB TYPE 63 KVA TR</t>
  </si>
  <si>
    <t>L.T. Distribution Box for 100 kVA X'mer (200 A, isolator &amp; 6 SP MCCB of 200 A)</t>
  </si>
  <si>
    <t>DISTRIBUTION BOX FOR MSEB TYPE 100 KVA T</t>
  </si>
  <si>
    <t>L.T. Distribution Box for 200 kVA X'mer (400 A, isolator &amp; 6 SP MCCB of 120A)</t>
  </si>
  <si>
    <t>DISTRIBUTION BOX FOR 200KVA TRANSFORMER</t>
  </si>
  <si>
    <t>L.T. Distribution Box for 315 kVA X'mer (600 A, isolator &amp; 9 SP MCCB of 160A)</t>
  </si>
  <si>
    <t>DISTRIBUTION BOX FOR 315 KVA XMER WITH F</t>
  </si>
  <si>
    <t>SMC LT Distribution Box for 100 kVA Distribution Transformer</t>
  </si>
  <si>
    <t>SMC LT Distribution Box for 315 kVA Distribution Transformer</t>
  </si>
  <si>
    <r>
      <t>33 kV</t>
    </r>
    <r>
      <rPr>
        <sz val="10"/>
        <rFont val="Verdana"/>
        <family val="2"/>
      </rPr>
      <t xml:space="preserve"> feeder control panel (Static Relays).</t>
    </r>
  </si>
  <si>
    <t>33KV CONTROL &amp; RELAY PANEL- FEEDER CONTR</t>
  </si>
  <si>
    <r>
      <t xml:space="preserve">33 kV </t>
    </r>
    <r>
      <rPr>
        <sz val="10"/>
        <rFont val="Verdana"/>
        <family val="2"/>
      </rPr>
      <t>Transformer Control Panel (Static Relays)</t>
    </r>
  </si>
  <si>
    <t>33KV CONTROL &amp; RELAY PANEL- TRANSFORMER</t>
  </si>
  <si>
    <t>Feeder Control (Static Relays)</t>
  </si>
  <si>
    <t>11KV CONTROL &amp; RELAY PANEL- FEEDER CONTR</t>
  </si>
  <si>
    <t>Transformer Control (Static Relays)</t>
  </si>
  <si>
    <t>11KV CONTROL &amp; RELAY PANEL- TRANSFORMER</t>
  </si>
  <si>
    <t>11 kV Control &amp; Relay Panel for Capacitor Bank</t>
  </si>
  <si>
    <t>2 Feeder Control (Static Relays)</t>
  </si>
  <si>
    <t>11KV MULTICIRCUIT (2F) CONTROL PANELS (S</t>
  </si>
  <si>
    <t>1 Transformer+1 Feeder (Static Relays)</t>
  </si>
  <si>
    <t>11KV MULTICIRCUIT ONE TRANSFORMER &amp; ONE</t>
  </si>
  <si>
    <t>1 Feeder + 1 Transformer (Static Relays)</t>
  </si>
  <si>
    <t>33KV MULTICIRCUIT ONE TRANSFORMER &amp; ONE</t>
  </si>
  <si>
    <t>Allen keys set of 9 Pcs.(1.5mm; 2mm; 2.5mm; 3mm; 4mm; 5mm; 6mm; 8mm; 10mm) Black finish, box packing</t>
  </si>
  <si>
    <t>Hack saw frames + B185</t>
  </si>
  <si>
    <t>Hack saw blade 300x12.5 mm</t>
  </si>
  <si>
    <t>Cable Cutter</t>
  </si>
  <si>
    <t>Discharge Rod</t>
  </si>
  <si>
    <t>FIBER GLASS DISCHARGE ROD</t>
  </si>
  <si>
    <t>Portable drilling machine</t>
  </si>
  <si>
    <t>Hammer 8 Lbs (3629 gm)</t>
  </si>
  <si>
    <t>Hammer 2 Lbs (907 gm.)</t>
  </si>
  <si>
    <t>Combination Plier / Cutting Plier</t>
  </si>
  <si>
    <t>PLIER COMBINATION SIDE CUTTING 200 MM</t>
  </si>
  <si>
    <t>Screw driver 250 mm</t>
  </si>
  <si>
    <t>SCREW DRIVER 250MM</t>
  </si>
  <si>
    <t>Screw driver 200 mm</t>
  </si>
  <si>
    <t>SCREW DRIVER 200MM</t>
  </si>
  <si>
    <t>Screw driver 150 mm</t>
  </si>
  <si>
    <t>SCREW DRIVER 150MM</t>
  </si>
  <si>
    <r>
      <t>Screw driver Set</t>
    </r>
    <r>
      <rPr>
        <b/>
        <sz val="10"/>
        <rFont val="Verdana"/>
        <family val="2"/>
      </rPr>
      <t xml:space="preserve"> </t>
    </r>
  </si>
  <si>
    <t xml:space="preserve">SCREW DRIVER INSULATED 255 MM </t>
  </si>
  <si>
    <t>Ring Spanners  (6x7,8x9,10x11,12x13, 14x15,16x17,18x19,20x22x,21x23, 24x27,25x28,30x32)</t>
  </si>
  <si>
    <t>Set.</t>
  </si>
  <si>
    <t>RING SPANNER</t>
  </si>
  <si>
    <t xml:space="preserve">Tube Spanners </t>
  </si>
  <si>
    <t>Double end spanner (6x7,8x9,10x11, 12x13,14x15,16x17,18x19,20x22x, 21x23,24x27,25x28,30x32)</t>
  </si>
  <si>
    <t>DOUBLE END SPANNER</t>
  </si>
  <si>
    <t xml:space="preserve">Adjustable Screw Spanner 12 inches </t>
  </si>
  <si>
    <t>Box spanners (of size 32Af, 27A/F, 30 A/F &amp; tommy Bar)</t>
  </si>
  <si>
    <t>BOX SPANNER</t>
  </si>
  <si>
    <t>Pipe Wrench 24 inches size</t>
  </si>
  <si>
    <t>Pipe Wrench 18 inches size</t>
  </si>
  <si>
    <t>1089 kVAR, 12.1 kV, 3-phase 50 Hz Outdoor type Capacitor bank having step as 363 kVAR + 726 kVAR 12.1 KV. Bank shall be complete with Capacitor units of 121 kVAR at 6.98 KV, including allied material such as suitable size of Aluminium busbars, Pin / Post insulators, Expulsion fuses, Cable Jointing Kit, Nuts &amp; Bolts etc.</t>
  </si>
  <si>
    <t>11 KV CAPACITOR 600KVAR</t>
  </si>
  <si>
    <t xml:space="preserve">  5 kVAR</t>
  </si>
  <si>
    <t>POLE MOUNTED GAS FILLED LT SHUNT CAPACIT</t>
  </si>
  <si>
    <t>10 kVAR</t>
  </si>
  <si>
    <t>12 kVAR</t>
  </si>
  <si>
    <t>20 kVAR</t>
  </si>
  <si>
    <t>1815 kVAR 12.1 kV 3-phase 50 Hz Outdoor type Capacitor bank having step as 363 kvar+726 kvar+726 Kvar 12.1 kv Bank shall be complete with capacitor units of 121 kVAr at 6.98 kV including allied materials such as suitable size of aluminium busbars, pin/post insulators, expulsion fuses, cable jointing kit, nuts &amp; bolts etc.</t>
  </si>
  <si>
    <t>CAPACITOR BANK 11KV 3PHASE 1200 KVAR</t>
  </si>
  <si>
    <t xml:space="preserve">16 kVA (4 Star) Aluminium Wound </t>
  </si>
  <si>
    <t>XMER 16KVA 11/0.4 FOUR STAR ALU WOUND</t>
  </si>
  <si>
    <t xml:space="preserve">25 kVA (4 Star) Aluminium Wound </t>
  </si>
  <si>
    <t>TRANSFORMER 25KVA 11/0.4KV  FOUR STAR</t>
  </si>
  <si>
    <t xml:space="preserve">63 kVA (4 Star) Aluminium Wound </t>
  </si>
  <si>
    <t>TRANSFORMER 63KVA 11/0.43KV FOUR STAR</t>
  </si>
  <si>
    <t xml:space="preserve">100 kVA (4 Star) Aluminium Wound </t>
  </si>
  <si>
    <t>TRANSFORMER 100KVA 11/0.43KV FOUR STAR</t>
  </si>
  <si>
    <t xml:space="preserve">200 kVA (4 Star) Aluminium Wound </t>
  </si>
  <si>
    <t>TRANSFORMER 200KVA 11/0.4KV FOUR STAR</t>
  </si>
  <si>
    <t>315 kVA (CEA Design) Copper wound ISI Marked, 11/0.433 kV Distribution Transformer having energy efficiency level '2'</t>
  </si>
  <si>
    <t>XMER 315KVA 11/0.43KV CEA REG. CU WOUND</t>
  </si>
  <si>
    <t>500 kVA [CEA Design] Copper Wound ISI Marked, 11/0.433 kV Distribution Transformer having energy efficiency level '2'</t>
  </si>
  <si>
    <t>500 kVA [CEA Design] (4 Star) Copper Wound Transformer</t>
  </si>
  <si>
    <t>0.2% Reactor suitable for 363 kVAR step</t>
  </si>
  <si>
    <t>0.2% Reactor suitable for 726 kVAR step</t>
  </si>
  <si>
    <t>TRANSFORMER 33/.4KV 50KVA</t>
  </si>
  <si>
    <t>Power Transformer 1600 kVA</t>
  </si>
  <si>
    <t>TRANSFORMER 33/11KV 1.6 MVA POWER</t>
  </si>
  <si>
    <t xml:space="preserve">Power Transformer 3150 kVA </t>
  </si>
  <si>
    <t>TRANSFORMER 33/11KV 3.15 MVA POWER</t>
  </si>
  <si>
    <t xml:space="preserve">Power Transformer 5000 kVA </t>
  </si>
  <si>
    <t>TRANSFORMER 33/11KV 5 MVA POWER</t>
  </si>
  <si>
    <t xml:space="preserve">Power Transformer 8000 kVA </t>
  </si>
  <si>
    <t>Indoor Type 33 kV Metering Cubical CTPT Unit 100 /5A</t>
  </si>
  <si>
    <t>INDOOR TYPE 33KV CT:PT UNIT 100/5A</t>
  </si>
  <si>
    <t>L.T.C.T. 100/5 Amps.</t>
  </si>
  <si>
    <t>L.T. C.T.100/5 Amps.</t>
  </si>
  <si>
    <t>Indoor Type 33 kV Metering Cubical CTPT Unit 50/5 A</t>
  </si>
  <si>
    <t>INDOOR TYPE 33KV CT:PT UNIT 50/5A</t>
  </si>
  <si>
    <t>L.T.C.T. 200/5 Amps.</t>
  </si>
  <si>
    <t>L.T. C.T.200/5 Amps.</t>
  </si>
  <si>
    <t>L.T.C.T. 300/5 Amps.</t>
  </si>
  <si>
    <t>L.T. C.T.300/5 Amps.</t>
  </si>
  <si>
    <t>L.T.C.T. 500/5 Amps.</t>
  </si>
  <si>
    <t>L.T. C.T.500/5 Amps.</t>
  </si>
  <si>
    <t>220 kV C.T. 800-400/1-1A</t>
  </si>
  <si>
    <t>220 KV CT 800-400/1-1-1-1-1AMP.</t>
  </si>
  <si>
    <t xml:space="preserve">33 kV CT's (400-200/5) Amps. Oil filled </t>
  </si>
  <si>
    <t>33KV CT 400-200/5-5A</t>
  </si>
  <si>
    <t>132 kV C.T. 600-300/1-1A</t>
  </si>
  <si>
    <t>CURRENT TRANSFORMER 600-300/1/1-1A,132KV</t>
  </si>
  <si>
    <t>132 kV C.T. 150-75/1-1A</t>
  </si>
  <si>
    <t>132 KV CT 150-75/1</t>
  </si>
  <si>
    <t>220 kV C.T. 150-75/1-1A</t>
  </si>
  <si>
    <t>220 KV CT 150-75/1</t>
  </si>
  <si>
    <t>220 kV C.T. 300-150/1-1A</t>
  </si>
  <si>
    <t>220 KV CT 300-150/1</t>
  </si>
  <si>
    <t>220 kV C.T. 600-300/1-1A</t>
  </si>
  <si>
    <t>220 KV CT 600-300/1</t>
  </si>
  <si>
    <t>11 kV CTPT Unit 400-200/5 A</t>
  </si>
  <si>
    <t>33 kV CTPT Unit 300-150/5 A</t>
  </si>
  <si>
    <t>33KV OIL IMMERSED 3 PHASE 300-150/5A CT-</t>
  </si>
  <si>
    <t>11 kV C.T. 200-100/5 Amps.</t>
  </si>
  <si>
    <t>11 KV C.T's (OUT DOOR TYPE)200-100/5 A</t>
  </si>
  <si>
    <t>11 kV C.T. 300-150/5 Amps.</t>
  </si>
  <si>
    <t>11 KV C.T's (OUT DOOR TYPE)300-150/5 A</t>
  </si>
  <si>
    <t>33 kV CT's (300-150/5) Amps oil filled</t>
  </si>
  <si>
    <t>33KV CT's(300-150/5)A oil filled OD Type</t>
  </si>
  <si>
    <t>33 kV CT's (200-100/5-5) Amps oil filled</t>
  </si>
  <si>
    <t>33KV CT's(200-100/5)A oil filled OD Type</t>
  </si>
  <si>
    <t>33 kV CT's  (100-50/5) Amps. oil filled</t>
  </si>
  <si>
    <t>33KV CT's (100-50/5)A oil filled OD Type</t>
  </si>
  <si>
    <t>132 kV C.T. 100-50/1-1A</t>
  </si>
  <si>
    <t>CURRENT TRANSFORMER 100-50/1/1A SUITABLE</t>
  </si>
  <si>
    <t>132 kV C.T. 200-100/1-1A</t>
  </si>
  <si>
    <t>C.T. 132KV 200-100/1/1A SUITABLE</t>
  </si>
  <si>
    <t>132 kV C.T. 300-150/1-1A</t>
  </si>
  <si>
    <t>CURRENT X-MER 300-150/1/1A - 132KV</t>
  </si>
  <si>
    <t>11 kV CTPT Unit 7.5/5 A</t>
  </si>
  <si>
    <t>OIL IMM 3 PH CTPT UNITS 11 KV 7.5/5 A</t>
  </si>
  <si>
    <t>11 kV CTPT Unit 10/5 A</t>
  </si>
  <si>
    <t>CT/PT UNIT 11KV/110 V 10/5 A OIL IMMERSE</t>
  </si>
  <si>
    <t>11 kV CTPT Unit 15/5 A</t>
  </si>
  <si>
    <t>OIL IMM 3 PH CTPT UNITS 11 KV 15/5 A</t>
  </si>
  <si>
    <t>11 kV CTPT Unit 300-150/5 A</t>
  </si>
  <si>
    <t>OIL IMM 3 PH CTPT UNITS 11 KV 300-150/5A</t>
  </si>
  <si>
    <t>11 kV CTPT Unit 25/5 A</t>
  </si>
  <si>
    <t>OIL IMM 3 PH CTPT UNITS 11 KV 25/5 A</t>
  </si>
  <si>
    <t>11 kV CTPT Unit 75/5 A</t>
  </si>
  <si>
    <t>OIL IMM 3 PH CTPT UNITS 11 KV 75/5 A</t>
  </si>
  <si>
    <t>11 kV CTPT Unit 200-100/5 A</t>
  </si>
  <si>
    <t>OIL IMM 3 PH CTPT UNITS 11 KV 200-100/5A</t>
  </si>
  <si>
    <t>11 kV CTPT Unit 50/5 A</t>
  </si>
  <si>
    <t>OIL IMMERSED 3 PH CTPT UNITS-11 KV 50/5A</t>
  </si>
  <si>
    <t>132 kV C.T. 100/1 A</t>
  </si>
  <si>
    <t>132 kV C.T. 200/1 A</t>
  </si>
  <si>
    <t>220 kV C.T. 800/1 A</t>
  </si>
  <si>
    <t>33 kV CTPT Unit 20/5 A</t>
  </si>
  <si>
    <t>OIL IMM 3 PH CTPT UNITS 33 KV - 20/5 A</t>
  </si>
  <si>
    <t>33 kV CTPT Unit 200-100/5 A</t>
  </si>
  <si>
    <t>OIL IMM 3 PH CTPT UNITS 33 KV-200-100/5A</t>
  </si>
  <si>
    <t>33 kV CTPT Unit 5/5 A</t>
  </si>
  <si>
    <t>OIL IMM 3 PH CTPT UNITS 33 KV - 5/5A</t>
  </si>
  <si>
    <t>33 kV CTPT Unit 10/5 A</t>
  </si>
  <si>
    <t>OIL IMM 3 PH CTPT UNITS 33 KV - 10/5 A</t>
  </si>
  <si>
    <t>33 kV CTPT Unit 30/5 A</t>
  </si>
  <si>
    <t>OIL IMM 3 PH CTPT UNITS 33 KV - 30/5A</t>
  </si>
  <si>
    <t>33 kV CTPT Unit 50/5 A</t>
  </si>
  <si>
    <t>OIL IMM 3 PH CTPT UNITS 33 KV - 50/5 A</t>
  </si>
  <si>
    <t>33 kV CTPT Unit 100 /5A</t>
  </si>
  <si>
    <t>OIL IMM 3 PH CTPT UNITS 33 KV-100 &amp; 200/5A</t>
  </si>
  <si>
    <t>33 kV CTPT Unit 200/5A</t>
  </si>
  <si>
    <t>OIL IMMERSED 3 PHASE CTPT UNITS 200/5</t>
  </si>
  <si>
    <t>33 kV CTPT Unit 400-200/5 A</t>
  </si>
  <si>
    <t>CT/PT UNIT 33KV/110 V 400-200/5 A OIL</t>
  </si>
  <si>
    <t xml:space="preserve">11 kV 3 PH Residual Voltage Transformer </t>
  </si>
  <si>
    <t>11 kV PT Station Type</t>
  </si>
  <si>
    <t>11 kV Single Phase PT's (Oil filled)</t>
  </si>
  <si>
    <t>VOLTAGE TRANSFORMER 11 K V/110 VOLTS SIN</t>
  </si>
  <si>
    <t>33 kV Single Phase PT's (Oil filled)</t>
  </si>
  <si>
    <t>VOLTAGE TRANSFORMER 33 KV / 110 VOLTS SINGLE</t>
  </si>
  <si>
    <t>132 kV P.T.</t>
  </si>
  <si>
    <t>VOLTAGE TRANSFORMER 132KV/110V SINGLE PH</t>
  </si>
  <si>
    <t>220 kV P.T.</t>
  </si>
  <si>
    <t>VOLTAGE X-MER 220KV/110-63.5V SINGLE PH</t>
  </si>
  <si>
    <t>Small Steel Almirah 50''</t>
  </si>
  <si>
    <t>STEEL ALMIRAH SMALL SIZE</t>
  </si>
  <si>
    <t>Safety belts</t>
  </si>
  <si>
    <t>SAFETY BELTS</t>
  </si>
  <si>
    <t>Safety helmets</t>
  </si>
  <si>
    <t>SAFETY HELMETS</t>
  </si>
  <si>
    <t xml:space="preserve">Battery </t>
  </si>
  <si>
    <t>30 Volts 100 AH lead acid battery</t>
  </si>
  <si>
    <t>T.W. Meter Board, 300x300x75 mm, coated with varnish/SMC board</t>
  </si>
  <si>
    <t>T.W.METER BOARD, 300X300X75 MM, COATED W</t>
  </si>
  <si>
    <t>Meter Box (GI Plain Sheet) for 3 Phase LT CT operated meter</t>
  </si>
  <si>
    <t>Meter Box (GI Plain Sheet) for 3 Ph LTCT</t>
  </si>
  <si>
    <t>Pilfer proof SMC/FRPP/PPO LTCT meter box</t>
  </si>
  <si>
    <t>Pilfer proof Single Compartment SMC meter box for LTCT meters 150/5A with CT</t>
  </si>
  <si>
    <t>Pilfer proof Single Compartment SMC meter box for LTCT meters 300/5A with CT</t>
  </si>
  <si>
    <t>Universal Meter Box for HT meters.</t>
  </si>
  <si>
    <t>Sheet Metal deep drawn HT Meter Box</t>
  </si>
  <si>
    <t>CT operated electronic static meters with DLMS.</t>
  </si>
  <si>
    <t>LTCT METER WITH DLMS</t>
  </si>
  <si>
    <t xml:space="preserve">Office Chair cane seat &amp; back with full arms rest </t>
  </si>
  <si>
    <t>S-TYPE STEEL CHAIR WITH TEAK WOOD HAND</t>
  </si>
  <si>
    <t>Rubber Hand gloves 15 kV (Seamless)</t>
  </si>
  <si>
    <t>RUBBER HAND GLOVES</t>
  </si>
  <si>
    <r>
      <t>Fire fighting equipments CO</t>
    </r>
    <r>
      <rPr>
        <vertAlign val="subscript"/>
        <sz val="10"/>
        <rFont val="Verdana"/>
        <family val="2"/>
      </rPr>
      <t>2</t>
    </r>
    <r>
      <rPr>
        <sz val="10"/>
        <rFont val="Verdana"/>
        <family val="2"/>
      </rPr>
      <t xml:space="preserve"> fire extinguisher of 2 Kg Capacity)  </t>
    </r>
  </si>
  <si>
    <t>CO2 TYPE EXTINGUISHER ,2 KG CAPACITY</t>
  </si>
  <si>
    <t>Rain Coats with Hoods</t>
  </si>
  <si>
    <t>RAIN COATS WITH HOODS</t>
  </si>
  <si>
    <t>Gum Boots</t>
  </si>
  <si>
    <t>GUM BOOTS</t>
  </si>
  <si>
    <t>Silica gel</t>
  </si>
  <si>
    <t>SILICA GEL</t>
  </si>
  <si>
    <t>Poly Carbonate seals for meter</t>
  </si>
  <si>
    <t>POLYCARBONATE SEAL</t>
  </si>
  <si>
    <t>Grounding Sticks (Galvanised Earthing Rods 25 mm, 3 Mtr. long)</t>
  </si>
  <si>
    <t xml:space="preserve">Electrically insulated 11 kV mats infront of electrical control panel </t>
  </si>
  <si>
    <t>METTING RUBBER 1900X1800X12MM</t>
  </si>
  <si>
    <t>T.W. plate 300x300x25 mm with 20 mm dia holes at the corners and coated with two coats of varnish on one side/SMC board</t>
  </si>
  <si>
    <t xml:space="preserve">Transformer Oil In Barrel </t>
  </si>
  <si>
    <t>KL</t>
  </si>
  <si>
    <t>TRANSFORMER OIL In Tanker/barrel</t>
  </si>
  <si>
    <t xml:space="preserve">Transformer Oil In Tanker </t>
  </si>
  <si>
    <t>Poly Carbonate seal double anker type</t>
  </si>
  <si>
    <t>POLY CORBONATE SEAL DOUBLE ANKER TYPE</t>
  </si>
  <si>
    <t>HDPE Pipe 200 mm ID; 240 mm OD</t>
  </si>
  <si>
    <t>HDPE PIPE 200MM ID; 240MM OD</t>
  </si>
  <si>
    <t>Jointing arrangement of HDPE Pipe</t>
  </si>
  <si>
    <t>JOINTING ARRANGEMENT OF HDPE PIPE</t>
  </si>
  <si>
    <t>Battery charger</t>
  </si>
  <si>
    <t>30 Volt 100 AH lead acid battery charger</t>
  </si>
  <si>
    <t>Files of sizes</t>
  </si>
  <si>
    <t>Black Cambric tape 25 mm wide 7 mm thick and in rolls of 50 Mtr.</t>
  </si>
  <si>
    <t>Roll</t>
  </si>
  <si>
    <t>PVC lnsulation Tapes 19 mm wide and in rolls of 10 Mtrs</t>
  </si>
  <si>
    <t>PVC INSULATION TAPES 19 MM WIDE AND IN R</t>
  </si>
  <si>
    <t>Cotton Tapes 19 mm wide and in rolls of 50 Mtrs</t>
  </si>
  <si>
    <t>Tong tester Digital (1000 A, 500 V) with associated accessories</t>
  </si>
  <si>
    <t>DIGITAL TONG TESTER 3 1/2 DIGITAL LCD DI</t>
  </si>
  <si>
    <t>Hand Torch 5 cell</t>
  </si>
  <si>
    <t>HAND TORCH 5 CELLED</t>
  </si>
  <si>
    <t>Hand Torch 3 cell</t>
  </si>
  <si>
    <t>HAND TORCH 3 CELLED</t>
  </si>
  <si>
    <t>Cotton Waste</t>
  </si>
  <si>
    <t xml:space="preserve">Fire fighting equipments (dry chemical powder type 5 Kg capacity) </t>
  </si>
  <si>
    <t>DRY CHEMICAL POWER FIRE</t>
  </si>
  <si>
    <t>Monoplast</t>
  </si>
  <si>
    <t>Bitumen compound</t>
  </si>
  <si>
    <t>River sand</t>
  </si>
  <si>
    <t>RIVER SAND</t>
  </si>
  <si>
    <t>11 kV Covered Conductor 50 Sqmm XLPE insulation</t>
  </si>
  <si>
    <t>11KV  COVERED CONDUCTOR XLPE 50SQMM</t>
  </si>
  <si>
    <t>11 kV Covered Conductor 70 Sqmm XLPE insulation</t>
  </si>
  <si>
    <t>11KV  COVERED CONDUCTOR XLPE 70SQMM</t>
  </si>
  <si>
    <t>11 kV Covered Conductor 99 Sqmm XLPE insulation</t>
  </si>
  <si>
    <t>11KV  COVERED CONDUCTOR XLPE 99SQMM</t>
  </si>
  <si>
    <t>33 kV Covered Conductor 157 Sqmm XLPE insulation</t>
  </si>
  <si>
    <t>33KV  COVERED CONDUCTOR XLPE 157SQMM</t>
  </si>
  <si>
    <t>33 kV Covered Conductor 241 Sqmm XLPE insulation</t>
  </si>
  <si>
    <t>33KV  COVERED CONDUCTOR XLPE 241SQMM</t>
  </si>
  <si>
    <t>33 kV Covered Conductor 70 Sqmm XLPE insulation</t>
  </si>
  <si>
    <t>33KV  COVERED CONDUCTOR XLPE 70SQMM</t>
  </si>
  <si>
    <t>33 kV Covered Conductor 99 Sqmm XLPE insulation</t>
  </si>
  <si>
    <t>33KV  COVERED CONDUCTOR XLPE 99SQMM</t>
  </si>
  <si>
    <t>16 sq.mm Single Core PVC Sheathed Unarmoured Cables</t>
  </si>
  <si>
    <t>25 sq.mm Single Core PVC Sheathed Unarmoured Cables</t>
  </si>
  <si>
    <t>185 sq.mm Single Core PVC Sheathed Unarmoured Cables</t>
  </si>
  <si>
    <t>300 sq.mm Single Core PVC Sheathed Unarmoured Cables</t>
  </si>
  <si>
    <t>Spot Billing Machine</t>
  </si>
  <si>
    <t>11 kV Oil Immersed 3 Phase CT-PT Unit of capacity --</t>
  </si>
  <si>
    <t>ITEM DELETED EARLIER, RE-ADDED</t>
  </si>
  <si>
    <t>C&amp;R Panel with 3 O/C + 1 E/F relay and Master Trip</t>
  </si>
  <si>
    <t>Transformer Auxiliary panel with auxiliary protection relay</t>
  </si>
  <si>
    <t>33 kV 2 feeder control panel (Static Relays)</t>
  </si>
  <si>
    <t>G.I.Strip 25x3 mm</t>
  </si>
  <si>
    <t>M.S.Strip 25x3 mm. (0.6 kg/Mtr.)</t>
  </si>
  <si>
    <t xml:space="preserve">M.S.Strip 25x3 mm. </t>
  </si>
  <si>
    <t>Numerical Poly Carbonate seals</t>
  </si>
  <si>
    <t>33 kV Polymer Disc Insulator (45 kN)</t>
  </si>
  <si>
    <t>D.O.Fuse Polymer unit 11 kV</t>
  </si>
  <si>
    <t>D.O.Fuse Polymer unit 33 kV</t>
  </si>
  <si>
    <t>PCC Pole 200 kG; 9.0 Mtr. Long</t>
  </si>
  <si>
    <t>PCC Pole 365 kG; 11 Mtr. Long</t>
  </si>
  <si>
    <t>11 kV Polymer Post Insulator</t>
  </si>
  <si>
    <t>33 kV Polymer Post Insulator</t>
  </si>
  <si>
    <t>Silicon rubber composite insulator / 11 kV  45 kN Polymeric Insulator</t>
  </si>
  <si>
    <t>Polymer A.B.Switch with complete fitting 11 kV</t>
  </si>
  <si>
    <t>Polymer A.B.Switch with complete fitting 33 kV</t>
  </si>
  <si>
    <t>200 Kg 8.0 Meter long PCC Pole</t>
  </si>
  <si>
    <t>2.5 sqmm. Twin Core PVC insulated single phase armoured service Cable</t>
  </si>
  <si>
    <t>2.5 sqmm 2C 1ɸ Armour PVC insulated service Cable</t>
  </si>
  <si>
    <t>4.0 sqmm. Twin Core PVC insulated single phase armoured service Cable</t>
  </si>
  <si>
    <t>4.0 sqmm 2C 1ɸ Armour PVC insulated service Cable</t>
  </si>
  <si>
    <t>6.0 sqmm. Twin Core PVC insulated single phase armoured service Cable</t>
  </si>
  <si>
    <t>6.0 sqmm 2C 1ɸ Armour PVC insulated service Cable</t>
  </si>
  <si>
    <t>6.0 sqmm. Four Core PVC insulated three phase Armoured service Cable</t>
  </si>
  <si>
    <t>6.0 sqmm 4C 3ɸ Armour PVC insulated service Cable</t>
  </si>
  <si>
    <t>8.0 sqmm. Four Core PVC insulated three phase Armoured service Cable</t>
  </si>
  <si>
    <t>8.0 sqmm 4C 3ɸ Armour PVC insulated service Cable</t>
  </si>
  <si>
    <t>10 sqmm. Four Core PVC insulated three phase Armoured service Cable</t>
  </si>
  <si>
    <t>10 sqmm 4C 3ɸ Armour PVC insulated service Cable</t>
  </si>
  <si>
    <t>16 sqmm. Four Core PVC insulated three phase Armoured service Cable</t>
  </si>
  <si>
    <t>16 sqmm 4C 3ɸ Armour PVC insulated service Cable</t>
  </si>
  <si>
    <t>25 sqmm. Four Core PVC insulated three phase Armoured service Cable</t>
  </si>
  <si>
    <t>25 sqmm 4C 3ɸ Armour PVC insulated service Cable</t>
  </si>
  <si>
    <t>240 sq.mm Single Core PVC Sheathed Unarmoured Cables</t>
  </si>
  <si>
    <t>XMER 16KVA 11/0.4KV ENERGY EFFI. LEVEL2</t>
  </si>
  <si>
    <t>XMER 25KVA 11/0.4KV ENERGY EFFI. LEVEL2</t>
  </si>
  <si>
    <t>XMER 63KVA 11/0.4KV ENERGY EFFI. LEVEL2</t>
  </si>
  <si>
    <t>XMER 100KVA 11/.4KV ENERGY EFFI. LEVEL2</t>
  </si>
  <si>
    <t>XMER 200KVA 11/.4KV ENERGY EFFI. LEVEL2</t>
  </si>
  <si>
    <t xml:space="preserve">RCC Block (with 6 mm MS Bar) </t>
  </si>
  <si>
    <t>LED 9 Watt Lamp (without holder)</t>
  </si>
  <si>
    <t>LED 9 W lamp with holder</t>
  </si>
  <si>
    <t xml:space="preserve">LED Tube Light, 20 Watt </t>
  </si>
  <si>
    <t>18 W LED Street Light complete set</t>
  </si>
  <si>
    <t>35 W LED Street Light complete set</t>
  </si>
  <si>
    <t>70 W LED Street Light complete set</t>
  </si>
  <si>
    <t>110 W LED Street Light complete set</t>
  </si>
  <si>
    <t>190 W LED Street Light complete set</t>
  </si>
  <si>
    <t>190 W LED Flood Light complete set</t>
  </si>
  <si>
    <t>110 W LED Flood Light complete set</t>
  </si>
  <si>
    <t>LED Lamps with complete fitting-24 W</t>
  </si>
  <si>
    <t>24 W LED Lamps with complete fitting</t>
  </si>
  <si>
    <t>LED Lamps with complete fitting-48 W</t>
  </si>
  <si>
    <t>48 W LED Lamps with complete fitting</t>
  </si>
  <si>
    <t>LED Lamps with complete fitting-60 W</t>
  </si>
  <si>
    <t>60 W LED Lamps with complete fitting</t>
  </si>
  <si>
    <t>3 Way RMU, 2OD + 1VL, One Incomer + One Breaker + One Outgoing, 350 MVA, 650 Amps.</t>
  </si>
  <si>
    <t>11 kV RMU 3 WAY,2 OD+1 VL, 350 MVA, 650 A.</t>
  </si>
  <si>
    <t>4 Way RMU, 2OD + 2VL, (One Incomer + Two  Breakers + One Outgoing), 350 MVA, 650 Amps.</t>
  </si>
  <si>
    <t>11 kV RMU 4 WAY,2 OD+2 VL, 350 MVA, 650 A.</t>
  </si>
  <si>
    <t>5 Way RMU, 2OD + 3VL, (One Incomer + Three Breakers + One Outgoing), 350 MVA, 650 Amps.</t>
  </si>
  <si>
    <t>11 kV RMU 5 WAY,2 OD+3 VL, 350 MVA, 650 A.</t>
  </si>
  <si>
    <t>6 Way RMU, 2OD + 4VL,(One Incomer + Four Breakers + One Outgoing), 350 MVA, 650 Amps.</t>
  </si>
  <si>
    <t>11 kV RMU 6 WAY,2 OD+4 VL, 350 MVA, 650 A.</t>
  </si>
  <si>
    <t>1OD for RMU</t>
  </si>
  <si>
    <t>1VL for 350 MVA, 650 Amps RMU</t>
  </si>
  <si>
    <t>Indoor Type 33 kV Metering Cubical CTPT Unit 10/5 A</t>
  </si>
  <si>
    <t xml:space="preserve">INDOOR TYPE 33 KV 10/5A CT:PT CUBICAL UNIT </t>
  </si>
  <si>
    <t>Indoor Type 33 kV Metering Cubical CTPT Unit 25/5 A</t>
  </si>
  <si>
    <t xml:space="preserve">INDOOR TYPE 33 KV 25/5A CT:PT CUBICAL UNIT </t>
  </si>
  <si>
    <t>Indoor Type 33 kV Metering Cubical CTPT Unit 200/5 A</t>
  </si>
  <si>
    <t xml:space="preserve">INDOOR TYPE 33 KV 200/5A CT:PT CUBICAL UNIT </t>
  </si>
  <si>
    <t>Indoor Type 11 kV Metering Cubical CTPT Unit 10/5 A</t>
  </si>
  <si>
    <t xml:space="preserve">INDOOR TYPE 11 KV 10/5A CT:PT CUBICAL UNIT </t>
  </si>
  <si>
    <t>Indoor Type 11 kV Metering Cubical CT-PT Units 15/5 A</t>
  </si>
  <si>
    <t xml:space="preserve">Indoor Type 11kV 15/5A CTPT Cubical Unit </t>
  </si>
  <si>
    <t>Indoor Type 11 kV Metering Cubical CTPT Unit 25/5 A</t>
  </si>
  <si>
    <t xml:space="preserve">INDOOR TYPE 11 KV 25/5A CT:PT CUBICAL UNIT </t>
  </si>
  <si>
    <t>Indoor Type 11 kV 50/5 A Metering Cubical CT-PT Units</t>
  </si>
  <si>
    <t xml:space="preserve">Indoor Type 11kV 50/5A CTPT Cubical Unit </t>
  </si>
  <si>
    <t>(0+1) TYPE - MEANS 11 KV GAS (SF6) INSULATED RMU WITH ONE 630 A LOAD BREAK SWITCH.</t>
  </si>
  <si>
    <t>(0+3) TYPE - MEANS 11 KV GAS (SF6) INSULATED RMU WITH THREE 630 A LOAD BREAK SWITCHES.</t>
  </si>
  <si>
    <t>(0+4) TYPE - MEANS 11 KV GAS (SF6) INSULATED RMU WITH FOUR 630 A LOAD BREAK SWITCHES.</t>
  </si>
  <si>
    <t>(0+2)+BC+(0+2) TYPE - MEANS 11 KV GAS (SF6) INSULATED RMU WITH FOUR NOS. 630 A LOAD BREAK SWITCHES AND ONE BUS COUPLER IN BETWEEN AFTER ISOLATOR.</t>
  </si>
  <si>
    <t>(0+2)+BC+(0+2)+BC+(0+2) TYPE - MEANS 11 KV GAS (SF6) INSULATED RMU WITH SIX NOS. 630 A LOAD BREAK SWITCHES AND ONE BUS COUPLER WITH LBS IN BETWEEN AFTER ISOLATOR.</t>
  </si>
  <si>
    <t>12 kV, Outdoor type Vacuum Capacitor switches</t>
  </si>
  <si>
    <t>AC Distribution board for AC/DC Supply</t>
  </si>
  <si>
    <t>Chem Rod Earthing electrode (Chemical Earthing) [As per specification given in Schedule-C-20]</t>
  </si>
  <si>
    <t>Job</t>
  </si>
  <si>
    <t>Surge Arrestor</t>
  </si>
  <si>
    <t>Ground connection for Messenger Wire</t>
  </si>
  <si>
    <t>33/11 kV S/S (Name Plate) Board</t>
  </si>
  <si>
    <t>11 kV Fault Passage Indicator for Overhead line</t>
  </si>
  <si>
    <t xml:space="preserve">RATE  EXCLUDING G.S.T. </t>
  </si>
  <si>
    <t>SMC Meter Board 350x200x40 mm (minimum) thickness 2.5 mm</t>
  </si>
  <si>
    <t>SMC Meter Board 350x200x40 mm, thickness 2.5 mm</t>
  </si>
  <si>
    <t>SMC Board 200x150x40 mm (minimum) thickness 2.5 mm</t>
  </si>
  <si>
    <t>SMC Board 200x150x40 mm thickness 2.5 mm</t>
  </si>
  <si>
    <t>Piano type ISI mark 250V/5A switch.</t>
  </si>
  <si>
    <t>250V/5A ISI mark 3 pin Socket</t>
  </si>
  <si>
    <t>250V/5A ISI mark holder.</t>
  </si>
  <si>
    <t>Earthing terminal (having suitable size of 10 mm Dia GI bolt with 3 nos.
 nuts &amp; washers) along with Staples/ Nut-Bolts/ Nails</t>
  </si>
  <si>
    <t>Earth terminal(10mm Dia GI bolt with 3 no) nuts &amp; washers) along with Staples/ Nut-Bolts/ Nails</t>
  </si>
  <si>
    <t>Internal wiring using 1.5 sqmm copper multistrands PVC insulated ISI marked cable (Average cable length 6 Mtr.)</t>
  </si>
  <si>
    <t xml:space="preserve">1.5 sqmm copper multistrand PVC cable </t>
  </si>
  <si>
    <t>25 mm Dia PVC pipe or equivalent for internal house wiring (3 Mtr)</t>
  </si>
  <si>
    <t>Feet</t>
  </si>
  <si>
    <t>25 mm Dia PVC pipe or equivalent (3 Mtr)</t>
  </si>
  <si>
    <t>Bhatta brick</t>
  </si>
  <si>
    <t>Meter Sealing Wire</t>
  </si>
  <si>
    <t>Hand Operated type 25 sq.mm. to 400 sq.mm Crimping Tool</t>
  </si>
  <si>
    <t>Hydraulic type Crimping Tool with suitable Dies for crimping Lugs of size up to 400 sq.mm.</t>
  </si>
  <si>
    <t>RECHARGEABLE L.E.D. HAND TORCH</t>
  </si>
  <si>
    <t>Cable separator in RCC Pipe with Angle Cross of 50x50x6 mm Angle @ 2 No. in one pipe</t>
  </si>
  <si>
    <t xml:space="preserve">Cable separator in RCC Pipe with 50x50x6 mm Angle </t>
  </si>
  <si>
    <t>11 kV Capacitor Unit with Expulsion Tube</t>
  </si>
  <si>
    <t>(cost per kVAR)</t>
  </si>
  <si>
    <t>RATE OF STOCK MATERIALS IN SoR OF 2023-24</t>
  </si>
  <si>
    <t>16 kVA, Aluminium wound ISI Marked, 11/0.433 kV Distribution Transformer having energy efficiency level '1' (Without Box)</t>
  </si>
  <si>
    <t>25 kVA, Aluminium wound ISI Marked, 11/0.433 kV Distribution Transformer having energy efficiency level '1' (Without Box)</t>
  </si>
  <si>
    <t>63 kVA, Aluminium wound ISI Marked, 11/0.433 kV Distribution Transformer having energy efficiency level '1' (Without Box)</t>
  </si>
  <si>
    <t>100 kVA, Aluminium wound ISI Marked, 11/0.433 kV Distribution Transformer having energy efficiency level '1' (Without Box)</t>
  </si>
  <si>
    <t>200 kVA, Aluminium wound ISI Marked, 11/0.433 kV Distribution Transformer having energy efficiency level '1' (Without Box)</t>
  </si>
  <si>
    <t>315 kVA, Copper wound ISI Marked, 11/0.433 kV Distribution Transformer having energy efficiency level '1' (Without Box)</t>
  </si>
  <si>
    <t>500 kVA, Copper wound ISI Marked, 11/0.433 kV Distribution Transformer having energy efficiency level '1' (Without Box)</t>
  </si>
  <si>
    <t>25 kVA, Aluminium wound ISI Marked, 11/0.433 kV Distribution Transformer having energy efficiency level '1' (With Secondary Terminal Box)</t>
  </si>
  <si>
    <t>63 kVA, Aluminium wound ISI Marked, 11/0.433 kV Distribution Transformer having energy efficiency level '1' (With Secondary Terminal Box)</t>
  </si>
  <si>
    <t>100 kVA, Aluminium wound ISI Marked, 11/0.433 kV Distribution Transformer having energy efficiency level '1' (With Secondary Terminal Box)</t>
  </si>
  <si>
    <t>200 kVA, Aluminium wound ISI Marked, 11/0.433 kV Distribution Transformer having energy efficiency level '1' (With Secondary Terminal Box)</t>
  </si>
  <si>
    <t>315 kVA, Copper wound ISI Marked, 11/0.433 kV Distribution Transformer having energy efficiency level '1' (With Secondary Terminal Box)</t>
  </si>
  <si>
    <t>TRANSFORMER 33/11KV 8 MVA POWER</t>
  </si>
  <si>
    <t>Fabricated Transformer Oil Storage Tank (10 Kl Capacity)</t>
  </si>
  <si>
    <t xml:space="preserve">No. </t>
  </si>
  <si>
    <t xml:space="preserve">Fabricated Transformer Oil Storage Tank </t>
  </si>
  <si>
    <t>G.I. WIRES: - 4.0MM (8 SWG)</t>
  </si>
  <si>
    <t>G.I. WIRES: - 5.0MM (6 SWG)</t>
  </si>
  <si>
    <t>11 kV 3 phase A.B.Cable 3x120 +120 sqmm (incl. sag 6%)</t>
  </si>
  <si>
    <t>1:2:4 Ratio</t>
  </si>
  <si>
    <t>ACCESSORIES FOR COVERED CONDUCTOR :-</t>
  </si>
  <si>
    <t>Alignment tie (non-metallic)</t>
  </si>
  <si>
    <t>Mechanical conductor with heat shrunk sleeve for bare to covered</t>
  </si>
  <si>
    <t>IPC for Networking / Branching / Looping CC to CC</t>
  </si>
  <si>
    <t xml:space="preserve">IPC with Aluminium Bail for earthing </t>
  </si>
  <si>
    <t>Mid span joint</t>
  </si>
  <si>
    <t xml:space="preserve">IPC with Aluminium Bail &amp; Transformer Tap (Line this) </t>
  </si>
  <si>
    <t>Heat Shrinkable End Cap</t>
  </si>
  <si>
    <t>(i) Tension / anchoring Clamp with tracking protection IPC</t>
  </si>
  <si>
    <t>(ii) Alignment tie (non-metallic)</t>
  </si>
  <si>
    <t>(iii) Mechanical conductor with heat shrunk sleeve for bare to covered</t>
  </si>
  <si>
    <t>(iv) IPC for Networking / Branching / Looping CC to CC</t>
  </si>
  <si>
    <t xml:space="preserve">(v) IPC with Aluminium Bail for earthing </t>
  </si>
  <si>
    <t>(vi) Mid span joint</t>
  </si>
  <si>
    <t xml:space="preserve">(vii) IPC with Aluminium Bail &amp; Transformer Tap (Line this) </t>
  </si>
  <si>
    <t>(viii) Heat Shrinkable End Cap</t>
  </si>
  <si>
    <t>(ix) Termination kit / Lug for Transformer Connection</t>
  </si>
  <si>
    <t>Tension/anchoring Clamp with tracking protection</t>
  </si>
  <si>
    <t>Termination kit/Lug for Transformer Connection</t>
  </si>
  <si>
    <t>Feeder Remote Terminal Unit (FRTU)  with accessories Multifunction Transducer (MFT), Contact Multiplication Relay (CMR), Heavy Duty Relay &amp; software.</t>
  </si>
  <si>
    <t>Bin code changed. Earlier bin code was- 7132072007</t>
  </si>
  <si>
    <t>RCC Pipe Type NP-3 (2.5 mtr long) on first class bedding - 450 mm</t>
  </si>
  <si>
    <t>50 kVA (Copper winding) 33/0.4 kV</t>
  </si>
  <si>
    <t>Modem (4G)</t>
  </si>
  <si>
    <t>Name Changed</t>
  </si>
  <si>
    <t>MODEM</t>
  </si>
  <si>
    <t xml:space="preserve">Transportation charges @ 4% on Column no. 20 </t>
  </si>
  <si>
    <t xml:space="preserve">Labour charges as per Sch No. CL-3(A) </t>
  </si>
  <si>
    <t xml:space="preserve">Transportation charges @ 4% on Column no. 12 </t>
  </si>
  <si>
    <r>
      <t xml:space="preserve">Material cost including GST and labour.  </t>
    </r>
    <r>
      <rPr>
        <b/>
        <sz val="10"/>
        <rFont val="Verdana"/>
        <family val="2"/>
      </rPr>
      <t>New Bin Code issued.</t>
    </r>
  </si>
  <si>
    <t>NEW  ITEM  INTRODUCED New Bin Code issued.</t>
  </si>
  <si>
    <t>NEW  ITEM  INTRODUCED. New Bin Code issued.</t>
  </si>
  <si>
    <t>Compact arrangement of RMU+FRTU+ LT Distribution Box in a closed chamber for 11/0.433 kV Distribution sub-station (excluding Distribution Transformer) with Transformer in top &amp; RMU+FRTU+ LT Distribution Box in bottom, compatible upto 650 kVA.</t>
  </si>
  <si>
    <t>Compact arrangement of RMU+FRTU+ LT Distribution Box in a closed chamber for 11/0.433 kV Distribution sub-station (excluding Distribution Transformer) with Transformer in top &amp; RMU+LT Distribution Box in bottom, compatible upto 650 kVA.</t>
  </si>
  <si>
    <t>ABT Meter Accuracy class: 0.2s, C.T. Ratio: _/1A, P.T.Ratio: _/110V</t>
  </si>
  <si>
    <t>New Bin Code issued.</t>
  </si>
  <si>
    <r>
      <t xml:space="preserve">Material cost including GST and labour. </t>
    </r>
    <r>
      <rPr>
        <b/>
        <sz val="10"/>
        <rFont val="Verdana"/>
        <family val="2"/>
      </rPr>
      <t>New Bin Code issued.</t>
    </r>
  </si>
  <si>
    <t>LT 3 phase 5 Wire Aerial Bunched Cable of Size 3x95+1x16+1x70</t>
  </si>
  <si>
    <t>LT 3 phase 5 Wire Aerial Bunched Cable of Size 3x120+1x16+1x95</t>
  </si>
  <si>
    <t>33 kV 3 CORE XLPE UG CABLE 3X 150 SQMM</t>
  </si>
  <si>
    <t>33 kV 3 CORE XLPE UG CABLE 3x240 Sq.mm.</t>
  </si>
  <si>
    <t>33 kV 3 CORE XLPE UG CABLE 3x400 Sq.mm.</t>
  </si>
  <si>
    <t>Transportation charges @ 4% on Column no. 24</t>
  </si>
  <si>
    <t>0.04</t>
  </si>
  <si>
    <t xml:space="preserve">Labour charges including dismantling &amp; stringing of line as per Sch No. CL-3(C) </t>
  </si>
  <si>
    <t>Transportation charges @ 4% on Column no. 09</t>
  </si>
  <si>
    <t xml:space="preserve">Labour charges including dismantling &amp; stringing of line as per Sch No. CL-3(D) </t>
  </si>
  <si>
    <t xml:space="preserve">Labour charges as per Sch No. CL-3(E) </t>
  </si>
  <si>
    <t xml:space="preserve">Transportation charges @ 4% on Column no. 23 </t>
  </si>
  <si>
    <t>1 KM OF 33 kV LINE ON PCC POLES / H-BEAMS WITH MAXIMUM SPAN OF 100 METERS USING RACCOON CONDUCTOR</t>
  </si>
  <si>
    <t>S No</t>
  </si>
  <si>
    <t xml:space="preserve">New SAP Bin Code </t>
  </si>
  <si>
    <t>280 Kg; 9.1 Mtr long PCC Pole</t>
  </si>
  <si>
    <t>"H" Beam 152x152mm 37.1 Kg/Mtr 13.0 Mtr</t>
  </si>
  <si>
    <t xml:space="preserve">280 Kg; 9.1 Mtr long PCC Pole </t>
  </si>
  <si>
    <t>2</t>
  </si>
  <si>
    <t xml:space="preserve">H-Beam 152x152 mm 37.1 Kg/Mtr 13 M (482.30 Kg) x 10 No = 4823 Kgs </t>
  </si>
  <si>
    <t>33 kV "V" Cross arm 75x75x6 mm</t>
  </si>
  <si>
    <t>(i) Stay Clamp for PCC Pole</t>
  </si>
  <si>
    <t>(ii) Stay Clamp for "H" Beam</t>
  </si>
  <si>
    <t>33 kV Top Clamps</t>
  </si>
  <si>
    <t>Earthing Set (Coil earth as per Drg. No. g/007)</t>
  </si>
  <si>
    <t>33 kV Polymeric Pin insulator with Pin</t>
  </si>
  <si>
    <t>Raccoon ACSR Conductor (80 Sqmm, Al. Eq) with 3% sag</t>
  </si>
  <si>
    <t xml:space="preserve">Jointing Sleeves suitable ( for 80 Sqmm, Al. Eq. ACSR cond.)   </t>
  </si>
  <si>
    <t>(i) Stay set 20 mm</t>
  </si>
  <si>
    <t>(ii) Stay Clamp For PCC Pole</t>
  </si>
  <si>
    <t>(iii) Stay Clamp For "H" Beam</t>
  </si>
  <si>
    <t>(iv) Stay Wire 7/8 SWG @ 8.5 kg/  stay</t>
  </si>
  <si>
    <t>Concreting of supports @ 0.6 Cmt. Per pole for H-Beam ; @ 0.5 Cmt. Per pole for 365 kG PCC; and @ 0.3 Cmt per stay and @ 0.05 Cmt per pole for base padding for PCC / H-Beam pole. (1:3:6)</t>
  </si>
  <si>
    <t xml:space="preserve">Cmt </t>
  </si>
  <si>
    <t>Barbed Wire (@ 2 Kg/Pole)</t>
  </si>
  <si>
    <r>
      <t xml:space="preserve">Binding wire and tape                 </t>
    </r>
    <r>
      <rPr>
        <sz val="18"/>
        <rFont val="Arial"/>
        <family val="2"/>
      </rPr>
      <t xml:space="preserve">  </t>
    </r>
  </si>
  <si>
    <t>M.S. Nuts and Bolts</t>
  </si>
  <si>
    <t xml:space="preserve"> Guarding 33 kV </t>
  </si>
  <si>
    <t>Rs</t>
  </si>
  <si>
    <t xml:space="preserve">(i) G.I. Wire 6 SWG </t>
  </si>
  <si>
    <t xml:space="preserve">(ii) G.I. Wire 8 SWG </t>
  </si>
  <si>
    <t xml:space="preserve">(iii) 33 kV guarding channel </t>
  </si>
  <si>
    <t>(iv) Stay Clamp Set</t>
  </si>
  <si>
    <t>(v) M.S. Nut &amp; Bolt 16x140 mm</t>
  </si>
  <si>
    <t xml:space="preserve">Kg </t>
  </si>
  <si>
    <t xml:space="preserve">(vi) I--Bolt Big Size </t>
  </si>
  <si>
    <t>(vii) Stay set 20 mm complete</t>
  </si>
  <si>
    <t>(viii) Stay wire 7/8 SWG &amp; 8.5 Kg/stay</t>
  </si>
  <si>
    <t>(ix) M.S.Nuts &amp; Bolts 16x90 mm.</t>
  </si>
  <si>
    <t>Back filling of PCC Pole with boulders @ 0.35 Cmt per pole</t>
  </si>
  <si>
    <t>Labour charges as per Schedule No.- AL-1</t>
  </si>
  <si>
    <t>Overhead Charges @ 12.5% [Market Fluctuation, Service Tax, Contractor's profit etc.] on Row - 20, 22, 23, 24, 25, 26</t>
  </si>
  <si>
    <t>Total Estimated Cost excluding GST (Row 21, 22, 23, 24, 25, 26, 27)</t>
  </si>
  <si>
    <t>Applicable CGST @ 9% on Row 28</t>
  </si>
  <si>
    <t>Applicable SGST @ 9% on Row 28</t>
  </si>
  <si>
    <t>Total Estimated Cost including GST (Row 28+29+30)</t>
  </si>
  <si>
    <t>Note:-</t>
  </si>
  <si>
    <t>Schedule A-2 (B) is to be supplemented with every 1.0 Km of 33 kV line.</t>
  </si>
  <si>
    <t>COST SCHEDULE  A-1</t>
  </si>
  <si>
    <t>COST SCHEDULE   A-2 (A)</t>
  </si>
  <si>
    <t>33 kV  FOUR  POLE  STRUCTURE  ON  PCC / H-BEAM POLE</t>
  </si>
  <si>
    <t>PCC Pole 280 kg 9.1 Mtr. Long</t>
  </si>
  <si>
    <t>H-Beams 37.1 Kg/Mtr., 13 Mtr. Long</t>
  </si>
  <si>
    <t>1</t>
  </si>
  <si>
    <t>6</t>
  </si>
  <si>
    <t>280 Kg.,9.1 Mtrs. long PCC Poles</t>
  </si>
  <si>
    <t xml:space="preserve">H-Beams 152 X 152 mm., 37.1 Kg/Mtr 13 Mtr. Long (482.3 Kg x 4 No = 1929.2 Kgs) </t>
  </si>
  <si>
    <t>D.C.cross- arm of 100 X  50 X 6 mm. suitable for 5' centre DP</t>
  </si>
  <si>
    <t>33 kV Strain H.W. fitting</t>
  </si>
  <si>
    <t>33 kV Polymer Disc Insulator</t>
  </si>
  <si>
    <t>DOG ACSR Conductor (100 Sqmm, Al. Eq) with 3% sag</t>
  </si>
  <si>
    <t xml:space="preserve">DC cross arm 3.8 Mtr. Channel of 100x50 mm  </t>
  </si>
  <si>
    <t>(i) Stay Clamp For PCC Pole</t>
  </si>
  <si>
    <t>(ii) Stay Clamp For "H" Beam</t>
  </si>
  <si>
    <t xml:space="preserve">33 kV AB Switch </t>
  </si>
  <si>
    <t>Concreting of supports @ 0.5 Cmt Per pole for PCC Pole and @ 0.05 Cmt per pole for base padding for PCC pole (1:3:6)</t>
  </si>
  <si>
    <t xml:space="preserve">Cmt.  </t>
  </si>
  <si>
    <t>Concreting of supports @ 0.6 Cmt. Per pole for H-Beam  and @ 0.05 Cmt per pole for base padding for H-Beam pole (1:3:6)</t>
  </si>
  <si>
    <t>M.S.Angle 75x75x6 mm (for bracing 4 No. @ 60 kg each)</t>
  </si>
  <si>
    <t>Red oxide paint</t>
  </si>
  <si>
    <t>Aluminium paint</t>
  </si>
  <si>
    <t>Strain Plate (65x8) mm</t>
  </si>
  <si>
    <t>Labour charges for concreting of PCC Pole</t>
  </si>
  <si>
    <t>Labour charges for concreting of H-Beam Pole</t>
  </si>
  <si>
    <t>Labour charges as per Schedule No.- AL-2(A)</t>
  </si>
  <si>
    <t>Overhead Charges @ 12.5% [Market Fluctuation, Service Tax, Contractor's profit etc.] on --</t>
  </si>
  <si>
    <t>(i)</t>
  </si>
  <si>
    <t>(ii)</t>
  </si>
  <si>
    <t>Total Estimated Cost excluding GST --</t>
  </si>
  <si>
    <t>Total Estimated Cost including GST (Row 30+31+32)</t>
  </si>
  <si>
    <t>COST SCHEDULE   A-2 (B)</t>
  </si>
  <si>
    <t>33 kV DP STRUCTURE ON  PCC POLES / H-BEAM POLE (TO BE SUPPLEMENTED WITH EVERY 1.0 KM OF LINE OF RACCOON / DOG  CONDUCTOR)</t>
  </si>
  <si>
    <t>37.1 Kg/Mtr 13.0 Mtr long H-Beam</t>
  </si>
  <si>
    <t xml:space="preserve">(i) 280 Kg; 9.1 Mtr long PCC Pole </t>
  </si>
  <si>
    <t xml:space="preserve">(ii) H-Beam 152x152 mm 37.1 Kg/Mtr 13 M (482.3 Kg) / pole x 2 No = 964.6 Kgs </t>
  </si>
  <si>
    <t xml:space="preserve">(iii) 365 Kg; 11 Mtr long PCC Pole </t>
  </si>
  <si>
    <t xml:space="preserve">DC cross arm of 100x50 mm Channel 5' Center </t>
  </si>
  <si>
    <t xml:space="preserve">Horizontal &amp; cross bracing 5' centre with set of 4 back clamps </t>
  </si>
  <si>
    <t xml:space="preserve">(iii) M.S.Angle 65X65x6 mm </t>
  </si>
  <si>
    <t>(iii) Stay Clamp for "H" Beam</t>
  </si>
  <si>
    <t>(iv) Stay Wire 7/8 SWG @ 8.5 kg Per Pole</t>
  </si>
  <si>
    <t>Concreting @ 0.6 Cmt per pole for H-Beam supports and 0.5 Cmt per pole for 365 kG 11 Mtr. Long PCC @ 0.3 Cmt per stay and @ 0.05 Cmt per pole for base padding for PCC / H-Beam (1:3:6)</t>
  </si>
  <si>
    <t>Labour charges as per Schedule No.- AL-2</t>
  </si>
  <si>
    <t>Overhead Charges @ 12.5% [Market Fluctuation, Service Tax, Contractor's profit etc.] on Row - 16, 18,19, 20, 21, 22</t>
  </si>
  <si>
    <t>Total Estimated Cost excluding GST (Row 17, 18, 19, 20, 21, 22, 23)</t>
  </si>
  <si>
    <t>Applicable CGST @ 9% on Row 24</t>
  </si>
  <si>
    <t>Applicable SGST @ 9% on Row 24</t>
  </si>
  <si>
    <t>Total Estimated Cost including GST (Row 24+25+26)</t>
  </si>
  <si>
    <t>This Schedule is to be supplemented with Schedule A-1 &amp; A-3.</t>
  </si>
  <si>
    <t>COST SCHEDULE - A-3</t>
  </si>
  <si>
    <t>1 KM OF 33 kV LINE ON PCC POLES  / H-BEAM SUPPORT WITH MAXIMUM SPAN OF 100 METERS USING DOG CONDUCTOR</t>
  </si>
  <si>
    <t>"H" Beam 152x152 mm 37.1 Kg/Mtr 13.0 Mtr</t>
  </si>
  <si>
    <t xml:space="preserve">H-Beam 152x152 mm 37.1 Kg/Mtr 13 M (482.30Kg) x 10 No = 4823 Kgs </t>
  </si>
  <si>
    <t xml:space="preserve">(ii) Stay Clamp For H-Beam Pole </t>
  </si>
  <si>
    <t xml:space="preserve">Jointing Sleeves (suitable for 100 Sqmm, Al. Eq. ACSR cond.)   </t>
  </si>
  <si>
    <t>Stay set 20 mm</t>
  </si>
  <si>
    <t>Stay Wire 7/8 SWG @ 8.5 kg Per stay</t>
  </si>
  <si>
    <t>Concreting of H-Beam supports @ 0.6 cmt. Per pole and @ 0.3 Cmt per stay and @ 0.05 cmt per pole for base padding for PCC / H- Beam pole  (1:3:6)</t>
  </si>
  <si>
    <t xml:space="preserve">Danger Boards </t>
  </si>
  <si>
    <t xml:space="preserve">Binding wire and tape    </t>
  </si>
  <si>
    <t xml:space="preserve"> Guarding</t>
  </si>
  <si>
    <t xml:space="preserve">(i) GI Wire 6 SWG </t>
  </si>
  <si>
    <t xml:space="preserve">(ii) GI Wire 8 SWG </t>
  </si>
  <si>
    <t xml:space="preserve">(iii) 33 kV Guarding Channel </t>
  </si>
  <si>
    <t xml:space="preserve">(vi) I-Bolt Big Size </t>
  </si>
  <si>
    <t>(viii) Stay wire 7/8 SWG &amp; 8.5 Kg/ stay</t>
  </si>
  <si>
    <t>Labour charges as per Schedule No.- AL-3</t>
  </si>
  <si>
    <t>--</t>
  </si>
  <si>
    <t>COST SCHEDULE -- A-3 (A)</t>
  </si>
  <si>
    <t>SCHEDULE  FOR  AUGMENTATION  OF  1 kM  OF  33 kV LINE  FROM  RACCOON  TO  DOG  CONDUCTOR</t>
  </si>
  <si>
    <t>S.No.</t>
  </si>
  <si>
    <t>Particulars</t>
  </si>
  <si>
    <t>Cost per Unit</t>
  </si>
  <si>
    <t xml:space="preserve">Cost </t>
  </si>
  <si>
    <t>ACSR Dog Conductor 100 sq.mm</t>
  </si>
  <si>
    <t>Jointing Sleeves suitable for Dog ACSR Conductor</t>
  </si>
  <si>
    <t>Guarding</t>
  </si>
  <si>
    <t>(i) GI Wire 6 SWG</t>
  </si>
  <si>
    <t>(ii) GI Wire 8 SWG</t>
  </si>
  <si>
    <t>(iii) 33 kV Guarding Channel (Set)</t>
  </si>
  <si>
    <t>(iv) M.S Nut &amp; Bolt 16x140 mm.</t>
  </si>
  <si>
    <t>(v) I - Bolt Big Size</t>
  </si>
  <si>
    <t>(vi) Stay Set 20 mm Complete</t>
  </si>
  <si>
    <t>(vii) Stay Wire 7/8 SWG @ 8.5 Kg. Stay</t>
  </si>
  <si>
    <t>(viii) MS Nut &amp; Bolt 16x90 mm</t>
  </si>
  <si>
    <t>Concreting of Stay Set @ 0.3 Cmt per stay (1:3:6)</t>
  </si>
  <si>
    <t>Material cost excluding GST ( Sub Total-1/1.18 )</t>
  </si>
  <si>
    <t>Incidental Charges @ 7.5 % on Sub -  Total-1 : -</t>
  </si>
  <si>
    <t>COST SCHEDULE --  A-3 (B)</t>
  </si>
  <si>
    <t>COST  SCHEDULE  FOR ADDITIONAL  (MID SPAN)  POLE  FOR  33 kV  LINE USING  37.1 KG / MTR 13 M. LONG H-BEAM SUPPORT</t>
  </si>
  <si>
    <t>152x152 mm 37.1 Kg/Mtr 13 M (482.30 Kg) H-Beam</t>
  </si>
  <si>
    <t xml:space="preserve">H-Beam 152x152 mm 37.1 Kg/Mtr 13 M (482.30 Kg) x 1 No = 482.3 Kgs </t>
  </si>
  <si>
    <t xml:space="preserve">Cross Arm Clamp </t>
  </si>
  <si>
    <t>33 kV Top Clamp</t>
  </si>
  <si>
    <t>Concreting of H-Beam support @ 0.6 Cmt. per pole and @ 0.05 Cmt per pole for base padding of H-Beam pole (1:3:6).</t>
  </si>
  <si>
    <t xml:space="preserve">Binding wire and tape </t>
  </si>
  <si>
    <t>Overhead Charges @ 12.5% [Market Fluctuation, Service Tax, Contractor's profit etc.] on Row - 14, 16, 17, 18, 19</t>
  </si>
  <si>
    <t>Total Estimated Cost excluding GST (Row 15, 16, 17, 18, 19, 20)</t>
  </si>
  <si>
    <t>Applicable CGST @ 9% on Row 21</t>
  </si>
  <si>
    <t>Applicable SGST @ 9% on Row 21</t>
  </si>
  <si>
    <t>Total Estimated Cost including GST (Row 21+22+23)</t>
  </si>
  <si>
    <t xml:space="preserve">S. No. </t>
  </si>
  <si>
    <t>New Sap Bin Code</t>
  </si>
  <si>
    <t xml:space="preserve">Unit </t>
  </si>
  <si>
    <t>152x152 mm 37.1 Kg/Mtr 13 M (482.30 Kg) long H-Beam</t>
  </si>
  <si>
    <t>Earthing Set (Coil Earth as per Drg. No. G/007)</t>
  </si>
  <si>
    <t xml:space="preserve">Set. </t>
  </si>
  <si>
    <t>Stay Clamp for "H" Beam</t>
  </si>
  <si>
    <t>Kg.</t>
  </si>
  <si>
    <t xml:space="preserve">Cmt. </t>
  </si>
  <si>
    <t xml:space="preserve">MS Nut &amp; Bolts </t>
  </si>
  <si>
    <t xml:space="preserve">16x65 mm </t>
  </si>
  <si>
    <t xml:space="preserve">16x90 mm </t>
  </si>
  <si>
    <t xml:space="preserve">16x140 mm </t>
  </si>
  <si>
    <t xml:space="preserve">16x160 mm </t>
  </si>
  <si>
    <t xml:space="preserve">16x200 mm </t>
  </si>
  <si>
    <t xml:space="preserve">16x250 mm </t>
  </si>
  <si>
    <t>Strain Plate (65x8 mm)</t>
  </si>
  <si>
    <t>COST SCHEDULE  A-5</t>
  </si>
  <si>
    <t xml:space="preserve"> 33 kV D.P. STRUCTURE ON 13 M. LONG H-BEAM POLE FOR PANTHER CONDUCTOR (TO BE SUPPLEMENTED WITH EVERY 0.3 kM OF SUSPENSION LINE)</t>
  </si>
  <si>
    <t xml:space="preserve">Particulars </t>
  </si>
  <si>
    <t xml:space="preserve">H-Beam 152x152 mm 37.1 Kg/Mtr 13 M (482.3 Kg) / pole x 2 No = 964.6 Kgs </t>
  </si>
  <si>
    <t>DC Cross arm (100x50 mm) Channel 5' Center</t>
  </si>
  <si>
    <t xml:space="preserve">Set </t>
  </si>
  <si>
    <t xml:space="preserve">33 kV Tension Hardware suitable for Panther Conductor   </t>
  </si>
  <si>
    <t xml:space="preserve">33 kV Suspension Hardware suitable for Panther Conductor   </t>
  </si>
  <si>
    <t xml:space="preserve">Horizontal &amp; Cross bracing </t>
  </si>
  <si>
    <t xml:space="preserve">(ii) M.S. Angle 65X65x6 mm </t>
  </si>
  <si>
    <t xml:space="preserve">Stay Set 20 mm complete </t>
  </si>
  <si>
    <t>Stay Wire 7/8 SWG @ 8.5 Kg./pole</t>
  </si>
  <si>
    <t>Concreting of H-Beam Supports @ 0.6 Cmt. Per Pole; @ 0.05 Cmt per Pole for  base Padding  &amp; @ 0.3 Cmt. Per stay (1:3:6)</t>
  </si>
  <si>
    <t>Labour Charges  as per Schedule  AL-2</t>
  </si>
  <si>
    <t>Overhead Charges @ 12.5% [Market Fluctuation, Service Tax, Contractor's profit etc.] on Row - 18, 20, 21, 22, 23</t>
  </si>
  <si>
    <t>Total Estimated Cost excluding GST (Row 19, 20, 21, 22, 23, 24)</t>
  </si>
  <si>
    <t>Applicable CGST @ 9% on Row 25</t>
  </si>
  <si>
    <t>Applicable SGST @ 9% on Row 25</t>
  </si>
  <si>
    <t>Total Estimated Cost including GST (Row 25+26+27)</t>
  </si>
  <si>
    <t xml:space="preserve">Transportation charges @ 4% on Column no. 21  </t>
  </si>
  <si>
    <t>BIN CODE CHANGED Old Bin Code was - 7131310037</t>
  </si>
  <si>
    <t xml:space="preserve">Transportation charges @ 4% on Column no. 22 </t>
  </si>
  <si>
    <t>For PCC Pole - Row - 21, 23, 24, 26, 27</t>
  </si>
  <si>
    <t>For H-Beam Pole - Row - 21, 23, 25, 26, 27</t>
  </si>
  <si>
    <t>For PCC Pole - Row - 22, 23, 24, 26, 27, 28(i)</t>
  </si>
  <si>
    <t>For H-Beam Pole - Row - 22, 23, 25, 26, 27, 28(ii)</t>
  </si>
  <si>
    <t>Applicable CGST @ 9% on Row 29</t>
  </si>
  <si>
    <t>Applicable SGST @ 9% on Row 29</t>
  </si>
  <si>
    <t>Total Estimated Cost including GST (Row 29+30+31)</t>
  </si>
  <si>
    <t xml:space="preserve">Transportation charges @ 4% on Column no. 17  </t>
  </si>
  <si>
    <t xml:space="preserve">Transportation charges @ 4% on Column no. 17 </t>
  </si>
  <si>
    <t xml:space="preserve">Transportation charges @ 4% on Column no. 16 </t>
  </si>
  <si>
    <t xml:space="preserve">Transportation charges @ 4% on Column no. 20  </t>
  </si>
  <si>
    <r>
      <t xml:space="preserve">Const. of 2.40 M high chain link wire mesh fencing on </t>
    </r>
    <r>
      <rPr>
        <b/>
        <sz val="10"/>
        <rFont val="Verdana"/>
        <family val="2"/>
      </rPr>
      <t>Hard Soil or Hard Moorum (Non Expansive Soil), as per Drg. No. 04-01/ST/62R,</t>
    </r>
    <r>
      <rPr>
        <sz val="10"/>
        <rFont val="Verdana"/>
        <family val="2"/>
      </rPr>
      <t xml:space="preserve"> including all labour, T&amp;P, curing, materials, transportation, loading, unloading, royalty etc. complete</t>
    </r>
  </si>
  <si>
    <r>
      <t xml:space="preserve">Const. of 2.40 M high chain link wire mesh fencing on </t>
    </r>
    <r>
      <rPr>
        <b/>
        <sz val="10"/>
        <rFont val="Verdana"/>
        <family val="2"/>
      </rPr>
      <t>Black Cotton Soil (Expansive Soil), as per Drg. No. 04-01/ST/62R,</t>
    </r>
    <r>
      <rPr>
        <sz val="10"/>
        <rFont val="Verdana"/>
        <family val="2"/>
      </rPr>
      <t xml:space="preserve"> including all labour, T&amp;P, curing, materials, transportation, loading, unloading, royalty etc. complete</t>
    </r>
  </si>
  <si>
    <t>THIS JOB NOT TO BE USED FROM YEAR 2023-24</t>
  </si>
  <si>
    <t>Unit rate for 2023-24</t>
  </si>
  <si>
    <t>NEW JOB INTRODUCED. RATE  EXCLUDING G.S.T.</t>
  </si>
  <si>
    <t>NEW  ITEM  INTRODUCED. RATE  EXCLUDING G.S.T.</t>
  </si>
  <si>
    <t>Bidirectional Meter 1 phase for Solar Roof Top</t>
  </si>
  <si>
    <t>Bidirectional Meter 3 phase for Solar Roof Top</t>
  </si>
  <si>
    <t>Bin code changed. Old Bin code was - 7131310043</t>
  </si>
  <si>
    <t>Bin code changed. Old Bin code was - 7131310044</t>
  </si>
  <si>
    <t>Sheet Metal deep Drawn Meter Box for LTCT operated meter</t>
  </si>
  <si>
    <t>11 kV C.T. 500-250/5-5 Amps.</t>
  </si>
  <si>
    <t>11 kV CTPT Unit 100/5 Amp</t>
  </si>
  <si>
    <t>11 kV CTPT Unit 200/5 Amp</t>
  </si>
  <si>
    <t>33 kV CTPT Unit 400/5A</t>
  </si>
  <si>
    <t>OIL IMMERSED 3 PHASE CTPT UNITS 400/5</t>
  </si>
  <si>
    <t xml:space="preserve">Strain Hardware fitting </t>
  </si>
  <si>
    <t>New row added</t>
  </si>
  <si>
    <t>Transportation charges @ 4% on Column no. 10</t>
  </si>
  <si>
    <t>Applicable CGST @ 9% on Row 15</t>
  </si>
  <si>
    <t>Applicable SGST @ 9% on Row 15</t>
  </si>
  <si>
    <t>Total Estimated Cost including GST (Row 15+16+17)</t>
  </si>
  <si>
    <t>Transportation charges of scrap Weasel conductor from site to Area Store</t>
  </si>
  <si>
    <t>Overhead Charges @ 12.5% [Market Fluctuation, Service Tax, Contractor's profit etc.] on Row - 08, 10, 11, 12, 13</t>
  </si>
  <si>
    <t>Total Estimated Cost excluding GST (Row 09, 10, 11, 12, 13, 14)</t>
  </si>
  <si>
    <t>Total Estimated Cost excluding GST (Row 10, 11, 12, 13, 14, 15)</t>
  </si>
  <si>
    <t>Applicable CGST @ 9% on Row 16</t>
  </si>
  <si>
    <t>Applicable SGST @ 9% on Row 16</t>
  </si>
  <si>
    <t>Total Estimated Cost including GST (Row 16+17+18)</t>
  </si>
  <si>
    <t>Overhead Charges @ 12.5% [Market Fluctuation, Service Tax, Contractor's profit etc.] on Row - 09, 11, 12, 13, 14</t>
  </si>
  <si>
    <t xml:space="preserve">Transportation charges @ 4% on Column no. 23  </t>
  </si>
  <si>
    <t xml:space="preserve">Labour charges including dismantling &amp; stringing of line for Dog conductor as per Sch No. AL-3(A) </t>
  </si>
  <si>
    <t>Transportation charges @ 4% on Column no. 07</t>
  </si>
  <si>
    <t>Transportation charges of scrap Raccoon conductor from site to Area Store</t>
  </si>
  <si>
    <t>Overhead Charges @ 12.5% [Market Fluctuation, Service Tax, Contractor's profit etc.] on Row - 6, 8, 9, 10, 11, 12</t>
  </si>
  <si>
    <t>Total Estimated Cost excluding GST (Row 7, 8, 9, 10, 11, 12, 13)</t>
  </si>
  <si>
    <t>Applicable CGST @ 9% on Row 14</t>
  </si>
  <si>
    <t>Applicable SGST @ 9% on Row 14</t>
  </si>
  <si>
    <t>Returnable cost of old Raccoon conductor (cost in 2001-02) assuming 25 years of life &amp; 20 years in service</t>
  </si>
  <si>
    <t>Total Estimated Cost including GST (Row 14+15+16-17)</t>
  </si>
  <si>
    <t>Bin code changed.</t>
  </si>
  <si>
    <t>Old Bin code was - 7130310043</t>
  </si>
  <si>
    <t>Job of Bin code 7130650001 has been raplaced by two types of soil strata as Hard Soil; and Black Cotton Soil</t>
  </si>
  <si>
    <t xml:space="preserve">Transportation charges @ 4% on Column no. 19  </t>
  </si>
  <si>
    <t xml:space="preserve">Labour charges as per Schedule No.- AL-3 (B) </t>
  </si>
  <si>
    <t xml:space="preserve">Transportation charges @ 4% on Column no. 15   </t>
  </si>
  <si>
    <t>25 kVA TRANSFORMER</t>
  </si>
  <si>
    <t>63 kVA TRANSFORMER</t>
  </si>
  <si>
    <t>100 kVA TRANSFORMER</t>
  </si>
  <si>
    <t>200 kVA TRANSFORMER</t>
  </si>
  <si>
    <t>Amount</t>
  </si>
  <si>
    <t>DC Cross arm of 100x50 mm 8' Center</t>
  </si>
  <si>
    <t>11 kV H.W.</t>
  </si>
  <si>
    <t>11 kV DO fuse &amp; LA mounting DC Cross arm (75x40 mm)</t>
  </si>
  <si>
    <t xml:space="preserve">11 kV DO Fuse unit </t>
  </si>
  <si>
    <t xml:space="preserve">(i) Stay Set 16 mm </t>
  </si>
  <si>
    <t>(ii) Stay Wire 7/10 SWG @ 5.5 Kg per stay</t>
  </si>
  <si>
    <t>(i) G.I.Pipe 40 mm</t>
  </si>
  <si>
    <t>(ii) G.I.Wire 8 SWG</t>
  </si>
  <si>
    <t>11 kV Polymer Lightning Arrestors</t>
  </si>
  <si>
    <t>MS Nuts &amp; Bolts</t>
  </si>
  <si>
    <t>PVC insulated Single Core Armoured cable</t>
  </si>
  <si>
    <t>i</t>
  </si>
  <si>
    <t>ii</t>
  </si>
  <si>
    <t>iii</t>
  </si>
  <si>
    <t>150 Sqmm</t>
  </si>
  <si>
    <t>iv</t>
  </si>
  <si>
    <t>300 Sqmm</t>
  </si>
  <si>
    <t>11 kV A.B. Switch</t>
  </si>
  <si>
    <t>Service in lieu of Earthing Coal &amp; Sand etc</t>
  </si>
  <si>
    <t xml:space="preserve">MS Angle 50x50x6 mm for X-mer Clamping set </t>
  </si>
  <si>
    <t>v</t>
  </si>
  <si>
    <t>Labour charges as per Sch. CL-3</t>
  </si>
  <si>
    <t>315 kVA TRANSFORMER</t>
  </si>
  <si>
    <t>315 kVA</t>
  </si>
  <si>
    <t>11/0.4 kV OUT DOOR SUB-STATION PLINTH MOUNTED (USING H-BEAM POLE) FOR A.B.SWITCH, D.O. &amp; PLINTH FOR 315 / 500 kVA TRANSFORMER AND SINGLE CORE PVC CABLE)</t>
  </si>
  <si>
    <t>500 kVA TRANSFORMER</t>
  </si>
  <si>
    <t>4</t>
  </si>
  <si>
    <r>
      <t xml:space="preserve">Distribution Transformer 11/0.4 kV </t>
    </r>
    <r>
      <rPr>
        <sz val="12"/>
        <rFont val="Arial"/>
        <family val="2"/>
      </rPr>
      <t>[</t>
    </r>
    <r>
      <rPr>
        <sz val="11"/>
        <rFont val="Arial"/>
        <family val="2"/>
      </rPr>
      <t>Energy efficient LEVEL-1</t>
    </r>
    <r>
      <rPr>
        <sz val="12"/>
        <rFont val="Arial"/>
        <family val="2"/>
      </rPr>
      <t>] *</t>
    </r>
  </si>
  <si>
    <t xml:space="preserve">(i)  315 kVA TRANSFORMER Copper Wound </t>
  </si>
  <si>
    <t xml:space="preserve">(ii) 500 kVA TRANSFORMER Copper Wound </t>
  </si>
  <si>
    <t xml:space="preserve">H-BEAM 152x152 mm 37.1 Kg /Mtr 11.0 Mtr long i.e. 408.1 Kg/pole x 2 Nos = 816.2 Kgs  </t>
  </si>
  <si>
    <t xml:space="preserve">11 kV D.O. Fuse unit </t>
  </si>
  <si>
    <t>ACSR Conductor Rabbit for Jumpering</t>
  </si>
  <si>
    <t>HT Bi-metallic Clamp for DT</t>
  </si>
  <si>
    <t xml:space="preserve">LT Bi-metallic Clamp for DT </t>
  </si>
  <si>
    <t>Earthing set (Pipe earth as per drg. no.-G/008) (material + Services)</t>
  </si>
  <si>
    <t>kg</t>
  </si>
  <si>
    <t>11 KV, 3 CORE 240 SQ MM UNDERGROUND XLPE CABLE</t>
  </si>
  <si>
    <t>11 kV End terminating jointing kit upto 240 sqmm XLPE cable</t>
  </si>
  <si>
    <t>LT Distribution box suitable for transformer with isolator on incoming side &amp; SPMCCB's on outgoing side</t>
  </si>
  <si>
    <t>500 kVA</t>
  </si>
  <si>
    <t>Distribution Box mounting channel (75x40x6 mm.)</t>
  </si>
  <si>
    <t>M S Strip 25x3 mm for earthing (0.6 kg/Mtr.)</t>
  </si>
  <si>
    <t>Labour schedule for installation of RMU as per Sch. - CL-11</t>
  </si>
  <si>
    <t>Transportation charges @1% for 315 KVA &amp; 500 kVA DT</t>
  </si>
  <si>
    <t>Transportation charges @4% for all other materials except 315 kVA &amp; 500 kVA DT</t>
  </si>
  <si>
    <t>Copper Wound Transformer</t>
  </si>
  <si>
    <t>Transportation charges @ 2% of the cost of DT upto 200 kVA capacity</t>
  </si>
  <si>
    <t>COST SCHEDULE C-22</t>
  </si>
  <si>
    <t>COST  SCHEDULE  D-1</t>
  </si>
  <si>
    <t xml:space="preserve">LT  LINE  3  PHASE  5  WIRE  ON  PCC  SUPPORTS  USING  RABBIT / WEASEL / SQUIRREL  CONDUCTORS  WITH  MAXIMUM  SPAN  OF 60  METERS </t>
  </si>
  <si>
    <t>New Bin Code</t>
  </si>
  <si>
    <t>Using 50 Sqmm as Phase &amp; 20 Sqmm ACSR as neutral</t>
  </si>
  <si>
    <t>Using 3 Wires of 50 Sqmm ACSR &amp; 2 Wires of 20 Sqmm</t>
  </si>
  <si>
    <t>Using 30 Sqmm as Phase &amp; 20 Sqmm ACSR as neutral</t>
  </si>
  <si>
    <t>Using 3 Wires of 30 Sqmm ACSR &amp; 2 Wires of 20 Sqmm ACSR</t>
  </si>
  <si>
    <t xml:space="preserve">Using 20 Sqmm ACSR as Phase &amp; neutral </t>
  </si>
  <si>
    <t>140 Kg, 8.0 Mtr. long PCC support</t>
  </si>
  <si>
    <t xml:space="preserve">LT Five Pin Cross arm </t>
  </si>
  <si>
    <t>LT Shackle insulator (90x75 mm) including cut point / angle location</t>
  </si>
  <si>
    <t>Hardware for 90x75 mm shackle insulator</t>
  </si>
  <si>
    <t xml:space="preserve">Earth knob (Aluminium bobbin)  </t>
  </si>
  <si>
    <t>ACSR conductor including 3% sag</t>
  </si>
  <si>
    <t>(i) 50 Sqmm Al. Eq (Rabbit)</t>
  </si>
  <si>
    <t>(ii) 30 Sqmm Al. Eq (Weasel)</t>
  </si>
  <si>
    <t>(iii) 20 Sqmm Al. Eq (Squirrel)</t>
  </si>
  <si>
    <t>(ii) Stay Wire 7/10 SWG @ 6 Kg/Stay</t>
  </si>
  <si>
    <t>(iv) Stay Insulator</t>
  </si>
  <si>
    <t>Split insulator for guarding</t>
  </si>
  <si>
    <t>RCC Block (with 6 mm MS Bar) *</t>
  </si>
  <si>
    <t>Nuts and Bolts</t>
  </si>
  <si>
    <t>Earthing Set (Coil earth as per Drawing No- G/004)</t>
  </si>
  <si>
    <t>G.I. Wire 8 SWG for guarding</t>
  </si>
  <si>
    <t>Back filling of pole pit with boulders @ 0.25 Cmt.</t>
  </si>
  <si>
    <t>Labour charges as per Sch No. DL-1</t>
  </si>
  <si>
    <t>Overhead Charges @ 12.5% [Market Fluctuation, Service Tax, Contractor's profit etc.] on Row -16, 18, 19, 20, 21</t>
  </si>
  <si>
    <t>Note :-  All the rates are with considering price variation clause.</t>
  </si>
  <si>
    <t>COST  SCHEDULE  D-2</t>
  </si>
  <si>
    <t>1 Km  LT  LINES  3  Phase  4 Wire  USING  RABBIT / WEASEL / SQUIRREL  CONDUCTORS ON 140 Kg; 8.0  Mtr.  LONG  PCC  SUPPORTS  WITH  MAXIMUM  SPAN  OF  60  METERS</t>
  </si>
  <si>
    <t>S. NO.</t>
  </si>
  <si>
    <t>Using 20 Sqmm ACSR as Phase &amp; neutral</t>
  </si>
  <si>
    <t>5</t>
  </si>
  <si>
    <t>7</t>
  </si>
  <si>
    <t>8</t>
  </si>
  <si>
    <t>9</t>
  </si>
  <si>
    <t>10</t>
  </si>
  <si>
    <t>11</t>
  </si>
  <si>
    <t>PCC Pole 140 Kg, 8.0 Mtr long</t>
  </si>
  <si>
    <t>LT Four Pin cross arm</t>
  </si>
  <si>
    <t>LT Shackle Insulator (90x75 mm)</t>
  </si>
  <si>
    <r>
      <t xml:space="preserve">Earth knob (Aluminium bobbin) </t>
    </r>
    <r>
      <rPr>
        <sz val="14"/>
        <rFont val="Arial"/>
        <family val="2"/>
      </rPr>
      <t xml:space="preserve"> </t>
    </r>
  </si>
  <si>
    <t>Use of R.C.C. Block for base padding of PCC pole @ 01 No. /pole and for stay set @ 02 Nos. per stay set.</t>
  </si>
  <si>
    <t>GI wire 8 SWG for guarding</t>
  </si>
  <si>
    <t>19</t>
  </si>
  <si>
    <t>Back filling of pole pit with boulder @ 0.25 Cmt</t>
  </si>
  <si>
    <t>Labour charges as per Sch. No. DL-1</t>
  </si>
  <si>
    <t>Note:-  All the rates are with considering price variation clause.</t>
  </si>
  <si>
    <t>COST SCHEDULE D-3</t>
  </si>
  <si>
    <t>1 Km  LT  LINE  1  PHASE  3  WIRE  USING  RABBIT / WEASEL / SQUIRREL  CONDUCTORS  ON  140 Kg;  8.0  Mtr.  LONG  PCC SUPPORTS  WITH  MAXIMUM  SPAN  OF  60  METERS</t>
  </si>
  <si>
    <t>Using one wire of 50 Sqmm, one wire of 30 Sqmm  ACSR and one wire of 20 Sqmm ACSR  Conductor</t>
  </si>
  <si>
    <t>LT Three Pin cross arm</t>
  </si>
  <si>
    <t xml:space="preserve">Earth knob (Aluminium bobbin)   </t>
  </si>
  <si>
    <t>Hardware for 90x75 mm Shackle insu.</t>
  </si>
  <si>
    <t xml:space="preserve">Split insulator for guarding </t>
  </si>
  <si>
    <t>GI wire 4 mm for guarding</t>
  </si>
  <si>
    <t>COST SCHEDULE    D-4</t>
  </si>
  <si>
    <t xml:space="preserve">1  KM  OF  3  PHASE  5  WIRE  LT  LINE  ON  R.S.  JOIST  WITH  ACSR  CONDUCTOR  FOR URBAN  AREAS </t>
  </si>
  <si>
    <t>LT Five Pin Cross arm</t>
  </si>
  <si>
    <t>LT Shackle Insulator (90x75 mm) including cut point/angle location</t>
  </si>
  <si>
    <t>(i) 80 Sqmm Al. Eq (Raccoon)</t>
  </si>
  <si>
    <t>(ii) 50 Sqmm Al. Eq (Rabbit)</t>
  </si>
  <si>
    <t>(iii) 30 Sqmm Al. Eq (Weasel)</t>
  </si>
  <si>
    <t>Concreting of stay &amp; base pad for pole @ 0.2 Cmt/stay and @ 0.05 Cmt for base pad &amp; support @ 0.3 Cmt (1:3:6)</t>
  </si>
  <si>
    <t>Earthing Set (Coil earth as per Drawing No- G/004</t>
  </si>
  <si>
    <t>G.I. Wire 4 mm for guarding</t>
  </si>
  <si>
    <t>Labour charges as per Sch. No. DL-2</t>
  </si>
  <si>
    <t>Concreting of support [0.6 Cmt per H-Beam, 0.2 Cmt per stay and @ 0.05 Cmt per pole for base padding (1:3:6), 9 cub.m. (1.5x1.5x4 m) for  X-mer plinth] (1:3:6)</t>
  </si>
  <si>
    <t>Overhead Charges @ 12.5% [Market Fluctuation, Service Tax, Contractor's profit etc.] on Row - 29, 31, 32, 33, 34, 35, 36, 37</t>
  </si>
  <si>
    <t>Total Estimated Cost excluding GST (Row 30, 31, 32, 33, 34, 35, 36, 37, 38)</t>
  </si>
  <si>
    <t>Applicable CGST @ 9% on Row 39</t>
  </si>
  <si>
    <t>Applicable SGST @ 9% on Row 39</t>
  </si>
  <si>
    <t>Total Estimated Cost including GST (Row 39+40+41)</t>
  </si>
  <si>
    <t>Transport charges @ 4% on Column no. 17</t>
  </si>
  <si>
    <t>Item replaced</t>
  </si>
  <si>
    <t>COST SCHEDULE -- E-1</t>
  </si>
  <si>
    <t>METERING  OF  11/0.4  kV  DISTRIBUTION  TRANSFORMER  (TO  BE  SUPPLEMENTED  WITH  COST SCHEDULE  C-7 (A1, A2, B1, B2, C1, C2)</t>
  </si>
  <si>
    <t>Bin Code No</t>
  </si>
  <si>
    <t>1(a)</t>
  </si>
  <si>
    <t>Poly phase static energy meter 10-60 Amp. with meter box</t>
  </si>
  <si>
    <t>1(b)</t>
  </si>
  <si>
    <t>Name changed</t>
  </si>
  <si>
    <t>LT CT :-</t>
  </si>
  <si>
    <t>(i) 100/5 Amp.</t>
  </si>
  <si>
    <t>(ii) 200/5 Amp.</t>
  </si>
  <si>
    <t>(iii) 300/5 Amp.</t>
  </si>
  <si>
    <t>Meter Box (G.I. Plain sheet) for 3 Phase LT CT operated meter.</t>
  </si>
  <si>
    <t>Copper control cable 4 core 2.5 sq.mm Unarmoured</t>
  </si>
  <si>
    <t>Note:- All the rates are with considering price variation clause.</t>
  </si>
  <si>
    <t>Transportation charges @ 4% on Column no. 17</t>
  </si>
  <si>
    <t>Transportation charges @ 4% on Column no. 06</t>
  </si>
  <si>
    <t>Overhead Charges @ 12.5% [Market Fluctuation, Service Tax, Contractor's profit etc.] on Row - 5, 7, 8, 9</t>
  </si>
  <si>
    <t>Applicable CGST @ 9% on Row 11</t>
  </si>
  <si>
    <t>Applicable SGST @ 9% on Row 11</t>
  </si>
  <si>
    <t>Total Estimated Cost including GST (Row 11+12+13)</t>
  </si>
  <si>
    <t>Total Estimated Cost excluding GST (Row 6, 7, 8, 9, 10)</t>
  </si>
  <si>
    <t>COST SCHEDULE  B -1</t>
  </si>
  <si>
    <t>SCHEDULE  FOR  33/11  kV,  3.15 MVA,  1.6 MVA  SUB-STATION  WITH  TWO  BAYS  FOR  OUTGOING  FEEDERS AND  5 MVA  SUB-STATION  WITH  THREE  BAYS  FOR  OUTGOING  FEEDERS  AT  NEW  SITE</t>
  </si>
  <si>
    <t xml:space="preserve">Rate  </t>
  </si>
  <si>
    <t>Proposed 33/11 kV S/s expandable to 2x1.6 MVA with control room</t>
  </si>
  <si>
    <t>Proposed 33/11 kV S/s expandable to 2x3.15 MVA with control room</t>
  </si>
  <si>
    <t>Proposed 33/11 kV S/s expandable to 2x5 MVA with control room</t>
  </si>
  <si>
    <t>LAND AND CIVIL WORKS (Rate as per SoR PWD)</t>
  </si>
  <si>
    <t xml:space="preserve">i </t>
  </si>
  <si>
    <t>iv (a)</t>
  </si>
  <si>
    <t>M</t>
  </si>
  <si>
    <t>iv (b)</t>
  </si>
  <si>
    <t>vi</t>
  </si>
  <si>
    <r>
      <rPr>
        <sz val="11"/>
        <color indexed="8"/>
        <rFont val="Arial"/>
        <family val="2"/>
      </rPr>
      <t>Providing and filling in plinth with sand  / crusher dust and hard moorum under floor in layers not exceeding 20 cm  in depth consolidating each deposited layer by ramming and watering with a lead upto 50 M and lift upto 1.5 M.</t>
    </r>
    <r>
      <rPr>
        <b/>
        <sz val="11"/>
        <color indexed="12"/>
        <rFont val="Arial"/>
        <family val="2"/>
      </rPr>
      <t xml:space="preserve"> </t>
    </r>
    <r>
      <rPr>
        <b/>
        <sz val="11"/>
        <rFont val="Arial"/>
        <family val="2"/>
      </rPr>
      <t>(Moorum measured in stacks will be reduced by 16% for voids).</t>
    </r>
  </si>
  <si>
    <t>NAME CHANGED</t>
  </si>
  <si>
    <t>vii</t>
  </si>
  <si>
    <t>Cu. M</t>
  </si>
  <si>
    <t>viii (a)</t>
  </si>
  <si>
    <t>viii (b)</t>
  </si>
  <si>
    <t>ix</t>
  </si>
  <si>
    <t>x</t>
  </si>
  <si>
    <t>xi</t>
  </si>
  <si>
    <t>Providing filling and compacting local earth (from approved source pit) in layers not exceeding 20 cm in depth consolidating each deposited layer by ramming and watering, including dressing etc. complete</t>
  </si>
  <si>
    <t>xii</t>
  </si>
  <si>
    <t>Sub total-1</t>
  </si>
  <si>
    <t>EQUIPMENTS</t>
  </si>
  <si>
    <t xml:space="preserve">33/11 kV transformer 1.60 MVA </t>
  </si>
  <si>
    <t xml:space="preserve">33/11 kV transformer 3.15 MVA </t>
  </si>
  <si>
    <t xml:space="preserve">33/11 kV transformer 5.00 MVA </t>
  </si>
  <si>
    <t>33 kV VCB (With CT's &amp; panel)</t>
  </si>
  <si>
    <t>(i) 33 kV VCB (Without CT's &amp; Panel)</t>
  </si>
  <si>
    <t xml:space="preserve">(ii) 33 kV Control Panel </t>
  </si>
  <si>
    <t>(iii) 33 kV CT's (200-100/5-5) Amps</t>
  </si>
  <si>
    <t>11 kV VCB for X'mer protection (With CTs &amp; panel)</t>
  </si>
  <si>
    <t>(i) 11 kV VCB (Without CT's &amp; Panel)</t>
  </si>
  <si>
    <t xml:space="preserve">(ii) 11 kV Control Panel for Transformer Protection </t>
  </si>
  <si>
    <t xml:space="preserve">(iii) 11 kV CT's 300-150/5 Amps </t>
  </si>
  <si>
    <t>11 kV VCB for feeder protection with CTs &amp; panel.</t>
  </si>
  <si>
    <t>(i) 11 kV VCB with Relay &amp; Control Panel</t>
  </si>
  <si>
    <t>7131941762+7131960008=7131960497</t>
  </si>
  <si>
    <t>(ii) 11 kV CT's 200-100/5 Amps</t>
  </si>
  <si>
    <t>33 kV Isolator (600 A.) Set without earth switch</t>
  </si>
  <si>
    <t>11 kV Isolator (600 A.) (including 2 Nos. for capacitor bank) Set</t>
  </si>
  <si>
    <t xml:space="preserve">33 kV DO Fuse unit </t>
  </si>
  <si>
    <t>viii</t>
  </si>
  <si>
    <t>xiii</t>
  </si>
  <si>
    <t>Single phase 33 kV PT</t>
  </si>
  <si>
    <t>xiv</t>
  </si>
  <si>
    <t>xv</t>
  </si>
  <si>
    <t>xvi</t>
  </si>
  <si>
    <t xml:space="preserve">Single phase 11 kV PT's </t>
  </si>
  <si>
    <t>xvii</t>
  </si>
  <si>
    <t>LT Meter (CT Operated) 100/5 A with CT's</t>
  </si>
  <si>
    <t>(ii) LT CT 100/5 A</t>
  </si>
  <si>
    <t>xviii</t>
  </si>
  <si>
    <r>
      <t>H.T. STATIC TRIVECTOR METERS</t>
    </r>
    <r>
      <rPr>
        <b/>
        <sz val="11"/>
        <rFont val="Arial"/>
        <family val="2"/>
      </rPr>
      <t xml:space="preserve"> </t>
    </r>
  </si>
  <si>
    <t>xix</t>
  </si>
  <si>
    <t>Lead Acid Battery with automatic charger</t>
  </si>
  <si>
    <t xml:space="preserve">(i) Battery </t>
  </si>
  <si>
    <t>(ii) Battery Charger</t>
  </si>
  <si>
    <t>xx</t>
  </si>
  <si>
    <t>33/0.4 kV station transformer (50 kVA)</t>
  </si>
  <si>
    <t>xxi</t>
  </si>
  <si>
    <t>xxii</t>
  </si>
  <si>
    <t>LT Distribution box for 63 kVA X'mer</t>
  </si>
  <si>
    <t>xxiii</t>
  </si>
  <si>
    <t>LT Distribution box for 100 kVA X'mer</t>
  </si>
  <si>
    <t>xxiv</t>
  </si>
  <si>
    <t xml:space="preserve">11 Mtr long 152 x 152 mm H-Beam (37.1 Kg/ Mtr weight) i.e.  37.1x11 mtr =408.1 Kg/pole x 6 Nos = 2448.6 Kgs </t>
  </si>
  <si>
    <t>xxv</t>
  </si>
  <si>
    <t xml:space="preserve">Control cable </t>
  </si>
  <si>
    <t>a</t>
  </si>
  <si>
    <t>8 Core  2.5 Sqmm. (unarmoured)</t>
  </si>
  <si>
    <t>b</t>
  </si>
  <si>
    <t>4 Core  2.5 Sqmm. (unarmoured)</t>
  </si>
  <si>
    <t>c</t>
  </si>
  <si>
    <t>2 Core  2.5 Sqmm. (unarmoured)</t>
  </si>
  <si>
    <t>xxvi</t>
  </si>
  <si>
    <t xml:space="preserve">Tee Clamp for Dog Conductor  </t>
  </si>
  <si>
    <t>xxvii</t>
  </si>
  <si>
    <t>Danger Board for 33 kV &amp; 11 kV equipment / supply pole</t>
  </si>
  <si>
    <t>xxviii</t>
  </si>
  <si>
    <t xml:space="preserve">60 Kg/Mtr 13.0 Mtr long Rails (60*5 = 300 Kg each) </t>
  </si>
  <si>
    <t>xxix</t>
  </si>
  <si>
    <t>xxx</t>
  </si>
  <si>
    <t>Sub-total - 2</t>
  </si>
  <si>
    <t>STRUCTURE AND BUS BAR ARRANGEMENTS: -</t>
  </si>
  <si>
    <t xml:space="preserve">8 Mtr long 152 x 152 mm H-Beam (37.1 Kg/ Mtr weight) i.e.  37.1x8 mtr =296.8 kg/pole x 10 Nos = 2968 Kgs. </t>
  </si>
  <si>
    <t xml:space="preserve">7 Mtr long 152 x 152 mm H-Beam (37.1 Kg/ Mtr weight) i.e. 37.1x7mtr = 259.7 Kg/pole x 4 Nos = 1038.8 Kgs. </t>
  </si>
  <si>
    <t xml:space="preserve">11 Mtr long 152 x 152 mm H-Beam (37.1 Kg/ Mtr weight) i.e.  37.1x11 mtr =408.1 Kg/pole x 8 Nos = 3264.8 Kgs </t>
  </si>
  <si>
    <t>MS DC Cross arm (100 x 50 x 6 mm Channel) 5.2 Mtr long Set</t>
  </si>
  <si>
    <t>MS DC Cross arm (100 x 50 x 6 mm Channel) 3.8 Mtr long Set</t>
  </si>
  <si>
    <t>MS DC Cross arm (100 x 50 x 6 mm Channel) 2.7 Mtr long Set</t>
  </si>
  <si>
    <t xml:space="preserve">R.S. Joist (175x85 mm) </t>
  </si>
  <si>
    <t>ACSR conductor 100 Sqmm Al Eq. (Dog)</t>
  </si>
  <si>
    <t>33 kV Polymeric Pin Insulator with Pin</t>
  </si>
  <si>
    <t xml:space="preserve">11 kV Polymeric Pin Insulator with Pin </t>
  </si>
  <si>
    <t>Polymer Disc Insulator for 33 kV Side</t>
  </si>
  <si>
    <t>33 kV Strain Hardware fitting</t>
  </si>
  <si>
    <t>Polymer Disc insulator for 11 kV side (double disc)</t>
  </si>
  <si>
    <t>33 kV Strain Plate 8 mm thick</t>
  </si>
  <si>
    <t>Sub-total - 3</t>
  </si>
  <si>
    <t>OTHER MISCELLANEOUS ITEMS: -</t>
  </si>
  <si>
    <t>Concreting of structures &amp; foundation (1:3:6)</t>
  </si>
  <si>
    <t xml:space="preserve"> PVC insulated Single Core 70 Sqmm  Armoured cable.</t>
  </si>
  <si>
    <t>16 Sqmm 4-core Cable for Switch yard lighting, tripping arrangement &amp; system control (armoured)</t>
  </si>
  <si>
    <t xml:space="preserve">Fixing of 33/11 kV S/S (Name Plate) Board made up of 2 mm thick MS Sheet of size 5'x8' as per approved drawing. </t>
  </si>
  <si>
    <t>Earthing of Sub-station including Distribution Transformer earthing.</t>
  </si>
  <si>
    <t xml:space="preserve">(i) 25 mm dia 2500 mm long GI rod earth electrodes </t>
  </si>
  <si>
    <t>(ii) GI earthing pipe of 40 mm dia. &amp; 2.4 mm thick 3.04 mtr long with 12 mm hole at 18 places at equal distance trapered casing at lower end .</t>
  </si>
  <si>
    <t>(iii) MS flat 50x6 mm size  (2.5 kg per meter)</t>
  </si>
  <si>
    <t xml:space="preserve">(iv) GI wire 8 SWG </t>
  </si>
  <si>
    <t>(v) GI Nuts and bolts 16x40 mm</t>
  </si>
  <si>
    <t>(vi) GI Nuts and bolts 16x65 mm</t>
  </si>
  <si>
    <t>(vii) GI Spring washers</t>
  </si>
  <si>
    <t>(i) MS Nuts and bolts 16x40 mm</t>
  </si>
  <si>
    <t>(ii) MS Nuts and bolts 16x65 mm</t>
  </si>
  <si>
    <t>(iii) MS Nuts and bolts 16x90 mm</t>
  </si>
  <si>
    <t>(iv) MS Nuts and bolts 16x160 mm</t>
  </si>
  <si>
    <t>(v) MS Nuts and bolts 16x200 mm</t>
  </si>
  <si>
    <t>(vi) MS Nuts and bolts 16x250 mm</t>
  </si>
  <si>
    <t xml:space="preserve">Furniture </t>
  </si>
  <si>
    <t>(i) Table 4'x2.5'</t>
  </si>
  <si>
    <t>(ii) Chair</t>
  </si>
  <si>
    <t>(iii) Small Steel Almirah 50''</t>
  </si>
  <si>
    <t xml:space="preserve"> Fire fighting equipments </t>
  </si>
  <si>
    <t xml:space="preserve">(i) Fire fighting equipments (dry chemical powder type 5 Kg capacity) </t>
  </si>
  <si>
    <r>
      <t>(ii) Fire fighting equipments CO</t>
    </r>
    <r>
      <rPr>
        <vertAlign val="subscript"/>
        <sz val="11"/>
        <rFont val="Arial"/>
        <family val="2"/>
      </rPr>
      <t>2</t>
    </r>
    <r>
      <rPr>
        <sz val="11"/>
        <rFont val="Arial"/>
        <family val="2"/>
      </rPr>
      <t xml:space="preserve"> fire extinguisher of 2 Kg Capacity)  </t>
    </r>
  </si>
  <si>
    <t>Sub-total - 4</t>
  </si>
  <si>
    <t>Total material cost including Civil works &amp; GST both</t>
  </si>
  <si>
    <t>Total material cost including Civil works but excluding GST (Row 5 / 1.18)</t>
  </si>
  <si>
    <t>Incidental Charges @ 7.5 % on " Row-5 " above (Row 5 * 0.075)</t>
  </si>
  <si>
    <t xml:space="preserve">Services on S/s earthing </t>
  </si>
  <si>
    <t>(iii)</t>
  </si>
  <si>
    <t>Services on Painting of structures</t>
  </si>
  <si>
    <t>(iv)</t>
  </si>
  <si>
    <t xml:space="preserve">Services on Labelling of equipments </t>
  </si>
  <si>
    <t>Labour charges as per sch. (BL-1+BL-3)</t>
  </si>
  <si>
    <t>Total Cost (Rs In lakhs)</t>
  </si>
  <si>
    <t>Applicable CGST @ 9% on Row 13</t>
  </si>
  <si>
    <t>Applicable SGST @ 9% on Row 13</t>
  </si>
  <si>
    <t>Grand Total estimated cost of S/s including GST (Row 13+15+16).</t>
  </si>
  <si>
    <t>Grand Total estimated cost including GST (Rounded off)</t>
  </si>
  <si>
    <t>Grand Total cost (Rs in LAKHS)</t>
  </si>
  <si>
    <t>(1)</t>
  </si>
  <si>
    <t>(2)</t>
  </si>
  <si>
    <t>(3)</t>
  </si>
  <si>
    <t>The cost of  land is not taken in to account since normally CSPDCL acquires Govt. land at negligible cost. How ever needs to be procure other than Govt. land then should be added actual cost.</t>
  </si>
  <si>
    <t>COST SCHEDULE   B-2</t>
  </si>
  <si>
    <r>
      <t xml:space="preserve">      </t>
    </r>
    <r>
      <rPr>
        <b/>
        <u/>
        <sz val="11"/>
        <rFont val="Arial"/>
        <family val="2"/>
      </rPr>
      <t>( 33 kV SUB-STATION )</t>
    </r>
  </si>
  <si>
    <r>
      <t xml:space="preserve">   </t>
    </r>
    <r>
      <rPr>
        <b/>
        <u/>
        <sz val="11"/>
        <rFont val="Arial"/>
        <family val="2"/>
      </rPr>
      <t>POWER TRANSFORMERS</t>
    </r>
  </si>
  <si>
    <t>1600 kVA</t>
  </si>
  <si>
    <t>3150 kVA</t>
  </si>
  <si>
    <t>5000 kVA</t>
  </si>
  <si>
    <t>Cost of Transformer as per Schedule of rates</t>
  </si>
  <si>
    <t>Power Transformer 3150 kVA</t>
  </si>
  <si>
    <t>Power Transformer 5000 kVA</t>
  </si>
  <si>
    <t>Labour charges as per Schedule BL-3</t>
  </si>
  <si>
    <t>COST  SCHEDULE  B-3</t>
  </si>
  <si>
    <t>( 33 kV SUB-STATIONS )</t>
  </si>
  <si>
    <t>SCHEDULE FOR INSTALLATION OF ADDITIONAL TRANSFORMER FOR PARALLEL OPERATION WITH TWO ADDITIONAL BAY ON 11 kV SIDE</t>
  </si>
  <si>
    <t>Sub-station capacity</t>
  </si>
  <si>
    <t>Reason</t>
  </si>
  <si>
    <t>1.6 MVA</t>
  </si>
  <si>
    <t>3.15 MVA</t>
  </si>
  <si>
    <t>5.0 MVA</t>
  </si>
  <si>
    <t>Power Transformer 33/11 kV</t>
  </si>
  <si>
    <t>Power Transformer 1.6 MVA</t>
  </si>
  <si>
    <t>Power Transformer 3.15 MVA</t>
  </si>
  <si>
    <t>Power Transformer 5 MVA</t>
  </si>
  <si>
    <t>33 kV VCB  with CT's and panels.</t>
  </si>
  <si>
    <t>(i) 33 kV VCB ( without CT's and panels)</t>
  </si>
  <si>
    <t>(ii) 33 kV Control Panel</t>
  </si>
  <si>
    <t>11 kV VCB for X'mer protection with CT's and panels.</t>
  </si>
  <si>
    <t>(i) 11 kV VCB (without CTs &amp; Panel)</t>
  </si>
  <si>
    <t>(ii) 11 kV Control Panel for X-mer Protection</t>
  </si>
  <si>
    <t>(iii) 11 kV CT's 300-150/5 Amps</t>
  </si>
  <si>
    <t>11 kV VCB for feeder protection with  CT's and panels.</t>
  </si>
  <si>
    <t>(ii) 11 kV Control Panel for feeder protection</t>
  </si>
  <si>
    <t>(iii) 11 kV CT's 200-100/5 Amps</t>
  </si>
  <si>
    <t>33 kV DO Fuse Unit</t>
  </si>
  <si>
    <r>
      <t xml:space="preserve">33 kV isolator, 600 A. Without earth switch </t>
    </r>
    <r>
      <rPr>
        <sz val="14"/>
        <rFont val="Arial"/>
        <family val="2"/>
      </rPr>
      <t xml:space="preserve"> </t>
    </r>
  </si>
  <si>
    <t>11 kV isolator, 600 A</t>
  </si>
  <si>
    <r>
      <t>H.T. STATIC TRIVECTOR METERS</t>
    </r>
    <r>
      <rPr>
        <b/>
        <sz val="10"/>
        <rFont val="Arial"/>
        <family val="2"/>
      </rPr>
      <t xml:space="preserve"> </t>
    </r>
  </si>
  <si>
    <t>33 kV Single Phase PT</t>
  </si>
  <si>
    <t>11 kV Single Phase PT</t>
  </si>
  <si>
    <t>STRUCTURE AND BUS BAR ARRANGEMENT</t>
  </si>
  <si>
    <t>33 kV additional bay ( 02 No H-Beam 152x152 mm 08 mtr long) with 6 Nos, 5.2 Mtr channel</t>
  </si>
  <si>
    <t xml:space="preserve">(ii) D.C.Cross arm Channel 5.2 mtr 100x50 mm </t>
  </si>
  <si>
    <t>11 kV, 2 Addl. bus bar structure 08 mtr long H- Beam 37.1 Kg/mtr  with 4 Nos, 5.2 Mtr long DC cross arm (100 x 50 mm)</t>
  </si>
  <si>
    <t>(i) H-Beam 152x152 mm 08 mtr long 37.1 kg/mtr i.e.= 296.8 kg/pole x 4 No = 1187.2 Kgs.</t>
  </si>
  <si>
    <t>(ii) H-Beam 152x152 mm 11 mtr long 37.1 kg/mtr i.e.= 408.1 kg/pole x 4 No = 1632.40 Kgs</t>
  </si>
  <si>
    <t>(iv) D.C.Cross arm Channel 5.2 mtr 100x50 mm (set)</t>
  </si>
  <si>
    <t>(v) D.C.Cross arm 5 ft. Centre 100x50 mm Channel</t>
  </si>
  <si>
    <t>(vi) D.C.Cross arm 8 ft. Centre 100x50 mm Channel</t>
  </si>
  <si>
    <t>(v)</t>
  </si>
  <si>
    <t>ACSR Dog conductor</t>
  </si>
  <si>
    <t>(vi)</t>
  </si>
  <si>
    <t xml:space="preserve">33 kV Polymeric Pin Insulator with Pin </t>
  </si>
  <si>
    <t>(vii)</t>
  </si>
  <si>
    <t>(viii)</t>
  </si>
  <si>
    <t>Strain hardware with strain set suitable for Dog conductor: -</t>
  </si>
  <si>
    <t>(a) 33 kV side with 3 disc insulator per phase.</t>
  </si>
  <si>
    <t>(i) 33 kV Polymer Disc insulator .</t>
  </si>
  <si>
    <t>(ii) 33 kV Strain Hardware</t>
  </si>
  <si>
    <t>(b) 11 kV side with 2 disc insulator per phase.</t>
  </si>
  <si>
    <t xml:space="preserve">(i) 11 kV Polymer Disc insulator </t>
  </si>
  <si>
    <t>(ii) 11 kV Hardware</t>
  </si>
  <si>
    <t>(iii) Strain plate 8 mm thick</t>
  </si>
  <si>
    <t>(ix)</t>
  </si>
  <si>
    <r>
      <t xml:space="preserve">T-clamp for jumper connection with AB Switches &amp; DO fuses / Isolator. </t>
    </r>
    <r>
      <rPr>
        <sz val="14"/>
        <rFont val="Arial"/>
        <family val="2"/>
      </rPr>
      <t xml:space="preserve"> </t>
    </r>
  </si>
  <si>
    <t>(x)</t>
  </si>
  <si>
    <t>(xi)</t>
  </si>
  <si>
    <t>(xii)</t>
  </si>
  <si>
    <t>OTHER MISCELLANEOUS ITEMS</t>
  </si>
  <si>
    <r>
      <t xml:space="preserve">Concreting of Transformer foundation (1:3:6) = </t>
    </r>
    <r>
      <rPr>
        <b/>
        <sz val="10"/>
        <rFont val="Arial"/>
        <family val="2"/>
      </rPr>
      <t>15 cmt</t>
    </r>
  </si>
  <si>
    <r>
      <t xml:space="preserve">Concreting of 11 kV VCB foundation (1:3:6) = </t>
    </r>
    <r>
      <rPr>
        <b/>
        <sz val="10"/>
        <rFont val="Arial"/>
        <family val="2"/>
      </rPr>
      <t>18 cmt.</t>
    </r>
  </si>
  <si>
    <r>
      <t xml:space="preserve">Concreting of 33 kV VCB foundation (1:3:6) = </t>
    </r>
    <r>
      <rPr>
        <b/>
        <sz val="10"/>
        <rFont val="Arial"/>
        <family val="2"/>
      </rPr>
      <t>7 cmt.</t>
    </r>
  </si>
  <si>
    <t>Control cable for Xmer &amp; VCB</t>
  </si>
  <si>
    <t>a) 8 Core  2.5 Sqmm. (unarmoured)</t>
  </si>
  <si>
    <t>b) 4 Core  2.5 Sqmm. (unarmoured)</t>
  </si>
  <si>
    <t>c) 2 Core 2.5 Sqmm. (unarmoured)</t>
  </si>
  <si>
    <t>Earthing for addl X'mer &amp; VCB</t>
  </si>
  <si>
    <t>Document – As per W/o of G.S. Flat mesh earthing of 33/11 kV S/s as per No. CE/RR/TR/4328/9029  Raipur, Dt. 05/03/2007 (Rate taken from Sch.- III)</t>
  </si>
  <si>
    <r>
      <t xml:space="preserve">(ii) GI Pipe of 40 mm dia </t>
    </r>
    <r>
      <rPr>
        <sz val="10"/>
        <color indexed="10"/>
        <rFont val="Arial"/>
        <family val="2"/>
      </rPr>
      <t xml:space="preserve">2.4 mm thick </t>
    </r>
    <r>
      <rPr>
        <sz val="10"/>
        <rFont val="Arial"/>
        <family val="2"/>
      </rPr>
      <t>3.04 mtr long with 12 mm hole at 18 places at equal distance trapered casing at lower end .</t>
    </r>
  </si>
  <si>
    <t xml:space="preserve">(iii) MS flat 50x6 mm size </t>
  </si>
  <si>
    <t>M.S. Nut- Bolts</t>
  </si>
  <si>
    <t>MS Nuts and bolts 16x40 mm</t>
  </si>
  <si>
    <t>MS Nuts and bolts 16x65 mm</t>
  </si>
  <si>
    <t>MS Nuts and bolts 16x90 mm</t>
  </si>
  <si>
    <t>MS Nuts and bolts 16x160 mm</t>
  </si>
  <si>
    <t>MS Nuts and bolts 16x200 mm</t>
  </si>
  <si>
    <t>MS Nuts and bolts 16x250 mm</t>
  </si>
  <si>
    <t>SUB TOTAL - A (1+2+3) [Material cost including GST]</t>
  </si>
  <si>
    <t>Material cost excluding GST (Sub Total- A / 1.18)</t>
  </si>
  <si>
    <t>Incidental Charges @ 7.5% on Sub-Total - A : -</t>
  </si>
  <si>
    <t>(i) Services on Earthing</t>
  </si>
  <si>
    <t>(ii) Services on Painting</t>
  </si>
  <si>
    <t>Services on X'mer foundation [2.5(L)*2(W)*3(H)]</t>
  </si>
  <si>
    <t>Services on foundation of 11 kV VCB [2(L)*2(W)*1.5(H)]</t>
  </si>
  <si>
    <t>Services on foundation of 33 kV VCB [2(L)*2(W)*1.75(H)]</t>
  </si>
  <si>
    <t>Labour charges: -</t>
  </si>
  <si>
    <t>X'mer erection (Labour sch BL-3)</t>
  </si>
  <si>
    <t>Overhead Charges @ 12.5% [Market Fluctuation, Service Tax, Contractor's profit etc.] on Row - 4, 6, 7, 8, 9</t>
  </si>
  <si>
    <t>Total Estimated Cost excluding GST (Row 5, 6, 7, 8, 9, 10)</t>
  </si>
  <si>
    <t>Total estimated cost of S/s including GST (Row 11+12+13).</t>
  </si>
  <si>
    <t>Total estimated cost of S/s including GST  (Rounded off)</t>
  </si>
  <si>
    <t>(1) All the rates are with considering price variation clause.</t>
  </si>
  <si>
    <t>(2) In case of non-availability of H-Beam for structure double welded RS Joist may be used and cost should be taken on actual material used</t>
  </si>
  <si>
    <t>33 kV Porcelain Lightning Arrestors</t>
  </si>
  <si>
    <t xml:space="preserve">33 kV Porcelain AB Switch </t>
  </si>
  <si>
    <t xml:space="preserve">11 kV Porcelain AB Switch </t>
  </si>
  <si>
    <t>33 kV Porcelain AB switch</t>
  </si>
  <si>
    <t>11 kV Porcelain AB switch</t>
  </si>
  <si>
    <t>(i) CT operated electronic static bidirectional meters with DLMS Protocol.</t>
  </si>
  <si>
    <r>
      <t xml:space="preserve">Energy efficiency Level-1, 11/0.4 kV station transformer (100 kVA) [Without Box] </t>
    </r>
    <r>
      <rPr>
        <sz val="12"/>
        <rFont val="Arial"/>
        <family val="2"/>
      </rPr>
      <t>*</t>
    </r>
  </si>
  <si>
    <t>D.O. Fuse supporting structure set on 7 Mtr long H- Beam 37.1 kg/mtr  33 kV &amp; 11 kV side (2 No. each side)  i.e. 37.1 kg x 7 = 259.7 kg/pole x 4 Nos = 1038.8 Kgs</t>
  </si>
  <si>
    <t>Drilling of 150 mm dia bore well (upto 100 M depth) with G.I. Casing upto 30 M depth, 1.5 HP Submersible motor pump, 32 mm dia. HDPE pipe PE-80 (appr. 90 M depth), 3x2.5 Sq.mm. submersible cable, rope wire and CPVC pipes for water supply line for switch yard (appr. 20 mm OD 30 M long &amp; 32 mm OD 150 M long)  i/c T&amp;P, materials, labours, transportation etc complete.</t>
  </si>
  <si>
    <t>Construction of A1 type Control Room with toilet as per Drg. No. 04-01/AR/24-R2 date 13.06.2007 i/c royalty, T&amp;P, materials, labours, transportation etc. complete.</t>
  </si>
  <si>
    <r>
      <t xml:space="preserve">Construction of 2.40 M high chain link wire mesh fencing </t>
    </r>
    <r>
      <rPr>
        <b/>
        <sz val="11"/>
        <rFont val="Arial"/>
        <family val="2"/>
      </rPr>
      <t>on Hard Soil or Hard Moorum (Non Expansive Soil),</t>
    </r>
    <r>
      <rPr>
        <sz val="11"/>
        <rFont val="Arial"/>
        <family val="2"/>
      </rPr>
      <t xml:space="preserve"> </t>
    </r>
    <r>
      <rPr>
        <b/>
        <sz val="11"/>
        <rFont val="Arial"/>
        <family val="2"/>
      </rPr>
      <t>as per Drg. No. 04-01/ST/62R,</t>
    </r>
    <r>
      <rPr>
        <sz val="11"/>
        <rFont val="Arial"/>
        <family val="2"/>
      </rPr>
      <t xml:space="preserve"> including all labour, T&amp;P, curing,</t>
    </r>
    <r>
      <rPr>
        <sz val="11"/>
        <color indexed="10"/>
        <rFont val="Arial"/>
        <family val="2"/>
      </rPr>
      <t xml:space="preserve"> </t>
    </r>
    <r>
      <rPr>
        <sz val="11"/>
        <rFont val="Arial"/>
        <family val="2"/>
      </rPr>
      <t xml:space="preserve">materials, transportation, loading, unloading, royalty etc. complete. </t>
    </r>
  </si>
  <si>
    <r>
      <t xml:space="preserve">Construction of 2.40 M high chain link wire mesh fencing </t>
    </r>
    <r>
      <rPr>
        <b/>
        <sz val="11"/>
        <rFont val="Arial"/>
        <family val="2"/>
      </rPr>
      <t>on Black Cotton Soil</t>
    </r>
    <r>
      <rPr>
        <sz val="11"/>
        <rFont val="Arial"/>
        <family val="2"/>
      </rPr>
      <t xml:space="preserve"> </t>
    </r>
    <r>
      <rPr>
        <b/>
        <sz val="11"/>
        <rFont val="Arial"/>
        <family val="2"/>
      </rPr>
      <t>(Expansive Soil), as per Drg. No. 04-01/ST/62R,</t>
    </r>
    <r>
      <rPr>
        <sz val="11"/>
        <rFont val="Arial"/>
        <family val="2"/>
      </rPr>
      <t xml:space="preserve"> including all labour, T&amp;P, curing,</t>
    </r>
    <r>
      <rPr>
        <sz val="11"/>
        <color indexed="10"/>
        <rFont val="Arial"/>
        <family val="2"/>
      </rPr>
      <t xml:space="preserve"> </t>
    </r>
    <r>
      <rPr>
        <sz val="11"/>
        <rFont val="Arial"/>
        <family val="2"/>
      </rPr>
      <t xml:space="preserve">materials, transportation, loading, unloading, royalty etc. complete. </t>
    </r>
  </si>
  <si>
    <t xml:space="preserve">Construction of 4.50 m x 2.15 m size yard / area gate as per given drawing including all labour, T&amp;P, curing, materials, transportation, loading, unloading, royalty etc. complete. </t>
  </si>
  <si>
    <t>Construction of 1.50 M high barbed wire fencing in angle iron post as per given drawing including all labour, T&amp;P, curing, materials, transportation, loading, unloading, royalty etc. complete.</t>
  </si>
  <si>
    <r>
      <t xml:space="preserve">Supply, stacking and spreading of 40 mm nominal size crusher broken hard stone (metal) i/c all labour, T&amp;P, transportation, loading, unloading, royalty etc. complete </t>
    </r>
    <r>
      <rPr>
        <b/>
        <sz val="11"/>
        <rFont val="Arial"/>
        <family val="2"/>
      </rPr>
      <t>(Metal measured in stacks will be reduced by 8% for voids).</t>
    </r>
  </si>
  <si>
    <r>
      <t>Construction of 3.75 M wide C.C. road on</t>
    </r>
    <r>
      <rPr>
        <b/>
        <sz val="11"/>
        <rFont val="Arial"/>
        <family val="2"/>
      </rPr>
      <t xml:space="preserve"> hard soil or hard moorum (Non Expansive Soil), as per Drg. No. 04-01/CON/44</t>
    </r>
    <r>
      <rPr>
        <sz val="11"/>
        <rFont val="Arial"/>
        <family val="2"/>
      </rPr>
      <t xml:space="preserve"> including cost of mixture machine, vibrator, curing, all materials, T&amp;P, labour, transportation, loading, unloading, royalty etc. complete.</t>
    </r>
  </si>
  <si>
    <r>
      <t xml:space="preserve">Construction of 3.75 M wide C.C. road on </t>
    </r>
    <r>
      <rPr>
        <b/>
        <sz val="11"/>
        <rFont val="Arial"/>
        <family val="2"/>
      </rPr>
      <t>black cotton soil (Expansive Soil), as per Drg. No. 04-01/CON/44,</t>
    </r>
    <r>
      <rPr>
        <sz val="11"/>
        <rFont val="Arial"/>
        <family val="2"/>
      </rPr>
      <t xml:space="preserve"> including cost of mixture machine, vibrator, curing, all materials, T&amp;P, labour, transportation, loading, unloading, royalty etc. complete.</t>
    </r>
  </si>
  <si>
    <t xml:space="preserve">Construction of 7.50 M long 600 mm internal dia. NP-3 Hume pipe culvert as per given drawing including all labour,  T&amp;P, curing, materials, transportation, loading, unloading, royalty etc. complete. </t>
  </si>
  <si>
    <t>3 Ph, 5 Wire line on RSJ 175x85 mm 9.3 Mtr long with max. span 60 Mtrs for size of conductor upto 3x50 Sqmm + 2x30 Sqmm ACSR</t>
  </si>
  <si>
    <t xml:space="preserve">(i) R.S. Joist (175x85 mm) 9.3 Mtr long @19.495 Kg per mtr x 9.3 mtr = 181.3035 kg/pole x 17 No = 3082.1595 Kgs </t>
  </si>
  <si>
    <t>3 Ph, 5 Wire line on RSJ 175x85 mm 9.3 Mtr long with max. span 45 Mtrs for size of conductor upto 3x80 Sqmm + 2x30 Sq mm ACSR</t>
  </si>
  <si>
    <t xml:space="preserve">(ii) R.S. Joist (175x85 mm) 9.3 Mtr long @ 19.495 Kg per mtr x 9.3 mtr = 181.3 Kg/pole x 22 No = 3988.677 Kgs  </t>
  </si>
  <si>
    <t>Transportation charges @ 1% of the cost of 1.6 MVA, 3.15 MVA &amp; 5 MVA Power Transformer</t>
  </si>
  <si>
    <r>
      <t xml:space="preserve">Const. of 1.50 M high brick masonry boundary wall </t>
    </r>
    <r>
      <rPr>
        <b/>
        <sz val="11"/>
        <color theme="1"/>
        <rFont val="Arial"/>
        <family val="2"/>
      </rPr>
      <t>on hard soil/hard moorum (Non-Expansive Soil)</t>
    </r>
    <r>
      <rPr>
        <sz val="11"/>
        <rFont val="Arial"/>
        <family val="2"/>
      </rPr>
      <t>. (As per Drg. No. 04-04/ST-60) i/c all labour, T&amp;P, transportation, loading, unloading, royalty etc. complete.</t>
    </r>
  </si>
  <si>
    <r>
      <t xml:space="preserve">Const. of 1.50 M high brick masonry boundary wall </t>
    </r>
    <r>
      <rPr>
        <b/>
        <sz val="11"/>
        <color theme="1"/>
        <rFont val="Arial"/>
        <family val="2"/>
      </rPr>
      <t>on Black Cotton Soil (Expansive Soil).</t>
    </r>
    <r>
      <rPr>
        <sz val="11"/>
        <rFont val="Arial"/>
        <family val="2"/>
      </rPr>
      <t xml:space="preserve"> (As per Drg. No. 04-04/ST-60) i/c all labour, T&amp;P, transportation, loading, unloading, royalty etc. complete.</t>
    </r>
  </si>
  <si>
    <r>
      <t xml:space="preserve">Const. of </t>
    </r>
    <r>
      <rPr>
        <b/>
        <sz val="11"/>
        <color theme="1"/>
        <rFont val="Arial"/>
        <family val="2"/>
      </rPr>
      <t>1.0 M high (From G.L.)</t>
    </r>
    <r>
      <rPr>
        <sz val="11"/>
        <rFont val="Arial"/>
        <family val="2"/>
      </rPr>
      <t xml:space="preserve"> </t>
    </r>
    <r>
      <rPr>
        <b/>
        <sz val="11"/>
        <color theme="1"/>
        <rFont val="Arial"/>
        <family val="2"/>
      </rPr>
      <t>Stone masonry</t>
    </r>
    <r>
      <rPr>
        <sz val="11"/>
        <rFont val="Arial"/>
        <family val="2"/>
      </rPr>
      <t xml:space="preserve"> retaining wall as per given drawing including all labour, T&amp;P, curing, materials, transportation, loading, unloading, royalty etc. complete.</t>
    </r>
  </si>
  <si>
    <r>
      <t xml:space="preserve">Const. of </t>
    </r>
    <r>
      <rPr>
        <b/>
        <sz val="11"/>
        <color theme="1"/>
        <rFont val="Arial"/>
        <family val="2"/>
      </rPr>
      <t>1.5 M high (From G.L.) Stone masonry</t>
    </r>
    <r>
      <rPr>
        <sz val="11"/>
        <rFont val="Arial"/>
        <family val="2"/>
      </rPr>
      <t xml:space="preserve"> retaining wall as per given drawing including all labour, T&amp;P, curing, materials, transportation, loading, unloading, royalty etc. complete.</t>
    </r>
  </si>
  <si>
    <r>
      <t>Const. of</t>
    </r>
    <r>
      <rPr>
        <b/>
        <sz val="11"/>
        <color theme="1"/>
        <rFont val="Calibri"/>
        <family val="2"/>
        <scheme val="minor"/>
      </rPr>
      <t xml:space="preserve"> </t>
    </r>
    <r>
      <rPr>
        <b/>
        <sz val="11"/>
        <color theme="1"/>
        <rFont val="Arial"/>
        <family val="2"/>
      </rPr>
      <t>2.0 M high (From G.L.) Stone masonry</t>
    </r>
    <r>
      <rPr>
        <sz val="11"/>
        <rFont val="Arial"/>
        <family val="2"/>
      </rPr>
      <t xml:space="preserve"> retaining wall as per given drawing including all labour, T&amp;P, curing, materials, transportation, loading, unloading, royalty etc. complete.</t>
    </r>
  </si>
  <si>
    <r>
      <t xml:space="preserve">Const. of </t>
    </r>
    <r>
      <rPr>
        <b/>
        <sz val="11"/>
        <color theme="1"/>
        <rFont val="Arial"/>
        <family val="2"/>
      </rPr>
      <t>2.5 M high (From G.L.) Stone masonry</t>
    </r>
    <r>
      <rPr>
        <sz val="11"/>
        <rFont val="Arial"/>
        <family val="2"/>
      </rPr>
      <t xml:space="preserve"> retaining wall as per given drawing including all labour, T&amp;P, curing, materials, transportation, loading, unloading, royalty etc. complete.</t>
    </r>
  </si>
  <si>
    <r>
      <t>Const. of</t>
    </r>
    <r>
      <rPr>
        <b/>
        <sz val="11"/>
        <color theme="1"/>
        <rFont val="Calibri"/>
        <family val="2"/>
        <scheme val="minor"/>
      </rPr>
      <t xml:space="preserve"> </t>
    </r>
    <r>
      <rPr>
        <b/>
        <sz val="11"/>
        <color theme="1"/>
        <rFont val="Arial"/>
        <family val="2"/>
      </rPr>
      <t xml:space="preserve">3.0 M high (From G.L.) Stone masonry </t>
    </r>
    <r>
      <rPr>
        <sz val="11"/>
        <rFont val="Arial"/>
        <family val="2"/>
      </rPr>
      <t>retaining wall as per given drawing including all labour, T&amp;P, curing, materials, transportation, loading, unloading, royalty etc. complete.</t>
    </r>
  </si>
  <si>
    <t>i(b)</t>
  </si>
  <si>
    <t>i(a)</t>
  </si>
  <si>
    <t>i(c)</t>
  </si>
  <si>
    <t>x (a)</t>
  </si>
  <si>
    <t>x (b)</t>
  </si>
  <si>
    <t>x (c)</t>
  </si>
  <si>
    <t>x (d)</t>
  </si>
  <si>
    <t>x (e)</t>
  </si>
  <si>
    <t>x (f)</t>
  </si>
  <si>
    <r>
      <t xml:space="preserve">Construction of </t>
    </r>
    <r>
      <rPr>
        <b/>
        <sz val="11"/>
        <rFont val="Arial"/>
        <family val="2"/>
      </rPr>
      <t>1.0 M high (from G.L.) brick masonary</t>
    </r>
    <r>
      <rPr>
        <sz val="11"/>
        <rFont val="Arial"/>
        <family val="2"/>
      </rPr>
      <t xml:space="preserve"> retaining wall as per given drawing including all labour, T&amp;P, curing, materials, transportation, loading, unloading, royalty etc. complete. </t>
    </r>
  </si>
  <si>
    <t>Please select any one appropriate row out of three at S.No. 1 [ { i (a) }, { i (b) } or { i (c) } ] according to actual field condition as per type of soil strata.</t>
  </si>
  <si>
    <t>Please select any one appropriate row out of two at S.No. 1 [ { iv (a) } or { iv (b) } ] according to actual field condition as per type of soil strata.</t>
  </si>
  <si>
    <t>Please select any one appropriate row out of two at S.No. 1 [ { viii (a) } or { viii (b) } ] according to actual field condition as per type of soil strata.</t>
  </si>
  <si>
    <t>Please select any one appropriate row out of six at S.No. 1 [ { x (a) }, {x (b)}, {x (c)}, {x (d)}, {x (e)} or { x (f) } ] according to actual field condition as per type of soil strata.</t>
  </si>
  <si>
    <t>Transportation charges @ 4% for all other materials excluding (a) Civil Works; (b) DT upto 200 kVA capacity; &amp; (c) PT of 1.6 MVA, 3.15 MVA &amp; 5 MVA capacity</t>
  </si>
  <si>
    <t>Const. of Brick masonary cable trench (Inside size 300 mm x 300 mm), with 200 mm thick walls and MS flat 40x5 mm @ 0.60 M c/c with standard drawings, i/c all labour, T&amp;P, transportation, loading, unloading, royalty etc. complete.</t>
  </si>
  <si>
    <t xml:space="preserve">Overhead Charges @ 12.5% [Market Fluctuation, Service Tax, Contractor's profit etc.] on Row - 5, 7, 8 [(i), (ii), (iii)], 9, 10, 11[(i), (ii), (iii)] </t>
  </si>
  <si>
    <t xml:space="preserve">Total estimated cost of Sub-station (Including Civil works but excluding GST) [Row = 6, 7, 8 [(i), (ii), (iii)], 9, 10, 11 [(i), (ii), (iii)], 12, </t>
  </si>
  <si>
    <r>
      <t xml:space="preserve"> In case of non-availability of H-Beam for structure double welded RS Joist may be used (1) 8 meter long double welded RS Joist and cost of it shall be taken in place of cost of item No.3 (i) unit rate as Rs 10722.00 &amp; quantity should be 10 Nos for 3.15 &amp; 1.6 MVA and 12 Nos for 5 MVA (2) 7 meter long double welded RS Joist and cost of it shall be taken as in place of cost of item No.3 (ii) unit rate as Rs</t>
    </r>
    <r>
      <rPr>
        <sz val="14"/>
        <rFont val="Rupee"/>
      </rPr>
      <t xml:space="preserve"> </t>
    </r>
    <r>
      <rPr>
        <sz val="12"/>
        <rFont val="Arial"/>
        <family val="2"/>
      </rPr>
      <t>9382.00 &amp; quantity should be 04 Nos each for 3.15 &amp; 1.6 MVA and 5 MVA</t>
    </r>
  </si>
  <si>
    <t>Transformer clamping with 50x50x6 mm angle with 2 cross fixing channel</t>
  </si>
  <si>
    <t>Transformer &amp; Distribution Box belting with 50x50x6 mm angle with 2 cross fixing channel</t>
  </si>
  <si>
    <t>xxxi</t>
  </si>
  <si>
    <t>xxxii</t>
  </si>
  <si>
    <t>Added 1 No extra earthing pit for chain link fencing &amp; will be provided outside of the yard  and  3 no GI Pipe for DTR</t>
  </si>
  <si>
    <t>COST SCHEDULE B-6</t>
  </si>
  <si>
    <t>INSTALLATION OF  33 kV  VCB</t>
  </si>
  <si>
    <t>Qnty.</t>
  </si>
  <si>
    <t>33 kV VCB with control panel &amp; CT</t>
  </si>
  <si>
    <t>33 kV VCB (without CT's &amp; Panel)</t>
  </si>
  <si>
    <t>33 kV Control Panel</t>
  </si>
  <si>
    <t>33 kV CT's 300-150/5 Amps</t>
  </si>
  <si>
    <t>Concreting of foundation of 33 kV breaker (1:3:6)</t>
  </si>
  <si>
    <t xml:space="preserve">Control cabling </t>
  </si>
  <si>
    <t>2 Core 2.5 Sqmm. (unarmoured)</t>
  </si>
  <si>
    <t xml:space="preserve">Terminal clamps  </t>
  </si>
  <si>
    <t xml:space="preserve">Tee clamp for jumper   </t>
  </si>
  <si>
    <t>Labour charges as per Schedule No BL-6</t>
  </si>
  <si>
    <t xml:space="preserve">Transportation charges @ 4% for all materials </t>
  </si>
  <si>
    <r>
      <t xml:space="preserve">                               </t>
    </r>
    <r>
      <rPr>
        <b/>
        <u/>
        <sz val="14"/>
        <rFont val="Arial"/>
        <family val="2"/>
      </rPr>
      <t>COST SCHEDULE B-4</t>
    </r>
  </si>
  <si>
    <r>
      <t xml:space="preserve">                                             </t>
    </r>
    <r>
      <rPr>
        <b/>
        <u/>
        <sz val="10"/>
        <rFont val="Arial"/>
        <family val="2"/>
      </rPr>
      <t>(33/11 kV SUB-STATIONS)</t>
    </r>
  </si>
  <si>
    <t>11 kV OUT DOOR YARD EXTENSION FOR ADDL. BAY WITH CIRCUIT BREAKER</t>
  </si>
  <si>
    <r>
      <t>Rate</t>
    </r>
    <r>
      <rPr>
        <b/>
        <sz val="10"/>
        <rFont val="Arial"/>
        <family val="2"/>
      </rPr>
      <t xml:space="preserve"> </t>
    </r>
  </si>
  <si>
    <t>1.6 MVA &amp; Above</t>
  </si>
  <si>
    <t xml:space="preserve"> H-Beam 152x152 mm 37.1 kg/mtr 8 Mtr i.e. 296.8 kg/pole x 2 No = 593.6 Kgs                         </t>
  </si>
  <si>
    <t xml:space="preserve">11 Mtr long 152 x 152 mm H-Beam (37.1 Kg/ Mtr weight) i.e. 37.1 x 11 mtr = 408.1 kg/pole x 2 Nos = 816.2 Kgs. </t>
  </si>
  <si>
    <t>MS DC Cross arm (100x50 mm), 5.2 Mtr long for bus bar</t>
  </si>
  <si>
    <t>MS DC Cross arm (100x50 mm), 8' centre for bus bar</t>
  </si>
  <si>
    <t>Strain set with hardware suitable for 100 Sqmm ACSR conductor for 11 kV bus.</t>
  </si>
  <si>
    <t>Hardware suitable for 100 Sqmm ACSR Dog conductor for 11 kV bus.</t>
  </si>
  <si>
    <t>11 kV Isolator (600 A.)</t>
  </si>
  <si>
    <t xml:space="preserve">11 kV AB Switch </t>
  </si>
  <si>
    <t>Concreting of structure (1:3:6)</t>
  </si>
  <si>
    <t xml:space="preserve">ACSR 100 Sqmm Al. Eq. Dog Conductor </t>
  </si>
  <si>
    <t xml:space="preserve">Terminal clamp for jumpering of 100 Sqmm Al. Eq  ACSR Conductor / Isolator  </t>
  </si>
  <si>
    <t>11 kV feeder control VCB with CT's (One 11 kV VCB controlling two feeders) with control panel.</t>
  </si>
  <si>
    <t xml:space="preserve"> 11 kV VCB (Without CT's &amp; Panel)</t>
  </si>
  <si>
    <t xml:space="preserve"> 11 kV feeder Control Panel </t>
  </si>
  <si>
    <t xml:space="preserve"> 11 kV CT's 300-150/5 Amps</t>
  </si>
  <si>
    <t xml:space="preserve">(iv) </t>
  </si>
  <si>
    <t>Concreting of foundation of VCB (1:3:6)</t>
  </si>
  <si>
    <t>Control cabling</t>
  </si>
  <si>
    <t xml:space="preserve">H.T. STATIC TRIVECTOR METER for feeder metering. </t>
  </si>
  <si>
    <t>11 kV CT/PT unit 200-100/5 Amp.</t>
  </si>
  <si>
    <t xml:space="preserve">M.S. Nuts &amp; Bolts </t>
  </si>
  <si>
    <t>d</t>
  </si>
  <si>
    <t>e</t>
  </si>
  <si>
    <t>f</t>
  </si>
  <si>
    <t>Services on Painting of structure</t>
  </si>
  <si>
    <t>Labour charges</t>
  </si>
  <si>
    <t>as per Schedule No. BL-4</t>
  </si>
  <si>
    <t>for concreting of structure</t>
  </si>
  <si>
    <t>for foundation of VCB</t>
  </si>
  <si>
    <t>Note :-</t>
  </si>
  <si>
    <t>COST SCHEDULE  B-5</t>
  </si>
  <si>
    <t>(33/11 kV SUB-STATIONS)</t>
  </si>
  <si>
    <t>33 kV  OUT DOOR  YARD  EXTENSION  FOR  ADDITIONAL  BAY.</t>
  </si>
  <si>
    <t xml:space="preserve"> H Beam 152x152 mm 37.1 kg/mtr 8 Mtr i.e. 296.8 kg/pole x 2 Nos = 593.6 Kgs</t>
  </si>
  <si>
    <t>MS DC cross arm (100x50 mm), 5.2 Mtr. long for bus bar</t>
  </si>
  <si>
    <t>Strain set with hardware suitable for 80 Sqmm ACSR conductor for 33 kV bus (3 disc insulator per disc)</t>
  </si>
  <si>
    <t>(i) 33 kV Polymer Disc Insulator</t>
  </si>
  <si>
    <t>(ii) 33 kV Hardware</t>
  </si>
  <si>
    <t xml:space="preserve">33 kV Isolator (600 Amps.) without earth switch  </t>
  </si>
  <si>
    <t xml:space="preserve">Terminal clamp for isolators   </t>
  </si>
  <si>
    <t xml:space="preserve">T-clamps for bus jumper  </t>
  </si>
  <si>
    <t>ACSR 100 Sqmm Al. Eq. Conductor</t>
  </si>
  <si>
    <t xml:space="preserve">Services on Painting on structure </t>
  </si>
  <si>
    <t>Labour charges as per Schedule No BL-5</t>
  </si>
  <si>
    <t>Note: - For the provision of 33 kV VCB installation, the cost Schedule No.- B-6 may be referred to. All the rates are with considering price variation clause</t>
  </si>
  <si>
    <t>ISI Marked Energy Efficiency level-1 transformer</t>
  </si>
  <si>
    <t xml:space="preserve"> COST SCHEDULE --  D-6 (B)</t>
  </si>
  <si>
    <t>COST  SCHEDULE  FOR  ADDITIONAL  POLES  (MID SPAN)  FOR  LT  LINE  WITH  AB  CABLE</t>
  </si>
  <si>
    <t>Universal distribution connector (1 No. per pole)</t>
  </si>
  <si>
    <t>Labour charges [as per Sch. No.- DL-6(B)]</t>
  </si>
  <si>
    <t xml:space="preserve">Transportation charges </t>
  </si>
  <si>
    <t>1.6 to 3.15 MVA</t>
  </si>
  <si>
    <t>3.15 to 5.0 MVA without 33 kV VCB</t>
  </si>
  <si>
    <t>3.15 to 5.0 MVA with 33 kV VCB</t>
  </si>
  <si>
    <t>LT Capacitor for 25 kVA DT</t>
  </si>
  <si>
    <t>LT Capacitor for 63 kVA DT</t>
  </si>
  <si>
    <t>LT Capacitor for 100 kVA DT</t>
  </si>
  <si>
    <t>LT Capacitor for 200 kVA DT</t>
  </si>
  <si>
    <t>LT Capacitor for 315 kVA DT</t>
  </si>
  <si>
    <t>Overhead Charges @ 12.5% [Market Fluctuation, Service Tax, Contractor's profit etc.] on Row - 2, 4, 5, 6</t>
  </si>
  <si>
    <t>Total Estimated Cost excluding GST (Row 3, 4, 5, 6, 7)</t>
  </si>
  <si>
    <t>Applicable CGST @ 9% on Row 8</t>
  </si>
  <si>
    <t>Applicable SGST @ 9% on Row 8</t>
  </si>
  <si>
    <t>Total Estimated Cost including GST (Row 8+9+10)</t>
  </si>
  <si>
    <r>
      <t xml:space="preserve">Clamp for </t>
    </r>
    <r>
      <rPr>
        <sz val="14"/>
        <rFont val="Times New Roman"/>
        <family val="1"/>
      </rPr>
      <t>“</t>
    </r>
    <r>
      <rPr>
        <sz val="11"/>
        <rFont val="Arial"/>
        <family val="2"/>
      </rPr>
      <t xml:space="preserve"> H-Beam </t>
    </r>
    <r>
      <rPr>
        <sz val="16"/>
        <rFont val="Times New Roman"/>
        <family val="1"/>
      </rPr>
      <t>”</t>
    </r>
  </si>
  <si>
    <t>33 kV Polymer Disc insulator for double disc</t>
  </si>
  <si>
    <t>NAME &amp; QTY. CHANGED</t>
  </si>
  <si>
    <t>R.S. Joist (175x85 mm) @ 2 mtr/Isolator</t>
  </si>
  <si>
    <t>Overhead Charges @ 12.5% [Market Fluctuation, Service Tax, Contractor's profit etc.] on Row - 24, 26, 27(a), 28, 29</t>
  </si>
  <si>
    <t>Total Estimated Cost Including Civil works but excluding GST (Row 25, 26, 27, 28, 29, 30)</t>
  </si>
  <si>
    <t xml:space="preserve">33 kV Porcelain A.B. Switch </t>
  </si>
  <si>
    <t>Overhead Charges @ 12.5% [Market Fluctuation, Service Tax, Contractor's profit etc.] on Row - 19, 21, 22, 23, 24, 25</t>
  </si>
  <si>
    <t>Total Estimated Cost excluding GST (Row 20, 21, 22, 23, 24, 25, 26)</t>
  </si>
  <si>
    <t>Applicable CGST @ 9% on Row 27</t>
  </si>
  <si>
    <t>Applicable SGST @ 9% on Row 27</t>
  </si>
  <si>
    <t>Total Estimated Cost including GST (Row 27+28+29)</t>
  </si>
  <si>
    <t>Overhead Charges @ 12.5% [Market Fluctuation, Service Tax, Contractor's profit etc.] on Row - 07, 09, 10, 11, 12</t>
  </si>
  <si>
    <t>Total Estimated Cost excluding GST (Row 08, 09, 10, 11, 12, 13)</t>
  </si>
  <si>
    <t>Total Estimated Cost including GST (Row 14+15+16)</t>
  </si>
  <si>
    <t>Cost of Galvanization</t>
  </si>
  <si>
    <t>NEW  ITEM  INTRODUCED.</t>
  </si>
  <si>
    <t>New SAP Bin code No.</t>
  </si>
  <si>
    <t>COST  SCHEDULE   B-8</t>
  </si>
  <si>
    <t>AUGMENTATION OF 33/11 kV SUB-STATION CAPACITY  BY REPLACEMENT OF POWER TRANSFORMER</t>
  </si>
  <si>
    <t>33 kV VCB (With CT's and control panel)</t>
  </si>
  <si>
    <t>(i) 33 kV VCB (without CT's and panels)</t>
  </si>
  <si>
    <t>Concreting of foundation for 33 kV VCB (1:3:6)</t>
  </si>
  <si>
    <t xml:space="preserve">Terminal clamp for transformer  </t>
  </si>
  <si>
    <t xml:space="preserve">T-clamps for jumper   </t>
  </si>
  <si>
    <t>Labour charges as per Schedule No BL-8</t>
  </si>
  <si>
    <t>(-) Cost of Old Transformer assuming 25 years of life &amp; 5 years in service.</t>
  </si>
  <si>
    <t xml:space="preserve">Total Estimated Cost of Augmentation including GST (Rounded off) </t>
  </si>
  <si>
    <t>COST  SCHEDULE  B-9</t>
  </si>
  <si>
    <t>INSTALLATION OF 1.6 MVA  33/11 kV SUB-STATION ON LINE</t>
  </si>
  <si>
    <t>CIVIL WORKS (Rate as per SoR PWD)</t>
  </si>
  <si>
    <t>Land</t>
  </si>
  <si>
    <t>Sq Mtr</t>
  </si>
  <si>
    <t>Total of 01 : -</t>
  </si>
  <si>
    <t>EQUIPMENTS AND BUS BAR ARRANGEMENT</t>
  </si>
  <si>
    <t xml:space="preserve">Power Transformer 1.6 MVA </t>
  </si>
  <si>
    <t xml:space="preserve">33 kV "V" cross arm </t>
  </si>
  <si>
    <t>(i) Cross arm clamp</t>
  </si>
  <si>
    <t>33 kV Top clamp</t>
  </si>
  <si>
    <t>33 kV D.O. Fuse Unit</t>
  </si>
  <si>
    <t>MS Channel 100x50 mm, 5.2 Mtr. Long for D.O., A.B. switch and LA mounting.</t>
  </si>
  <si>
    <t>PCC supports 140 Kg; 8.0 Mtr. for 11 kV Bus</t>
  </si>
  <si>
    <t>MS Channel 5.2 Mtr. long</t>
  </si>
  <si>
    <t>11 kV AB Switch complete</t>
  </si>
  <si>
    <t>11 kV Strain set with hardware</t>
  </si>
  <si>
    <t>11 kV Polymer Disc insulator</t>
  </si>
  <si>
    <t>11 kV Hardware</t>
  </si>
  <si>
    <t>ACSR Conductor 80 Sqmm Al. Eq. Raccoon Conductor</t>
  </si>
  <si>
    <t xml:space="preserve">T-clamps for Raccoon Conductor </t>
  </si>
  <si>
    <t>Bimetallic Clamps for Transformer &amp; auto recloser</t>
  </si>
  <si>
    <t>M.S. Flat 50x6 mm</t>
  </si>
  <si>
    <t xml:space="preserve">Earthing of Sub-station </t>
  </si>
  <si>
    <t xml:space="preserve">(i) G.I. Pipe of 40 mm dia. 3.04 Mtr. long with 12 mm hole at 18 places at equal distance trapered casing at lower end.  </t>
  </si>
  <si>
    <t xml:space="preserve">(ii) MS flat 50x6 mm size </t>
  </si>
  <si>
    <t>(iii) G.I. Wire 8 SWG</t>
  </si>
  <si>
    <t>(iv) G.I. Nuts and bolts 16x40 mm</t>
  </si>
  <si>
    <t>(v) G.I. Nuts and bolts 16x65 mm</t>
  </si>
  <si>
    <t>(vi) G.I. Spring washers</t>
  </si>
  <si>
    <t>Services On Earthing of sub-station.</t>
  </si>
  <si>
    <t>Labour charges as per Schedule No BL-9</t>
  </si>
  <si>
    <t>Total Cost including Civil Works (Rounded off) : -</t>
  </si>
  <si>
    <t xml:space="preserve">200 kg 9.0 Mtr. long PCC Pole  </t>
  </si>
  <si>
    <t>MATERIAL REPLACED</t>
  </si>
  <si>
    <t>2 (i)</t>
  </si>
  <si>
    <t>PCC supports 280 Kg; 9.1 Mtr. long</t>
  </si>
  <si>
    <r>
      <t xml:space="preserve">Supply, stacking and spreading of 40 mm nominal size crusher broken hard stone (metal) i/c all labour, T&amp;P, transportation, loading unloading, royalty etc. complete </t>
    </r>
    <r>
      <rPr>
        <b/>
        <sz val="10"/>
        <rFont val="Arial"/>
        <family val="2"/>
      </rPr>
      <t>(Metal measured in stacks will be reduced by 8% for voids)</t>
    </r>
    <r>
      <rPr>
        <sz val="10"/>
        <rFont val="Arial"/>
        <family val="2"/>
      </rPr>
      <t>.</t>
    </r>
  </si>
  <si>
    <t>Construction of Brick masonary cable trench (inside size 300 mm x 300 mm.), with 200 mm. thick walls and MS Flat 40x5 mm @ 0.60 M c/c with standard drawings, i/c all labour, T&amp;P, transportation, loading, unloading, royalty etc. complete.</t>
  </si>
  <si>
    <t>ITEM CHANGED.</t>
  </si>
  <si>
    <t xml:space="preserve">Transportation charges @ 4% for all other materials excluding (a) Civil Works; &amp; (b) PT of 1.6 MVA, 3.15 MVA &amp; 5 MVA capacity </t>
  </si>
  <si>
    <t>(iii) 33 kV CT's (300-150/5) Amps. oil filled</t>
  </si>
  <si>
    <t>UNIT CHANGED</t>
  </si>
  <si>
    <t>Construction of 1.50 Mtr high barbed wire fencing in angle iron post as per given drawing including all labour, T&amp;P, curing, materials, transportation, loading, unloading, royalty, etc. complete.</t>
  </si>
  <si>
    <t xml:space="preserve">Construction of 4.50 m x 2.15 m size yard / area gate as per given drawing including all labour, T&amp;P, curing, materials, transportation, loading, unloading, royalty, etc. complete. </t>
  </si>
  <si>
    <t>11 kV 'V' Cross arm with back clamp</t>
  </si>
  <si>
    <t>11 kV Top clamp</t>
  </si>
  <si>
    <t xml:space="preserve">Jointing Sleeves suitable for Raccoon / Dog ACSR Conductor  </t>
  </si>
  <si>
    <t>Note: All the rates are with considering price variation clause.</t>
  </si>
  <si>
    <r>
      <t xml:space="preserve">                                                           </t>
    </r>
    <r>
      <rPr>
        <b/>
        <u/>
        <sz val="14"/>
        <rFont val="Arial"/>
        <family val="2"/>
      </rPr>
      <t>COST SCHEDULE   C-9</t>
    </r>
  </si>
  <si>
    <t>1 KM OF 11 kV LINE ON  H-BEAM 152x152 MM  37.1 Kg /MTR. 13.0 MTR. USING RACCOON / DOG CONDUCTOR MAXIMUM SPAN 80 MTR.</t>
  </si>
  <si>
    <t xml:space="preserve">H-Beam using Raccoon conductor </t>
  </si>
  <si>
    <t xml:space="preserve">H-Beam using Dog conductor </t>
  </si>
  <si>
    <t xml:space="preserve">H-BEAM 152x152 mm 37.1 Kg /Mtr 13.0 Mtr long i.e. 482.3 Kg/pole x 12 Nos = 5788 Kgs  </t>
  </si>
  <si>
    <t xml:space="preserve">ACSR Raccoon conductor with 3% sag </t>
  </si>
  <si>
    <t xml:space="preserve">ACSR Dog conductor with 3% sag </t>
  </si>
  <si>
    <t>(ii) Stay Wire 7/8 SWG @ 8.5 Kg per stay</t>
  </si>
  <si>
    <t>(I) Stay Clamp for "H" Beam</t>
  </si>
  <si>
    <t>Labour charges as per Sch No. CL-4</t>
  </si>
  <si>
    <t>COST  SCHEDULE  C-9 (A)</t>
  </si>
  <si>
    <t>ADDITIONAL (MID SPAN) POLES  FOR NEW 11 kV LINE WITH RACCOON  CONDUCTOR</t>
  </si>
  <si>
    <t xml:space="preserve">H BEAM 152X152 MM 37.10 KG / MTR 13.0 MTR LONG </t>
  </si>
  <si>
    <t xml:space="preserve">H-BEAM 152x152 mm;  37.1 Kg /Mtr 13.0 Mtr long i.e. 482.3 Kg/pole  </t>
  </si>
  <si>
    <t>Earthing Set (Coil earth as per Drawing No:-G/007</t>
  </si>
  <si>
    <t>13</t>
  </si>
  <si>
    <t>Total Estimated Cost including GST (Row 18+19+20)</t>
  </si>
  <si>
    <t xml:space="preserve">Labour charges as per Sch No.- CL-9 (A) </t>
  </si>
  <si>
    <t>Concreting of support @ 0.6 Cmt/pole, @ 0.3 Cmt/stay &amp; base padding @ 0.05 Cmt /pole (1:3:6)</t>
  </si>
  <si>
    <t>Transportation charges @ 1% of the cost of 1.6 MVA Power Transformer</t>
  </si>
  <si>
    <t xml:space="preserve">Transportation charges @ 4% for all other materials excluding (a) Civil Works; &amp; (b) Power Transformer of 1.6 MVA capacity </t>
  </si>
  <si>
    <t>SUB TOTAL-1 [of Row - 2 (Material cost including GST)]</t>
  </si>
  <si>
    <t>Incidental Charges @ 7.5% on Sub-Total-1 [for Row - 2] : -</t>
  </si>
  <si>
    <t>Material cost excluding GST [for Row - 2 (Sub Total-1/1.18)]</t>
  </si>
  <si>
    <t>Overhead Charges @ 12.5% [Market Fluctuation, Service Tax, Contractor's profit etc.] on Row - 02(23), 04, 05, 06, 07, 08</t>
  </si>
  <si>
    <t>Total Estimated Cost excluding GST (Row 03, 04, 05, 06, 07, 08, 09)</t>
  </si>
  <si>
    <t>Applicable CGST @ 9% on Row 10</t>
  </si>
  <si>
    <t>Applicable SGST @ 9% on Row 10</t>
  </si>
  <si>
    <t>Total Estimated Cost including GST (Row 10+11+12)</t>
  </si>
  <si>
    <r>
      <t xml:space="preserve">Total cost including </t>
    </r>
    <r>
      <rPr>
        <b/>
        <sz val="10"/>
        <rFont val="Arial"/>
        <family val="2"/>
      </rPr>
      <t>Civil Works [ Row 01(4)+13 ]</t>
    </r>
  </si>
  <si>
    <t>Transportation charges @ 1% of the cost of 3.15 MVA &amp; 5 MVA Power Transformer</t>
  </si>
  <si>
    <t>33/11 kV 3.15  MVA Power X-mer</t>
  </si>
  <si>
    <t>33/11 kV 5.0  MVA Power X-mer</t>
  </si>
  <si>
    <t xml:space="preserve">Transportation charges @ 4% for all other materials excluding Power Transformer of 3.15 MVA &amp; 5.0 MVA capacity </t>
  </si>
  <si>
    <t>COST SCHEDULE -- D-14</t>
  </si>
  <si>
    <t>DISTRIBUTION  BOX  ON  EXISTING  LT  LINES  FOR  SERVICE  CONNECTIONS</t>
  </si>
  <si>
    <t>DESCRIPTION</t>
  </si>
  <si>
    <t xml:space="preserve">Rate per Distribution Box including GST
</t>
  </si>
  <si>
    <t xml:space="preserve">Rate per Distribution Box excluding GST [Col. 5/1.18]
</t>
  </si>
  <si>
    <t xml:space="preserve">Incidental Charges (7.5%) on Col. 5
</t>
  </si>
  <si>
    <t>Total Cost per Distribution Box
excluding GST [Col. 6+7+8]</t>
  </si>
  <si>
    <t>Applicable CGST @ 9% on Col. 9</t>
  </si>
  <si>
    <t>Applicable SGST @ 9% on Col. 9</t>
  </si>
  <si>
    <t>Total Cost per Distribution Box
including GST [ Col. 9+10+11]</t>
  </si>
  <si>
    <t>Total Cost per Distribution Box including GST
 Rounded Off</t>
  </si>
  <si>
    <t>Single phase Distribution box for 9 connections</t>
  </si>
  <si>
    <t>Three phase Distribution box for 5 connections</t>
  </si>
  <si>
    <t>Incidental Charges @ 7.5%  : -</t>
  </si>
  <si>
    <t>COST SCHEDULE  C-16</t>
  </si>
  <si>
    <r>
      <t xml:space="preserve">D.T. CAPACITORS ON EXISTING DTR's </t>
    </r>
    <r>
      <rPr>
        <b/>
        <u/>
        <sz val="14"/>
        <color indexed="53"/>
        <rFont val="Arial"/>
        <family val="2"/>
      </rPr>
      <t>OTHER THAN INDUSTRIAL</t>
    </r>
    <r>
      <rPr>
        <b/>
        <u/>
        <sz val="14"/>
        <rFont val="Arial"/>
        <family val="2"/>
      </rPr>
      <t xml:space="preserve"> (RETAINED &amp; SHIFTED)</t>
    </r>
  </si>
  <si>
    <t>Capacitor Rating - KVAR</t>
  </si>
  <si>
    <t xml:space="preserve">Capacitor cost </t>
  </si>
  <si>
    <t xml:space="preserve">Incidental Charges
</t>
  </si>
  <si>
    <t xml:space="preserve">Labour Charge per Capacitor Bank
</t>
  </si>
  <si>
    <t xml:space="preserve">Cost per Package
</t>
  </si>
  <si>
    <r>
      <t xml:space="preserve">Cost per Package
</t>
    </r>
    <r>
      <rPr>
        <b/>
        <sz val="11"/>
        <color indexed="8"/>
        <rFont val="Arial"/>
        <family val="2"/>
      </rPr>
      <t>Round Off</t>
    </r>
  </si>
  <si>
    <t>Incidental Charges @ 7.5% : -</t>
  </si>
  <si>
    <t xml:space="preserve">Labour Charges as per Schedule DL-14 
</t>
  </si>
  <si>
    <t>(i) H-Beam 152x152 mm 08 mtr long 37.1 kg/mtr i.e.= 296.8 kg/pole x 2 No = 593.60 Kgs</t>
  </si>
  <si>
    <t>(iii) R.S. Joist (175x85 mm) [ 7x2.5 Mtr ]</t>
  </si>
  <si>
    <t>Concreting of structure @ 0.45 Cmt. Per/pole bus structure (1:3:6) = 4.5 Cmt+0.65/pole*4+0.2*7 for    isolator.</t>
  </si>
  <si>
    <t xml:space="preserve">(i) 25 mm dia 2500 mm. long G.I. rod earth electrodes </t>
  </si>
  <si>
    <t>M.S.Angle 50*50*6 for Isolators clamping</t>
  </si>
  <si>
    <t>Labour charges for installation of VCB (as per Schedule No. BL-6)</t>
  </si>
  <si>
    <t>Overhead Charges @ 12.5% [Market Fluctuation, Service Tax, Contractor's profit etc.] on Row - 08, 10, 11, 12, 13, 14, 15, 16</t>
  </si>
  <si>
    <t>Total Estimated Cost excluding GST (Row 09, 10, 11, 12, 13, 14, 15, 16, 17)</t>
  </si>
  <si>
    <t>Total Estimated Cost of Augmentation including GST (Row 18+19+20-21)</t>
  </si>
  <si>
    <t>PVC 4 core 3 phase 16 sq.mm. armoured service cable</t>
  </si>
  <si>
    <t xml:space="preserve">Transportation charges @ 4% on Column no. 09 </t>
  </si>
  <si>
    <t>Note- Labour charges indicated as * are per pole for fixing of piercing connector including service ring, distribution box, universal distribution connector etc.</t>
  </si>
  <si>
    <t>COST SCHEDULE   C-7 (A-1)</t>
  </si>
  <si>
    <t>11/0.4 kV OUT DOOR SUB-STATION (USING PCC POLE FOR 25/63 kVA TRANSFORMER &amp; DOUBLE WELDED R.S. JOIST 175x85 mm  FOR 100/200/315 kVA TRANSFORMER AND SINGLE CORE PVC INSULATED CABLE)</t>
  </si>
  <si>
    <t>Transformer 11/0.4 kV (Energy efficient) Aluminium Wound</t>
  </si>
  <si>
    <t>(i)  25 kVA TRANSFORMER (LEVEL-1)  *</t>
  </si>
  <si>
    <t>(ii)  63 kVA TRANSFORMER (LEVEL-1)  *</t>
  </si>
  <si>
    <t>(iii) 100 kVA TRANSFORMER (LEVEL-1) *</t>
  </si>
  <si>
    <t>(iv)  200 kVA TRANSFORMER (LEVEL-1) *</t>
  </si>
  <si>
    <t>(v)  315 kVA TRANSFORMER Copper Wound (LEVEL-1) *</t>
  </si>
  <si>
    <t>(i) 140 Kg 8.0 Mtr long PCC Pole</t>
  </si>
  <si>
    <t>(ii) 175x85 mm 11.0 Mtr long R.S. Joist @19.495 Kg/mtr x 11 mtr = 214.445 kg/pole x 2 No = 428.89 Kgs, For 4 No. pole = 857.78 Kg</t>
  </si>
  <si>
    <t>Stay Clamp for R.S.Joist "A" type for fixing of channels</t>
  </si>
  <si>
    <t>PCC pole clamp for fixing of channels</t>
  </si>
  <si>
    <t>M.S. Angle 50x50x6 mm for X-mer Clamping set</t>
  </si>
  <si>
    <t>Concreting of PCC supports @ 0.3 Cmt/pole &amp; for Double welded R.S.Joist @ 0.6 cmt. / pole, @ 0.2 Cmt/Stay &amp; base padding @ 0.05 Cmt per pole (1:3:6)</t>
  </si>
  <si>
    <r>
      <t xml:space="preserve">Material cost including GST and labour. </t>
    </r>
    <r>
      <rPr>
        <b/>
        <sz val="10"/>
        <rFont val="Arial"/>
        <family val="2"/>
      </rPr>
      <t>NAME CHANGED.</t>
    </r>
  </si>
  <si>
    <t>Transformer belting with 50x50x6 mm angle with 2 cross fixing channel.</t>
  </si>
  <si>
    <t>Transformer mounting cross arm 100x50 mm channel.</t>
  </si>
  <si>
    <t>Earthing set (Pipe earth as per drg. No.-G/008) (material + Services)</t>
  </si>
  <si>
    <t xml:space="preserve">TPN switch fuse unit (63 Amps) </t>
  </si>
  <si>
    <t xml:space="preserve">16 Sqmm </t>
  </si>
  <si>
    <t xml:space="preserve">70 Sqmm </t>
  </si>
  <si>
    <t>LT distribution box suitable for transformer with isolator on incoming side &amp; SPMCCB's on outgoing side</t>
  </si>
  <si>
    <t>63 kVA</t>
  </si>
  <si>
    <t>100 kVA</t>
  </si>
  <si>
    <t>200 kVA</t>
  </si>
  <si>
    <t>Incidental Charges @7.5% on Sub-Total-1 : -</t>
  </si>
  <si>
    <t>Labour charges as per Sch CL-3</t>
  </si>
  <si>
    <t>Transportation charges @ 1% of the cost of DT of capacity 315 kVA and above.</t>
  </si>
  <si>
    <t xml:space="preserve">Transportation charges @ 4% for all other materials except DT upto 315 kVA capacity </t>
  </si>
  <si>
    <t xml:space="preserve">Overhead Charges @ 12.5% [Market Fluctuation, Service Tax, Contractor's profit etc.] for X-mer capacity upto -- </t>
  </si>
  <si>
    <t>200 kVA - Row - 26, 28, 30, 31, 32, 33, 35</t>
  </si>
  <si>
    <t>315 kVA and above - Row - 26, 28, 30, 31, 32, 34, 35</t>
  </si>
  <si>
    <t>Total Estimated Cost excluding GST (i) upto 200 kVA X-mer - Row 27, 28, 30, 31, 32, 33, 35, 36{1} ; &amp; (ii) 315 kVA &amp; above X-mer capacity - Row 27, 28, 30, 31, 32, 34, 35, 36{ii}</t>
  </si>
  <si>
    <t>Applicable CGST @ 9% on Row 37</t>
  </si>
  <si>
    <t>Applicable SGST @ 9% on Row 37</t>
  </si>
  <si>
    <t>Total Estimated Cost including GST (Row 37+38+39)</t>
  </si>
  <si>
    <t>Note (A) :-   (1) All the rates are with considering price variation clause.</t>
  </si>
  <si>
    <t>(2) Single RS Joist 175x85 mm may be used in place of PCC pole for 25/63 kVA Transformer</t>
  </si>
  <si>
    <t>Note (B) :- A Capacitor is to be installed of appropriate capacity on the transformer in case of estimate prepared for Irrigation Pump.</t>
  </si>
  <si>
    <t>ISI Marked Energy Efficiency level-1 Transformer</t>
  </si>
  <si>
    <t>COST SCHEDULE  C-7 (A-2)</t>
  </si>
  <si>
    <t>11/0.4 kV OUT DOOR SUB-STATION (USING PCC POLE FOR  25/63 kVA TRANSFORMER &amp; DOUBLE WELDED  RS JOIST 175x85 mm FOR 100/200/315 kVA TRANSFORMER AND SINGLE  CORE CABLE)</t>
  </si>
  <si>
    <t>(i) 25 kVA TRANSFORMER (LEVEL-1) *</t>
  </si>
  <si>
    <t>(ii) 63 kVA TRANSFORMER (LEVEL-1) *</t>
  </si>
  <si>
    <t>(iv) 200 kVA TRANSFORMER (LEVEL-1) *</t>
  </si>
  <si>
    <t>(v) 315 kVA TRANSFORMER Copper Wound (LEVEL-1) *</t>
  </si>
  <si>
    <t>(i) 140 Kg 8.0 Mtr. long PCC Pole</t>
  </si>
  <si>
    <t>11 kV H.W</t>
  </si>
  <si>
    <t>11 kV DO fuse &amp; LA mounting DC cross arm (75x40 mm)</t>
  </si>
  <si>
    <t>Concreting of supports @ 0.3 Cmt/pole &amp; @ 0.2 Cmt/Stay &amp; base padding @ 0.05 Cmt per pole (1:3:6)</t>
  </si>
  <si>
    <t>Transformer mounting Cross arm 100x50 mm channel.</t>
  </si>
  <si>
    <t>Single Core cable</t>
  </si>
  <si>
    <t xml:space="preserve">35 Sqmm </t>
  </si>
  <si>
    <t xml:space="preserve">50 Sqmm </t>
  </si>
  <si>
    <t xml:space="preserve">Transportation charges @ 4% for all other materials except DT upto 315 kVA capacity  </t>
  </si>
  <si>
    <t xml:space="preserve">Overhead Charges @ 12.5% [Market Fluctuation, Service Tax, Contractor's profit etc.]  for X-mer capacity upto --  </t>
  </si>
  <si>
    <t>200 kVA - Row - 27, 29, 30, 31, 32, 33, 34, 36</t>
  </si>
  <si>
    <t>315 kVA and above - Row - 27, 29, 31, 32, 33, 35, 36</t>
  </si>
  <si>
    <t>Total Estimated Cost excluding GST (i) upto 200 kVA X-mer - Row 28, 29, 30, 31, 32, 33, 34, 36, 37(i) ; &amp; (ii) 315 kVA &amp; above X-mer capacity - Row 28, 29,31, 32, 33, 35, 36, 37 (ii).</t>
  </si>
  <si>
    <t>Applicable CGST @ 9% on Row 38</t>
  </si>
  <si>
    <t>Applicable SGST @ 9% on Row 38</t>
  </si>
  <si>
    <t>Total Estimated Cost including GST (Row 38+39+40)</t>
  </si>
  <si>
    <t xml:space="preserve">           (2) Single RS Joist175x85 mm may be used in place of PCC pole for 25/63 kVA Transformer</t>
  </si>
  <si>
    <r>
      <t xml:space="preserve">                     </t>
    </r>
    <r>
      <rPr>
        <b/>
        <u/>
        <sz val="14"/>
        <rFont val="Arial"/>
        <family val="2"/>
      </rPr>
      <t>COST SCHEDULE   C-8</t>
    </r>
  </si>
  <si>
    <t>1 Km  OF  11 kV  LINE  ON 365 kG 11 Mtr.  LONG PCC POLE  USING  RACCOON / DOG  CONDUCTOR  MAXIMUM SPAN  80  METER.</t>
  </si>
  <si>
    <t xml:space="preserve">PCC Pole using Raccoon Conductor </t>
  </si>
  <si>
    <t xml:space="preserve">PCC Pole using Dog Conductor </t>
  </si>
  <si>
    <t>Stay Clamp for PCC Pole</t>
  </si>
  <si>
    <t xml:space="preserve">ACSR Raccoon Conductor with 3% sag </t>
  </si>
  <si>
    <t xml:space="preserve">ACSR Dog Conductor with 3% sag </t>
  </si>
  <si>
    <t xml:space="preserve">(I) Stay set 20 mm </t>
  </si>
  <si>
    <t>(II) Stay Wire 7/8 SWG @ 8.5 Kg per stay</t>
  </si>
  <si>
    <t>Concreting of support @ 0.5 Cmt/pole, @ 0.3 Cmt/stay &amp; base padding @ 0.05 Cmt /pole (1:3:6)</t>
  </si>
  <si>
    <t>Barbed Wire [ @ 2 Kg/Pole ]</t>
  </si>
  <si>
    <t>Labour charges as per Sch No.- CL-4</t>
  </si>
  <si>
    <t xml:space="preserve">Transportation charges @ 4% on Column no. 19 </t>
  </si>
  <si>
    <t>Overhead Charges @ 12.5% [Market Fluctuation, Service Tax, Contractor's profit etc.] on Row -18, 20, 21, 22, 23</t>
  </si>
  <si>
    <t>COST SCHEDULE   C-7 (B-1)</t>
  </si>
  <si>
    <t>11/0.4 kV OUT DOOR SUB-STATION (USING H-BEAM POLE FOR  25 / 63 / 100 / 200 / 315 kVA TRANSFORMER AND SINGLE CORE PVC CABLE)</t>
  </si>
  <si>
    <t>Transformer 11/0.4 kV (Energy efficient)</t>
  </si>
  <si>
    <t xml:space="preserve">H-BEAM 152x152 mm 37.1 Kg / Mtr 11.0 Mtr long i.e. 408.1 Kg/pole x 2 Nos = 816.2 Kgs  </t>
  </si>
  <si>
    <t>Clamp for H-Beam pole for fixing of channels</t>
  </si>
  <si>
    <t>(iii) H Beam Clamp for fixing of channels</t>
  </si>
  <si>
    <t>(iv) Stay Clamp for "H" Beam</t>
  </si>
  <si>
    <t>Concreting of supports @ 0.6 Cmt/pole &amp; @ 0.2 Cmt/Stay &amp; base padding @ 0.05 Cmt per pole (1:3:6)</t>
  </si>
  <si>
    <t xml:space="preserve">Overhead Charges @ 12.5% [Market Fluctuation, Service Tax, Contractor's profit etc.] for X-mer capacity upto --   </t>
  </si>
  <si>
    <t>200 kVA - Row - 25, 27, 28, 29, 30, 31, 33</t>
  </si>
  <si>
    <t>315 kVA and above - Row - 25, 27, 28, 29, 30, 32, 33</t>
  </si>
  <si>
    <t>Total Estimated Cost excluding GST (a) upto 200 kVA X-mer - Row 26, 27, 28, 29, 30, 31, 33, 34(i) ; &amp; (b) 315 kVA &amp; above X-mer capacity - Row 26, 27, 28, 29, 30, 32, 33, 34(ii).</t>
  </si>
  <si>
    <t>Applicable CGST @ 9% on Row 35</t>
  </si>
  <si>
    <t>Applicable SGST @ 9% on Row 35</t>
  </si>
  <si>
    <t>Total Estimated Cost including GST (Row 35+36+37)</t>
  </si>
  <si>
    <t>Note (A) :- (1) All the rates are with considering price variation clause.</t>
  </si>
  <si>
    <t xml:space="preserve">                 (2) As per requirement 315 kVA Transformer may be used against 200 kVA schedule</t>
  </si>
  <si>
    <t>COST SCHEDULE  C-7 (B-2)</t>
  </si>
  <si>
    <t>11/0.4 kV OUT DOOR SUB-STATION (USING H-BEAM POLE FOR 25 / 63 / 100 / 200 / 315 kVA TRANSFORMER AND SINGLE CORE CABLE)</t>
  </si>
  <si>
    <t>Service in lieu of Earthing Coal &amp; Sand etc.</t>
  </si>
  <si>
    <t>Labour Charges as per Sch CL-3</t>
  </si>
  <si>
    <t>Overhead Charges @ 12.5% [Market Fluctuation, Service Tax, Contractor's profit etc.]  for X-mer capacity upto --</t>
  </si>
  <si>
    <t>COST SCHEDULE  C-10</t>
  </si>
  <si>
    <t>AUGMENTATION OF 11/0.4 kV SUB-STATION CAPACITY (ASSUMING 25 YEARS OF LIFE &amp; 10 YEARS IN SERVICE)</t>
  </si>
  <si>
    <t>Bin CodeNo.</t>
  </si>
  <si>
    <t>25 kVA to 63 kVA</t>
  </si>
  <si>
    <t>63 kVA to 100 kVA</t>
  </si>
  <si>
    <t>100 kVA to 200 kVA</t>
  </si>
  <si>
    <r>
      <t xml:space="preserve">11/0.4 kV 63 kVA X-mer (LEVEL-1)  </t>
    </r>
    <r>
      <rPr>
        <sz val="13"/>
        <rFont val="Arial"/>
        <family val="2"/>
      </rPr>
      <t>*</t>
    </r>
  </si>
  <si>
    <r>
      <t xml:space="preserve">11/0.4 kV 100 kVA X-mer (LEVEL-1) </t>
    </r>
    <r>
      <rPr>
        <sz val="13"/>
        <rFont val="Arial"/>
        <family val="2"/>
      </rPr>
      <t>*</t>
    </r>
  </si>
  <si>
    <r>
      <t xml:space="preserve">11/0.4 kV 200 kVA X-mer (LEVEL-1) </t>
    </r>
    <r>
      <rPr>
        <sz val="13"/>
        <rFont val="Arial"/>
        <family val="2"/>
      </rPr>
      <t>*</t>
    </r>
  </si>
  <si>
    <t>Clamp for R.S.Joist for fixing of channels</t>
  </si>
  <si>
    <t xml:space="preserve">R.S. Joist (175x85) mm 11 Mtr. Long i.e. 19.495 kg/mtr x 11 mtr = 214.44 kg x 4 No = 857.8 Kgs </t>
  </si>
  <si>
    <t>7130860032201</t>
  </si>
  <si>
    <t>7130860077103</t>
  </si>
  <si>
    <t>7130810026301</t>
  </si>
  <si>
    <t>Concreting of support @ 0.3 Cmt/pole, @ 0.2 Cmt/stay &amp; base padding @ 0.05 Cmt/pole  (1:3:6)</t>
  </si>
  <si>
    <t>7130870013401</t>
  </si>
  <si>
    <t>7130211158904</t>
  </si>
  <si>
    <t>7130210809004</t>
  </si>
  <si>
    <t>7130407183901</t>
  </si>
  <si>
    <t>7130620609003</t>
  </si>
  <si>
    <t>7130620614003</t>
  </si>
  <si>
    <t>7130620625403</t>
  </si>
  <si>
    <t>7130620631603</t>
  </si>
  <si>
    <t>70 Sqmm Single core XLPE insulated unarmoured Al. Conductor cable</t>
  </si>
  <si>
    <t>150 Sqmm Single core XLPE insulated unarmoured Al. Conductor cable</t>
  </si>
  <si>
    <t>7131950063801</t>
  </si>
  <si>
    <t>7131950105901</t>
  </si>
  <si>
    <t>7131950200001</t>
  </si>
  <si>
    <t>Labour charges as per Sch. CL-10(B)</t>
  </si>
  <si>
    <t xml:space="preserve">Transportation charges @ 4% for all other materials except DT upto 200 kVA capacity </t>
  </si>
  <si>
    <t>Overhead Charges @ 12.5% [Market Fluctuation, Service Tax, Contractor's profit etc.] on Row - 17, 19, 20, 21, 22, 23</t>
  </si>
  <si>
    <t>Total Estimated Cost excluding GST (Row 18, 19, 20, 21, 22, 23, 24)</t>
  </si>
  <si>
    <t>Cost of X-mer (Cost of X-mer to be taken at the time of procurement i.e before 10 years)</t>
  </si>
  <si>
    <t>(i) 25 kVA ( 3 Star )</t>
  </si>
  <si>
    <t>(ii) 63 kVA ( 3 Star )</t>
  </si>
  <si>
    <t>(iii) 100 kVA ( 3 Star )</t>
  </si>
  <si>
    <t>(-) 10% Irreducible cost</t>
  </si>
  <si>
    <t xml:space="preserve">(-) 10 year life @ 4% per year </t>
  </si>
  <si>
    <t>Depreciated cost of X-mer after addition to 10% irreducible cost</t>
  </si>
  <si>
    <t>(-) Cost of old X-mer assuming 25 years of life &amp; 10 years in service</t>
  </si>
  <si>
    <t>Net cost of augmentation</t>
  </si>
  <si>
    <t>Net cost of augmentation (R/Off)</t>
  </si>
  <si>
    <t>ISI Marked Energy Efficiency level-2 transformer</t>
  </si>
  <si>
    <t>COST SCHEDULE  A-4</t>
  </si>
  <si>
    <t>1 KM OF 33 kV LINE ON 37.1 KG / MTR 13 M. LONG H-BEAM SUSPENSION TYPE WITH PANTHER CONDUCTOR  (WITH MAXIMUM SPAN OF 50 METERS)</t>
  </si>
  <si>
    <t xml:space="preserve">PARTICULARS </t>
  </si>
  <si>
    <t xml:space="preserve">H-Beam 152x152 mm 37.1 Kg/Mtr 13 M long (482.30 Kg) x 20 No = 9646 Kgs </t>
  </si>
  <si>
    <t>9646</t>
  </si>
  <si>
    <t>DC Cross arm (100x50 mm) Channel 2.4 Mtr. (1.5 X 20 = 30)</t>
  </si>
  <si>
    <t xml:space="preserve">33 kV Suspension Hardware suitable for Panther Conductor (3x20=60)     </t>
  </si>
  <si>
    <t>33 kV Polymer Disc Insulator (9x20=180)</t>
  </si>
  <si>
    <t xml:space="preserve"> ACSR  Panther Conductor with 5% sag  </t>
  </si>
  <si>
    <t xml:space="preserve">Jointing Sleeves suitable for Panther conductor  </t>
  </si>
  <si>
    <t xml:space="preserve">Stay Set 20 mm Complete  </t>
  </si>
  <si>
    <t>Stay Wire 7/8 SWG @ 8.5 Kg/Stay</t>
  </si>
  <si>
    <t>Concreting of H-Beam Supports @ 0.6 Cmt. Per Pole; @ 0.05 Cmt. per Pole for base Padding &amp; @ 0.3 Cmt. Per stay  (1:3:6)</t>
  </si>
  <si>
    <r>
      <t xml:space="preserve">Binding Wire &amp; Tape     </t>
    </r>
    <r>
      <rPr>
        <sz val="14"/>
        <rFont val="Arial"/>
        <family val="2"/>
      </rPr>
      <t xml:space="preserve"> </t>
    </r>
    <r>
      <rPr>
        <sz val="10"/>
        <rFont val="Arial"/>
        <family val="2"/>
      </rPr>
      <t xml:space="preserve">  </t>
    </r>
  </si>
  <si>
    <t xml:space="preserve">MS Angle 65x65x6 for Tie </t>
  </si>
  <si>
    <t>Guarding 33 kV for single span</t>
  </si>
  <si>
    <t>(i) G.I. Wire 6 SWG</t>
  </si>
  <si>
    <t>(iii) 33 kV Guarding Channel</t>
  </si>
  <si>
    <t>(iv) M.S Nut &amp; Bolt 16x250 mm.</t>
  </si>
  <si>
    <t>(vii) Stay Wire 7/8 SWG &amp; 8.5 Kg. Stay</t>
  </si>
  <si>
    <t>(viii) Stay Clamp for "H" Beam</t>
  </si>
  <si>
    <t>(ix) MS Nut &amp; Bolt 16x90 mm</t>
  </si>
  <si>
    <t xml:space="preserve">Labour Charges per Km as per Schedule - AL-4  </t>
  </si>
  <si>
    <t>Transportation charges @ 4% on Column no. 22</t>
  </si>
  <si>
    <t>Overhead Charges @ 12.5% [Market Fluctuation, Service Tax, Contractor's profit etc.] on Row - 21, 23, 24, 25, 26</t>
  </si>
  <si>
    <t>Total Estimated Cost excluding GST (Row 22, 23, 24, 25, 26, 27)</t>
  </si>
  <si>
    <r>
      <t xml:space="preserve">                              </t>
    </r>
    <r>
      <rPr>
        <b/>
        <u/>
        <sz val="14"/>
        <rFont val="Arial"/>
        <family val="2"/>
      </rPr>
      <t>COST SCHEDULE   A-6</t>
    </r>
  </si>
  <si>
    <r>
      <t xml:space="preserve">SCHEDULE FOR 33 kV UNDERGROUND CABLE CROSSING UNDER </t>
    </r>
    <r>
      <rPr>
        <b/>
        <u/>
        <sz val="12"/>
        <color indexed="14"/>
        <rFont val="Arial"/>
        <family val="2"/>
      </rPr>
      <t>EXISTING</t>
    </r>
    <r>
      <rPr>
        <b/>
        <u/>
        <sz val="12"/>
        <rFont val="Arial"/>
        <family val="2"/>
      </rPr>
      <t xml:space="preserve"> RAILWAY TRACK / ROAD FOR </t>
    </r>
    <r>
      <rPr>
        <b/>
        <u/>
        <sz val="12"/>
        <color indexed="10"/>
        <rFont val="Arial"/>
        <family val="2"/>
      </rPr>
      <t>60</t>
    </r>
    <r>
      <rPr>
        <b/>
        <u/>
        <sz val="12"/>
        <rFont val="Arial"/>
        <family val="2"/>
      </rPr>
      <t xml:space="preserve"> MTR. LONG RAIL / ROAD CORRIDOR / ROUTE LENGTH OF HDPE PIPE, UNDER 2.5 MTR. DEEP FROM GROUND LEVEL SINGLE FEEDER LINE.</t>
    </r>
  </si>
  <si>
    <t>Using HDD Technique (for Railway works) on 3x400 sq.mm AB XLPE Cable</t>
  </si>
  <si>
    <t>Using HDD Technique (for Road crossing works) on 3x400 sq.mm AB XLPE Cable</t>
  </si>
  <si>
    <t>HDPE Pipe 200 mm ID; 240 mm OD; 6 Mtr long</t>
  </si>
  <si>
    <t xml:space="preserve">Jointing arrangement of HDPE Pipe </t>
  </si>
  <si>
    <t>33 kV XLPE 400 sqmm 3 core UG Cable</t>
  </si>
  <si>
    <t>GI pipe 200 mm for cable support at D.P.</t>
  </si>
  <si>
    <t>Caping of HDPE Pipe on both end of pipe using circular PVC plate of thickness 10 mm of size equivalent to O.D. of HDPE Pipe and using M-seal to avoid ingrace of moisture, insects, rats etc. to avoid damage to cable.</t>
  </si>
  <si>
    <t>M.S.Flat (50x6) mm</t>
  </si>
  <si>
    <t xml:space="preserve">Supplying &amp; erection of cement cable route marker with colour painting &amp; naming the work duly embossed complete size of concrete 600 mm x 225 mm x 100 mm </t>
  </si>
  <si>
    <t xml:space="preserve">Cable covering tiles 250x250x40 mm </t>
  </si>
  <si>
    <t>Sand</t>
  </si>
  <si>
    <t>Aluminium conductor Raccoon for jumpering of L.A.</t>
  </si>
  <si>
    <t>Aluminium clamp suitable for Dog / Raccoon conductor for connecting L.A</t>
  </si>
  <si>
    <r>
      <t xml:space="preserve">GI earthing pipe 40 mm dia 3.0 mtr long, 4 mm thick with 12 mm holes at 18 places in each pipe at equal distance tapered casing at lower end. </t>
    </r>
    <r>
      <rPr>
        <sz val="14"/>
        <rFont val="Arial"/>
        <family val="2"/>
      </rPr>
      <t>*</t>
    </r>
  </si>
  <si>
    <t>T-clamp for lightning arrestor</t>
  </si>
  <si>
    <t>Bi-metallic clamp for earthing</t>
  </si>
  <si>
    <t>Bhatta bricks for manufacturing of 2 Nos. chambers at both end</t>
  </si>
  <si>
    <t>Sundries for meeting out the expenses towards processing fees, submission / approval of drawing using AutoCAD obtaining permission, from railway authorities including liaisoning work etc.</t>
  </si>
  <si>
    <t xml:space="preserve">Service in lieu of Earthing Coal &amp; Sand etc </t>
  </si>
  <si>
    <t>Labour Charges (using HDD Technique **) as per Schedule AL-5</t>
  </si>
  <si>
    <t xml:space="preserve">Labour Charges for excavation of cable trench beyond the length of HDPE Pipe upto DP Structure &amp; for manufacturing of chamber </t>
  </si>
  <si>
    <t>CMT</t>
  </si>
  <si>
    <t>Charges payable to Railway including supervision charges etc. [15% of Col. 28]</t>
  </si>
  <si>
    <t>Municipality Charges payable to Local bodies as per Demand note</t>
  </si>
  <si>
    <t xml:space="preserve">Total Estimated Cost including GST [for Col. 07 = Row 28+29+30+31] &amp; [for Col. 08 = Row 28+29+30+32] </t>
  </si>
  <si>
    <t>4 Nos earthings are required for cable &amp; 6 Nos. for 2 DP's</t>
  </si>
  <si>
    <t>**</t>
  </si>
  <si>
    <t>Horizontal Directional Drilling (HDD) Technique</t>
  </si>
  <si>
    <t xml:space="preserve">This schedule is prepared for 60 Mtr Corridor of Railway / Road crossing. Estimate may be framed as per actual site conditions and actual width of the rail / road corridor. </t>
  </si>
  <si>
    <t>***</t>
  </si>
  <si>
    <t>The charges to be paid for according railway permission shall be made as per actuals i.e. based on the demand note / payment received for the same.</t>
  </si>
  <si>
    <r>
      <t xml:space="preserve">                              </t>
    </r>
    <r>
      <rPr>
        <b/>
        <u/>
        <sz val="14"/>
        <rFont val="Arial"/>
        <family val="2"/>
      </rPr>
      <t>COST SCHEDULE   A-10</t>
    </r>
  </si>
  <si>
    <r>
      <t xml:space="preserve">SCHEDULE FOR 33 kV UNDERGROUND CABLE CROSSING UNDER RAILWAY TRACK / ROAD FOR </t>
    </r>
    <r>
      <rPr>
        <b/>
        <u/>
        <sz val="12"/>
        <color indexed="10"/>
        <rFont val="Arial"/>
        <family val="2"/>
      </rPr>
      <t>60</t>
    </r>
    <r>
      <rPr>
        <b/>
        <u/>
        <sz val="12"/>
        <rFont val="Arial"/>
        <family val="2"/>
      </rPr>
      <t xml:space="preserve"> MTR. LONG CORRIDOR / ROUTE LENGTH OF HDPE PIPE, UNDER 2.5 MTR. DEEP FROM GROUND LEVEL SINGLE FEEDER LINE USING OPEN TRENCH METHOD.</t>
    </r>
  </si>
  <si>
    <t>3x240 sq.mm AB XLPE Cable</t>
  </si>
  <si>
    <t>3x400 sq.mm AB XLPE Cable</t>
  </si>
  <si>
    <t>33 kV XLPE 240 sqmm 3 core UG Cable</t>
  </si>
  <si>
    <t>Sundries for meeting out the expenses towards processing fees, submission / approval of drawing using AutoCAD obtaining permission, from railway / Road constructing authorities including liaisoning work etc.</t>
  </si>
  <si>
    <t>Labour Charges as per Schedule - AL-6</t>
  </si>
  <si>
    <t>Overhead Charges @ 12.5% [Market Fluctuation, Service Tax, Contractor's profit etc.] on Row - 22, 24, 25, 26, 27</t>
  </si>
  <si>
    <t>Total Estimated Cost excluding GST (Row 23, 24, 25, 26, 27, 28)</t>
  </si>
  <si>
    <t xml:space="preserve">Charges payable to Railway including supervision charges etc. </t>
  </si>
  <si>
    <t>Total Estimated Cost including GST (Row 29+30+31+32)</t>
  </si>
  <si>
    <t xml:space="preserve">The rates mentioned at S.No.1, 2, 3 &amp; 4  are applicable for 60 Mtr Corridor of Railway crossing. Estimate may be prepared based on actual length of corridor. </t>
  </si>
  <si>
    <t>The charges to be paid for according railway permisssion shall be made as per actuals i.e. based on the demand note / payment received for the same.</t>
  </si>
  <si>
    <r>
      <t xml:space="preserve">                              </t>
    </r>
    <r>
      <rPr>
        <b/>
        <u/>
        <sz val="14"/>
        <rFont val="Arial"/>
        <family val="2"/>
      </rPr>
      <t>COST SCHEDULE   A-11</t>
    </r>
  </si>
  <si>
    <t>SCHEDULE FOR LAYING OF 1 kM 33 kV CABLE DIRECT IN GROUND SINGLE CABLE LINE USING OPEN TRENCH METHOD</t>
  </si>
  <si>
    <t>Straight through heat shrinkable cable jointing kit with lugs for 3 core 120- 240 sq mm Underground XLPE cable</t>
  </si>
  <si>
    <t>Straight through heat shrinkable cable jointing kit with lugs for 3 core 300- 400 sq mm Underground XLPE cable</t>
  </si>
  <si>
    <t>G.I. Wire 8 SWG (for earthing connect to LA &amp; cable)</t>
  </si>
  <si>
    <t>River Sand (For 10 cm. base &amp; 10 cm. filling of trench above cable &amp; then cable covering tiles over complete length of trench)</t>
  </si>
  <si>
    <t>33 kV Polymer Lightning Arrestors</t>
  </si>
  <si>
    <t>Aluminium T-clamp suitable for Dog / Raccoon conductor for connecting L.A.</t>
  </si>
  <si>
    <t>GI earthing pipe 40 mm dia 3.0 mtr long, 4 mm thick with 12 mm holes at 18 places in each pipe at equal distance tapered casing at lower end.</t>
  </si>
  <si>
    <t>M.S. Nuts &amp; Bolts</t>
  </si>
  <si>
    <t>Fill the appropriate Bin Code</t>
  </si>
  <si>
    <t>Sundries for meeting out the expenses towards processing fees, submission / approval of drawing using AutoCAD obtaining permission, from Road constructing authorities including liaisoning work etc. [ To be provisioned as per actual requirement ]</t>
  </si>
  <si>
    <t>Labour Charges  as per Schedule  AL-11</t>
  </si>
  <si>
    <t>Overhead Charges @ 12.5% [Market Fluctuation, Service Tax, Contractor's profit etc.] on Row - 20, 22, 23, 24, 25</t>
  </si>
  <si>
    <t>Total Estimated Cost excluding GST (Row 21, 22, 23, 24, 25, 26)</t>
  </si>
  <si>
    <t xml:space="preserve">Charges payable to Nagar Nigam / Nagar Palika / Nagar Panchayat / Gram Panchayat including supervision charges etc. </t>
  </si>
  <si>
    <t>Total Estimated Cost including GST (Row 27+28+29+30)</t>
  </si>
  <si>
    <t>(a)</t>
  </si>
  <si>
    <t>Cable and accessories size can be replaced as per actual requirement</t>
  </si>
  <si>
    <t xml:space="preserve">(b) </t>
  </si>
  <si>
    <t>When multiple cables have to be laid in the common trench, the following excavation is to be followed-- (i) 1.0 Mtr width x 1.5 Mtr depth for laying of 02 cables; (ii)  1.25 Mtr width x 1.5 Mtr depth for laying of 03 cables; (iii)  1.5 Mtr width x 1.5 Mtr depth for laying of 04 cables and so on.</t>
  </si>
  <si>
    <t>(c)</t>
  </si>
  <si>
    <t>Between two cables, fly ash brick is to be provided as separator</t>
  </si>
  <si>
    <t xml:space="preserve">(d) </t>
  </si>
  <si>
    <t>All other items are to be changed as per size of trench and number of cables in a trench.</t>
  </si>
  <si>
    <t>COST SCHEDULE  C-11</t>
  </si>
  <si>
    <t>11/0.4 kV OUT DOOR SUB-STATION (16 kVA TRANSFORMER)</t>
  </si>
  <si>
    <t>16 kVA, 11/.4 kV X' MER</t>
  </si>
  <si>
    <t>Transformer 11/0.4 kV (Energy efficient) 16 kVA (LEVEL-1) * Aluminium Wound</t>
  </si>
  <si>
    <t>140 Kg 8.0 Mtr. long PCC Pole</t>
  </si>
  <si>
    <t>DC Cross arm of 100x50x6 mm 8' Center 2.7 Mtr. long</t>
  </si>
  <si>
    <t>11 kV Strain H/W</t>
  </si>
  <si>
    <t>11 kV D.O. Fuse &amp; LA mounting DC Cross arm (75x40 mm)</t>
  </si>
  <si>
    <t>PCC Pole Clamp for fixing of Channels</t>
  </si>
  <si>
    <t>Concreting of supports @ 0.3 Cmt/pole &amp; @ 0.2 Cmt/Stay &amp; base pad @ 0.05 Cmt/pole (1:3:6)</t>
  </si>
  <si>
    <t>Transformer belting with 50x50x6 mm angle with 2 Cross fixing channel.</t>
  </si>
  <si>
    <t xml:space="preserve">TPN switch fuse unit (32 Amps) </t>
  </si>
  <si>
    <t>16 Sqmm single core PVC insulated Cable</t>
  </si>
  <si>
    <t>LT CT 50/5 Amp.</t>
  </si>
  <si>
    <t>Meter Box (GI plain sheet) for 3 Phase LT CT operated meter.</t>
  </si>
  <si>
    <t>Copper control cable 4 core 2.5 sq.mm  Unarmoured</t>
  </si>
  <si>
    <t>Overhead Charges @ 12.5% [Market Fluctuation, Service Tax, Contractor's profit etc.] on Row - 27, 29, 30, 31, 32, 33, 34, 35</t>
  </si>
  <si>
    <t>Total Estimated Cost excluding GST (Row 28, 29, 30, 31, 32, 33, 34, 35, 36)</t>
  </si>
  <si>
    <t>Note:  (1)  All the rates are with considering price variation clause.</t>
  </si>
  <si>
    <r>
      <t xml:space="preserve">                                                               </t>
    </r>
    <r>
      <rPr>
        <b/>
        <u/>
        <sz val="14"/>
        <rFont val="Arial"/>
        <family val="2"/>
      </rPr>
      <t>COST SCHEDULE  C-13</t>
    </r>
  </si>
  <si>
    <t>SINGLE  POLE  MOUNTED  LOW  CAPACITY  THREE  PHASE  11/0.4  kV  DISTRIBUTION  TRANSFORMER SUB-STATION</t>
  </si>
  <si>
    <t>16 kVA Three Phase</t>
  </si>
  <si>
    <t>11 kV 'V' Cross arm with clamp (instead of DC Cross arm)</t>
  </si>
  <si>
    <t>11 kV Top clamp with cleat</t>
  </si>
  <si>
    <t>11 kV Strain Hardware</t>
  </si>
  <si>
    <t xml:space="preserve">11 kV D.O. Fuse and L.A. mounting DC channel size 75x40x6 mm length 860 mm  </t>
  </si>
  <si>
    <t>11 kV D.O. Fuse unit for Three phase X-mer</t>
  </si>
  <si>
    <t>MS angle for transformer clamping set size 50x50x6 mm</t>
  </si>
  <si>
    <t xml:space="preserve">(ii) Stay wire 7/10 SWG @ 5.5 Kg per stay </t>
  </si>
  <si>
    <t xml:space="preserve">(iii) Stay clamp </t>
  </si>
  <si>
    <t>Concreting of supports @ 0.5 Cmt per pole and @ 0.2 Cmt per stay &amp; base padding @ 0.05 Cmt/pole (1:3:6)</t>
  </si>
  <si>
    <t>Earthing set (pipe earth as per drawing)</t>
  </si>
  <si>
    <t xml:space="preserve">(i) G.I. Pipe 40 mm </t>
  </si>
  <si>
    <t xml:space="preserve">(i) 16x40 mm   </t>
  </si>
  <si>
    <t>(ii) 16x65 mm</t>
  </si>
  <si>
    <t>(iii) 16x140 mm</t>
  </si>
  <si>
    <t>(iv) 16x200 mm</t>
  </si>
  <si>
    <t>TPN switch fuse unit (32 Amps)</t>
  </si>
  <si>
    <t>XLPE insulated 4 core 16 sq mm armoured cable for 3 phase X-mer</t>
  </si>
  <si>
    <t xml:space="preserve">LT Feeder Piller box 1 phase 8 Way for distribution of service connection  </t>
  </si>
  <si>
    <t>Back filling of poles with boulders @  0.3 Cmt per pole.</t>
  </si>
  <si>
    <t>Labour charges as per Schedule No. CL-8 (G-1)</t>
  </si>
  <si>
    <t>Transportation charges @ 4% for all other materials except DT upto 200 kVA capacity</t>
  </si>
  <si>
    <t>Overhead Charges @ 12.5% [Market Fluctuation, Service Tax, Contractor's profit etc.] on Row - 25, 27, 28, 29, 30, 31, 32</t>
  </si>
  <si>
    <t>Total Estimated Cost excluding GST (Row 26, 27, 28, 29, 30, 31, 32, 33)</t>
  </si>
  <si>
    <t>Applicable CGST @ 9% on Row 34</t>
  </si>
  <si>
    <t>Applicable SGST @ 9% on Row 34</t>
  </si>
  <si>
    <t>Total Estimated Cost including GST (Row 34+35+36)</t>
  </si>
  <si>
    <t>COST  SCHEDULE  C-14</t>
  </si>
  <si>
    <t>PLINTH MOUNTED 11/0.4 kV OUTDOOR SUB-STATION</t>
  </si>
  <si>
    <t>63 kVA X-MER</t>
  </si>
  <si>
    <t>100 kVA X-MER</t>
  </si>
  <si>
    <t>200 kVA X-MER</t>
  </si>
  <si>
    <t xml:space="preserve">RS Joist (175X85) mm 11 Mtr Long i.e. 19.495 Kg/mtr x 11 mtr. = 214.44 kg x 2 No = 428.89 Kgs </t>
  </si>
  <si>
    <t xml:space="preserve">H-BEAM 152x152 mm 37.1 Kg /Mtr 13.0 Mtr long i.e. 482.3 Kg/pole x 2 Nos = 964.6 Kgs  </t>
  </si>
  <si>
    <t xml:space="preserve">Transformer 11/0.4 kV (Energy efficient) </t>
  </si>
  <si>
    <t>63 kVA  (LEVEL-1)  *</t>
  </si>
  <si>
    <t>100 kVA  (LEVEL-1)  *</t>
  </si>
  <si>
    <t>200 kVA  (LEVEL-1)  *</t>
  </si>
  <si>
    <t>DC Cross arm 100x50 mm 8' Centre</t>
  </si>
  <si>
    <t>11 kV DO fuse &amp; LA mounting DC cross arm (75 x 40 mm)</t>
  </si>
  <si>
    <t>11 kV DO Fuse Unit</t>
  </si>
  <si>
    <t>M.S. Angle 50x50x6 mm</t>
  </si>
  <si>
    <t>RS Joist Clamp for fixing of channel</t>
  </si>
  <si>
    <t>H-Beam pole clamp for fixing of channel</t>
  </si>
  <si>
    <t>(ii) Stay wire 7/10 SWG (7.5 Kg each)</t>
  </si>
  <si>
    <t>(iii) Stay clamp for R.S.Joist</t>
  </si>
  <si>
    <t>(iv) Stay clamp for H-Beam</t>
  </si>
  <si>
    <t>Concreting of support [0.3 Cmt per RSJ, 0.6 Cmt per H-Beam, 0.2 Cmt per stay, base padding @ 0.05 Cmt per pole, 9 cub.m. (1.5x1.5x4 m) for  X-mer plinth] (1:3:6)</t>
  </si>
  <si>
    <r>
      <t xml:space="preserve">Material cost including GST and labour.                </t>
    </r>
    <r>
      <rPr>
        <b/>
        <sz val="10"/>
        <rFont val="Arial"/>
        <family val="2"/>
      </rPr>
      <t>NAME CHANGED.</t>
    </r>
  </si>
  <si>
    <t>Earthing set pipe carth</t>
  </si>
  <si>
    <t>(i) G.I. Pipe 40 mm</t>
  </si>
  <si>
    <t xml:space="preserve">16x40 mm </t>
  </si>
  <si>
    <t>150 sqmm</t>
  </si>
  <si>
    <t>300 sqmm</t>
  </si>
  <si>
    <t>LT Distribution Box for X-mer</t>
  </si>
  <si>
    <t>Stay Clamp for (i) R.S.Joist 175x85 mm</t>
  </si>
  <si>
    <t>(ii) Stay clamp for H-Beam</t>
  </si>
  <si>
    <t>11 kV AB Switch</t>
  </si>
  <si>
    <t>ACSR Conductor Rabbit</t>
  </si>
  <si>
    <t>Labour Charges as per Sch. CL-9.</t>
  </si>
  <si>
    <t xml:space="preserve">Transportation charges @ 4% for all other materials except DT upto 200 kVA capacity  </t>
  </si>
  <si>
    <t>Overhead Charges @ 12.5% [Market Fluctuation, Service Tax, Contractor's profit etc.] on Row - 25, 27, 28, 29, 30, 31</t>
  </si>
  <si>
    <t>Total Estimated Cost excluding GST (Row 26, 27, 28, 29, 30, 31, 32)</t>
  </si>
  <si>
    <t>Applicable CGST @ 9% on Row 33</t>
  </si>
  <si>
    <t>Applicable SGST @ 9% on Row 33</t>
  </si>
  <si>
    <t>Total Estimated Cost including GST (Row 33+34+35)</t>
  </si>
  <si>
    <t>COST SCHEDULE   C-12</t>
  </si>
  <si>
    <r>
      <t xml:space="preserve">SCHEDULE FOR 11 kV UNDERGROUND CABLE CROSSING UNDER </t>
    </r>
    <r>
      <rPr>
        <b/>
        <u/>
        <sz val="12"/>
        <color indexed="14"/>
        <rFont val="Arial"/>
        <family val="2"/>
      </rPr>
      <t>EXISTING</t>
    </r>
    <r>
      <rPr>
        <b/>
        <u/>
        <sz val="12"/>
        <rFont val="Arial"/>
        <family val="2"/>
      </rPr>
      <t xml:space="preserve"> RAILWAY TRACK / ROAD FOR </t>
    </r>
    <r>
      <rPr>
        <b/>
        <u/>
        <sz val="12"/>
        <color indexed="10"/>
        <rFont val="Arial"/>
        <family val="2"/>
      </rPr>
      <t>60</t>
    </r>
    <r>
      <rPr>
        <b/>
        <u/>
        <sz val="12"/>
        <rFont val="Arial"/>
        <family val="2"/>
      </rPr>
      <t xml:space="preserve"> MTR. LONG RAIL / ROAD CORRIDOR / ROUTE LENGTH OF HDPE PIPE, UNDER 2.5 MTR. DEEP FROM GROUND LEVEL SINGLE FEEDER LINE.</t>
    </r>
  </si>
  <si>
    <t>Using HDD Technique (for Railway works) on 3x240 sq.mm UG XLPE Cable</t>
  </si>
  <si>
    <t>Using HDD Technique (for Road crossing works) on 3x240 sq.mm UG XLPE Cable</t>
  </si>
  <si>
    <t>11 kV XLPE 240 sqmm 3 core UG Cable</t>
  </si>
  <si>
    <t>End terminating jointing kit for 240 sqmm XLPE cable</t>
  </si>
  <si>
    <t>Sundries for meeting out the expenses towards processing fees, submission / approval of drawing using AutoCAD obtaining permission, from Railway authorities including liaisoning work etc.</t>
  </si>
  <si>
    <t>Labour Charges for laying of HDPE Pipe (using HDD Technique ** ) as per Labour Schedule CL-12</t>
  </si>
  <si>
    <t>Labour Charges for excavation of cable trench beyond the length of HDPE Pipe upto DP Structure &amp; chamber</t>
  </si>
  <si>
    <t>(20 Mx1 Mx0.6 M)</t>
  </si>
  <si>
    <t>Transportation charges @ 4% on Column no. 20</t>
  </si>
  <si>
    <t>Total Estimated Cost per 60 Mtr including GST --</t>
  </si>
  <si>
    <t>For Railway works - Row - 27, 28, 29, 30</t>
  </si>
  <si>
    <t>For Road crossing works - Row - 27, 28, 29, 31</t>
  </si>
  <si>
    <t xml:space="preserve">Total Estimated Cost per 60 Mtr including GST (Rounded off) </t>
  </si>
  <si>
    <t xml:space="preserve">The rates mentioned at S.No.1, 2 &amp; 3  are applicable for 60 Mtr Corridor of Railway crossing. Estimate may be prepared based on actual length of corridor. </t>
  </si>
  <si>
    <r>
      <t xml:space="preserve">                              </t>
    </r>
    <r>
      <rPr>
        <b/>
        <u/>
        <sz val="14"/>
        <rFont val="Arial"/>
        <family val="2"/>
      </rPr>
      <t>COST SCHEDULE   C-15</t>
    </r>
  </si>
  <si>
    <t>SCHEDULE FOR LAYING OF 1 kM 11 kV CABLE DIRECT IN GROUND SINGLE CABLE LINE USING OPEN TRENCH METHOD</t>
  </si>
  <si>
    <t>3x95 sq.mm AB XLPE Cable</t>
  </si>
  <si>
    <t>11 kV XLPE 95 sqmm 3 core UG Cable</t>
  </si>
  <si>
    <t>Straight through heat shrinkable cable jointing kit with lugs for 3 core 95 sq.mm., 11 kV Underground XLPE cable</t>
  </si>
  <si>
    <t>Straight through heat shrinkable cable jointing kit with lugs for 3 Core 240 sq.mm., 11 kV Underground XLPE cable</t>
  </si>
  <si>
    <t>End terminating jointing kit upto 95 sqmm XLPE cable</t>
  </si>
  <si>
    <t>G.I.Wire 8 SWG (for earthing connect to LA &amp; cable)</t>
  </si>
  <si>
    <t xml:space="preserve">GI earthing pipe 40 mm dia 3.0 mtr long, 4 mm thick with 12 mm holes at 18 places in each pipe at equal distance tapered casing at lower end. </t>
  </si>
  <si>
    <t>Labour Charges  as per Schedule CL-15</t>
  </si>
  <si>
    <t>When multiple cables have to be laid in the common trench, the following excavation is to be followed-- (i) 0.75 Mtr width x 1.2 Mtr depth for laying of 02 cables; (ii)  1.0 Mtr width x 1.2 Mtr depth for laying of 03 cables; (iii)  1.25 Mtr width x 1.2 Mtr depth for laying of 04 cables and so on.</t>
  </si>
  <si>
    <t>COST SCHEDULE  C-19</t>
  </si>
  <si>
    <t>SCHEDULE  FOR  INSTALLATION OF COMPACT  R.M.U. 11 kV CLASS SF6 / VCB TYPE (1 INCOMING + 2 BREAKER + 1 OUTGOING)</t>
  </si>
  <si>
    <t>S.  No.</t>
  </si>
  <si>
    <t>RMU (4 Way), One Incoming + Two Breakers + One Outgoing (2OD + 2 VL), 350 MVA, 650 Amps.</t>
  </si>
  <si>
    <t xml:space="preserve">Concreting of RMU Bed with CC 1:3:6 as per Labour Charges </t>
  </si>
  <si>
    <t xml:space="preserve">Concreting of Foundation with Reinforcement CC 1:3:6 as per Labour Charges </t>
  </si>
  <si>
    <t xml:space="preserve">M.S.Strip 25 x 3 mm for earthing (of length 2 x 5 = 10 Mtr.) </t>
  </si>
  <si>
    <t>GI earthing pipe of 40 mm dia 3.04 mtr long with 12 mm hole at 18 places at equal distance trapered casing at lower end .</t>
  </si>
  <si>
    <t>Labour Charges as per Sch. CL-11.</t>
  </si>
  <si>
    <t xml:space="preserve">Transportation charges @ 4% on Column no. 06 </t>
  </si>
  <si>
    <t>Overhead Charges @ 12.5% [Market Fluctuation, Service Tax, Contractor's profit etc.] on Row - 05, 07, 08, 09, 10</t>
  </si>
  <si>
    <t>Total Estimated Cost excluding GST (Row 06, 07, 08, 09, 10, 11)</t>
  </si>
  <si>
    <t>Applicable CGST @ 9% on Row 12</t>
  </si>
  <si>
    <t>Applicable SGST @ 9% on Row 12</t>
  </si>
  <si>
    <t>Total Estimated Cost including GST (Row 12+13+14)</t>
  </si>
  <si>
    <t>COST SCHEDULE   A-7</t>
  </si>
  <si>
    <t>SCHEDULE FOR  LAST SPAN CABLING OF  33 kV  H.T. CONNECTION</t>
  </si>
  <si>
    <t>Bin Code No.</t>
  </si>
  <si>
    <t>Using 152x152 mm 37.1 Kg/Mtr 13 M (482.30 Kg) long H-Beam</t>
  </si>
  <si>
    <t>3x185 sq.mm AB XLPE Cable</t>
  </si>
  <si>
    <t>3x185 sq.mm 33 kV AB XLPE Cable</t>
  </si>
  <si>
    <t>3x240 sq.mm 33 kV AB XLPE Cable</t>
  </si>
  <si>
    <r>
      <t xml:space="preserve">33 kV Termination Kit for 3x185 sqmm AB XLPE Cable  </t>
    </r>
    <r>
      <rPr>
        <sz val="14"/>
        <rFont val="Arial"/>
        <family val="2"/>
      </rPr>
      <t>*</t>
    </r>
  </si>
  <si>
    <r>
      <t xml:space="preserve">33 kV Termination Kit for 3x240 sqmm AB XLPE Cable  </t>
    </r>
    <r>
      <rPr>
        <sz val="14"/>
        <rFont val="Arial"/>
        <family val="2"/>
      </rPr>
      <t>*</t>
    </r>
  </si>
  <si>
    <t>Earthing Coil 8 SWG GI Wire 50 mm dia 450 m</t>
  </si>
  <si>
    <t>Stay Set 20 mm</t>
  </si>
  <si>
    <t>Stay Wire 7/8 SWG @ 8.5 Kg/Pole</t>
  </si>
  <si>
    <t>Concreting of pole @ 0.6 Cmt per pole; @ 0.05 Cmt per pole for base padding &amp; @ 0.3 Cmt per Stay (1:3:6)</t>
  </si>
  <si>
    <t>M.S. Nuts &amp; Bolts 16x40 mm</t>
  </si>
  <si>
    <t>M.S. Nuts &amp; Bolts 16x65 mm</t>
  </si>
  <si>
    <t>Dead end Assembly (Suitable for all size cable)</t>
  </si>
  <si>
    <t xml:space="preserve">GI earthing pipe of 40 mm dia 3.04 mtr long, 4 mm thickness 12 mm hole at 18 places at equal distance trapered casing at lower end . </t>
  </si>
  <si>
    <t>Labour Charges</t>
  </si>
  <si>
    <t>Overhead Charges @ 12.5% [Market Fluctuation, Service Tax, Contractor's profit etc.] on Row - 21, 23, 24, 25, 26, 27</t>
  </si>
  <si>
    <t>Total Estimated Cost excluding GST (Row 22, 23, 24, 25, 26, 27, 28)</t>
  </si>
  <si>
    <t xml:space="preserve">Note --   Appropriate size of termination kit and 33 kV AB XLPE Cable may be used for S.No 04 and 05 acccording to the load of HT connection. </t>
  </si>
  <si>
    <t>COST SCHEDULE   A-8</t>
  </si>
  <si>
    <t>33 kV MEDP STRUCTURE ON  PCC POLE / H-BEAM POLE (TO BE SUPPLEMENTED FOR H.T. CONNECTION)</t>
  </si>
  <si>
    <t>37.1 Kg / Mtr 13.0 Mtr long H-Beam</t>
  </si>
  <si>
    <t xml:space="preserve">(ii) H-Beam 152x152 mm 37.1 Kg/Mtr; 13 Mtr long (482.3 Kg) / pole x 2 No = 964.6 Kgs </t>
  </si>
  <si>
    <t xml:space="preserve">DC cross arm of 100x50 mm Channel (3.8 Mtr. Long) </t>
  </si>
  <si>
    <t>Concreting of H-Beam supports @ 0.6 Cmt per pole ; @0.5 Cmt. Per 280 kG PCC Pole, @ 0.3 Cmt per stay and @ 0.05 Cmt per pole for base padding for PCC / H-Beam pole (1:3:6)</t>
  </si>
  <si>
    <t>Barbed wire (@ 2 Kg/Pole)</t>
  </si>
  <si>
    <t>GI earthing pipe of 40 mm dia. &amp; 2.4 mm thick 3.04 mtr long with 12 mm hole at 18 places at equal distance trapered casing at lower end .</t>
  </si>
  <si>
    <t>G.I.Bend of 40 mm dia.</t>
  </si>
  <si>
    <t>33 kV CTPT unit of appropriate capacity</t>
  </si>
  <si>
    <t>Copper control cable 10 Core  2.5 Sqmm. (armoured)</t>
  </si>
  <si>
    <t>Item &amp; bin code replaced</t>
  </si>
  <si>
    <t>Bin code changed. Earlier bin code was - 7131310037</t>
  </si>
  <si>
    <t>Transportation charges @ 4% on Column no. 26</t>
  </si>
  <si>
    <t xml:space="preserve">Overhead Charges @ 12.5% [Market Fluctuation, Service Tax, Contractor's profit etc.] on Row - </t>
  </si>
  <si>
    <t>For PCC Pole - Row - 25, 27, 28, 30, 31</t>
  </si>
  <si>
    <t>For H-Beam Pole - Row - 25, 27, 28, 30, 31</t>
  </si>
  <si>
    <t>For PCC Pole - Row - 26, 27, 28, 30, 31, 32(i)</t>
  </si>
  <si>
    <t>For H-Beam Pole - Row - 26, 27, 28, 30, 31, 32(ii)</t>
  </si>
  <si>
    <t>For PCC Pole - Row - 33(i), 34, 35</t>
  </si>
  <si>
    <t>For H-Beam Pole - Row - 33(ii), 34, 35</t>
  </si>
  <si>
    <r>
      <t>Note:-</t>
    </r>
    <r>
      <rPr>
        <b/>
        <sz val="12"/>
        <rFont val="Arial"/>
        <family val="2"/>
      </rPr>
      <t xml:space="preserve">  </t>
    </r>
    <r>
      <rPr>
        <sz val="12"/>
        <rFont val="Arial"/>
        <family val="2"/>
      </rPr>
      <t>1. This Schedule is to be supplemented with Schedule A-1 &amp; A-3.</t>
    </r>
  </si>
  <si>
    <t xml:space="preserve">             2.   All the rates are with considering price variation clause.</t>
  </si>
  <si>
    <t>COST SCHEDULE   A-9</t>
  </si>
  <si>
    <t xml:space="preserve">SCHEDULE FOR  LAST SPAN CABLING OF 33 kV LINE USING COVERED CONDUCTOR OF 70 &amp; 99 SQ.MM SIZE </t>
  </si>
  <si>
    <t>70 sq.mm Covered Conductor</t>
  </si>
  <si>
    <t>99 sq.mm Covered Conductor</t>
  </si>
  <si>
    <t>33 kV Covered conductor 70 sq.mm (207 Amp) (with 3% sag)</t>
  </si>
  <si>
    <t>33 kV Covered conductor 99 sq.mm (258 Amp) (with 3% sag)</t>
  </si>
  <si>
    <t>Tension / anchoring Clamp with tracking protection IPC</t>
  </si>
  <si>
    <t>Concreting of pole @ 0.6 Cmt per pole; @ 0.05 Cmt per pole for base padding &amp; @ 0.3 Cmt per Stay  (1:3:6)</t>
  </si>
  <si>
    <t>Labour Charges as per labour schedule AL-9</t>
  </si>
  <si>
    <t xml:space="preserve">Transportation charges @ 4% on Column no. 24 </t>
  </si>
  <si>
    <t>Overhead Charges @ 12.5% [Market Fluctuation, Service Tax, Contractor's profit etc.] on Row -  23, 25, 26, 27, 28, 29</t>
  </si>
  <si>
    <t>COST SCHEDULE  C-17</t>
  </si>
  <si>
    <t xml:space="preserve">11 kV MEDP STRUCTURE ON H-BEAM POLE, 11 METER LONG (TO BE SUPPLEMENTED FOR H.T. CONNECTION) </t>
  </si>
  <si>
    <t>S.    No.</t>
  </si>
  <si>
    <t>DC Cross Arm of 100x50 mm channel (2.7 Mtr. Long)</t>
  </si>
  <si>
    <t>Concreting of pole @ 0.6 Cmt and 0.2 Cmt per stay and 0.05 Cmt for base padding (1:3:6)</t>
  </si>
  <si>
    <t>Barbed wire [@ 2 Kg/Pole]</t>
  </si>
  <si>
    <t>GI earthing pipe of 40 mm dia. &amp; 2.4 mm thick 3.04 mtr long with 12 mm hole at 18 places at equal distance trapered casing at lower end.</t>
  </si>
  <si>
    <t>11 kV Polymer type Lightning Arrestor</t>
  </si>
  <si>
    <t>11 kV CTPT unit of appropriate capacity</t>
  </si>
  <si>
    <t>H.T. Static Trivector Meter  3 Ø 4 Wire 0.5S, 5 Amp. with DLMS Protocol category A</t>
  </si>
  <si>
    <r>
      <rPr>
        <b/>
        <sz val="10"/>
        <rFont val="Arial"/>
        <family val="2"/>
      </rPr>
      <t>BIN CODE CHANGED.</t>
    </r>
    <r>
      <rPr>
        <sz val="10"/>
        <rFont val="Arial"/>
        <family val="2"/>
      </rPr>
      <t xml:space="preserve"> Old Bin Code - 7131310037</t>
    </r>
  </si>
  <si>
    <t>Transportation charges @ 4% on Column no. 23</t>
  </si>
  <si>
    <t>COST SCHEDULE  C-21</t>
  </si>
  <si>
    <t>SCHEDULE FOR 11 kV CAPACITOR BANK TO BE INSTALLED AT 11 kV LINE  D.P. STRUCTURE</t>
  </si>
  <si>
    <t>140 Kg 8.0 Meter long PCC Pole</t>
  </si>
  <si>
    <t xml:space="preserve">11 kV Polymer Disc insulator </t>
  </si>
  <si>
    <t>11 kV D.O. Fuse and L.A. mounting DC channel size 75x40x6 mm length</t>
  </si>
  <si>
    <t>11 kV D.O. Fuse unit</t>
  </si>
  <si>
    <t>Earthing set (pipe earth as per drawing) - 2 sets</t>
  </si>
  <si>
    <t>Cost per kVAR</t>
  </si>
  <si>
    <t>Sundries (including Board for Safety Instructions)</t>
  </si>
  <si>
    <t>Incidental Charges @ 7.5% on Sub Total -1 : -</t>
  </si>
  <si>
    <t>Back filling of poles with boulders @ 0.3 Cmt per pole.</t>
  </si>
  <si>
    <t>Labour charges as per Schedule No. CL-21</t>
  </si>
  <si>
    <t>Remarks- The schedule is to be prepared based on actual site requirement and  labour / transport charges may be substituted accordingly.</t>
  </si>
  <si>
    <r>
      <t xml:space="preserve">          </t>
    </r>
    <r>
      <rPr>
        <b/>
        <u/>
        <sz val="14"/>
        <rFont val="Arial"/>
        <family val="2"/>
      </rPr>
      <t>COST SCHEDULE -- D-6 (3)</t>
    </r>
  </si>
  <si>
    <t>1  KM  OF  1  PHASE  3  WIRE  LINE  ON  140 KG. PCC  POLE  8 MTR.  LONG  USING  AB  XLPE  CABLE  FOR  RURAL  AREAS  WITH MAXIMUM  SPAN  50  MTRS.</t>
  </si>
  <si>
    <t>140 Kg, 8.0 Mtr. long PCC support Using 1100 V grade AB Cable 1x25 + 1x16 + 1x25 sqmm.</t>
  </si>
  <si>
    <t>140 Kg, 8.0 Mtr long PCC support</t>
  </si>
  <si>
    <t>3(i)</t>
  </si>
  <si>
    <t>Distribution box 1 phase 9 connectors</t>
  </si>
  <si>
    <t xml:space="preserve">Universal distribution connector </t>
  </si>
  <si>
    <t>LT 1 phase 3 Wire AB XLPE Cable 1x25 + 1x16 + 1x25 sqmm. (6% sag)</t>
  </si>
  <si>
    <t>(i) Stay Set 16 mm (Complete)</t>
  </si>
  <si>
    <t>(ii) Stay Wire 7/10 SWG &amp; 6 Kg/Stay</t>
  </si>
  <si>
    <t>Stainless steel strap with buckle for installation of Service Distribution Box.</t>
  </si>
  <si>
    <t>PVC insulated single core 16 sq.mm. cable @ 3 mtr. per 1 phase box</t>
  </si>
  <si>
    <t>Barbed wire [@ 2 kg  per pole]</t>
  </si>
  <si>
    <t>Back filling of pole pit with boulder @ 0.3 Cmt./pole</t>
  </si>
  <si>
    <t>Labour charges as per schedule DL-8</t>
  </si>
  <si>
    <r>
      <t xml:space="preserve">       </t>
    </r>
    <r>
      <rPr>
        <b/>
        <u/>
        <sz val="14"/>
        <rFont val="Arial"/>
        <family val="2"/>
      </rPr>
      <t>COST SCHEDULE -- D-6 (4)</t>
    </r>
  </si>
  <si>
    <t xml:space="preserve">1 Km.  OF  3  PHASE  4  WIRE LT  LINE WITH AERIAL BUNCH CABLE FOR  PUMP CONNECTION UPTO 5 HP &amp; 5 CONNECTION PER KM. WITH MAXIMUM  SPAN  50  MTRS.  </t>
  </si>
  <si>
    <t>Rate (Rs.)</t>
  </si>
  <si>
    <t xml:space="preserve">LT 3 phase 4 Wire Aerial Bunched Cable of Size 3x16 + 1x25 sqmm.  </t>
  </si>
  <si>
    <t>Amt (Rs.)</t>
  </si>
  <si>
    <t>140 Kg., 8.0 Mtrs. long  PCC Poles</t>
  </si>
  <si>
    <t>LT 3 phase 4 Wire Aerial Bunched Cable of Size 3x16 + 1x25 sqmm. (6% sag)</t>
  </si>
  <si>
    <t>5(i)</t>
  </si>
  <si>
    <t>LT Feeder Piller box for 3 phase 8 connection made of M.S.Sheet</t>
  </si>
  <si>
    <t>Concreting of piller box @ 0.5 Cmt per box (1:3:6)</t>
  </si>
  <si>
    <t>Labour charges as per Sch. No.- DL-9</t>
  </si>
  <si>
    <t>Labour charges as per Labour Sch. No. EL-1</t>
  </si>
  <si>
    <t>COST SCHEDULE -- E-2</t>
  </si>
  <si>
    <t>METER MODERNISATION : REPLACING THE EXISTING METERS WITH ELECTRONIC METERS WHICH ARE HIGHLY CAPABLE OF IMPROVING BILLING EFFICIENCY ALONGWITH SHIFTING OF METER OUTSIDE THE PREMISES.</t>
  </si>
  <si>
    <t>SINGLE PHASE CONNECTION</t>
  </si>
  <si>
    <t>Armoured service cable</t>
  </si>
  <si>
    <t>Unarmoured service cable</t>
  </si>
  <si>
    <t>LT Single Phase Static Meter 5-30 Amps. Pilfer Proof with transparent polycarbonate meter box</t>
  </si>
  <si>
    <t>Armoured Service Cable - Single Phase, 2 core- 6 sq mm</t>
  </si>
  <si>
    <t>Unarmoured Service Cable - Single Phase, 2 core- 6 sq mm</t>
  </si>
  <si>
    <t>LT Shackle Insulator 65x50 mm</t>
  </si>
  <si>
    <t>H/W for 65x50 mm Shackle Insulator</t>
  </si>
  <si>
    <t>PVC Insulation Tape</t>
  </si>
  <si>
    <t>Misc Items , e.g., Screw, cut outs</t>
  </si>
  <si>
    <t>Lot</t>
  </si>
  <si>
    <t>M-Seal</t>
  </si>
  <si>
    <t>Labour Charges as per Labour Sch. No. EL-2</t>
  </si>
  <si>
    <t>Per location</t>
  </si>
  <si>
    <t>Transportation charges @ 4% on Column no. 11</t>
  </si>
  <si>
    <t>Overhead Charges @ 12.5% [Market Fluctuation, Service Tax, Contractor's profit etc.] on Row - 10, 12, 13, 14</t>
  </si>
  <si>
    <t>Total Estimated Cost excluding GST (Row 11, 12, 13, 14, 15)</t>
  </si>
  <si>
    <t>Cost for meter replacement of a Single Phase Consumer</t>
  </si>
  <si>
    <t>Cost for meter replacement of a Single Phase Consumer (Round off)</t>
  </si>
  <si>
    <t>COST SCHEDULE -- E-3</t>
  </si>
  <si>
    <t>THREE PHASE CONNECTION</t>
  </si>
  <si>
    <t>LT 3 phase electronic energy meter 10-60 Amps. with poly carbonate meter box</t>
  </si>
  <si>
    <t>Armoured Service Cable - Three Phase, 4 core-10 sq mm</t>
  </si>
  <si>
    <t>Unarmoured Service Cable - Three Phase, 4 core-10 sq mm</t>
  </si>
  <si>
    <t>Nos</t>
  </si>
  <si>
    <t>Misc Items , e.g., Screw, cut-outs</t>
  </si>
  <si>
    <t>Labour Charges as per Labour Sch. No. EL-3</t>
  </si>
  <si>
    <t>Per Installation</t>
  </si>
  <si>
    <t>Cost for meter replacement of a Three Phase Consumer</t>
  </si>
  <si>
    <t>Cost for meter replacement of a Three Phase Consumer (Round Off)</t>
  </si>
  <si>
    <t>No of Consumers for Meter Replacement</t>
  </si>
  <si>
    <t xml:space="preserve">Total Cost </t>
  </si>
  <si>
    <r>
      <t>Total Cost</t>
    </r>
    <r>
      <rPr>
        <b/>
        <sz val="12"/>
        <rFont val="Arial"/>
        <family val="2"/>
      </rPr>
      <t xml:space="preserve"> Round Off</t>
    </r>
  </si>
  <si>
    <t>COST SCHEDULE -- E-4</t>
  </si>
  <si>
    <t>THREE  PHASE  CONNECTION  CT- OPERATED  METERS</t>
  </si>
  <si>
    <t>Labour Charges as per Labour Sch. No. EL-4</t>
  </si>
  <si>
    <t>Cost for meter replacement of Three Phase Consumer CT Operated Meters</t>
  </si>
  <si>
    <t>Cost for meter replacement of 3- Phase Consumer CT Operated Meters (Round Off)</t>
  </si>
  <si>
    <t>COST  SCHEDULE -- E-5</t>
  </si>
  <si>
    <t xml:space="preserve">METER  SHIFTING  OF  SINGLE  PHASE  CONSUMER  TO  OUTSIDE  OF  PREMISES WITH  NEW  SERVICE  CABLE </t>
  </si>
  <si>
    <t xml:space="preserve">Armoured Service Cable - Single Phase, 2 core- 6 sq. mm. </t>
  </si>
  <si>
    <t>Labour Charges as per Labour Sch. No. EL-5</t>
  </si>
  <si>
    <t>Overhead Charges @ 12.5% [Market Fluctuation, Service Tax, Contractor's profit etc.] on Row - 9, 11, 12, 13</t>
  </si>
  <si>
    <t>Total Estimated Cost excluding GST (Row 10, 11, 12, 13, 14)</t>
  </si>
  <si>
    <t>Cost for meter shifting of a Single Phase Consumer</t>
  </si>
  <si>
    <t>Cost for meter shifting of a Single Phase Consumer (Round Off)</t>
  </si>
  <si>
    <t>COST  SCHEDULE -- E-6</t>
  </si>
  <si>
    <t xml:space="preserve">METER  SHIFTING  OF  THREE  PHASE  CONSUMER  TO  OUTSIDE  OF  PREMISES  WITH  NEW SERVICE  CABLE </t>
  </si>
  <si>
    <t xml:space="preserve">Armoured Service Cable - Three Phase, 4 core-10 sq mm </t>
  </si>
  <si>
    <t>Labour Charges as per Labour Sch. No. EL-6</t>
  </si>
  <si>
    <t>Cost for meter shifting of a Three Phase Consumer</t>
  </si>
  <si>
    <t>Cost for meter shifting of a Three Phase Consumer (Round Off)</t>
  </si>
  <si>
    <t>COST SCHEDULE -- D-6 (1)</t>
  </si>
  <si>
    <t>1  KM  OF  3  PHASE  5  WIRE  LINE  ON  140 KG. PCC  POLE  8 MTR.  LONG  USING  AB  XLPE  CABLE  FOR  RURAL  AREAS  WITH MAXIMUM  SPAN  50  MTRS.  AND  R.S. JOIST / H-BEAM  POLE  SUPPORT  USING  AB  XLPE  CABLE  WITH  MAXIMUM  SPAN  50  METER  URBAN  AREA</t>
  </si>
  <si>
    <t>140 Kg, 8.0 Mtr.  long PCC support</t>
  </si>
  <si>
    <t xml:space="preserve">RS Joist (175X85) mm 9.3 Mtr Long i.e. 19.495 kg/mtr x 9.3 mtr=181.30 kg x 20 No =3626.07 Kgs </t>
  </si>
  <si>
    <t xml:space="preserve">H-BEAM 152x152 mm 37.1 Kg/Mtr 9.0 Mtr long i.e. 408.1 Kg/pole x10 Nos= 4081 Kgs  </t>
  </si>
  <si>
    <t>Using 1100 V grade AB Cable 3x25 + 1x16 + 1x25 sqmm.</t>
  </si>
  <si>
    <t xml:space="preserve">RS Joist (175X85) mm 9.3 Mtr Long i.e.19.495 kg/mtr x 9.3 mtr=181.30 kg x 20 No = 3626.07 Kgs </t>
  </si>
  <si>
    <t>(b)</t>
  </si>
  <si>
    <t xml:space="preserve">H-BEAM 152x152 mm 37.1 Kg /Mtr 9.0 Mtr long i.e. 333.9 Kg/pole x 20 Nos = 6678 Kgs  </t>
  </si>
  <si>
    <t>Max. possibility of 5 Nos tapping in per km line</t>
  </si>
  <si>
    <t>LT 3 phase 5 Wire Aerial Bunched Cable of Size 3x25 + 1x16 + 1x25 sqmm.  (6% sag)</t>
  </si>
  <si>
    <t>Concreting of stay &amp; pole @ 0.2 Cmt/stay and @ 0.3 Cmt/pole for RSJ, @ 0.5 Cmt/pole for H-Beam pole and @ 0.05 Cmt per pole for base padding of R.S.Joist / H-Beam pole  i.e. 9.4 Cmt for RSJ &amp; 13.4 Cmt for H-Beam pole (1:3:6)</t>
  </si>
  <si>
    <t>Distribution box 3 phase 5 connectors</t>
  </si>
  <si>
    <t>PVC insulated single core 16 sq.mm. cable @ 6 mtr. per 3 phase box</t>
  </si>
  <si>
    <t>26</t>
  </si>
  <si>
    <t>Labour charges as per Sch. No.- DL-7</t>
  </si>
  <si>
    <t>Note :- All the rates are with considering price variation clause.</t>
  </si>
  <si>
    <t>COST SCHEDULE -- D-6 (2)</t>
  </si>
  <si>
    <t>1  KM  OF  3  PHASE  5  WIRE  LINE  ON  140 KG. PCC  POLE  8 MTR.  LONG  USING  AB  XLPE  CABLE  FOR  RURAL  AREAS  WITH MAXIMUM  SPAN  50  MTRS.  AND  R.S. JOIST/H-BEAM  POLE  SUPPORT  USING  AB  XLPE  CABLE  WITH  MAXIMUM  SPAN  50  METER  URBAN  AREA</t>
  </si>
  <si>
    <t>140 Kg, 8.0 Mtr.  long PCC support Using 1100 V grade AB Cable 3x70 + 1x16 + 1x50 sqmm.</t>
  </si>
  <si>
    <t>RS Joist (175X85) mm 9.3 Mtr Long i.e. 19.495 kg/mtr x 9.3 mtr = 181.30 kg x 20 No = 3626.07 Kgs  Using 1100 V grade AB Cable 3x70 + 1x16 + 1x50 sqmm.</t>
  </si>
  <si>
    <t>H-BEAM 152x152 mm 37.1 Kg/Mtr 9.0 Mtr long i.e. 408.1 Kg/pole x10 Nos = 4081 Kgs   Using 1100 V grade AB Cable 3x70 + 1x16 + 1x50 sqmm.</t>
  </si>
  <si>
    <t>LT 3 phase 5 Wire Aerial Bunched Cable of Size</t>
  </si>
  <si>
    <t xml:space="preserve"> (a)</t>
  </si>
  <si>
    <t>3x70 + 1x16 + 1x50 sqmm. (6% sag)</t>
  </si>
  <si>
    <t>COST SCHEDULE  D-7</t>
  </si>
  <si>
    <t>HVDS  SYSTEM  OF  200 kVA  PARENT   DTR  TAKING  4 Km.  LT.  TO  BE CONVERTED.</t>
  </si>
  <si>
    <t>Bin Code</t>
  </si>
  <si>
    <t>25 kVA TRANSFORMER (LEVEL-1)  * Aluminium Wound</t>
  </si>
  <si>
    <t>16 kVA TRANSFORMER (LEVEL-1) * Aluminium Wound</t>
  </si>
  <si>
    <t>140 Kg 8 Mtr. Long PCC Pole (for mid span)</t>
  </si>
  <si>
    <t>(i) Stay Set 16 mm</t>
  </si>
  <si>
    <t>(ii) Stay Wire 7/10 SWG (5.5 Kg/stay)</t>
  </si>
  <si>
    <t>(iii) Stay Insulator</t>
  </si>
  <si>
    <t>(iv) Stay Clamp for 140 kg PCC</t>
  </si>
  <si>
    <t>Transformer mounting cross arm DC channel 100x50x6 mm. 2.7 mtr long 8' Centre</t>
  </si>
  <si>
    <t>D.O. Mounting Channel</t>
  </si>
  <si>
    <t>DC Channel 100x50x6 mm</t>
  </si>
  <si>
    <t>11 kV Single pole cut point fitting</t>
  </si>
  <si>
    <t xml:space="preserve">11 kV Strain Hardware set </t>
  </si>
  <si>
    <t xml:space="preserve">11 kV Polymer Lightning Arrestor </t>
  </si>
  <si>
    <t>11 kV D.O. Fuse Unit</t>
  </si>
  <si>
    <t>Protection cum metering box with 40 amp. MCCB &amp; 4 No. 3 phase meter.</t>
  </si>
  <si>
    <t>Protection cum metering box with 25 amp. MCCB &amp; 3 No. 3 phase meter.</t>
  </si>
  <si>
    <t xml:space="preserve">35 sqmm single core XLPE cable </t>
  </si>
  <si>
    <t xml:space="preserve"> XLPE insulated 4 core 10 sqmm. armoured cable</t>
  </si>
  <si>
    <t>PVC Insulation tape</t>
  </si>
  <si>
    <t>G.I. Pipe 40 mm (9 Mtr. per sub-station)</t>
  </si>
  <si>
    <t>11 kV 'V' Cross arm</t>
  </si>
  <si>
    <t>11 kV Top Clamp</t>
  </si>
  <si>
    <t>16X200 mm</t>
  </si>
  <si>
    <t>RCC Block (with 6 mm MS Bar) **</t>
  </si>
  <si>
    <t>I- Bolt 16 mm</t>
  </si>
  <si>
    <t>ACSR Weasel conductor for Reconductoring</t>
  </si>
  <si>
    <t>Labour charges [as per Sch. No.- DL-10]</t>
  </si>
  <si>
    <t>Overhead Charges @ 12.5% [Market Fluctuation, Service Tax, Contractor's profit etc.] on Row - 27, 29, 30, 31, 32, 33</t>
  </si>
  <si>
    <t>Total Estimated Cost excluding GST (Row 28, 29, 30, 31, 32, 33, 34)</t>
  </si>
  <si>
    <t>Note: All the rates are considering with price variation clause. Actual returnable material schedule may be prepared separately.</t>
  </si>
  <si>
    <t>COST SCHEDULE   D-8</t>
  </si>
  <si>
    <t>HVDS  SYSTEM  OF 100 kVA  PARENT  DTR  TAKING  3 KM.  LT  TO  BE  CONVERTED</t>
  </si>
  <si>
    <t>140 Kg 8 Mtr. Long PCC pole (for mid span)</t>
  </si>
  <si>
    <t>(ii) Stay Wire 7/10 (5.5 kg/stay)</t>
  </si>
  <si>
    <t>Transformer mounting cross arm DC channel 100x50x6 mm. 2.7 mtr long 8' centre</t>
  </si>
  <si>
    <t>DC Cross arm 100x50x6 mm 8 ' centre 2.7 mtr long</t>
  </si>
  <si>
    <t>11 kV Single pole cut point channel</t>
  </si>
  <si>
    <t>11 kV D.O. Set</t>
  </si>
  <si>
    <t>Protection cum metering box with 40 amp. MCCB &amp; 4 No. 3 phase meter for 25 kVA  X-mer</t>
  </si>
  <si>
    <t>Protection cum metering box with 25 amp. MCCB &amp; 3 No. 3 phase meter for 16 kVA  X-mer</t>
  </si>
  <si>
    <t>G.I. Pipe 40 mm (5 Mtr. per substation)</t>
  </si>
  <si>
    <t>I - Bolt 16 mm</t>
  </si>
  <si>
    <t>Labour charges [as per Sch. No.- DL-11]</t>
  </si>
  <si>
    <t>COST SCHEDULE   D-9</t>
  </si>
  <si>
    <t>HVDS  SYSTEM  OF  63  kVA  PARENT  DTR  TAKING  2 KM.  LT  TO  BE  CONVERTED</t>
  </si>
  <si>
    <t>(ii) Stay Wire 7/10 SWG (5.5 kg/stay)</t>
  </si>
  <si>
    <t>(iii) Stay Clamp for 140 kg PCC Pole</t>
  </si>
  <si>
    <t>Transformer mounting arrangement DC cross arm 100x50x6 mm. 2.7 mtr long 8' Centre</t>
  </si>
  <si>
    <t>DC cross arm 100x50x6 mm 8 ' Centre 2.7 mtr long</t>
  </si>
  <si>
    <t>DO Mounting Channel</t>
  </si>
  <si>
    <t>11 kV Single Pole cut point channel</t>
  </si>
  <si>
    <t>Protection cum metering box with 40 Amp. MCCB &amp; 4 No. 3 phase meter for 25 kVA  X-mer</t>
  </si>
  <si>
    <t>Protection cum metering box with 25 Amp. MCCB &amp; 3 No. 3 phase meter for 16 kVA  X-mer</t>
  </si>
  <si>
    <t>G.I. Pipe 40 mm (5 Mtr. per Sub-station)</t>
  </si>
  <si>
    <t>29</t>
  </si>
  <si>
    <t>30</t>
  </si>
  <si>
    <t>Labour charges [as per Sch. No.- DL-12]</t>
  </si>
  <si>
    <t xml:space="preserve">Note:- </t>
  </si>
  <si>
    <t>All the rates are considering with price variation clause. Actual returnable material schedule may be prepared separately.</t>
  </si>
  <si>
    <t xml:space="preserve">Other items as per schedule [Labour Schedule BL-2+(3*BL-4)+BL-6] </t>
  </si>
  <si>
    <r>
      <t xml:space="preserve">                                               </t>
    </r>
    <r>
      <rPr>
        <b/>
        <u/>
        <sz val="14"/>
        <rFont val="Arial"/>
        <family val="2"/>
      </rPr>
      <t>COST SCHEDULE   C-18</t>
    </r>
  </si>
  <si>
    <t>SCHEDULE FOR NEW AUTOMATED 11 KV CAPACITOR BANK AT 33/11 KV SUB-STATIONS</t>
  </si>
  <si>
    <t xml:space="preserve">12.1 kV,1815 kVAr, 3-Phase, 50 Hz, Outdoor Type , Capacitor bank </t>
  </si>
  <si>
    <t>12.1 kV,1089 KVAr, 3-Phase, 50 Hz, Outdoor Type, Capacitor bank</t>
  </si>
  <si>
    <t>12.1 kV,1815 kVAr, 3-Phase, 50 Hz, Outdoor Type , Capacitor bank having step as  363 Kvar + 726 Kvar+ 726  Kvar 12.1 KV. Bank shall be complete with Capacitor units of 121 KVAr at 6.98 KV, including allied material such as suitable size of Aluminium busbars, Pin/Post insulators, Expulsion fuses, Cable Jointing Kit, Nuts &amp; Botls etc.</t>
  </si>
  <si>
    <t>12.1 kV,1089 kVAr, 3-Phase, 50 Hz, Outdoor Type , Capacitor bank having step as 363 Kvar + 726 Kvar 12.1 KV . Bank shall be complete with Capacitor units of 121 kVAr at 6.98 KV, including allied material such as suitable size of Aluminium busbars, Pin/Post insulators, Expulsion fuses, Cable Jointing Kit, Nuts &amp; Bolts etc.</t>
  </si>
  <si>
    <t>11 kV, Aluminium Wound, Dry type Series reactors</t>
  </si>
  <si>
    <t>0.2% Reactor suitable for 363 Kvar step</t>
  </si>
  <si>
    <t>0.2% Reactor suitable  for 726 Kvar step</t>
  </si>
  <si>
    <t>11 kV, 3-Phase Oil-Cooled RVT</t>
  </si>
  <si>
    <t>9 kV, 10 kA, Station Class, Polymer Lightning Arrestors</t>
  </si>
  <si>
    <t>Set of 3</t>
  </si>
  <si>
    <t>Kgs.</t>
  </si>
  <si>
    <t>Unarmoured Control cable 8Cx2.5 Sqmm and junction box</t>
  </si>
  <si>
    <t>Unarmoured Control cable 10Cx2.5 Sqmm</t>
  </si>
  <si>
    <t>Unarmoured Control cable 2Cx2.5 Sqmm</t>
  </si>
  <si>
    <t xml:space="preserve">11 kV VCB , 630 A, suitable for Capacitor Switching </t>
  </si>
  <si>
    <t xml:space="preserve">11 kV VCB , 400 A, suitable for Capacitor Switching </t>
  </si>
  <si>
    <t>11 kV Power Cable, HT XLPE, 120 Sq.mm.</t>
  </si>
  <si>
    <t>11 kV Power Cable, HT XLPE, 95 Sq.mm.</t>
  </si>
  <si>
    <t xml:space="preserve">Earthing through </t>
  </si>
  <si>
    <t>M.S.Flat 50 x 6 mm</t>
  </si>
  <si>
    <t>Labour Charges as per Sch. CL-18.</t>
  </si>
  <si>
    <t>Overhead Charges @ 12.5% [Market Fluctuation, Service Tax, Contractor's profit etc.] on Row - 23, 25, 26, 27, 28, 29,</t>
  </si>
  <si>
    <t>COST SCHEDULE D-5</t>
  </si>
  <si>
    <t>1 Km.  LT  LINE  1  PHASE  3  WIRE  USING  RABBIT / WEASEL / SQUIRREL  CONDUCTORS ON  R.S.JOIST  SUPPORTS  WITH MAXIMUM SPAN  OF  45  METERS  FOR  URBAN  AREAS</t>
  </si>
  <si>
    <t>Using one wire of 50 Sqmm, one wire of 30 Sqmm ACSR and one wire of 20 Sqmm ACSR  Conductor</t>
  </si>
  <si>
    <t xml:space="preserve">200 kg 9.0 Mtr. long PCC Pole </t>
  </si>
  <si>
    <t>ACSR Conductor including 3% sag</t>
  </si>
  <si>
    <t>Concreting of stay &amp; base pad for pole @ 0.2 Cmt/stay and @ 0.05 Cmt for base pad &amp; concreting of support @ 0.3 Cmt.per pole (1:3:6)</t>
  </si>
  <si>
    <t>COST SCHEDULE  D-10</t>
  </si>
  <si>
    <t>CONVERSION  OF 1 KM  LT  LINE  INTO 11 kV LINE</t>
  </si>
  <si>
    <t>140 Kg 8.0 meter long PCC Poles (for where ever required )</t>
  </si>
  <si>
    <t>11 kV 'V' Cross arm with clamp</t>
  </si>
  <si>
    <t>Earthing set (coil earth as per Drawing No.G/007)</t>
  </si>
  <si>
    <t xml:space="preserve">Jointing sleeves suitable for Weasel/ Rabbit conductor  </t>
  </si>
  <si>
    <t xml:space="preserve">Binding wires &amp; tape  </t>
  </si>
  <si>
    <t xml:space="preserve">Nuts and bolts                                                         </t>
  </si>
  <si>
    <t>(i) 11 kV Guarding Channel 100x50 mm set.</t>
  </si>
  <si>
    <t>(iii) Stay clamp (Pair) H.T.</t>
  </si>
  <si>
    <t>(iv) Stay wire 7/10 SWG @ 5.5 kg/stay</t>
  </si>
  <si>
    <t>(v) Stay set 16 mm.</t>
  </si>
  <si>
    <t>(vi) Stay Insulator</t>
  </si>
  <si>
    <t>(vii) I - Bolt big size.</t>
  </si>
  <si>
    <t>Back filling of poles with boulders @ of 0.3 Cmt per pole</t>
  </si>
  <si>
    <t>Labour charges as per Schedule  No. DL-3 (E-1)</t>
  </si>
  <si>
    <t>Transportation charges @ 4% on Column no. 16</t>
  </si>
  <si>
    <t>Overhead Charges @ 12.5% [Market Fluctuation, Service Tax, Contractor's profit etc.] on Row - 15, 17,18, 19, 20</t>
  </si>
  <si>
    <t xml:space="preserve">(i) Three wire LT line will be utilized for converting into 11 kV line. </t>
  </si>
  <si>
    <t>(ii) For replacement of deteriorated conductor of LT line suitable provision should be made while preparing the estimates</t>
  </si>
  <si>
    <t>COST  SCHEDULE   D-11</t>
  </si>
  <si>
    <t>LT  LINE  CONVERSION  USING  RABBIT  CONDUCTOR  MAXIMUM  SPAN  OF 45  MTRS.</t>
  </si>
  <si>
    <t xml:space="preserve">New Bin code </t>
  </si>
  <si>
    <t>1 Phase 2 Wire to 1 Phase 3 Wire Conversion</t>
  </si>
  <si>
    <t>1 Phase 2 Wire to 3 Phase 4 Wire Conversion</t>
  </si>
  <si>
    <t>1 Phase 3 Wire to 3 Phase 4 Wire Conversion</t>
  </si>
  <si>
    <t>1 Phase 3 Wire to 3 Phase 5 Wire Conversion</t>
  </si>
  <si>
    <t>LT Five Pin cross arm</t>
  </si>
  <si>
    <t>Hardware for Shackle Insulator</t>
  </si>
  <si>
    <t xml:space="preserve">ACSR RABBIT Conductor including 3% Sag  </t>
  </si>
  <si>
    <t xml:space="preserve">M.S. Nuts &amp; bolts </t>
  </si>
  <si>
    <t>Clamp for R.S. Joist or PCC 140 Kg./8 mtr long</t>
  </si>
  <si>
    <t>Labour Charges as per DL-4.</t>
  </si>
  <si>
    <t>Transportation charges @ 4% on Column no. 14</t>
  </si>
  <si>
    <t>Overhead Charges @ 12.5% [Market Fluctuation, Service Tax, Contractor's profit etc.] on Row - 13, 15, 16, 17</t>
  </si>
  <si>
    <t>Total Estimated Cost excluding GST (Row 14, 15, 16, 17, 18)</t>
  </si>
  <si>
    <t>Applicable CGST @ 9% on Row 19</t>
  </si>
  <si>
    <t>Applicable SGST @ 9% on Row 19</t>
  </si>
  <si>
    <t>Total Estimated Cost including GST (Row 19+20+21)</t>
  </si>
  <si>
    <t>COST  SCHEDULE   D-12 ( E-2)</t>
  </si>
  <si>
    <t>CONVERSION  OF  1  KM  1  PHASE  3  WIRE  LT  LINE  INTO  11  kV  LINE</t>
  </si>
  <si>
    <r>
      <t xml:space="preserve">Rate </t>
    </r>
    <r>
      <rPr>
        <b/>
        <sz val="11"/>
        <rFont val="Arial"/>
        <family val="2"/>
      </rPr>
      <t xml:space="preserve"> </t>
    </r>
  </si>
  <si>
    <t>140 Kg 8.0 meter long PCC Pole (for where ever required )</t>
  </si>
  <si>
    <t>11 kV Top clamp Angle type with cleat.</t>
  </si>
  <si>
    <t xml:space="preserve">Jointing sleeves suitable for weasel / rabbit conductor  </t>
  </si>
  <si>
    <t xml:space="preserve">Binding wire &amp; tape  </t>
  </si>
  <si>
    <t xml:space="preserve">Nuts and Bolts                                                         </t>
  </si>
  <si>
    <t>(iii) Stay Clamp (Pair) H.T.</t>
  </si>
  <si>
    <t>(iv) Stay Wire 7/10 SWG @ 5.5 kg/stay</t>
  </si>
  <si>
    <t>(vii) I- Bolt big size.</t>
  </si>
  <si>
    <t>PVC Insulated cable 16 sqmm 1 core unarmoured</t>
  </si>
  <si>
    <t xml:space="preserve">ACSR Conductor 20 sqmm. Al. Eq. for neutral </t>
  </si>
  <si>
    <t>Back filling of pole with boulders @ 0.3 Cmt. per pole.</t>
  </si>
  <si>
    <t>Labour charges as per Schedule No. DL-5 ( E-2)</t>
  </si>
  <si>
    <t>Transportation charges @ 4% on Column no. 19</t>
  </si>
  <si>
    <t xml:space="preserve">(1) In 1 Phase 3 Wire L.T. three wire conductor will be reutilised. </t>
  </si>
  <si>
    <t>(2) In Case of replacement of Old conductor, new conductor may be incorporated in the estimate and depreciated value will be accounted for in the estimate.</t>
  </si>
  <si>
    <t>COST  SCHEDULE  D-13 (E-3)</t>
  </si>
  <si>
    <t>CONVERSION OF 1 kM 3 PHASE 5 WIRE LT LINE INTO 11 kV LINE</t>
  </si>
  <si>
    <t>140 Kg 8.0 meter long PCC Pole (for where ever required)</t>
  </si>
  <si>
    <t>11 kV Top Clamp Angle type with cleat.</t>
  </si>
  <si>
    <t>(vii) I-Bolt big size.</t>
  </si>
  <si>
    <t>PVC insulated cable 16 sqmm 1 core unarmoured</t>
  </si>
  <si>
    <t>Labour charges as per Schedule No. DL-6 (E-3)</t>
  </si>
  <si>
    <t>Transportation charges @ 4% on Column no. 18</t>
  </si>
  <si>
    <t>Overhead Charges @ 12.5% [Market Fluctuation, Service Tax, Contractor's profit etc.] on Row - 17, 19, 20, 21, 22</t>
  </si>
  <si>
    <t>Total Estimated Cost excluding GST (Row 18, 19, 20, 21, 22, 23)</t>
  </si>
  <si>
    <r>
      <t>(1) In 3 Phase 5 Wire LT system, 5</t>
    </r>
    <r>
      <rPr>
        <vertAlign val="superscript"/>
        <sz val="10"/>
        <rFont val="Arial"/>
        <family val="2"/>
      </rPr>
      <t>th</t>
    </r>
    <r>
      <rPr>
        <sz val="10"/>
        <rFont val="Arial"/>
        <family val="2"/>
      </rPr>
      <t xml:space="preserve"> conductor i.e. neutral conductor and 4</t>
    </r>
    <r>
      <rPr>
        <vertAlign val="superscript"/>
        <sz val="10"/>
        <rFont val="Arial"/>
        <family val="2"/>
      </rPr>
      <t>th</t>
    </r>
    <r>
      <rPr>
        <sz val="10"/>
        <rFont val="Arial"/>
        <family val="2"/>
      </rPr>
      <t xml:space="preserve"> conductor will be returned to Area Stores and depreciated value of neutral conductor will be accounted for at the time of estimate framing. L.T. Phase conductor will be reutilised. </t>
    </r>
  </si>
  <si>
    <t>(2) In case of replacement of Old conductor, new conductor may be incorporated in the estimate and depreciated value will be accounted for in the estimate.</t>
  </si>
  <si>
    <t>COST SCHEDULE   C-7 (B-1)  A</t>
  </si>
  <si>
    <t>RELOCATION OF  25 / 63 / 100 / 200 / 315 kVA  11/0.4 kV  X-MER  S/S  USING  H- BEAM  POLE  AND  SINGLE  CORE  PVC  CABLE  [BASED  ON  COST SCHEDULE   C-7 (B-1) EXCEPT TRANSFORMER COST ]</t>
  </si>
  <si>
    <t xml:space="preserve">      </t>
  </si>
  <si>
    <t xml:space="preserve">H-BEAM 152x152 mm; 37.1 Kg /Mtr; 11.0 Mtr long i.e. 408.1 Kg/pole x 2 Nos = 816.2 Kgs  </t>
  </si>
  <si>
    <t>11 kV D.O. fuse &amp; LA mounting DC Cross arm (75x40 mm)</t>
  </si>
  <si>
    <t>Clamp for "H" Beam</t>
  </si>
  <si>
    <t>Angle 65x65x6 mm., 2740 mm. x 2 Nos. for Distribution Box</t>
  </si>
  <si>
    <t>R.S.Joist 3 Mtr. for support</t>
  </si>
  <si>
    <t>Concreting of supports @ 0.6 Cmt / pole , @ 0.2 Cmt / Stay, base padding @ 0.05 Cmt per pole &amp; @ 0.2 Cmt per R.S.Joist support (1:3:6)</t>
  </si>
  <si>
    <t>Transportation charges @ 4% for all line materials in row no. 28</t>
  </si>
  <si>
    <t>COST SCHEDULE -- C-7 (B-1) B</t>
  </si>
  <si>
    <t>RENOVATION  OF  EXISTING  DISTRIBUTION  TRANSFORMERS</t>
  </si>
  <si>
    <t>LT Distribution Box</t>
  </si>
  <si>
    <t>25 kVA</t>
  </si>
  <si>
    <t>25 kVA (70 sq mm)</t>
  </si>
  <si>
    <t>63 kVA (70 sq mm)</t>
  </si>
  <si>
    <t>100 kVA (70 sq mm)</t>
  </si>
  <si>
    <t>100 kVA (150 sq mm)</t>
  </si>
  <si>
    <t>200 kVA (150 sq mm)</t>
  </si>
  <si>
    <t>200 kVA (300 sq mm)</t>
  </si>
  <si>
    <t>315 kVA (150 sq mm)</t>
  </si>
  <si>
    <t>315 kVA (300 sq mm)</t>
  </si>
  <si>
    <t>Earthing set (Pipe earth as per drg no. G/008) (Material + services)</t>
  </si>
  <si>
    <t>(i) GI Pipe 40 mm</t>
  </si>
  <si>
    <t>Service in lieu of earthing coal &amp; sand</t>
  </si>
  <si>
    <t>Labour charges as per Sch. CL-7 (B-1)B</t>
  </si>
  <si>
    <t>Transportation charges @ 4% on Column no. 05</t>
  </si>
  <si>
    <t>Overhead Charges @ 12.5% [Market Fluctuation, Service Tax, Contractor's profit etc.] on Row - 04, 06, 07, 08, 09</t>
  </si>
  <si>
    <t>Total Estimated Cost excluding GST (Row 05, 06, 07, 08, 09, 10)</t>
  </si>
  <si>
    <t>COST SCHEDULE  C-20</t>
  </si>
  <si>
    <t>SCHEDULE  FOR  CHEMICAL EARTHING OF METERING EQUIPMENT INSTALLED IN THE PREMISES OF HT CONSUMERS IN NORMAL / HARD ROCK SOIL</t>
  </si>
  <si>
    <t>M.S.Strip 25x3 mm (0.6 kg/Mtr.)</t>
  </si>
  <si>
    <t xml:space="preserve">Chem Rod Earthing electrode (Chemical Earthing) </t>
  </si>
  <si>
    <t>G.I. Nuts &amp; Bolts 16x40 mm</t>
  </si>
  <si>
    <t>G.I. Nuts &amp; Bolts 16x65 mm</t>
  </si>
  <si>
    <t>Labour Charges as per Sch. No. CL-20</t>
  </si>
  <si>
    <t>Overhead Charges @ 12.5% [Market Fluctuation, Service Tax, Contractor's profit etc.] on Row - 06, 08, 09, 10</t>
  </si>
  <si>
    <t>Total Estimated Cost excluding GST (Row 07, 08, 09, 10, 11)</t>
  </si>
  <si>
    <t>Chemical Earthing consists of Galvanized Mild Steel pipe of size 2000 mm x 50 mm Outer diameter or higher size as per site conditions, filled with a highly conductive material and a GI Strip minimum 16 mm x 3 mm covering total of pipe, forming the electrode for obtaining earth resistance less than 1 ohm.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</si>
</sst>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0"/>
    <numFmt numFmtId="165" formatCode="0.0"/>
    <numFmt numFmtId="166" formatCode="_(* #,##0.00_);_(* \(#,##0.00\);_(* &quot;-&quot;??_);_(@_)"/>
    <numFmt numFmtId="167" formatCode="0.0000"/>
    <numFmt numFmtId="168" formatCode="0.00000"/>
    <numFmt numFmtId="169" formatCode="0.000000"/>
    <numFmt numFmtId="170" formatCode="0.0%"/>
    <numFmt numFmtId="171" formatCode="0.0000000000"/>
    <numFmt numFmtId="172" formatCode="0.00;[Red]0.00"/>
  </numFmts>
  <fonts count="12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u/>
      <sz val="14"/>
      <name val="Arial"/>
      <family val="2"/>
    </font>
    <font>
      <b/>
      <sz val="14"/>
      <name val="Arial"/>
      <family val="2"/>
    </font>
    <font>
      <b/>
      <u/>
      <sz val="11"/>
      <name val="Arial"/>
      <family val="2"/>
    </font>
    <font>
      <b/>
      <sz val="10"/>
      <name val="Arial"/>
      <family val="2"/>
    </font>
    <font>
      <b/>
      <sz val="12"/>
      <color indexed="10"/>
      <name val="Arial"/>
      <family val="2"/>
    </font>
    <font>
      <sz val="10"/>
      <name val="Arial"/>
      <family val="2"/>
    </font>
    <font>
      <sz val="8"/>
      <name val="Arial"/>
      <family val="2"/>
    </font>
    <font>
      <b/>
      <sz val="12"/>
      <name val="Arial"/>
      <family val="2"/>
    </font>
    <font>
      <sz val="11"/>
      <name val="Arial"/>
      <family val="2"/>
    </font>
    <font>
      <b/>
      <sz val="10.5"/>
      <name val="Arial"/>
      <family val="2"/>
    </font>
    <font>
      <sz val="12"/>
      <name val="Arial"/>
      <family val="2"/>
    </font>
    <font>
      <b/>
      <u/>
      <sz val="12"/>
      <name val="Arial"/>
      <family val="2"/>
    </font>
    <font>
      <b/>
      <sz val="16"/>
      <name val="Arial"/>
      <family val="2"/>
    </font>
    <font>
      <sz val="11"/>
      <name val="Copperplate Gothic Bold"/>
      <family val="2"/>
    </font>
    <font>
      <b/>
      <u/>
      <sz val="11.5"/>
      <name val="Arial"/>
      <family val="2"/>
    </font>
    <font>
      <sz val="12"/>
      <name val="Copperplate Gothic Bold"/>
      <family val="2"/>
    </font>
    <font>
      <b/>
      <sz val="11"/>
      <name val="Arial"/>
      <family val="2"/>
    </font>
    <font>
      <b/>
      <sz val="9"/>
      <color indexed="81"/>
      <name val="Tahoma"/>
      <family val="2"/>
    </font>
    <font>
      <sz val="9"/>
      <color indexed="81"/>
      <name val="Tahoma"/>
      <family val="2"/>
    </font>
    <font>
      <sz val="10"/>
      <name val="Calibri"/>
      <family val="2"/>
    </font>
    <font>
      <b/>
      <sz val="13"/>
      <name val="Arial"/>
      <family val="2"/>
    </font>
    <font>
      <b/>
      <u/>
      <sz val="13"/>
      <name val="Arial"/>
      <family val="2"/>
    </font>
    <font>
      <b/>
      <u/>
      <sz val="16"/>
      <name val="Arial"/>
      <family val="2"/>
    </font>
    <font>
      <sz val="11"/>
      <name val="Calibri"/>
      <family val="2"/>
    </font>
    <font>
      <b/>
      <sz val="11"/>
      <name val="Calibri"/>
      <family val="2"/>
    </font>
    <font>
      <b/>
      <u/>
      <sz val="11"/>
      <color indexed="8"/>
      <name val="Arial"/>
      <family val="2"/>
    </font>
    <font>
      <b/>
      <i/>
      <sz val="11"/>
      <color indexed="8"/>
      <name val="Arial"/>
      <family val="2"/>
    </font>
    <font>
      <b/>
      <sz val="11"/>
      <color indexed="8"/>
      <name val="Arial"/>
      <family val="2"/>
    </font>
    <font>
      <sz val="11"/>
      <color indexed="8"/>
      <name val="Arial"/>
      <family val="2"/>
    </font>
    <font>
      <sz val="11"/>
      <color indexed="8"/>
      <name val="Calibri"/>
      <family val="2"/>
    </font>
    <font>
      <sz val="10.5"/>
      <name val="Arial"/>
      <family val="2"/>
    </font>
    <font>
      <b/>
      <i/>
      <sz val="11"/>
      <name val="Calibri"/>
      <family val="2"/>
    </font>
    <font>
      <sz val="11"/>
      <name val="Rupee"/>
    </font>
    <font>
      <b/>
      <i/>
      <sz val="11"/>
      <name val="Arial"/>
      <family val="2"/>
    </font>
    <font>
      <sz val="12"/>
      <name val="Rupee"/>
    </font>
    <font>
      <b/>
      <i/>
      <u/>
      <sz val="11"/>
      <color indexed="8"/>
      <name val="Arial"/>
      <family val="2"/>
    </font>
    <font>
      <b/>
      <i/>
      <sz val="11"/>
      <color indexed="8"/>
      <name val="Calibri"/>
      <family val="2"/>
    </font>
    <font>
      <sz val="10"/>
      <color indexed="8"/>
      <name val="Arial"/>
      <family val="2"/>
    </font>
    <font>
      <sz val="10.5"/>
      <color indexed="8"/>
      <name val="Arial"/>
      <family val="2"/>
    </font>
    <font>
      <b/>
      <sz val="10"/>
      <color indexed="10"/>
      <name val="Arial"/>
      <family val="2"/>
    </font>
    <font>
      <sz val="13"/>
      <name val="Arial"/>
      <family val="2"/>
    </font>
    <font>
      <b/>
      <sz val="10"/>
      <name val="Verdana"/>
      <family val="2"/>
    </font>
    <font>
      <sz val="10"/>
      <color indexed="10"/>
      <name val="Verdana"/>
      <family val="2"/>
    </font>
    <font>
      <sz val="10"/>
      <name val="Verdana"/>
      <family val="2"/>
    </font>
    <font>
      <sz val="16"/>
      <name val="Arial"/>
      <family val="2"/>
    </font>
    <font>
      <b/>
      <sz val="11"/>
      <name val="Verdana"/>
      <family val="2"/>
    </font>
    <font>
      <sz val="10"/>
      <color indexed="8"/>
      <name val="Verdana"/>
      <family val="2"/>
    </font>
    <font>
      <sz val="10"/>
      <color indexed="9"/>
      <name val="Verdana"/>
      <family val="2"/>
    </font>
    <font>
      <sz val="9"/>
      <name val="Verdana"/>
      <family val="2"/>
    </font>
    <font>
      <b/>
      <sz val="10.5"/>
      <name val="Verdana"/>
      <family val="2"/>
    </font>
    <font>
      <b/>
      <sz val="10"/>
      <color indexed="8"/>
      <name val="Arial"/>
      <family val="2"/>
    </font>
    <font>
      <vertAlign val="subscript"/>
      <sz val="10"/>
      <name val="Verdana"/>
      <family val="2"/>
    </font>
    <font>
      <b/>
      <sz val="12"/>
      <color indexed="8"/>
      <name val="Arial"/>
      <family val="2"/>
    </font>
    <font>
      <b/>
      <u/>
      <sz val="8"/>
      <name val="Verdana"/>
      <family val="2"/>
    </font>
    <font>
      <sz val="8"/>
      <color indexed="81"/>
      <name val="Tahoma"/>
      <family val="2"/>
    </font>
    <font>
      <b/>
      <sz val="10"/>
      <color indexed="8"/>
      <name val="Verdana"/>
      <family val="2"/>
    </font>
    <font>
      <sz val="10"/>
      <color theme="1"/>
      <name val="Verdana"/>
      <family val="2"/>
    </font>
    <font>
      <sz val="7.5"/>
      <name val="Arial"/>
      <family val="2"/>
    </font>
    <font>
      <b/>
      <sz val="10.5"/>
      <color indexed="8"/>
      <name val="Arial"/>
      <family val="2"/>
    </font>
    <font>
      <sz val="12"/>
      <color indexed="8"/>
      <name val="Arial"/>
      <family val="2"/>
    </font>
    <font>
      <sz val="14"/>
      <name val="Arial"/>
      <family val="2"/>
    </font>
    <font>
      <sz val="18"/>
      <name val="Arial"/>
      <family val="2"/>
    </font>
    <font>
      <b/>
      <sz val="12"/>
      <color indexed="12"/>
      <name val="Arial"/>
      <family val="2"/>
    </font>
    <font>
      <b/>
      <sz val="11.5"/>
      <name val="Arial"/>
      <family val="2"/>
    </font>
    <font>
      <sz val="11.5"/>
      <name val="Arial"/>
      <family val="2"/>
    </font>
    <font>
      <sz val="11.5"/>
      <color indexed="8"/>
      <name val="Arial"/>
      <family val="2"/>
    </font>
    <font>
      <b/>
      <sz val="14"/>
      <name val="Copperplate Gothic Bold"/>
      <family val="2"/>
    </font>
    <font>
      <b/>
      <i/>
      <sz val="12"/>
      <name val="Arial"/>
      <family val="2"/>
    </font>
    <font>
      <b/>
      <sz val="10"/>
      <name val="Calibri"/>
      <family val="2"/>
    </font>
    <font>
      <sz val="9"/>
      <name val="Arial"/>
      <family val="2"/>
    </font>
    <font>
      <sz val="10"/>
      <color theme="0"/>
      <name val="Verdana"/>
      <family val="2"/>
    </font>
    <font>
      <b/>
      <sz val="12"/>
      <name val="Calibri"/>
      <family val="2"/>
    </font>
    <font>
      <b/>
      <u/>
      <sz val="10"/>
      <name val="Arial"/>
      <family val="2"/>
    </font>
    <font>
      <sz val="11"/>
      <color indexed="9"/>
      <name val="Arial"/>
      <family val="2"/>
    </font>
    <font>
      <sz val="10"/>
      <color rgb="FF000000"/>
      <name val="Times New Roman"/>
      <family val="1"/>
    </font>
    <font>
      <sz val="11"/>
      <color rgb="FF000000"/>
      <name val="Arial"/>
      <family val="2"/>
    </font>
    <font>
      <sz val="10"/>
      <color theme="0"/>
      <name val="Times New Roman"/>
      <family val="1"/>
    </font>
    <font>
      <sz val="12"/>
      <name val="Arial Narrow"/>
      <family val="2"/>
    </font>
    <font>
      <sz val="11"/>
      <color indexed="10"/>
      <name val="Arial"/>
      <family val="2"/>
    </font>
    <font>
      <b/>
      <sz val="11"/>
      <color indexed="12"/>
      <name val="Arial"/>
      <family val="2"/>
    </font>
    <font>
      <vertAlign val="subscript"/>
      <sz val="11"/>
      <name val="Arial"/>
      <family val="2"/>
    </font>
    <font>
      <sz val="14"/>
      <name val="Rupee"/>
    </font>
    <font>
      <u/>
      <sz val="10"/>
      <name val="Arial"/>
      <family val="2"/>
    </font>
    <font>
      <b/>
      <sz val="11"/>
      <name val="Copperplate Gothic Bold"/>
      <family val="2"/>
    </font>
    <font>
      <b/>
      <sz val="9"/>
      <name val="Arial"/>
      <family val="2"/>
    </font>
    <font>
      <sz val="10"/>
      <color indexed="10"/>
      <name val="Arial"/>
      <family val="2"/>
    </font>
    <font>
      <b/>
      <sz val="11"/>
      <color theme="1"/>
      <name val="Calibri"/>
      <family val="2"/>
      <scheme val="minor"/>
    </font>
    <font>
      <b/>
      <sz val="11"/>
      <color theme="1"/>
      <name val="Arial"/>
      <family val="2"/>
    </font>
    <font>
      <sz val="8.5"/>
      <name val="Arial"/>
      <family val="2"/>
    </font>
    <font>
      <sz val="14"/>
      <name val="Times New Roman"/>
      <family val="1"/>
    </font>
    <font>
      <sz val="16"/>
      <name val="Times New Roman"/>
      <family val="1"/>
    </font>
    <font>
      <sz val="12"/>
      <name val="Calibri"/>
      <family val="2"/>
    </font>
    <font>
      <b/>
      <u/>
      <sz val="14"/>
      <color indexed="53"/>
      <name val="Arial"/>
      <family val="2"/>
    </font>
    <font>
      <sz val="18"/>
      <name val="Kruti Dev 010"/>
    </font>
    <font>
      <sz val="12.5"/>
      <name val="Arial"/>
      <family val="2"/>
    </font>
    <font>
      <sz val="11"/>
      <color indexed="81"/>
      <name val="Tahoma"/>
      <family val="2"/>
    </font>
    <font>
      <u/>
      <sz val="12"/>
      <name val="Arial"/>
      <family val="2"/>
    </font>
    <font>
      <sz val="10"/>
      <color indexed="81"/>
      <name val="Tahoma"/>
      <family val="2"/>
    </font>
    <font>
      <b/>
      <u/>
      <sz val="12"/>
      <color indexed="14"/>
      <name val="Arial"/>
      <family val="2"/>
    </font>
    <font>
      <b/>
      <u/>
      <sz val="12"/>
      <color indexed="10"/>
      <name val="Arial"/>
      <family val="2"/>
    </font>
    <font>
      <b/>
      <sz val="14"/>
      <color indexed="81"/>
      <name val="Arial"/>
      <family val="2"/>
    </font>
    <font>
      <sz val="11"/>
      <color theme="1"/>
      <name val="Arial"/>
      <family val="2"/>
    </font>
    <font>
      <sz val="8"/>
      <color theme="1"/>
      <name val="Calibri"/>
      <family val="2"/>
      <scheme val="minor"/>
    </font>
    <font>
      <sz val="12"/>
      <color indexed="10"/>
      <name val="Arial"/>
      <family val="2"/>
    </font>
    <font>
      <b/>
      <u/>
      <sz val="15"/>
      <name val="Arial"/>
      <family val="2"/>
    </font>
    <font>
      <b/>
      <sz val="11"/>
      <name val="Times New Roman"/>
      <family val="1"/>
    </font>
    <font>
      <b/>
      <sz val="11"/>
      <color indexed="8"/>
      <name val="Calibri"/>
      <family val="2"/>
    </font>
    <font>
      <b/>
      <sz val="18"/>
      <name val="Arial"/>
      <family val="2"/>
    </font>
    <font>
      <b/>
      <sz val="16"/>
      <name val="Times New Roman"/>
      <family val="1"/>
    </font>
    <font>
      <sz val="11"/>
      <name val="Times New Roman"/>
      <family val="1"/>
    </font>
    <font>
      <b/>
      <sz val="28"/>
      <name val="Arial"/>
      <family val="2"/>
    </font>
    <font>
      <sz val="11.5"/>
      <name val="Copperplate Gothic Bold"/>
      <family val="2"/>
    </font>
    <font>
      <b/>
      <sz val="20"/>
      <name val="Arial"/>
      <family val="2"/>
    </font>
    <font>
      <b/>
      <sz val="10"/>
      <color indexed="9"/>
      <name val="Arial"/>
      <family val="2"/>
    </font>
    <font>
      <sz val="11"/>
      <name val="Mangal"/>
    </font>
    <font>
      <b/>
      <sz val="12"/>
      <color indexed="8"/>
      <name val="Calibri"/>
      <family val="2"/>
    </font>
    <font>
      <sz val="10"/>
      <color indexed="13"/>
      <name val="Arial"/>
      <family val="2"/>
    </font>
    <font>
      <vertAlign val="superscript"/>
      <sz val="10"/>
      <name val="Arial"/>
      <family val="2"/>
    </font>
    <font>
      <b/>
      <sz val="11"/>
      <color rgb="FFFF0000"/>
      <name val="Arial"/>
      <family val="2"/>
    </font>
  </fonts>
  <fills count="7">
    <fill>
      <patternFill patternType="none"/>
    </fill>
    <fill>
      <patternFill patternType="gray125"/>
    </fill>
    <fill>
      <patternFill patternType="solid">
        <fgColor rgb="FF00FF00"/>
        <bgColor indexed="64"/>
      </patternFill>
    </fill>
    <fill>
      <patternFill patternType="solid">
        <fgColor indexed="11"/>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s>
  <borders count="16">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12" fillId="0" borderId="0"/>
    <xf numFmtId="0" fontId="12" fillId="0" borderId="0"/>
    <xf numFmtId="0" fontId="12" fillId="0" borderId="0"/>
    <xf numFmtId="0" fontId="36" fillId="0" borderId="0"/>
    <xf numFmtId="0" fontId="12" fillId="0" borderId="0"/>
    <xf numFmtId="0" fontId="12" fillId="0" borderId="0"/>
    <xf numFmtId="0" fontId="12" fillId="0" borderId="0"/>
    <xf numFmtId="166" fontId="12" fillId="0" borderId="0" applyFont="0" applyFill="0" applyBorder="0" applyAlignment="0" applyProtection="0"/>
    <xf numFmtId="0" fontId="6" fillId="0" borderId="0"/>
    <xf numFmtId="0" fontId="81" fillId="0" borderId="0"/>
    <xf numFmtId="0" fontId="5" fillId="0" borderId="0"/>
    <xf numFmtId="0" fontId="36" fillId="0" borderId="0"/>
    <xf numFmtId="0" fontId="12" fillId="0" borderId="0"/>
    <xf numFmtId="0" fontId="36" fillId="0" borderId="0"/>
    <xf numFmtId="0" fontId="4" fillId="0" borderId="0"/>
    <xf numFmtId="0" fontId="12" fillId="0" borderId="0"/>
    <xf numFmtId="0" fontId="3" fillId="0" borderId="0"/>
    <xf numFmtId="0" fontId="2" fillId="0" borderId="0"/>
    <xf numFmtId="0" fontId="116" fillId="0" borderId="0">
      <alignment vertical="center"/>
    </xf>
    <xf numFmtId="0" fontId="1" fillId="0" borderId="0"/>
  </cellStyleXfs>
  <cellXfs count="3520">
    <xf numFmtId="0" fontId="0" fillId="0" borderId="0" xfId="0"/>
    <xf numFmtId="0" fontId="0" fillId="0" borderId="0" xfId="0" applyFill="1" applyBorder="1" applyAlignment="1">
      <alignment horizontal="center"/>
    </xf>
    <xf numFmtId="0" fontId="8" fillId="0" borderId="0" xfId="0" applyFont="1" applyFill="1" applyBorder="1" applyAlignment="1"/>
    <xf numFmtId="0" fontId="8" fillId="0" borderId="0" xfId="0" applyFont="1" applyFill="1" applyAlignment="1"/>
    <xf numFmtId="0" fontId="0" fillId="0" borderId="0" xfId="0" applyFill="1"/>
    <xf numFmtId="0" fontId="0" fillId="0" borderId="0" xfId="0" applyFill="1" applyAlignment="1"/>
    <xf numFmtId="0" fontId="0" fillId="0" borderId="0" xfId="0" applyFill="1" applyAlignment="1">
      <alignment horizontal="center"/>
    </xf>
    <xf numFmtId="0" fontId="10" fillId="0" borderId="0" xfId="0" applyFont="1" applyFill="1" applyBorder="1" applyAlignment="1"/>
    <xf numFmtId="0" fontId="10" fillId="0" borderId="0" xfId="0" applyFont="1" applyFill="1" applyAlignment="1"/>
    <xf numFmtId="0" fontId="11" fillId="0" borderId="0" xfId="0" applyFont="1" applyFill="1" applyAlignment="1">
      <alignment vertical="center" wrapText="1"/>
    </xf>
    <xf numFmtId="0" fontId="11" fillId="0" borderId="0" xfId="0" applyFont="1" applyFill="1" applyAlignment="1"/>
    <xf numFmtId="0" fontId="0" fillId="0" borderId="1" xfId="0" applyFill="1" applyBorder="1" applyAlignment="1"/>
    <xf numFmtId="0" fontId="0" fillId="0" borderId="0" xfId="0" applyFill="1" applyBorder="1"/>
    <xf numFmtId="0" fontId="10" fillId="0" borderId="4" xfId="0" applyFont="1" applyFill="1" applyBorder="1" applyAlignment="1">
      <alignment horizontal="center" vertical="center"/>
    </xf>
    <xf numFmtId="0" fontId="10" fillId="0" borderId="4" xfId="0" applyFont="1" applyFill="1" applyBorder="1" applyAlignment="1">
      <alignment horizontal="center"/>
    </xf>
    <xf numFmtId="49" fontId="13" fillId="0" borderId="0" xfId="0" applyNumberFormat="1" applyFont="1" applyFill="1" applyAlignment="1">
      <alignment horizontal="center" wrapText="1"/>
    </xf>
    <xf numFmtId="49" fontId="13" fillId="0" borderId="0" xfId="0" applyNumberFormat="1" applyFont="1" applyFill="1" applyBorder="1" applyAlignment="1">
      <alignment vertical="center" wrapText="1"/>
    </xf>
    <xf numFmtId="49" fontId="12" fillId="0" borderId="0" xfId="0" applyNumberFormat="1" applyFont="1" applyFill="1" applyBorder="1" applyAlignment="1">
      <alignment vertical="center" wrapText="1"/>
    </xf>
    <xf numFmtId="2" fontId="0" fillId="0" borderId="0" xfId="0" applyNumberFormat="1" applyFill="1" applyBorder="1" applyAlignment="1">
      <alignment horizontal="center" vertical="center" wrapText="1"/>
    </xf>
    <xf numFmtId="0" fontId="14" fillId="0" borderId="0" xfId="0" applyFont="1" applyFill="1" applyAlignment="1">
      <alignment horizontal="center"/>
    </xf>
    <xf numFmtId="49" fontId="12" fillId="0" borderId="11" xfId="0" applyNumberFormat="1" applyFont="1" applyFill="1" applyBorder="1" applyAlignment="1">
      <alignment vertical="center" wrapText="1"/>
    </xf>
    <xf numFmtId="49" fontId="12" fillId="0" borderId="0" xfId="0" applyNumberFormat="1" applyFont="1" applyFill="1" applyAlignment="1">
      <alignment vertical="center" wrapText="1"/>
    </xf>
    <xf numFmtId="0" fontId="12" fillId="0" borderId="0" xfId="0" applyFont="1" applyFill="1"/>
    <xf numFmtId="49" fontId="14" fillId="0" borderId="0" xfId="0" applyNumberFormat="1" applyFont="1" applyFill="1" applyAlignment="1">
      <alignment vertical="center" wrapText="1"/>
    </xf>
    <xf numFmtId="2" fontId="12" fillId="0" borderId="0" xfId="0" applyNumberFormat="1" applyFont="1" applyFill="1" applyBorder="1" applyAlignment="1">
      <alignment horizontal="center" vertical="center"/>
    </xf>
    <xf numFmtId="0" fontId="12" fillId="0" borderId="0" xfId="0" applyFont="1" applyFill="1" applyAlignment="1">
      <alignment horizontal="center" vertical="center"/>
    </xf>
    <xf numFmtId="0" fontId="12" fillId="0" borderId="0" xfId="0" applyFont="1" applyFill="1" applyBorder="1" applyAlignment="1">
      <alignment horizontal="center" vertical="center"/>
    </xf>
    <xf numFmtId="0" fontId="12" fillId="0" borderId="11"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Alignment="1">
      <alignment vertical="center"/>
    </xf>
    <xf numFmtId="0" fontId="10" fillId="0" borderId="0" xfId="0" applyFont="1" applyFill="1" applyBorder="1" applyAlignment="1">
      <alignment horizontal="center" vertical="top" wrapText="1"/>
    </xf>
    <xf numFmtId="0" fontId="10" fillId="0" borderId="0" xfId="0" applyFont="1" applyFill="1" applyBorder="1" applyAlignment="1">
      <alignment vertical="center" wrapText="1"/>
    </xf>
    <xf numFmtId="0" fontId="10"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2" fontId="10" fillId="0" borderId="0" xfId="0" applyNumberFormat="1" applyFont="1" applyFill="1" applyBorder="1" applyAlignment="1">
      <alignment horizontal="center" vertical="center" wrapText="1"/>
    </xf>
    <xf numFmtId="164" fontId="10" fillId="0" borderId="0" xfId="0" applyNumberFormat="1" applyFont="1" applyFill="1" applyBorder="1" applyAlignment="1">
      <alignment horizontal="center" vertical="center" wrapText="1"/>
    </xf>
    <xf numFmtId="0" fontId="10" fillId="0" borderId="0" xfId="0" applyFont="1" applyFill="1" applyAlignment="1">
      <alignment horizontal="left"/>
    </xf>
    <xf numFmtId="0" fontId="10" fillId="0" borderId="0" xfId="0" applyFont="1" applyFill="1"/>
    <xf numFmtId="0" fontId="10" fillId="0" borderId="0" xfId="0" applyNumberFormat="1" applyFont="1" applyFill="1"/>
    <xf numFmtId="164" fontId="0" fillId="0" borderId="0" xfId="0" applyNumberFormat="1" applyFill="1"/>
    <xf numFmtId="0" fontId="0" fillId="0" borderId="0" xfId="0" applyFill="1" applyAlignment="1">
      <alignment horizontal="center" vertical="top"/>
    </xf>
    <xf numFmtId="0" fontId="0" fillId="0" borderId="0" xfId="0" applyFill="1" applyAlignment="1">
      <alignment horizontal="left" vertical="top"/>
    </xf>
    <xf numFmtId="0" fontId="0" fillId="0" borderId="0" xfId="0" applyNumberFormat="1" applyFill="1" applyAlignment="1">
      <alignment vertical="top"/>
    </xf>
    <xf numFmtId="0" fontId="0" fillId="0" borderId="0" xfId="0" applyFill="1" applyAlignment="1">
      <alignment vertical="top"/>
    </xf>
    <xf numFmtId="0" fontId="17" fillId="0" borderId="0" xfId="0" applyFont="1" applyFill="1" applyAlignment="1">
      <alignment horizontal="center"/>
    </xf>
    <xf numFmtId="0" fontId="0" fillId="0" borderId="0" xfId="0" applyNumberFormat="1" applyFill="1"/>
    <xf numFmtId="0" fontId="17" fillId="0" borderId="0" xfId="0" quotePrefix="1" applyFont="1" applyFill="1" applyBorder="1" applyAlignment="1">
      <alignment vertical="center" wrapText="1"/>
    </xf>
    <xf numFmtId="0" fontId="8" fillId="0" borderId="0" xfId="0" applyFont="1" applyFill="1" applyBorder="1" applyAlignment="1">
      <alignment horizontal="center"/>
    </xf>
    <xf numFmtId="0" fontId="14" fillId="0" borderId="0" xfId="0" applyFont="1" applyFill="1" applyAlignment="1">
      <alignment vertical="center" wrapText="1"/>
    </xf>
    <xf numFmtId="0" fontId="14" fillId="0" borderId="0" xfId="0" applyFont="1" applyFill="1" applyAlignment="1"/>
    <xf numFmtId="0" fontId="0" fillId="0" borderId="0" xfId="0" applyNumberFormat="1" applyFill="1" applyBorder="1"/>
    <xf numFmtId="164" fontId="0" fillId="0" borderId="0" xfId="0" applyNumberFormat="1" applyFill="1" applyBorder="1"/>
    <xf numFmtId="0" fontId="14" fillId="0" borderId="0" xfId="0" applyFont="1" applyFill="1" applyBorder="1" applyAlignment="1">
      <alignment horizontal="center"/>
    </xf>
    <xf numFmtId="0" fontId="10" fillId="0" borderId="4" xfId="0"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164" fontId="10" fillId="0" borderId="4" xfId="0" applyNumberFormat="1" applyFont="1" applyFill="1" applyBorder="1" applyAlignment="1">
      <alignment horizontal="center" vertical="center"/>
    </xf>
    <xf numFmtId="49" fontId="13" fillId="0" borderId="0" xfId="0" applyNumberFormat="1" applyFont="1" applyFill="1" applyAlignment="1">
      <alignment horizontal="center" vertical="center" wrapText="1"/>
    </xf>
    <xf numFmtId="0" fontId="8" fillId="0" borderId="0" xfId="0" applyFont="1" applyFill="1"/>
    <xf numFmtId="0" fontId="14" fillId="0" borderId="0" xfId="0" applyFont="1" applyFill="1"/>
    <xf numFmtId="2" fontId="10" fillId="0" borderId="0" xfId="0" applyNumberFormat="1" applyFont="1" applyFill="1" applyBorder="1" applyAlignment="1">
      <alignment horizontal="left" vertical="center"/>
    </xf>
    <xf numFmtId="0" fontId="12" fillId="0" borderId="11" xfId="0" applyFont="1" applyFill="1" applyBorder="1" applyAlignment="1">
      <alignment vertical="center" wrapText="1"/>
    </xf>
    <xf numFmtId="0" fontId="10" fillId="0" borderId="0" xfId="0" applyFont="1" applyFill="1" applyBorder="1" applyAlignment="1">
      <alignment horizontal="center"/>
    </xf>
    <xf numFmtId="0" fontId="10" fillId="0" borderId="0" xfId="0" applyFont="1" applyFill="1" applyBorder="1" applyAlignment="1">
      <alignment horizontal="left" vertical="center"/>
    </xf>
    <xf numFmtId="0" fontId="10" fillId="0" borderId="0" xfId="0" applyNumberFormat="1" applyFont="1" applyFill="1" applyBorder="1" applyAlignment="1">
      <alignment horizontal="left"/>
    </xf>
    <xf numFmtId="0" fontId="10" fillId="0" borderId="0" xfId="0" applyFont="1" applyFill="1" applyBorder="1"/>
    <xf numFmtId="164" fontId="10" fillId="0" borderId="0" xfId="0" applyNumberFormat="1" applyFont="1" applyFill="1" applyBorder="1" applyAlignment="1">
      <alignment horizontal="center"/>
    </xf>
    <xf numFmtId="2" fontId="10" fillId="0" borderId="0" xfId="0" applyNumberFormat="1" applyFont="1" applyFill="1" applyBorder="1" applyAlignment="1">
      <alignment horizontal="center" vertical="top" wrapText="1"/>
    </xf>
    <xf numFmtId="0" fontId="10" fillId="0" borderId="4" xfId="0" applyFont="1" applyFill="1" applyBorder="1" applyAlignment="1">
      <alignment horizontal="center" vertical="top"/>
    </xf>
    <xf numFmtId="0" fontId="0" fillId="0" borderId="4" xfId="0" applyFill="1" applyBorder="1" applyAlignment="1">
      <alignment vertical="top"/>
    </xf>
    <xf numFmtId="2" fontId="0" fillId="0" borderId="0" xfId="0" applyNumberFormat="1" applyFill="1" applyAlignment="1">
      <alignment vertical="top"/>
    </xf>
    <xf numFmtId="0" fontId="12" fillId="0" borderId="0" xfId="1" applyFill="1"/>
    <xf numFmtId="0" fontId="8" fillId="0" borderId="0" xfId="1" applyFont="1" applyFill="1" applyBorder="1" applyAlignment="1"/>
    <xf numFmtId="0" fontId="19" fillId="0" borderId="0" xfId="1" applyFont="1" applyFill="1" applyBorder="1" applyAlignment="1"/>
    <xf numFmtId="0" fontId="20" fillId="0" borderId="0" xfId="1" applyFont="1" applyFill="1" applyAlignment="1">
      <alignment horizontal="center"/>
    </xf>
    <xf numFmtId="0" fontId="20" fillId="0" borderId="0" xfId="1" applyNumberFormat="1" applyFont="1" applyFill="1" applyAlignment="1">
      <alignment horizontal="center"/>
    </xf>
    <xf numFmtId="0" fontId="20" fillId="0" borderId="0" xfId="1" applyFont="1" applyFill="1" applyAlignment="1">
      <alignment horizontal="left"/>
    </xf>
    <xf numFmtId="0" fontId="11" fillId="0" borderId="0" xfId="1" applyFont="1" applyFill="1" applyAlignment="1">
      <alignment vertical="center" wrapText="1"/>
    </xf>
    <xf numFmtId="0" fontId="22" fillId="0" borderId="0" xfId="1" applyFont="1" applyFill="1" applyAlignment="1">
      <alignment horizontal="center"/>
    </xf>
    <xf numFmtId="0" fontId="22" fillId="0" borderId="0" xfId="1" applyNumberFormat="1" applyFont="1" applyFill="1" applyAlignment="1">
      <alignment horizontal="center"/>
    </xf>
    <xf numFmtId="0" fontId="22" fillId="0" borderId="0" xfId="1" applyFont="1" applyFill="1" applyAlignment="1">
      <alignment horizontal="left"/>
    </xf>
    <xf numFmtId="0" fontId="10" fillId="0" borderId="1" xfId="1" applyFont="1" applyFill="1" applyBorder="1" applyAlignment="1">
      <alignment vertical="center"/>
    </xf>
    <xf numFmtId="0" fontId="11" fillId="0" borderId="0" xfId="1" applyFont="1" applyFill="1" applyAlignment="1"/>
    <xf numFmtId="0" fontId="15" fillId="0" borderId="0" xfId="1" applyFont="1" applyFill="1" applyBorder="1" applyAlignment="1">
      <alignment horizontal="center" vertical="center"/>
    </xf>
    <xf numFmtId="2" fontId="15" fillId="0" borderId="0" xfId="1" applyNumberFormat="1" applyFont="1" applyFill="1" applyBorder="1" applyAlignment="1">
      <alignment vertical="center"/>
    </xf>
    <xf numFmtId="49" fontId="15" fillId="0" borderId="0" xfId="1" applyNumberFormat="1" applyFont="1" applyFill="1" applyAlignment="1">
      <alignment vertical="center" wrapText="1"/>
    </xf>
    <xf numFmtId="49" fontId="15" fillId="0" borderId="0" xfId="1" applyNumberFormat="1" applyFont="1" applyFill="1" applyBorder="1" applyAlignment="1">
      <alignment vertical="center" wrapText="1"/>
    </xf>
    <xf numFmtId="0" fontId="15" fillId="3" borderId="11" xfId="1" applyFont="1" applyFill="1" applyBorder="1" applyAlignment="1">
      <alignment vertical="top" wrapText="1"/>
    </xf>
    <xf numFmtId="49" fontId="12" fillId="0" borderId="0" xfId="1" applyNumberFormat="1" applyFont="1" applyFill="1" applyBorder="1" applyAlignment="1">
      <alignment vertical="center" wrapText="1"/>
    </xf>
    <xf numFmtId="49" fontId="13" fillId="0" borderId="0" xfId="1" applyNumberFormat="1" applyFont="1" applyFill="1" applyAlignment="1">
      <alignment horizontal="center" vertical="center" wrapText="1"/>
    </xf>
    <xf numFmtId="49" fontId="13" fillId="0" borderId="0" xfId="1" applyNumberFormat="1" applyFont="1" applyFill="1" applyBorder="1" applyAlignment="1">
      <alignment vertical="center" wrapText="1"/>
    </xf>
    <xf numFmtId="0" fontId="14" fillId="0" borderId="0" xfId="1" applyFont="1" applyFill="1"/>
    <xf numFmtId="2" fontId="10" fillId="0" borderId="0" xfId="1" applyNumberFormat="1" applyFont="1" applyFill="1" applyBorder="1" applyAlignment="1">
      <alignment horizontal="left" vertical="center"/>
    </xf>
    <xf numFmtId="0" fontId="15" fillId="0" borderId="0" xfId="1" applyFont="1" applyFill="1" applyAlignment="1">
      <alignment horizontal="center" vertical="center"/>
    </xf>
    <xf numFmtId="0" fontId="12" fillId="0" borderId="0" xfId="1" applyFont="1" applyFill="1" applyBorder="1" applyAlignment="1">
      <alignment horizontal="center" vertical="center"/>
    </xf>
    <xf numFmtId="49" fontId="12" fillId="0" borderId="0" xfId="1" applyNumberFormat="1" applyFill="1"/>
    <xf numFmtId="0" fontId="12" fillId="0" borderId="11" xfId="1" applyFont="1" applyFill="1" applyBorder="1" applyAlignment="1">
      <alignment vertical="center" wrapText="1"/>
    </xf>
    <xf numFmtId="0" fontId="23" fillId="0" borderId="0" xfId="1" applyFont="1" applyFill="1" applyBorder="1"/>
    <xf numFmtId="0" fontId="23" fillId="0" borderId="0" xfId="1" applyNumberFormat="1" applyFont="1" applyFill="1" applyBorder="1"/>
    <xf numFmtId="0" fontId="23" fillId="0" borderId="0" xfId="1" applyFont="1" applyFill="1" applyBorder="1" applyAlignment="1">
      <alignment horizontal="left"/>
    </xf>
    <xf numFmtId="2" fontId="23" fillId="0" borderId="0" xfId="1" applyNumberFormat="1" applyFont="1" applyFill="1" applyBorder="1"/>
    <xf numFmtId="0" fontId="23" fillId="0" borderId="0" xfId="1" applyFont="1" applyFill="1" applyAlignment="1">
      <alignment vertical="center"/>
    </xf>
    <xf numFmtId="0" fontId="23" fillId="0" borderId="0" xfId="1" applyNumberFormat="1" applyFont="1" applyFill="1"/>
    <xf numFmtId="0" fontId="15" fillId="0" borderId="0" xfId="1" applyFont="1" applyFill="1"/>
    <xf numFmtId="0" fontId="15" fillId="0" borderId="0" xfId="1" applyFont="1" applyFill="1" applyAlignment="1">
      <alignment horizontal="left"/>
    </xf>
    <xf numFmtId="0" fontId="15" fillId="0" borderId="0" xfId="1" applyFont="1" applyFill="1" applyAlignment="1">
      <alignment vertical="top"/>
    </xf>
    <xf numFmtId="0" fontId="15" fillId="0" borderId="0" xfId="1" applyFont="1" applyFill="1" applyAlignment="1">
      <alignment vertical="center"/>
    </xf>
    <xf numFmtId="0" fontId="15" fillId="0" borderId="0" xfId="1" applyNumberFormat="1" applyFont="1" applyFill="1" applyAlignment="1">
      <alignment vertical="top"/>
    </xf>
    <xf numFmtId="0" fontId="15" fillId="0" borderId="0" xfId="1" applyFont="1" applyFill="1" applyAlignment="1">
      <alignment horizontal="left" vertical="top"/>
    </xf>
    <xf numFmtId="0" fontId="17" fillId="0" borderId="0" xfId="1" applyFont="1" applyFill="1"/>
    <xf numFmtId="0" fontId="17" fillId="0" borderId="0" xfId="1" applyNumberFormat="1" applyFont="1" applyFill="1"/>
    <xf numFmtId="0" fontId="17" fillId="0" borderId="0" xfId="1" applyFont="1" applyFill="1" applyAlignment="1">
      <alignment horizontal="left"/>
    </xf>
    <xf numFmtId="0" fontId="12" fillId="0" borderId="0" xfId="1" applyNumberFormat="1" applyFill="1"/>
    <xf numFmtId="0" fontId="12" fillId="0" borderId="0" xfId="1" applyFill="1" applyAlignment="1">
      <alignment horizontal="left"/>
    </xf>
    <xf numFmtId="0" fontId="17" fillId="0" borderId="0" xfId="1" applyFont="1" applyFill="1" applyAlignment="1">
      <alignment horizontal="center"/>
    </xf>
    <xf numFmtId="0" fontId="17" fillId="0" borderId="0" xfId="3" applyFont="1" applyFill="1"/>
    <xf numFmtId="0" fontId="26" fillId="0" borderId="0" xfId="3" applyFont="1" applyFill="1"/>
    <xf numFmtId="0" fontId="8" fillId="0" borderId="0" xfId="1" applyFont="1" applyFill="1" applyBorder="1" applyAlignment="1">
      <alignment horizontal="center" vertical="center"/>
    </xf>
    <xf numFmtId="0" fontId="17" fillId="0" borderId="0" xfId="3" applyFont="1" applyFill="1" applyAlignment="1">
      <alignment horizontal="center"/>
    </xf>
    <xf numFmtId="0" fontId="17" fillId="0" borderId="0" xfId="3" applyNumberFormat="1" applyFont="1" applyFill="1" applyAlignment="1">
      <alignment horizontal="center"/>
    </xf>
    <xf numFmtId="0" fontId="17" fillId="0" borderId="0" xfId="3" applyFont="1" applyFill="1" applyAlignment="1">
      <alignment horizontal="left"/>
    </xf>
    <xf numFmtId="0" fontId="23" fillId="0" borderId="4" xfId="3" applyFont="1" applyFill="1" applyBorder="1" applyAlignment="1">
      <alignment horizontal="center" vertical="center"/>
    </xf>
    <xf numFmtId="0" fontId="23" fillId="0" borderId="4" xfId="3" applyFont="1" applyFill="1" applyBorder="1" applyAlignment="1">
      <alignment horizontal="center"/>
    </xf>
    <xf numFmtId="1" fontId="23" fillId="0" borderId="4" xfId="3" applyNumberFormat="1" applyFont="1" applyFill="1" applyBorder="1" applyAlignment="1">
      <alignment horizontal="center"/>
    </xf>
    <xf numFmtId="0" fontId="26" fillId="0" borderId="0" xfId="3" applyFont="1" applyFill="1" applyAlignment="1">
      <alignment horizontal="right"/>
    </xf>
    <xf numFmtId="0" fontId="26" fillId="0" borderId="0" xfId="3" applyFont="1" applyFill="1" applyAlignment="1"/>
    <xf numFmtId="2" fontId="26" fillId="0" borderId="0" xfId="3" applyNumberFormat="1" applyFont="1" applyFill="1" applyAlignment="1">
      <alignment horizontal="right"/>
    </xf>
    <xf numFmtId="0" fontId="12" fillId="0" borderId="0" xfId="3" applyFont="1" applyFill="1"/>
    <xf numFmtId="0" fontId="19" fillId="0" borderId="0" xfId="1" applyFont="1" applyFill="1" applyBorder="1" applyAlignment="1">
      <alignment vertical="center"/>
    </xf>
    <xf numFmtId="0" fontId="26" fillId="0" borderId="0" xfId="1" applyFont="1" applyFill="1" applyBorder="1" applyAlignment="1">
      <alignment vertical="center"/>
    </xf>
    <xf numFmtId="0" fontId="26" fillId="0" borderId="0" xfId="3" applyFont="1" applyFill="1" applyAlignment="1">
      <alignment vertical="center"/>
    </xf>
    <xf numFmtId="49" fontId="15" fillId="0" borderId="11" xfId="1" applyNumberFormat="1" applyFont="1" applyFill="1" applyBorder="1" applyAlignment="1">
      <alignment vertical="center" wrapText="1"/>
    </xf>
    <xf numFmtId="2" fontId="15" fillId="0" borderId="0" xfId="3" applyNumberFormat="1" applyFont="1" applyFill="1" applyBorder="1" applyAlignment="1">
      <alignment horizontal="center" vertical="center" wrapText="1"/>
    </xf>
    <xf numFmtId="0" fontId="15" fillId="0" borderId="11" xfId="1" applyFont="1" applyFill="1" applyBorder="1" applyAlignment="1">
      <alignment vertical="center"/>
    </xf>
    <xf numFmtId="49" fontId="18" fillId="0" borderId="0" xfId="1" applyNumberFormat="1" applyFont="1" applyFill="1" applyAlignment="1">
      <alignment wrapText="1"/>
    </xf>
    <xf numFmtId="0" fontId="15" fillId="0" borderId="0" xfId="3" applyFont="1" applyFill="1" applyBorder="1" applyAlignment="1">
      <alignment vertical="center"/>
    </xf>
    <xf numFmtId="0" fontId="15" fillId="0" borderId="0" xfId="3" applyNumberFormat="1" applyFont="1" applyFill="1" applyBorder="1" applyAlignment="1">
      <alignment horizontal="center" vertical="center"/>
    </xf>
    <xf numFmtId="0" fontId="15" fillId="0" borderId="0" xfId="3" applyFont="1" applyFill="1" applyBorder="1" applyAlignment="1">
      <alignment horizontal="center" vertical="center"/>
    </xf>
    <xf numFmtId="0" fontId="12" fillId="0" borderId="0" xfId="1" applyFill="1" applyAlignment="1">
      <alignment horizontal="center"/>
    </xf>
    <xf numFmtId="0" fontId="0" fillId="0" borderId="0" xfId="0" applyFill="1" applyAlignment="1">
      <alignment horizontal="center"/>
    </xf>
    <xf numFmtId="0" fontId="0" fillId="0" borderId="0" xfId="0" applyFill="1" applyBorder="1" applyAlignment="1">
      <alignment horizontal="center"/>
    </xf>
    <xf numFmtId="49" fontId="10" fillId="0" borderId="2" xfId="0" applyNumberFormat="1" applyFont="1" applyFill="1" applyBorder="1" applyAlignment="1">
      <alignment horizontal="center" vertical="center" wrapText="1"/>
    </xf>
    <xf numFmtId="0" fontId="10" fillId="0" borderId="4" xfId="0" applyFont="1" applyFill="1" applyBorder="1" applyAlignment="1">
      <alignment horizontal="center" vertical="center"/>
    </xf>
    <xf numFmtId="0" fontId="23" fillId="0" borderId="4" xfId="3" applyFont="1" applyFill="1" applyBorder="1" applyAlignment="1">
      <alignment horizontal="center" vertical="center" wrapText="1"/>
    </xf>
    <xf numFmtId="0" fontId="27" fillId="0" borderId="0" xfId="3" applyFont="1" applyFill="1" applyBorder="1" applyAlignment="1">
      <alignment vertical="center"/>
    </xf>
    <xf numFmtId="0" fontId="30" fillId="0" borderId="0" xfId="0" applyFont="1" applyFill="1" applyAlignment="1">
      <alignment horizontal="center"/>
    </xf>
    <xf numFmtId="0" fontId="30" fillId="0" borderId="0" xfId="0" applyFont="1" applyFill="1"/>
    <xf numFmtId="0" fontId="31" fillId="0" borderId="0" xfId="0" applyFont="1" applyFill="1"/>
    <xf numFmtId="0" fontId="33" fillId="0" borderId="0" xfId="0" applyFont="1" applyFill="1" applyBorder="1" applyAlignment="1"/>
    <xf numFmtId="0" fontId="34" fillId="0" borderId="0" xfId="0" applyFont="1" applyFill="1" applyBorder="1" applyAlignment="1">
      <alignment horizontal="center"/>
    </xf>
    <xf numFmtId="0" fontId="33" fillId="0" borderId="0" xfId="0" applyFont="1" applyFill="1" applyBorder="1" applyAlignment="1">
      <alignment horizontal="center"/>
    </xf>
    <xf numFmtId="0" fontId="30" fillId="0" borderId="0" xfId="0" applyFont="1" applyFill="1" applyAlignment="1">
      <alignment vertical="center" wrapText="1"/>
    </xf>
    <xf numFmtId="0" fontId="23" fillId="0" borderId="0" xfId="3" applyFont="1" applyFill="1" applyBorder="1" applyAlignment="1">
      <alignment horizontal="center" vertical="center" wrapText="1"/>
    </xf>
    <xf numFmtId="0" fontId="34" fillId="0" borderId="0" xfId="0" applyFont="1" applyFill="1" applyBorder="1" applyAlignment="1">
      <alignment horizontal="center" vertical="center" wrapText="1"/>
    </xf>
    <xf numFmtId="0" fontId="23" fillId="0" borderId="0" xfId="3" applyFont="1" applyFill="1" applyBorder="1" applyAlignment="1">
      <alignment horizontal="center" vertical="center"/>
    </xf>
    <xf numFmtId="0" fontId="35" fillId="0" borderId="0" xfId="0" applyFont="1" applyFill="1" applyBorder="1" applyAlignment="1">
      <alignment vertical="center" wrapText="1"/>
    </xf>
    <xf numFmtId="0" fontId="34" fillId="0" borderId="4"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15" fillId="0" borderId="4" xfId="3" applyFont="1" applyFill="1" applyBorder="1" applyAlignment="1">
      <alignment horizontal="center" vertical="center" wrapText="1"/>
    </xf>
    <xf numFmtId="0" fontId="15" fillId="0" borderId="6" xfId="3" applyNumberFormat="1" applyFont="1" applyFill="1" applyBorder="1" applyAlignment="1">
      <alignment horizontal="center" vertical="center" wrapText="1"/>
    </xf>
    <xf numFmtId="0" fontId="15" fillId="0" borderId="6" xfId="3" applyFont="1" applyFill="1" applyBorder="1" applyAlignment="1">
      <alignment horizontal="center" vertical="center" wrapText="1"/>
    </xf>
    <xf numFmtId="0" fontId="35" fillId="0" borderId="4" xfId="0" applyFont="1" applyFill="1" applyBorder="1" applyAlignment="1">
      <alignment horizontal="center" vertical="center"/>
    </xf>
    <xf numFmtId="0" fontId="15" fillId="0" borderId="0" xfId="3"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0" xfId="0" applyFont="1" applyFill="1" applyBorder="1" applyAlignment="1">
      <alignment horizontal="center" vertical="center"/>
    </xf>
    <xf numFmtId="2" fontId="15" fillId="0" borderId="0" xfId="0" applyNumberFormat="1" applyFont="1" applyFill="1" applyBorder="1" applyAlignment="1">
      <alignment horizontal="center" vertical="center"/>
    </xf>
    <xf numFmtId="2" fontId="15" fillId="0" borderId="0" xfId="0" applyNumberFormat="1" applyFont="1" applyFill="1" applyBorder="1" applyAlignment="1">
      <alignment vertical="center"/>
    </xf>
    <xf numFmtId="2" fontId="35" fillId="0" borderId="0" xfId="0" applyNumberFormat="1" applyFont="1" applyFill="1" applyBorder="1" applyAlignment="1">
      <alignment horizontal="center" vertical="center"/>
    </xf>
    <xf numFmtId="2" fontId="0" fillId="0" borderId="0" xfId="0" applyNumberFormat="1" applyFill="1" applyBorder="1"/>
    <xf numFmtId="0" fontId="12" fillId="0" borderId="0" xfId="0" applyFont="1" applyFill="1" applyAlignment="1">
      <alignment vertical="center" wrapText="1"/>
    </xf>
    <xf numFmtId="0" fontId="30" fillId="0" borderId="0" xfId="0" applyFont="1" applyFill="1" applyBorder="1"/>
    <xf numFmtId="0" fontId="30" fillId="0" borderId="0" xfId="0" applyFont="1" applyFill="1" applyBorder="1" applyAlignment="1">
      <alignment vertical="center"/>
    </xf>
    <xf numFmtId="0" fontId="15" fillId="3" borderId="11" xfId="0" applyFont="1" applyFill="1" applyBorder="1" applyAlignment="1">
      <alignment vertical="center" wrapText="1"/>
    </xf>
    <xf numFmtId="0" fontId="37" fillId="0" borderId="11" xfId="0" applyNumberFormat="1" applyFont="1" applyFill="1" applyBorder="1" applyAlignment="1">
      <alignment vertical="center" wrapText="1"/>
    </xf>
    <xf numFmtId="0" fontId="37"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49" fontId="15" fillId="0" borderId="0" xfId="0" applyNumberFormat="1" applyFont="1" applyFill="1" applyAlignment="1">
      <alignment vertical="center" wrapText="1"/>
    </xf>
    <xf numFmtId="0" fontId="8"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8" fillId="0" borderId="0"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Alignment="1">
      <alignment vertical="center"/>
    </xf>
    <xf numFmtId="0" fontId="8" fillId="0" borderId="0" xfId="0" applyFont="1" applyFill="1" applyBorder="1" applyAlignment="1">
      <alignment horizontal="center" vertical="center"/>
    </xf>
    <xf numFmtId="0" fontId="38" fillId="0" borderId="0" xfId="0" applyFont="1" applyFill="1" applyBorder="1" applyAlignment="1">
      <alignment vertical="center" wrapText="1"/>
    </xf>
    <xf numFmtId="4" fontId="38" fillId="0" borderId="0" xfId="0" applyNumberFormat="1" applyFont="1" applyFill="1" applyBorder="1" applyAlignment="1">
      <alignment vertical="center"/>
    </xf>
    <xf numFmtId="0" fontId="30" fillId="0" borderId="0" xfId="0" applyFont="1" applyFill="1" applyAlignment="1"/>
    <xf numFmtId="0" fontId="15" fillId="0" borderId="0" xfId="0" applyFont="1" applyFill="1" applyAlignment="1">
      <alignment horizontal="center"/>
    </xf>
    <xf numFmtId="0" fontId="15" fillId="0" borderId="0" xfId="0" applyFont="1" applyFill="1"/>
    <xf numFmtId="0" fontId="23" fillId="0" borderId="0" xfId="0" applyFont="1" applyFill="1" applyBorder="1" applyAlignment="1">
      <alignment vertical="center" wrapText="1"/>
    </xf>
    <xf numFmtId="0" fontId="23" fillId="0" borderId="0" xfId="0" applyFont="1" applyFill="1" applyBorder="1" applyAlignment="1">
      <alignment horizontal="center" vertical="center" wrapText="1"/>
    </xf>
    <xf numFmtId="0" fontId="14" fillId="0" borderId="4" xfId="3" applyFont="1" applyFill="1" applyBorder="1" applyAlignment="1">
      <alignment horizontal="center" vertical="center" wrapText="1"/>
    </xf>
    <xf numFmtId="0" fontId="23" fillId="0" borderId="4" xfId="0" applyFont="1" applyFill="1" applyBorder="1" applyAlignment="1">
      <alignment horizontal="center" vertical="center" wrapText="1"/>
    </xf>
    <xf numFmtId="49" fontId="14" fillId="0" borderId="4" xfId="3" applyNumberFormat="1" applyFont="1" applyFill="1" applyBorder="1" applyAlignment="1">
      <alignment horizontal="center" vertical="center" wrapText="1"/>
    </xf>
    <xf numFmtId="0" fontId="23" fillId="0" borderId="4" xfId="0" applyFont="1" applyFill="1" applyBorder="1" applyAlignment="1">
      <alignment horizontal="center" vertical="center"/>
    </xf>
    <xf numFmtId="49" fontId="17" fillId="0" borderId="0" xfId="0" applyNumberFormat="1" applyFont="1" applyFill="1" applyBorder="1" applyAlignment="1">
      <alignment vertical="center" wrapText="1"/>
    </xf>
    <xf numFmtId="0" fontId="17" fillId="0" borderId="0" xfId="0" applyNumberFormat="1" applyFont="1" applyFill="1" applyBorder="1" applyAlignment="1">
      <alignment vertical="center" wrapText="1"/>
    </xf>
    <xf numFmtId="49" fontId="17" fillId="0" borderId="0" xfId="0" applyNumberFormat="1" applyFont="1" applyFill="1" applyBorder="1" applyAlignment="1">
      <alignment horizontal="center" vertical="center" wrapText="1"/>
    </xf>
    <xf numFmtId="1" fontId="17" fillId="0" borderId="0" xfId="0" applyNumberFormat="1" applyFont="1" applyFill="1" applyBorder="1" applyAlignment="1">
      <alignment horizontal="center" vertical="center" wrapText="1"/>
    </xf>
    <xf numFmtId="2" fontId="17" fillId="0" borderId="0" xfId="0" applyNumberFormat="1" applyFont="1" applyFill="1" applyBorder="1" applyAlignment="1">
      <alignment horizontal="center" vertical="center" wrapText="1"/>
    </xf>
    <xf numFmtId="0" fontId="12" fillId="0" borderId="0" xfId="0" applyFont="1" applyFill="1" applyBorder="1" applyAlignment="1">
      <alignment horizontal="left" vertical="center"/>
    </xf>
    <xf numFmtId="0" fontId="12" fillId="0" borderId="0" xfId="0" applyNumberFormat="1" applyFont="1" applyFill="1" applyBorder="1" applyAlignment="1">
      <alignment horizontal="center" vertical="center"/>
    </xf>
    <xf numFmtId="2" fontId="23" fillId="0" borderId="0" xfId="0" applyNumberFormat="1" applyFont="1" applyFill="1" applyBorder="1" applyAlignment="1">
      <alignment horizontal="left" vertical="center"/>
    </xf>
    <xf numFmtId="0" fontId="15" fillId="0" borderId="0" xfId="0" applyFont="1" applyFill="1" applyAlignment="1">
      <alignment horizontal="center" vertical="center"/>
    </xf>
    <xf numFmtId="0" fontId="15" fillId="0" borderId="11" xfId="0" applyFont="1" applyFill="1" applyBorder="1" applyAlignment="1">
      <alignment vertical="center"/>
    </xf>
    <xf numFmtId="49" fontId="12" fillId="0" borderId="0" xfId="0" applyNumberFormat="1" applyFont="1" applyFill="1" applyBorder="1" applyAlignment="1">
      <alignment horizontal="center"/>
    </xf>
    <xf numFmtId="2" fontId="0" fillId="0" borderId="0" xfId="0" applyNumberFormat="1" applyFill="1" applyBorder="1" applyAlignment="1">
      <alignment horizontal="center"/>
    </xf>
    <xf numFmtId="0" fontId="12" fillId="0" borderId="0" xfId="0" applyFont="1" applyFill="1" applyBorder="1" applyAlignment="1">
      <alignment horizontal="center" vertical="top" wrapText="1"/>
    </xf>
    <xf numFmtId="0" fontId="38" fillId="0" borderId="0" xfId="0" applyFont="1" applyFill="1" applyAlignment="1"/>
    <xf numFmtId="49" fontId="23" fillId="0" borderId="4" xfId="3" applyNumberFormat="1" applyFont="1" applyFill="1" applyBorder="1" applyAlignment="1">
      <alignment horizontal="center" vertical="center" wrapText="1"/>
    </xf>
    <xf numFmtId="0" fontId="16" fillId="0" borderId="4" xfId="3" applyFont="1" applyFill="1" applyBorder="1" applyAlignment="1">
      <alignment horizontal="center" vertical="center" wrapText="1"/>
    </xf>
    <xf numFmtId="0" fontId="16" fillId="0" borderId="4" xfId="0" applyFont="1" applyFill="1" applyBorder="1" applyAlignment="1">
      <alignment horizontal="center" vertical="center" wrapText="1"/>
    </xf>
    <xf numFmtId="49" fontId="16" fillId="0" borderId="4" xfId="3" applyNumberFormat="1" applyFont="1" applyFill="1" applyBorder="1" applyAlignment="1">
      <alignment horizontal="center" vertical="center" wrapText="1"/>
    </xf>
    <xf numFmtId="0" fontId="16" fillId="0" borderId="4" xfId="3" applyFont="1" applyFill="1" applyBorder="1" applyAlignment="1">
      <alignment horizontal="center" vertical="center"/>
    </xf>
    <xf numFmtId="0" fontId="15" fillId="0" borderId="0" xfId="0" applyFont="1" applyFill="1" applyBorder="1" applyAlignment="1">
      <alignment vertical="center" wrapText="1"/>
    </xf>
    <xf numFmtId="49" fontId="15" fillId="0" borderId="0" xfId="0" applyNumberFormat="1" applyFont="1" applyFill="1" applyBorder="1" applyAlignment="1">
      <alignment horizontal="left" vertical="center"/>
    </xf>
    <xf numFmtId="0" fontId="15"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35" fillId="0" borderId="0" xfId="0" applyFont="1" applyFill="1" applyBorder="1" applyAlignment="1">
      <alignment horizontal="center"/>
    </xf>
    <xf numFmtId="0" fontId="43" fillId="0" borderId="0" xfId="0" applyFont="1" applyFill="1" applyAlignment="1">
      <alignment horizontal="center"/>
    </xf>
    <xf numFmtId="0" fontId="15" fillId="0" borderId="0" xfId="0" applyFont="1" applyFill="1" applyAlignment="1"/>
    <xf numFmtId="0" fontId="23" fillId="0" borderId="3" xfId="3" applyFont="1" applyFill="1" applyBorder="1" applyAlignment="1">
      <alignment horizontal="center" vertical="center" wrapText="1"/>
    </xf>
    <xf numFmtId="2" fontId="15" fillId="0" borderId="0" xfId="4" applyNumberFormat="1" applyFont="1" applyFill="1" applyBorder="1" applyAlignment="1">
      <alignment horizontal="center" vertical="center" wrapText="1"/>
    </xf>
    <xf numFmtId="0" fontId="44" fillId="0" borderId="11" xfId="0" applyFont="1" applyFill="1" applyBorder="1" applyAlignment="1">
      <alignment vertical="center" wrapText="1"/>
    </xf>
    <xf numFmtId="0" fontId="44" fillId="0" borderId="0" xfId="0" applyFont="1" applyFill="1" applyBorder="1" applyAlignment="1">
      <alignment vertical="center" wrapText="1"/>
    </xf>
    <xf numFmtId="0" fontId="45" fillId="0" borderId="0" xfId="0" applyFont="1" applyFill="1" applyBorder="1" applyAlignment="1">
      <alignment vertical="center" wrapText="1"/>
    </xf>
    <xf numFmtId="2" fontId="0" fillId="0" borderId="0" xfId="0" applyNumberFormat="1" applyFill="1" applyBorder="1" applyAlignment="1">
      <alignment horizontal="center" vertical="center"/>
    </xf>
    <xf numFmtId="0" fontId="15" fillId="3" borderId="11" xfId="0" applyFont="1" applyFill="1" applyBorder="1" applyAlignment="1">
      <alignment vertical="top" wrapText="1"/>
    </xf>
    <xf numFmtId="49" fontId="15" fillId="0" borderId="11" xfId="0" applyNumberFormat="1" applyFont="1" applyFill="1" applyBorder="1" applyAlignment="1">
      <alignment vertical="center" wrapText="1"/>
    </xf>
    <xf numFmtId="2" fontId="0" fillId="0" borderId="0" xfId="0" applyNumberFormat="1" applyFill="1"/>
    <xf numFmtId="0" fontId="20" fillId="0" borderId="0" xfId="0" applyFont="1" applyFill="1" applyAlignment="1">
      <alignment horizontal="center"/>
    </xf>
    <xf numFmtId="0" fontId="20" fillId="0" borderId="0" xfId="0" applyNumberFormat="1" applyFont="1" applyFill="1" applyAlignment="1">
      <alignment horizontal="center"/>
    </xf>
    <xf numFmtId="0" fontId="23" fillId="0" borderId="0" xfId="0" applyFont="1" applyFill="1" applyAlignment="1"/>
    <xf numFmtId="0" fontId="23" fillId="0" borderId="0" xfId="0" applyFont="1" applyFill="1" applyAlignment="1">
      <alignment horizontal="center"/>
    </xf>
    <xf numFmtId="0" fontId="10" fillId="0" borderId="0" xfId="0" applyFont="1" applyFill="1" applyAlignment="1">
      <alignment horizontal="center"/>
    </xf>
    <xf numFmtId="0" fontId="23" fillId="0" borderId="0" xfId="0" applyNumberFormat="1" applyFont="1" applyFill="1" applyAlignment="1">
      <alignment horizontal="center"/>
    </xf>
    <xf numFmtId="0" fontId="10" fillId="0" borderId="1" xfId="0" applyFont="1" applyFill="1" applyBorder="1" applyAlignment="1">
      <alignment vertical="center"/>
    </xf>
    <xf numFmtId="2" fontId="23" fillId="0" borderId="4" xfId="2" applyNumberFormat="1" applyFont="1" applyFill="1" applyBorder="1" applyAlignment="1">
      <alignment horizontal="center" vertical="center" wrapText="1"/>
    </xf>
    <xf numFmtId="2" fontId="23" fillId="0" borderId="4" xfId="0" applyNumberFormat="1" applyFont="1" applyFill="1" applyBorder="1" applyAlignment="1">
      <alignment horizontal="center" vertical="center" wrapText="1"/>
    </xf>
    <xf numFmtId="0" fontId="23" fillId="0" borderId="4" xfId="0" applyFont="1" applyFill="1" applyBorder="1" applyAlignment="1">
      <alignment horizontal="center"/>
    </xf>
    <xf numFmtId="0" fontId="15" fillId="0" borderId="0" xfId="0" applyFont="1" applyFill="1" applyBorder="1"/>
    <xf numFmtId="0" fontId="12" fillId="0" borderId="0" xfId="0" applyFont="1" applyFill="1" applyBorder="1" applyAlignment="1">
      <alignment vertical="center" wrapText="1"/>
    </xf>
    <xf numFmtId="0" fontId="15" fillId="0" borderId="0" xfId="0" applyNumberFormat="1" applyFont="1" applyFill="1"/>
    <xf numFmtId="0" fontId="23" fillId="0" borderId="4" xfId="0" applyFont="1" applyFill="1" applyBorder="1" applyAlignment="1">
      <alignment horizontal="center" vertical="top"/>
    </xf>
    <xf numFmtId="0" fontId="15" fillId="0" borderId="0" xfId="0" applyFont="1" applyFill="1" applyAlignment="1">
      <alignment vertical="top"/>
    </xf>
    <xf numFmtId="2" fontId="15" fillId="0" borderId="0" xfId="0" applyNumberFormat="1" applyFont="1" applyFill="1" applyAlignment="1">
      <alignment vertical="top"/>
    </xf>
    <xf numFmtId="0" fontId="10" fillId="0" borderId="0" xfId="0" applyFont="1" applyFill="1" applyAlignment="1">
      <alignment vertical="center" wrapText="1"/>
    </xf>
    <xf numFmtId="0" fontId="12" fillId="0" borderId="0" xfId="0" applyFont="1" applyFill="1" applyBorder="1" applyAlignment="1">
      <alignment vertical="top" wrapText="1"/>
    </xf>
    <xf numFmtId="0" fontId="46" fillId="0" borderId="0" xfId="0" applyFont="1" applyFill="1" applyAlignment="1"/>
    <xf numFmtId="0" fontId="14" fillId="0" borderId="0" xfId="0" applyFont="1" applyFill="1" applyBorder="1" applyAlignment="1">
      <alignment horizontal="center" vertical="center"/>
    </xf>
    <xf numFmtId="0" fontId="0" fillId="0" borderId="0" xfId="0" applyFill="1" applyBorder="1" applyAlignment="1">
      <alignment vertical="top" wrapText="1"/>
    </xf>
    <xf numFmtId="0" fontId="12" fillId="3" borderId="11" xfId="0" applyFont="1" applyFill="1" applyBorder="1" applyAlignment="1">
      <alignment vertical="top" wrapText="1"/>
    </xf>
    <xf numFmtId="0" fontId="14" fillId="0" borderId="0" xfId="0" applyFont="1" applyFill="1" applyAlignment="1">
      <alignment horizontal="left"/>
    </xf>
    <xf numFmtId="0" fontId="0" fillId="0" borderId="0" xfId="0" applyFill="1" applyBorder="1" applyAlignment="1"/>
    <xf numFmtId="0" fontId="0" fillId="0" borderId="0" xfId="0" applyFill="1" applyAlignment="1">
      <alignment horizontal="center" vertical="center"/>
    </xf>
    <xf numFmtId="0" fontId="10" fillId="0" borderId="0" xfId="0" applyNumberFormat="1" applyFont="1" applyFill="1" applyBorder="1"/>
    <xf numFmtId="2" fontId="10" fillId="0" borderId="0" xfId="0" applyNumberFormat="1" applyFont="1" applyFill="1" applyBorder="1"/>
    <xf numFmtId="164" fontId="10" fillId="0" borderId="0" xfId="0" applyNumberFormat="1" applyFont="1" applyFill="1" applyBorder="1"/>
    <xf numFmtId="164" fontId="0" fillId="0" borderId="0" xfId="0" applyNumberFormat="1" applyFill="1" applyAlignment="1">
      <alignment horizontal="center" vertical="center"/>
    </xf>
    <xf numFmtId="0" fontId="0" fillId="0" borderId="0" xfId="0" applyFill="1" applyBorder="1" applyAlignment="1">
      <alignment horizontal="center" vertical="top"/>
    </xf>
    <xf numFmtId="0" fontId="15" fillId="0" borderId="0" xfId="0" quotePrefix="1" applyFont="1" applyFill="1" applyBorder="1" applyAlignment="1">
      <alignment vertical="center" wrapText="1"/>
    </xf>
    <xf numFmtId="0" fontId="47" fillId="0" borderId="0" xfId="0" quotePrefix="1" applyFont="1" applyFill="1" applyBorder="1" applyAlignment="1">
      <alignment vertical="center" wrapText="1"/>
    </xf>
    <xf numFmtId="0" fontId="0" fillId="0" borderId="1" xfId="0" applyFill="1" applyBorder="1" applyAlignment="1">
      <alignment horizontal="center"/>
    </xf>
    <xf numFmtId="0" fontId="0" fillId="0" borderId="1" xfId="0" applyFill="1" applyBorder="1"/>
    <xf numFmtId="164" fontId="0" fillId="0" borderId="1" xfId="0" applyNumberFormat="1" applyFill="1" applyBorder="1"/>
    <xf numFmtId="49" fontId="10" fillId="0" borderId="4" xfId="0" applyNumberFormat="1" applyFont="1" applyFill="1" applyBorder="1" applyAlignment="1">
      <alignment horizontal="center" vertical="top" wrapText="1"/>
    </xf>
    <xf numFmtId="0" fontId="10" fillId="0" borderId="4" xfId="0" applyNumberFormat="1" applyFont="1" applyFill="1" applyBorder="1" applyAlignment="1">
      <alignment horizontal="center"/>
    </xf>
    <xf numFmtId="49" fontId="15" fillId="0" borderId="0" xfId="0" applyNumberFormat="1" applyFont="1" applyFill="1" applyBorder="1" applyAlignment="1">
      <alignment vertical="top" wrapText="1"/>
    </xf>
    <xf numFmtId="0" fontId="15" fillId="0" borderId="0" xfId="0" applyNumberFormat="1" applyFont="1" applyFill="1" applyBorder="1" applyAlignment="1">
      <alignment horizontal="center" vertical="center" wrapText="1"/>
    </xf>
    <xf numFmtId="49" fontId="15" fillId="0" borderId="0" xfId="0" applyNumberFormat="1" applyFont="1" applyFill="1" applyBorder="1" applyAlignment="1">
      <alignment horizontal="center" vertical="center" wrapText="1"/>
    </xf>
    <xf numFmtId="0" fontId="23" fillId="0" borderId="0" xfId="0" applyFont="1" applyFill="1"/>
    <xf numFmtId="0" fontId="10" fillId="0" borderId="0" xfId="0" applyFont="1" applyFill="1" applyAlignment="1">
      <alignment vertical="center"/>
    </xf>
    <xf numFmtId="0" fontId="50" fillId="2" borderId="0" xfId="0" applyFont="1" applyFill="1" applyAlignment="1">
      <alignment vertical="top" wrapText="1"/>
    </xf>
    <xf numFmtId="0" fontId="0" fillId="0" borderId="0" xfId="0" applyFill="1" applyAlignment="1">
      <alignment vertical="center"/>
    </xf>
    <xf numFmtId="0" fontId="51" fillId="0" borderId="0" xfId="0" applyFont="1" applyFill="1" applyBorder="1" applyAlignment="1">
      <alignment vertical="top"/>
    </xf>
    <xf numFmtId="0" fontId="50" fillId="0" borderId="0" xfId="0" applyFont="1" applyFill="1" applyBorder="1" applyAlignment="1">
      <alignment vertical="top"/>
    </xf>
    <xf numFmtId="0" fontId="48" fillId="0" borderId="0" xfId="0" applyFont="1" applyFill="1" applyBorder="1" applyAlignment="1">
      <alignment horizontal="center" vertical="top" wrapText="1"/>
    </xf>
    <xf numFmtId="0" fontId="50" fillId="0" borderId="0" xfId="0" applyFont="1" applyFill="1" applyBorder="1" applyAlignment="1">
      <alignment vertical="center" wrapText="1"/>
    </xf>
    <xf numFmtId="1" fontId="0" fillId="0" borderId="0" xfId="0" applyNumberFormat="1" applyFill="1"/>
    <xf numFmtId="0" fontId="52" fillId="2" borderId="0" xfId="0" applyFont="1" applyFill="1" applyBorder="1" applyAlignment="1">
      <alignment horizontal="left" vertical="center"/>
    </xf>
    <xf numFmtId="0" fontId="52" fillId="0" borderId="0" xfId="0" applyFont="1" applyFill="1" applyBorder="1" applyAlignment="1">
      <alignment horizontal="left" vertical="center"/>
    </xf>
    <xf numFmtId="0" fontId="50" fillId="0" borderId="0" xfId="0" applyFont="1" applyFill="1" applyBorder="1" applyAlignment="1">
      <alignment horizontal="left" vertical="center" wrapText="1"/>
    </xf>
    <xf numFmtId="0" fontId="0" fillId="0" borderId="0" xfId="0" applyFill="1" applyAlignment="1">
      <alignment horizontal="left"/>
    </xf>
    <xf numFmtId="0" fontId="50" fillId="0" borderId="0" xfId="0" applyFont="1" applyFill="1" applyBorder="1"/>
    <xf numFmtId="0" fontId="23" fillId="0" borderId="0" xfId="0" applyFont="1" applyFill="1" applyAlignment="1">
      <alignment vertical="top"/>
    </xf>
    <xf numFmtId="0" fontId="50" fillId="0" borderId="11" xfId="0" applyFont="1" applyFill="1" applyBorder="1" applyAlignment="1"/>
    <xf numFmtId="0" fontId="52" fillId="2" borderId="0" xfId="0" applyFont="1" applyFill="1" applyBorder="1" applyAlignment="1">
      <alignment horizontal="left" vertical="top"/>
    </xf>
    <xf numFmtId="0" fontId="54" fillId="0" borderId="0" xfId="0" applyFont="1" applyFill="1" applyBorder="1" applyAlignment="1">
      <alignment vertical="top"/>
    </xf>
    <xf numFmtId="0" fontId="8" fillId="0" borderId="0" xfId="0" applyFont="1" applyFill="1" applyAlignment="1">
      <alignment horizontal="left" vertical="center"/>
    </xf>
    <xf numFmtId="0" fontId="49" fillId="0" borderId="0" xfId="0" applyFont="1" applyFill="1" applyBorder="1" applyAlignment="1">
      <alignment vertical="top"/>
    </xf>
    <xf numFmtId="0" fontId="0" fillId="0" borderId="0" xfId="0" applyFill="1" applyBorder="1" applyAlignment="1">
      <alignment horizontal="left"/>
    </xf>
    <xf numFmtId="0" fontId="50" fillId="0" borderId="0" xfId="0" applyFont="1" applyFill="1" applyBorder="1" applyAlignment="1">
      <alignment horizontal="left" vertical="top" wrapText="1"/>
    </xf>
    <xf numFmtId="2" fontId="48" fillId="0" borderId="0" xfId="0" applyNumberFormat="1" applyFont="1" applyFill="1" applyBorder="1" applyAlignment="1">
      <alignment horizontal="left" vertical="top" wrapText="1"/>
    </xf>
    <xf numFmtId="2" fontId="50" fillId="0" borderId="0" xfId="0" applyNumberFormat="1" applyFont="1" applyFill="1" applyBorder="1" applyAlignment="1">
      <alignment horizontal="left" vertical="top" wrapText="1"/>
    </xf>
    <xf numFmtId="0" fontId="50" fillId="0" borderId="11" xfId="0" applyFont="1" applyFill="1" applyBorder="1" applyAlignment="1">
      <alignment vertical="top"/>
    </xf>
    <xf numFmtId="0" fontId="50" fillId="0" borderId="0" xfId="0" applyFont="1" applyFill="1" applyBorder="1" applyAlignment="1">
      <alignment horizontal="left" vertical="center"/>
    </xf>
    <xf numFmtId="0" fontId="23" fillId="2" borderId="0" xfId="0" applyFont="1" applyFill="1" applyAlignment="1">
      <alignment vertical="top"/>
    </xf>
    <xf numFmtId="0" fontId="50" fillId="0" borderId="0" xfId="0" applyFont="1" applyFill="1" applyBorder="1" applyAlignment="1">
      <alignment vertical="top" wrapText="1"/>
    </xf>
    <xf numFmtId="0" fontId="50" fillId="0" borderId="0" xfId="0" applyFont="1" applyFill="1" applyBorder="1" applyAlignment="1">
      <alignment horizontal="left" vertical="top"/>
    </xf>
    <xf numFmtId="0" fontId="50" fillId="2" borderId="0" xfId="0" applyFont="1" applyFill="1" applyBorder="1" applyAlignment="1">
      <alignment vertical="top"/>
    </xf>
    <xf numFmtId="0" fontId="50" fillId="0" borderId="0" xfId="2" applyFont="1" applyFill="1" applyBorder="1" applyAlignment="1">
      <alignment vertical="top" wrapText="1"/>
    </xf>
    <xf numFmtId="0" fontId="50" fillId="0" borderId="0" xfId="0" applyFont="1" applyFill="1" applyBorder="1" applyAlignment="1">
      <alignment horizontal="center" vertical="top" wrapText="1"/>
    </xf>
    <xf numFmtId="0" fontId="34" fillId="2" borderId="0" xfId="0" applyFont="1" applyFill="1" applyAlignment="1">
      <alignment vertical="top"/>
    </xf>
    <xf numFmtId="0" fontId="56" fillId="0" borderId="0" xfId="0" applyFont="1" applyFill="1" applyAlignment="1">
      <alignment horizontal="left" vertical="top"/>
    </xf>
    <xf numFmtId="0" fontId="50" fillId="0" borderId="0" xfId="0" applyFont="1" applyFill="1" applyBorder="1" applyAlignment="1">
      <alignment vertical="center"/>
    </xf>
    <xf numFmtId="0" fontId="34" fillId="0" borderId="0" xfId="0" applyFont="1" applyFill="1" applyAlignment="1">
      <alignment vertical="top"/>
    </xf>
    <xf numFmtId="0" fontId="0" fillId="0" borderId="0" xfId="0" applyFill="1" applyBorder="1" applyAlignment="1">
      <alignment vertical="top"/>
    </xf>
    <xf numFmtId="0" fontId="12" fillId="0" borderId="0" xfId="0" applyFont="1" applyFill="1" applyBorder="1" applyAlignment="1">
      <alignment vertical="top"/>
    </xf>
    <xf numFmtId="0" fontId="48" fillId="0" borderId="0" xfId="0" applyFont="1" applyFill="1" applyBorder="1" applyAlignment="1">
      <alignment vertical="top" wrapText="1"/>
    </xf>
    <xf numFmtId="0" fontId="50" fillId="0" borderId="0" xfId="0" applyNumberFormat="1" applyFont="1" applyFill="1" applyBorder="1" applyAlignment="1">
      <alignment horizontal="center" vertical="top"/>
    </xf>
    <xf numFmtId="0" fontId="56" fillId="2" borderId="0" xfId="0" applyFont="1" applyFill="1" applyBorder="1" applyAlignment="1">
      <alignment horizontal="left" vertical="top"/>
    </xf>
    <xf numFmtId="0" fontId="50" fillId="0" borderId="0" xfId="0" applyFont="1" applyFill="1" applyAlignment="1">
      <alignment vertical="top"/>
    </xf>
    <xf numFmtId="0" fontId="50" fillId="0" borderId="0" xfId="0" applyNumberFormat="1" applyFont="1" applyFill="1" applyBorder="1" applyAlignment="1">
      <alignment horizontal="center" vertical="center"/>
    </xf>
    <xf numFmtId="0" fontId="48" fillId="2" borderId="0" xfId="0" applyFont="1" applyFill="1" applyBorder="1" applyAlignment="1">
      <alignment horizontal="center" vertical="top" wrapText="1"/>
    </xf>
    <xf numFmtId="0" fontId="59" fillId="2" borderId="0" xfId="0" applyFont="1" applyFill="1" applyAlignment="1">
      <alignment vertical="top"/>
    </xf>
    <xf numFmtId="0" fontId="49" fillId="2"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23" fillId="2" borderId="0" xfId="0" applyFont="1" applyFill="1" applyAlignment="1">
      <alignment vertical="top" wrapText="1"/>
    </xf>
    <xf numFmtId="166" fontId="0" fillId="0" borderId="0" xfId="8" applyFont="1" applyFill="1"/>
    <xf numFmtId="0" fontId="50" fillId="2" borderId="0" xfId="0" applyNumberFormat="1" applyFont="1" applyFill="1" applyBorder="1" applyAlignment="1">
      <alignment horizontal="center" vertical="top"/>
    </xf>
    <xf numFmtId="0" fontId="23" fillId="0" borderId="11" xfId="0" applyFont="1" applyFill="1" applyBorder="1" applyAlignment="1">
      <alignment vertical="top" wrapText="1"/>
    </xf>
    <xf numFmtId="0" fontId="23" fillId="0" borderId="0" xfId="0" applyFont="1" applyFill="1" applyAlignment="1">
      <alignment vertical="top" wrapText="1"/>
    </xf>
    <xf numFmtId="0" fontId="52" fillId="0" borderId="0" xfId="0" applyNumberFormat="1" applyFont="1" applyFill="1" applyBorder="1" applyAlignment="1">
      <alignment vertical="center"/>
    </xf>
    <xf numFmtId="0" fontId="59" fillId="0" borderId="0" xfId="0" applyFont="1" applyFill="1" applyAlignment="1">
      <alignment vertical="top"/>
    </xf>
    <xf numFmtId="0" fontId="23" fillId="0" borderId="4" xfId="3" applyFont="1" applyFill="1" applyBorder="1" applyAlignment="1">
      <alignment horizontal="center" vertical="center" wrapText="1"/>
    </xf>
    <xf numFmtId="0" fontId="34" fillId="0" borderId="4" xfId="0" applyFont="1" applyFill="1" applyBorder="1" applyAlignment="1">
      <alignment horizontal="center" vertical="center" wrapText="1"/>
    </xf>
    <xf numFmtId="0" fontId="23" fillId="0" borderId="6" xfId="3" applyFont="1" applyFill="1" applyBorder="1" applyAlignment="1">
      <alignment horizontal="center" vertical="center" wrapText="1"/>
    </xf>
    <xf numFmtId="0" fontId="48" fillId="0" borderId="0" xfId="0" applyFont="1" applyFill="1" applyBorder="1" applyAlignment="1">
      <alignment horizontal="left" vertical="top" wrapText="1"/>
    </xf>
    <xf numFmtId="0" fontId="23" fillId="0" borderId="6" xfId="3" applyNumberFormat="1" applyFont="1" applyFill="1" applyBorder="1" applyAlignment="1">
      <alignment horizontal="center" vertical="center" wrapText="1"/>
    </xf>
    <xf numFmtId="0" fontId="34" fillId="0" borderId="4" xfId="0" applyFont="1" applyFill="1" applyBorder="1" applyAlignment="1">
      <alignment horizontal="center" vertical="center"/>
    </xf>
    <xf numFmtId="0" fontId="34" fillId="2" borderId="0" xfId="0" applyFont="1" applyFill="1" applyAlignment="1">
      <alignment vertical="top" wrapText="1"/>
    </xf>
    <xf numFmtId="0" fontId="60" fillId="0" borderId="0" xfId="2" applyFont="1" applyFill="1" applyBorder="1" applyAlignment="1">
      <alignment horizontal="left" vertical="top" wrapText="1"/>
    </xf>
    <xf numFmtId="0" fontId="50" fillId="0" borderId="0" xfId="0" applyNumberFormat="1" applyFont="1" applyFill="1" applyBorder="1" applyAlignment="1">
      <alignment horizontal="left" vertical="top"/>
    </xf>
    <xf numFmtId="0" fontId="53" fillId="0" borderId="0" xfId="6" applyFont="1" applyFill="1" applyBorder="1" applyAlignment="1">
      <alignment horizontal="center" vertical="top"/>
    </xf>
    <xf numFmtId="2" fontId="50" fillId="0" borderId="0" xfId="0" applyNumberFormat="1" applyFont="1" applyFill="1" applyBorder="1" applyAlignment="1">
      <alignment horizontal="center" vertical="top"/>
    </xf>
    <xf numFmtId="0" fontId="23" fillId="0" borderId="0" xfId="0" applyFont="1" applyFill="1" applyBorder="1" applyAlignment="1">
      <alignment vertical="top" wrapText="1"/>
    </xf>
    <xf numFmtId="0" fontId="0" fillId="2" borderId="0" xfId="0" applyFill="1"/>
    <xf numFmtId="0" fontId="50" fillId="2" borderId="0" xfId="2" applyFont="1" applyFill="1" applyAlignment="1">
      <alignment vertical="top"/>
    </xf>
    <xf numFmtId="2" fontId="12" fillId="0" borderId="4" xfId="0" applyNumberFormat="1" applyFont="1" applyFill="1" applyBorder="1" applyAlignment="1">
      <alignment horizontal="center" vertical="center" wrapText="1"/>
    </xf>
    <xf numFmtId="0" fontId="12" fillId="3" borderId="11" xfId="1" applyFont="1" applyFill="1" applyBorder="1" applyAlignment="1">
      <alignment vertical="top" wrapText="1"/>
    </xf>
    <xf numFmtId="0" fontId="15" fillId="0" borderId="0" xfId="0" applyFont="1" applyFill="1" applyAlignment="1">
      <alignment horizontal="left" vertical="center"/>
    </xf>
    <xf numFmtId="0" fontId="59" fillId="2" borderId="0" xfId="0" applyFont="1" applyFill="1" applyAlignment="1">
      <alignment vertical="top" wrapText="1"/>
    </xf>
    <xf numFmtId="0" fontId="65" fillId="2" borderId="0" xfId="0" applyFont="1" applyFill="1" applyAlignment="1">
      <alignment vertical="top" wrapText="1"/>
    </xf>
    <xf numFmtId="0" fontId="65" fillId="0" borderId="0" xfId="0" applyFont="1" applyFill="1" applyAlignment="1">
      <alignment vertical="top" wrapText="1"/>
    </xf>
    <xf numFmtId="0" fontId="23" fillId="0" borderId="4" xfId="3" applyFont="1" applyFill="1" applyBorder="1" applyAlignment="1">
      <alignment horizontal="center" vertical="center" wrapText="1"/>
    </xf>
    <xf numFmtId="0" fontId="0" fillId="0" borderId="0" xfId="0" applyFill="1" applyAlignment="1">
      <alignment horizontal="center"/>
    </xf>
    <xf numFmtId="2" fontId="14" fillId="0" borderId="4" xfId="0" applyNumberFormat="1" applyFont="1" applyFill="1" applyBorder="1" applyAlignment="1">
      <alignment horizontal="center" vertical="center" wrapText="1"/>
    </xf>
    <xf numFmtId="49" fontId="12" fillId="0" borderId="0" xfId="1" applyNumberFormat="1" applyFill="1" applyAlignment="1">
      <alignment horizontal="center" wrapText="1"/>
    </xf>
    <xf numFmtId="49" fontId="8" fillId="0" borderId="0" xfId="1" applyNumberFormat="1" applyFont="1" applyFill="1" applyAlignment="1">
      <alignment wrapText="1"/>
    </xf>
    <xf numFmtId="49" fontId="12" fillId="0" borderId="0" xfId="1" applyNumberFormat="1" applyFill="1" applyAlignment="1">
      <alignment wrapText="1"/>
    </xf>
    <xf numFmtId="49" fontId="8" fillId="0" borderId="0" xfId="1" applyNumberFormat="1" applyFont="1" applyFill="1" applyAlignment="1">
      <alignment horizontal="center" wrapText="1"/>
    </xf>
    <xf numFmtId="49" fontId="14" fillId="0" borderId="0" xfId="1" applyNumberFormat="1" applyFont="1" applyFill="1" applyAlignment="1">
      <alignment wrapText="1"/>
    </xf>
    <xf numFmtId="49" fontId="12" fillId="0" borderId="0" xfId="1" applyNumberFormat="1" applyFill="1" applyBorder="1" applyAlignment="1">
      <alignment horizontal="center" wrapText="1"/>
    </xf>
    <xf numFmtId="2" fontId="12" fillId="0" borderId="0" xfId="1" applyNumberFormat="1" applyFill="1" applyBorder="1" applyAlignment="1">
      <alignment wrapText="1"/>
    </xf>
    <xf numFmtId="0" fontId="12" fillId="0" borderId="0" xfId="1" applyNumberFormat="1" applyFill="1" applyBorder="1" applyAlignment="1">
      <alignment horizontal="center" wrapText="1"/>
    </xf>
    <xf numFmtId="2" fontId="12" fillId="0" borderId="0" xfId="1" applyNumberFormat="1" applyFill="1" applyBorder="1" applyAlignment="1">
      <alignment horizontal="right" wrapText="1"/>
    </xf>
    <xf numFmtId="2" fontId="14" fillId="0" borderId="0" xfId="1" applyNumberFormat="1" applyFont="1" applyFill="1" applyBorder="1" applyAlignment="1">
      <alignment wrapText="1"/>
    </xf>
    <xf numFmtId="49" fontId="17" fillId="0" borderId="0" xfId="1" applyNumberFormat="1" applyFont="1" applyFill="1" applyAlignment="1">
      <alignment vertical="center" wrapText="1"/>
    </xf>
    <xf numFmtId="2" fontId="14" fillId="0" borderId="4" xfId="1" applyNumberFormat="1" applyFont="1" applyFill="1" applyBorder="1" applyAlignment="1">
      <alignment horizontal="center" vertical="center" wrapText="1"/>
    </xf>
    <xf numFmtId="49" fontId="10" fillId="0" borderId="0" xfId="1" applyNumberFormat="1" applyFont="1" applyFill="1" applyAlignment="1">
      <alignment wrapText="1"/>
    </xf>
    <xf numFmtId="0" fontId="14" fillId="0" borderId="4" xfId="1" applyNumberFormat="1" applyFont="1" applyFill="1" applyBorder="1" applyAlignment="1">
      <alignment horizontal="center" vertical="center" wrapText="1"/>
    </xf>
    <xf numFmtId="0" fontId="14" fillId="0" borderId="4" xfId="1" applyFont="1" applyFill="1" applyBorder="1" applyAlignment="1">
      <alignment horizontal="center" vertical="center" wrapText="1"/>
    </xf>
    <xf numFmtId="1" fontId="14" fillId="0" borderId="4" xfId="1" applyNumberFormat="1" applyFont="1" applyFill="1" applyBorder="1" applyAlignment="1">
      <alignment horizontal="center" vertical="center" wrapText="1"/>
    </xf>
    <xf numFmtId="0" fontId="14" fillId="0" borderId="0" xfId="1" applyFont="1" applyFill="1" applyBorder="1" applyAlignment="1" applyProtection="1">
      <alignment vertical="center" wrapText="1"/>
    </xf>
    <xf numFmtId="49" fontId="17" fillId="0" borderId="0" xfId="1" applyNumberFormat="1" applyFont="1" applyFill="1" applyBorder="1" applyAlignment="1">
      <alignment horizontal="center" vertical="center" wrapText="1"/>
    </xf>
    <xf numFmtId="0" fontId="50" fillId="0" borderId="0" xfId="1" applyFont="1" applyFill="1" applyBorder="1" applyAlignment="1">
      <alignment horizontal="left" vertical="top" wrapText="1"/>
    </xf>
    <xf numFmtId="49" fontId="17" fillId="0" borderId="0" xfId="1" applyNumberFormat="1" applyFont="1" applyFill="1" applyBorder="1" applyAlignment="1">
      <alignment vertical="center" wrapText="1"/>
    </xf>
    <xf numFmtId="0" fontId="17" fillId="3" borderId="0" xfId="1" applyFont="1" applyFill="1" applyAlignment="1">
      <alignment vertical="top" wrapText="1"/>
    </xf>
    <xf numFmtId="0" fontId="17" fillId="0" borderId="0" xfId="1" applyFont="1" applyFill="1" applyAlignment="1">
      <alignment vertical="center" wrapText="1"/>
    </xf>
    <xf numFmtId="49" fontId="12" fillId="0" borderId="0" xfId="1" applyNumberFormat="1" applyFill="1" applyAlignment="1">
      <alignment vertical="center" wrapText="1"/>
    </xf>
    <xf numFmtId="0" fontId="67" fillId="0" borderId="0" xfId="1" applyNumberFormat="1" applyFont="1" applyFill="1" applyAlignment="1">
      <alignment wrapText="1"/>
    </xf>
    <xf numFmtId="49" fontId="11" fillId="0" borderId="0" xfId="1" applyNumberFormat="1" applyFont="1" applyFill="1" applyBorder="1" applyAlignment="1">
      <alignment horizontal="center" wrapText="1"/>
    </xf>
    <xf numFmtId="2" fontId="12" fillId="0" borderId="0" xfId="1" applyNumberFormat="1" applyFill="1" applyAlignment="1">
      <alignment wrapText="1"/>
    </xf>
    <xf numFmtId="0" fontId="12" fillId="0" borderId="0" xfId="1" applyNumberFormat="1" applyFill="1" applyAlignment="1">
      <alignment wrapText="1"/>
    </xf>
    <xf numFmtId="2" fontId="17" fillId="0" borderId="0" xfId="1" applyNumberFormat="1" applyFont="1" applyFill="1" applyBorder="1" applyAlignment="1">
      <alignment horizontal="center" vertical="center" wrapText="1"/>
    </xf>
    <xf numFmtId="0" fontId="23" fillId="0" borderId="0" xfId="1" applyFont="1" applyFill="1" applyBorder="1" applyAlignment="1">
      <alignment vertical="center" wrapText="1"/>
    </xf>
    <xf numFmtId="49" fontId="14" fillId="0" borderId="0" xfId="1" applyNumberFormat="1" applyFont="1" applyFill="1" applyAlignment="1">
      <alignment vertical="center" wrapText="1"/>
    </xf>
    <xf numFmtId="2" fontId="14" fillId="0" borderId="0" xfId="1" applyNumberFormat="1" applyFont="1" applyFill="1" applyBorder="1" applyAlignment="1">
      <alignment horizontal="left" vertical="center"/>
    </xf>
    <xf numFmtId="49" fontId="15" fillId="0" borderId="0" xfId="1" applyNumberFormat="1" applyFont="1" applyFill="1" applyAlignment="1">
      <alignment horizontal="center" vertical="center" wrapText="1"/>
    </xf>
    <xf numFmtId="0" fontId="17" fillId="0" borderId="0" xfId="1" applyFont="1" applyFill="1" applyBorder="1" applyAlignment="1">
      <alignment vertical="center"/>
    </xf>
    <xf numFmtId="0" fontId="17" fillId="0" borderId="11" xfId="1" applyFont="1" applyFill="1" applyBorder="1" applyAlignment="1">
      <alignment vertical="center" wrapText="1"/>
    </xf>
    <xf numFmtId="0" fontId="17" fillId="0" borderId="0" xfId="1" applyNumberFormat="1" applyFont="1" applyFill="1" applyBorder="1" applyAlignment="1">
      <alignment horizontal="center" vertical="center" wrapText="1"/>
    </xf>
    <xf numFmtId="49" fontId="17" fillId="0" borderId="4" xfId="1" applyNumberFormat="1" applyFont="1" applyFill="1" applyBorder="1" applyAlignment="1">
      <alignment horizontal="center" vertical="center" wrapText="1"/>
    </xf>
    <xf numFmtId="49" fontId="17" fillId="0" borderId="0" xfId="1" applyNumberFormat="1" applyFont="1" applyFill="1" applyBorder="1" applyAlignment="1">
      <alignment horizontal="left" vertical="center" wrapText="1"/>
    </xf>
    <xf numFmtId="1" fontId="17" fillId="0" borderId="0" xfId="1" applyNumberFormat="1" applyFont="1" applyFill="1" applyBorder="1" applyAlignment="1">
      <alignment horizontal="center" wrapText="1"/>
    </xf>
    <xf numFmtId="1" fontId="17" fillId="0" borderId="0" xfId="1" applyNumberFormat="1" applyFont="1" applyFill="1" applyBorder="1" applyAlignment="1">
      <alignment wrapText="1"/>
    </xf>
    <xf numFmtId="49" fontId="17" fillId="0" borderId="0" xfId="1" applyNumberFormat="1" applyFont="1" applyFill="1" applyAlignment="1">
      <alignment horizontal="center" vertical="center" wrapText="1"/>
    </xf>
    <xf numFmtId="1" fontId="17" fillId="0" borderId="0" xfId="1" applyNumberFormat="1" applyFont="1" applyFill="1" applyBorder="1" applyAlignment="1">
      <alignment horizontal="center" vertical="center" wrapText="1"/>
    </xf>
    <xf numFmtId="0" fontId="12" fillId="0" borderId="0" xfId="1" applyNumberFormat="1" applyFill="1" applyAlignment="1">
      <alignment horizontal="center" wrapText="1"/>
    </xf>
    <xf numFmtId="2" fontId="12" fillId="0" borderId="0" xfId="1" applyNumberFormat="1" applyFill="1" applyAlignment="1">
      <alignment horizontal="right" wrapText="1"/>
    </xf>
    <xf numFmtId="2" fontId="14" fillId="0" borderId="0" xfId="1" applyNumberFormat="1" applyFont="1" applyFill="1" applyAlignment="1">
      <alignment horizontal="center" wrapText="1"/>
    </xf>
    <xf numFmtId="167" fontId="14" fillId="0" borderId="0" xfId="1" applyNumberFormat="1" applyFont="1" applyFill="1" applyAlignment="1">
      <alignment horizontal="center" wrapText="1"/>
    </xf>
    <xf numFmtId="0" fontId="69" fillId="0" borderId="1" xfId="0" applyFont="1" applyFill="1" applyBorder="1" applyAlignment="1" applyProtection="1"/>
    <xf numFmtId="0" fontId="14" fillId="0" borderId="4" xfId="0" applyFont="1" applyFill="1" applyBorder="1" applyAlignment="1" applyProtection="1">
      <alignment horizontal="center" vertical="top" wrapText="1"/>
    </xf>
    <xf numFmtId="0" fontId="14" fillId="0" borderId="4" xfId="0" applyFont="1" applyFill="1" applyBorder="1" applyAlignment="1" applyProtection="1">
      <alignment horizontal="center" vertical="center" wrapText="1"/>
    </xf>
    <xf numFmtId="0" fontId="14" fillId="0" borderId="4" xfId="0" applyFont="1" applyFill="1" applyBorder="1" applyAlignment="1" applyProtection="1">
      <alignment horizontal="center"/>
    </xf>
    <xf numFmtId="0" fontId="0" fillId="0" borderId="0" xfId="0" applyFill="1" applyAlignment="1">
      <alignment vertical="center" wrapText="1"/>
    </xf>
    <xf numFmtId="0" fontId="12" fillId="0" borderId="0" xfId="0" applyFont="1" applyFill="1" applyBorder="1" applyAlignment="1" applyProtection="1">
      <alignment vertical="center" wrapText="1"/>
    </xf>
    <xf numFmtId="0" fontId="55" fillId="0" borderId="0" xfId="0" applyFont="1" applyFill="1" applyBorder="1" applyAlignment="1">
      <alignment horizontal="left" vertical="center" wrapText="1"/>
    </xf>
    <xf numFmtId="0" fontId="17" fillId="3" borderId="0" xfId="0" applyFont="1" applyFill="1" applyAlignment="1">
      <alignment vertical="top" wrapText="1"/>
    </xf>
    <xf numFmtId="0" fontId="15" fillId="0" borderId="11" xfId="0" applyFont="1" applyFill="1" applyBorder="1" applyAlignment="1">
      <alignment vertical="center" wrapText="1"/>
    </xf>
    <xf numFmtId="49" fontId="17" fillId="0" borderId="0" xfId="0" applyNumberFormat="1" applyFont="1" applyFill="1" applyAlignment="1">
      <alignment vertical="center" wrapText="1"/>
    </xf>
    <xf numFmtId="0" fontId="0" fillId="0" borderId="11" xfId="0" applyFill="1" applyBorder="1" applyAlignment="1">
      <alignment vertical="center"/>
    </xf>
    <xf numFmtId="0" fontId="0" fillId="0" borderId="11" xfId="0" applyFill="1" applyBorder="1" applyAlignment="1">
      <alignment horizontal="center" vertical="center"/>
    </xf>
    <xf numFmtId="0" fontId="17" fillId="0" borderId="0" xfId="0" applyFont="1" applyFill="1" applyBorder="1" applyAlignment="1">
      <alignment horizontal="center" vertical="center"/>
    </xf>
    <xf numFmtId="0" fontId="17" fillId="0" borderId="0" xfId="0" applyFont="1" applyFill="1" applyAlignment="1">
      <alignment vertical="center"/>
    </xf>
    <xf numFmtId="0" fontId="17" fillId="0" borderId="11" xfId="0" applyFont="1" applyFill="1" applyBorder="1" applyAlignment="1">
      <alignment vertical="center" wrapText="1"/>
    </xf>
    <xf numFmtId="0" fontId="17" fillId="0" borderId="0" xfId="0" applyFont="1" applyFill="1" applyBorder="1" applyAlignment="1">
      <alignment vertical="center" wrapText="1"/>
    </xf>
    <xf numFmtId="0" fontId="14" fillId="0" borderId="0" xfId="0" applyFont="1" applyFill="1" applyAlignment="1">
      <alignment vertical="center"/>
    </xf>
    <xf numFmtId="0" fontId="17" fillId="0" borderId="0" xfId="0" applyFont="1" applyFill="1" applyBorder="1" applyAlignment="1">
      <alignment horizontal="left"/>
    </xf>
    <xf numFmtId="0" fontId="17" fillId="0" borderId="0" xfId="0" applyFont="1" applyFill="1" applyBorder="1"/>
    <xf numFmtId="0" fontId="17" fillId="0" borderId="0" xfId="0" applyNumberFormat="1" applyFont="1" applyFill="1" applyBorder="1"/>
    <xf numFmtId="0" fontId="0" fillId="0" borderId="0" xfId="0" applyFill="1" applyAlignment="1">
      <alignment vertical="top" wrapText="1"/>
    </xf>
    <xf numFmtId="0" fontId="14" fillId="0" borderId="4"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55" fillId="0" borderId="11" xfId="0" applyFont="1" applyFill="1" applyBorder="1" applyAlignment="1">
      <alignment vertical="center" wrapText="1"/>
    </xf>
    <xf numFmtId="0" fontId="55" fillId="0" borderId="0" xfId="0" applyFont="1" applyFill="1" applyBorder="1" applyAlignment="1">
      <alignment vertical="center" wrapText="1"/>
    </xf>
    <xf numFmtId="0" fontId="0" fillId="0" borderId="0" xfId="0" applyFill="1" applyBorder="1" applyAlignment="1">
      <alignment vertical="center"/>
    </xf>
    <xf numFmtId="2" fontId="14" fillId="0" borderId="0" xfId="0" applyNumberFormat="1" applyFont="1" applyFill="1" applyBorder="1" applyAlignment="1">
      <alignment horizontal="left" vertical="center"/>
    </xf>
    <xf numFmtId="0" fontId="12" fillId="0" borderId="0" xfId="0" applyFont="1" applyFill="1" applyBorder="1"/>
    <xf numFmtId="0" fontId="14" fillId="0" borderId="0" xfId="0" applyFont="1" applyFill="1" applyBorder="1" applyAlignment="1">
      <alignment horizontal="left" vertical="center" wrapText="1"/>
    </xf>
    <xf numFmtId="0" fontId="14" fillId="0" borderId="0" xfId="0" applyFont="1" applyFill="1" applyBorder="1" applyAlignment="1">
      <alignment vertical="center" wrapText="1"/>
    </xf>
    <xf numFmtId="0" fontId="17" fillId="0" borderId="0" xfId="0" applyFont="1" applyFill="1" applyBorder="1" applyAlignment="1">
      <alignment horizontal="center" vertical="center" wrapText="1"/>
    </xf>
    <xf numFmtId="2" fontId="14" fillId="0" borderId="0" xfId="0" applyNumberFormat="1" applyFont="1" applyFill="1" applyBorder="1" applyAlignment="1">
      <alignment horizontal="center" vertical="center" wrapText="1"/>
    </xf>
    <xf numFmtId="0" fontId="17" fillId="0" borderId="0" xfId="0" applyFont="1" applyFill="1"/>
    <xf numFmtId="0" fontId="17" fillId="0" borderId="0" xfId="0" applyNumberFormat="1" applyFont="1" applyFill="1"/>
    <xf numFmtId="2" fontId="17" fillId="0" borderId="0" xfId="0" applyNumberFormat="1" applyFont="1" applyFill="1" applyAlignment="1">
      <alignment horizontal="center"/>
    </xf>
    <xf numFmtId="0" fontId="17" fillId="0" borderId="4" xfId="0" applyFont="1" applyFill="1" applyBorder="1" applyAlignment="1">
      <alignment horizontal="center" vertical="center"/>
    </xf>
    <xf numFmtId="0" fontId="17" fillId="0" borderId="4" xfId="0" applyFont="1" applyFill="1" applyBorder="1" applyAlignment="1">
      <alignment vertical="center"/>
    </xf>
    <xf numFmtId="0" fontId="17" fillId="0" borderId="4" xfId="0" applyNumberFormat="1" applyFont="1" applyFill="1" applyBorder="1" applyAlignment="1">
      <alignment vertical="center"/>
    </xf>
    <xf numFmtId="0" fontId="17" fillId="0" borderId="0" xfId="0" applyFont="1" applyFill="1" applyAlignment="1">
      <alignment horizontal="center" vertical="center"/>
    </xf>
    <xf numFmtId="0" fontId="17" fillId="0" borderId="0" xfId="0" applyFont="1" applyFill="1" applyAlignment="1">
      <alignment vertical="top" wrapText="1"/>
    </xf>
    <xf numFmtId="49" fontId="0" fillId="0" borderId="0" xfId="0" applyNumberFormat="1" applyFill="1" applyAlignment="1">
      <alignment horizontal="center" wrapText="1"/>
    </xf>
    <xf numFmtId="49" fontId="8" fillId="0" borderId="0" xfId="0" applyNumberFormat="1" applyFont="1" applyFill="1" applyAlignment="1">
      <alignment vertical="center" wrapText="1"/>
    </xf>
    <xf numFmtId="49" fontId="8" fillId="0" borderId="0" xfId="0" applyNumberFormat="1" applyFont="1" applyFill="1" applyBorder="1" applyAlignment="1">
      <alignment vertical="center" wrapText="1"/>
    </xf>
    <xf numFmtId="49" fontId="0" fillId="0" borderId="0" xfId="0" applyNumberFormat="1" applyFill="1" applyAlignment="1">
      <alignment wrapText="1"/>
    </xf>
    <xf numFmtId="49" fontId="8" fillId="0" borderId="0" xfId="0" applyNumberFormat="1" applyFont="1" applyFill="1" applyAlignment="1">
      <alignment horizontal="center" vertical="center" wrapText="1"/>
    </xf>
    <xf numFmtId="49" fontId="8"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wrapText="1"/>
    </xf>
    <xf numFmtId="49" fontId="12" fillId="0" borderId="0" xfId="0" applyNumberFormat="1" applyFont="1" applyFill="1" applyBorder="1" applyAlignment="1">
      <alignment wrapText="1"/>
    </xf>
    <xf numFmtId="4" fontId="12" fillId="0" borderId="0" xfId="0" applyNumberFormat="1" applyFont="1" applyFill="1" applyBorder="1" applyAlignment="1">
      <alignment horizontal="center" wrapText="1"/>
    </xf>
    <xf numFmtId="2" fontId="12" fillId="0" borderId="0" xfId="0" applyNumberFormat="1" applyFont="1" applyFill="1" applyBorder="1" applyAlignment="1">
      <alignment horizontal="right" wrapText="1"/>
    </xf>
    <xf numFmtId="49" fontId="14" fillId="0" borderId="0" xfId="0" applyNumberFormat="1" applyFont="1" applyFill="1" applyBorder="1" applyAlignment="1">
      <alignment horizontal="center" wrapText="1"/>
    </xf>
    <xf numFmtId="49" fontId="10" fillId="0" borderId="0" xfId="0" applyNumberFormat="1" applyFont="1" applyFill="1" applyAlignment="1">
      <alignment wrapText="1"/>
    </xf>
    <xf numFmtId="0" fontId="14" fillId="0" borderId="4" xfId="0" applyNumberFormat="1" applyFont="1" applyFill="1" applyBorder="1" applyAlignment="1">
      <alignment horizontal="center" vertical="center" wrapText="1"/>
    </xf>
    <xf numFmtId="1" fontId="14" fillId="0" borderId="4" xfId="0" applyNumberFormat="1" applyFont="1" applyFill="1" applyBorder="1" applyAlignment="1">
      <alignment horizontal="center" vertical="center" wrapText="1"/>
    </xf>
    <xf numFmtId="49" fontId="17" fillId="0" borderId="0" xfId="0" applyNumberFormat="1" applyFont="1" applyFill="1" applyAlignment="1">
      <alignment horizontal="center" vertical="center" wrapText="1"/>
    </xf>
    <xf numFmtId="0" fontId="0" fillId="0" borderId="0" xfId="0" applyNumberFormat="1" applyFill="1" applyAlignment="1">
      <alignment wrapText="1"/>
    </xf>
    <xf numFmtId="49" fontId="0" fillId="4" borderId="0" xfId="0" applyNumberFormat="1" applyFill="1" applyAlignment="1">
      <alignment wrapText="1"/>
    </xf>
    <xf numFmtId="49" fontId="12" fillId="0" borderId="0" xfId="0" applyNumberFormat="1" applyFont="1" applyFill="1" applyAlignment="1">
      <alignment wrapText="1"/>
    </xf>
    <xf numFmtId="49" fontId="17" fillId="0" borderId="0" xfId="0" applyNumberFormat="1" applyFont="1" applyFill="1" applyBorder="1" applyAlignment="1">
      <alignment horizontal="center" wrapText="1"/>
    </xf>
    <xf numFmtId="49" fontId="17" fillId="0" borderId="0" xfId="0" applyNumberFormat="1" applyFont="1" applyFill="1" applyBorder="1" applyAlignment="1">
      <alignment wrapText="1"/>
    </xf>
    <xf numFmtId="0" fontId="17" fillId="0" borderId="0" xfId="0" applyNumberFormat="1" applyFont="1" applyFill="1" applyBorder="1" applyAlignment="1">
      <alignment horizontal="center" wrapText="1"/>
    </xf>
    <xf numFmtId="2" fontId="17" fillId="0" borderId="0" xfId="0" applyNumberFormat="1" applyFont="1" applyFill="1" applyBorder="1" applyAlignment="1">
      <alignment horizontal="right" wrapText="1"/>
    </xf>
    <xf numFmtId="2" fontId="14" fillId="0" borderId="0" xfId="0" applyNumberFormat="1" applyFont="1" applyFill="1" applyBorder="1" applyAlignment="1">
      <alignment horizontal="right" wrapText="1"/>
    </xf>
    <xf numFmtId="49" fontId="17" fillId="0" borderId="4" xfId="0" applyNumberFormat="1" applyFont="1" applyFill="1" applyBorder="1" applyAlignment="1">
      <alignment horizontal="center" vertical="top" wrapText="1"/>
    </xf>
    <xf numFmtId="49" fontId="12" fillId="0" borderId="0" xfId="0" applyNumberFormat="1" applyFont="1" applyFill="1" applyAlignment="1">
      <alignment vertical="top" wrapText="1"/>
    </xf>
    <xf numFmtId="0" fontId="0" fillId="0" borderId="0" xfId="0" applyNumberFormat="1" applyFill="1" applyAlignment="1">
      <alignment horizontal="center" wrapText="1"/>
    </xf>
    <xf numFmtId="2" fontId="0" fillId="0" borderId="0" xfId="0" applyNumberFormat="1" applyFill="1" applyAlignment="1">
      <alignment horizontal="right" wrapText="1"/>
    </xf>
    <xf numFmtId="49" fontId="8" fillId="0" borderId="0" xfId="2" applyNumberFormat="1" applyFont="1" applyFill="1" applyAlignment="1">
      <alignment wrapText="1"/>
    </xf>
    <xf numFmtId="49" fontId="73" fillId="0" borderId="0" xfId="2" applyNumberFormat="1" applyFont="1" applyFill="1" applyAlignment="1">
      <alignment wrapText="1"/>
    </xf>
    <xf numFmtId="49" fontId="8" fillId="0" borderId="0" xfId="2" applyNumberFormat="1" applyFont="1" applyFill="1" applyAlignment="1">
      <alignment horizontal="center" wrapText="1"/>
    </xf>
    <xf numFmtId="0" fontId="23" fillId="0" borderId="1" xfId="0" applyFont="1" applyFill="1" applyBorder="1" applyAlignment="1">
      <alignment horizontal="center" vertical="center" wrapText="1"/>
    </xf>
    <xf numFmtId="0" fontId="23" fillId="0" borderId="3"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31" fillId="0" borderId="0" xfId="0" applyFont="1" applyFill="1" applyAlignment="1">
      <alignment vertical="center"/>
    </xf>
    <xf numFmtId="0" fontId="17" fillId="0" borderId="0" xfId="0" applyNumberFormat="1" applyFont="1" applyFill="1" applyBorder="1" applyAlignment="1">
      <alignment horizontal="center" vertical="center" wrapText="1"/>
    </xf>
    <xf numFmtId="0" fontId="15" fillId="3" borderId="0" xfId="0" applyFont="1" applyFill="1" applyAlignment="1">
      <alignment vertical="top" wrapText="1"/>
    </xf>
    <xf numFmtId="2" fontId="30" fillId="0" borderId="0" xfId="0" applyNumberFormat="1" applyFont="1" applyFill="1"/>
    <xf numFmtId="2" fontId="15" fillId="0" borderId="11" xfId="0" applyNumberFormat="1" applyFont="1" applyFill="1" applyBorder="1" applyAlignment="1">
      <alignment vertical="center"/>
    </xf>
    <xf numFmtId="2" fontId="15" fillId="0" borderId="0" xfId="0" applyNumberFormat="1" applyFont="1" applyFill="1" applyAlignment="1">
      <alignment vertical="center"/>
    </xf>
    <xf numFmtId="2" fontId="15" fillId="0" borderId="0" xfId="0" applyNumberFormat="1" applyFont="1" applyFill="1" applyBorder="1" applyAlignment="1">
      <alignment horizontal="center" vertical="center" wrapText="1"/>
    </xf>
    <xf numFmtId="49" fontId="15" fillId="0" borderId="0" xfId="0" applyNumberFormat="1" applyFont="1" applyFill="1" applyBorder="1" applyAlignment="1">
      <alignment horizontal="center" wrapText="1"/>
    </xf>
    <xf numFmtId="49" fontId="19" fillId="0" borderId="0" xfId="2" applyNumberFormat="1" applyFont="1" applyFill="1" applyBorder="1" applyAlignment="1">
      <alignment wrapText="1"/>
    </xf>
    <xf numFmtId="49" fontId="19" fillId="0" borderId="0" xfId="2" applyNumberFormat="1" applyFont="1" applyFill="1" applyAlignment="1">
      <alignment wrapText="1"/>
    </xf>
    <xf numFmtId="49" fontId="12" fillId="0" borderId="0" xfId="2" applyNumberFormat="1" applyFill="1" applyAlignment="1">
      <alignment wrapText="1"/>
    </xf>
    <xf numFmtId="49" fontId="19" fillId="0" borderId="0" xfId="2" applyNumberFormat="1" applyFont="1" applyFill="1" applyAlignment="1">
      <alignment horizontal="center" wrapText="1"/>
    </xf>
    <xf numFmtId="49" fontId="19" fillId="0" borderId="0" xfId="2" applyNumberFormat="1" applyFont="1" applyFill="1" applyBorder="1" applyAlignment="1">
      <alignment horizontal="center" wrapText="1"/>
    </xf>
    <xf numFmtId="49" fontId="14" fillId="0" borderId="0" xfId="2" applyNumberFormat="1" applyFont="1" applyFill="1" applyAlignment="1">
      <alignment horizontal="center" vertical="center" wrapText="1"/>
    </xf>
    <xf numFmtId="2" fontId="14" fillId="0" borderId="0" xfId="0" applyNumberFormat="1" applyFont="1" applyFill="1" applyBorder="1" applyAlignment="1">
      <alignment vertical="center" wrapText="1"/>
    </xf>
    <xf numFmtId="2" fontId="70" fillId="0" borderId="4" xfId="2" applyNumberFormat="1" applyFont="1" applyFill="1" applyBorder="1" applyAlignment="1">
      <alignment horizontal="center" vertical="center" wrapText="1"/>
    </xf>
    <xf numFmtId="49" fontId="10" fillId="0" borderId="0" xfId="2" applyNumberFormat="1" applyFont="1" applyFill="1" applyAlignment="1">
      <alignment wrapText="1"/>
    </xf>
    <xf numFmtId="0" fontId="70" fillId="0" borderId="4" xfId="2" applyNumberFormat="1" applyFont="1" applyFill="1" applyBorder="1" applyAlignment="1">
      <alignment horizontal="center" vertical="center" wrapText="1"/>
    </xf>
    <xf numFmtId="0" fontId="70" fillId="0" borderId="6" xfId="2" applyFont="1" applyFill="1" applyBorder="1" applyAlignment="1">
      <alignment horizontal="center" vertical="center" wrapText="1"/>
    </xf>
    <xf numFmtId="1" fontId="70" fillId="0" borderId="4" xfId="2" applyNumberFormat="1" applyFont="1" applyFill="1" applyBorder="1" applyAlignment="1">
      <alignment horizontal="center" vertical="center" wrapText="1"/>
    </xf>
    <xf numFmtId="0" fontId="75" fillId="0" borderId="0" xfId="3" applyFont="1" applyFill="1" applyAlignment="1">
      <alignment horizontal="right"/>
    </xf>
    <xf numFmtId="0" fontId="14" fillId="0" borderId="0" xfId="0" applyFont="1" applyFill="1" applyBorder="1" applyAlignment="1">
      <alignment vertical="center"/>
    </xf>
    <xf numFmtId="0" fontId="37" fillId="3" borderId="0" xfId="0" applyFont="1" applyFill="1" applyAlignment="1">
      <alignment vertical="top" wrapText="1"/>
    </xf>
    <xf numFmtId="49" fontId="10" fillId="0" borderId="0" xfId="2" applyNumberFormat="1" applyFont="1" applyFill="1" applyAlignment="1">
      <alignment vertical="top" wrapText="1"/>
    </xf>
    <xf numFmtId="0" fontId="26" fillId="0" borderId="0" xfId="0" applyFont="1" applyFill="1" applyBorder="1" applyAlignment="1">
      <alignment vertical="center"/>
    </xf>
    <xf numFmtId="0" fontId="12" fillId="0" borderId="0" xfId="2" applyNumberFormat="1" applyFill="1" applyAlignment="1">
      <alignment wrapText="1"/>
    </xf>
    <xf numFmtId="0" fontId="71" fillId="0" borderId="0" xfId="0" applyFont="1" applyFill="1" applyBorder="1" applyAlignment="1">
      <alignment vertical="center" wrapText="1"/>
    </xf>
    <xf numFmtId="49" fontId="8" fillId="0" borderId="0" xfId="2" applyNumberFormat="1" applyFont="1" applyFill="1" applyAlignment="1">
      <alignment horizontal="center" vertical="center" wrapText="1"/>
    </xf>
    <xf numFmtId="49" fontId="15" fillId="0" borderId="0" xfId="2" applyNumberFormat="1" applyFont="1" applyFill="1" applyAlignment="1">
      <alignment horizontal="center" vertical="center" wrapText="1"/>
    </xf>
    <xf numFmtId="49" fontId="12" fillId="0" borderId="0" xfId="2" applyNumberFormat="1" applyFont="1" applyFill="1" applyAlignment="1">
      <alignment wrapText="1"/>
    </xf>
    <xf numFmtId="49" fontId="12" fillId="0" borderId="0" xfId="2" applyNumberFormat="1" applyFill="1" applyAlignment="1">
      <alignment horizontal="center" wrapText="1"/>
    </xf>
    <xf numFmtId="2" fontId="12" fillId="0" borderId="0" xfId="2" applyNumberFormat="1" applyFill="1" applyAlignment="1">
      <alignment horizontal="right" wrapText="1"/>
    </xf>
    <xf numFmtId="0" fontId="8" fillId="0" borderId="0" xfId="0" applyFont="1" applyFill="1" applyBorder="1" applyAlignment="1">
      <alignment horizontal="center" vertical="top"/>
    </xf>
    <xf numFmtId="0" fontId="76" fillId="0" borderId="11" xfId="0" applyFont="1" applyFill="1" applyBorder="1" applyAlignment="1">
      <alignment vertical="center" wrapText="1"/>
    </xf>
    <xf numFmtId="0" fontId="76" fillId="0" borderId="0" xfId="0" applyFont="1" applyFill="1" applyBorder="1" applyAlignment="1">
      <alignment vertical="center" wrapText="1"/>
    </xf>
    <xf numFmtId="0" fontId="12" fillId="3" borderId="0" xfId="0" applyFont="1" applyFill="1" applyAlignment="1">
      <alignment vertical="top" wrapText="1"/>
    </xf>
    <xf numFmtId="0" fontId="8" fillId="0" borderId="0" xfId="0" applyFont="1" applyFill="1" applyBorder="1" applyAlignment="1">
      <alignment vertical="top"/>
    </xf>
    <xf numFmtId="0" fontId="14" fillId="0" borderId="0" xfId="0" applyFont="1" applyFill="1" applyAlignment="1">
      <alignment horizontal="center" vertical="center" wrapText="1"/>
    </xf>
    <xf numFmtId="0" fontId="14" fillId="0" borderId="0" xfId="0" applyFont="1" applyFill="1" applyBorder="1" applyAlignment="1">
      <alignment horizontal="center" vertical="top"/>
    </xf>
    <xf numFmtId="0" fontId="14" fillId="0" borderId="0" xfId="0" applyFont="1" applyFill="1" applyBorder="1" applyAlignment="1">
      <alignment vertical="top"/>
    </xf>
    <xf numFmtId="0" fontId="17" fillId="3" borderId="0" xfId="0" applyFont="1" applyFill="1" applyAlignment="1">
      <alignment vertical="center" wrapText="1"/>
    </xf>
    <xf numFmtId="49" fontId="76" fillId="0" borderId="0" xfId="1" applyNumberFormat="1" applyFont="1" applyFill="1" applyAlignment="1">
      <alignment vertical="center" wrapText="1"/>
    </xf>
    <xf numFmtId="0" fontId="50" fillId="2" borderId="0" xfId="2" applyFont="1" applyFill="1" applyAlignment="1">
      <alignment horizontal="left" vertical="top" wrapText="1"/>
    </xf>
    <xf numFmtId="0" fontId="10" fillId="0" borderId="0" xfId="0" applyFont="1" applyFill="1" applyBorder="1" applyAlignment="1">
      <alignment horizontal="center" vertical="center"/>
    </xf>
    <xf numFmtId="0" fontId="52" fillId="2" borderId="0" xfId="0" applyFont="1" applyFill="1" applyBorder="1" applyAlignment="1">
      <alignment horizontal="left" vertical="center" wrapText="1"/>
    </xf>
    <xf numFmtId="0" fontId="48" fillId="2" borderId="0" xfId="0" applyFont="1" applyFill="1" applyAlignment="1">
      <alignment horizontal="left" vertical="top" wrapText="1"/>
    </xf>
    <xf numFmtId="0" fontId="55" fillId="2" borderId="0" xfId="0" applyFont="1" applyFill="1" applyBorder="1" applyAlignment="1">
      <alignment vertical="top" wrapText="1"/>
    </xf>
    <xf numFmtId="0" fontId="55" fillId="2" borderId="0" xfId="2" applyFont="1" applyFill="1" applyAlignment="1">
      <alignment vertical="top" wrapText="1"/>
    </xf>
    <xf numFmtId="0" fontId="10" fillId="0" borderId="0" xfId="2" applyFont="1" applyFill="1" applyAlignment="1">
      <alignment vertical="top" wrapText="1"/>
    </xf>
    <xf numFmtId="0" fontId="57" fillId="0" borderId="0" xfId="0" applyFont="1" applyFill="1" applyAlignment="1">
      <alignment vertical="top" wrapText="1"/>
    </xf>
    <xf numFmtId="0" fontId="52" fillId="0" borderId="0" xfId="0" applyFont="1" applyFill="1" applyBorder="1" applyAlignment="1">
      <alignment vertical="top" wrapText="1"/>
    </xf>
    <xf numFmtId="0" fontId="56" fillId="0" borderId="0" xfId="0" applyFont="1" applyFill="1" applyBorder="1" applyAlignment="1">
      <alignment horizontal="left" vertical="top"/>
    </xf>
    <xf numFmtId="0" fontId="50" fillId="0" borderId="0" xfId="0" applyNumberFormat="1" applyFont="1" applyFill="1" applyBorder="1" applyAlignment="1">
      <alignment horizontal="left" vertical="top" wrapText="1"/>
    </xf>
    <xf numFmtId="0" fontId="15" fillId="2" borderId="0" xfId="0" applyFont="1" applyFill="1" applyAlignment="1">
      <alignment vertical="center"/>
    </xf>
    <xf numFmtId="2" fontId="77" fillId="0" borderId="0" xfId="0" applyNumberFormat="1" applyFont="1" applyFill="1" applyBorder="1" applyAlignment="1">
      <alignment horizontal="center" vertical="top" wrapText="1"/>
    </xf>
    <xf numFmtId="0" fontId="78" fillId="0" borderId="0" xfId="0" applyFont="1" applyFill="1" applyBorder="1" applyAlignment="1">
      <alignment horizontal="center" vertical="center"/>
    </xf>
    <xf numFmtId="0" fontId="12" fillId="0" borderId="0" xfId="2" applyFont="1" applyFill="1" applyAlignment="1">
      <alignment vertical="center"/>
    </xf>
    <xf numFmtId="0" fontId="52" fillId="0" borderId="0" xfId="0" applyFont="1" applyFill="1" applyBorder="1" applyAlignment="1">
      <alignment horizontal="left" vertical="top"/>
    </xf>
    <xf numFmtId="0" fontId="50" fillId="2" borderId="0" xfId="0" applyFont="1" applyFill="1" applyBorder="1" applyAlignment="1">
      <alignment vertical="top" wrapText="1"/>
    </xf>
    <xf numFmtId="0" fontId="12" fillId="0" borderId="0" xfId="0" applyFont="1" applyFill="1" applyAlignment="1">
      <alignment horizontal="center"/>
    </xf>
    <xf numFmtId="0" fontId="12" fillId="0" borderId="0" xfId="0" applyFont="1" applyFill="1" applyAlignment="1">
      <alignment vertical="top" wrapText="1"/>
    </xf>
    <xf numFmtId="49" fontId="23" fillId="0" borderId="11" xfId="0" applyNumberFormat="1" applyFont="1" applyFill="1" applyBorder="1" applyAlignment="1">
      <alignment vertical="center" wrapText="1"/>
    </xf>
    <xf numFmtId="2" fontId="12" fillId="0" borderId="0" xfId="0" applyNumberFormat="1" applyFont="1" applyFill="1" applyBorder="1" applyAlignment="1">
      <alignment horizontal="center" vertical="center" wrapText="1"/>
    </xf>
    <xf numFmtId="0" fontId="17" fillId="0" borderId="0" xfId="0" applyNumberFormat="1" applyFont="1" applyFill="1" applyAlignment="1">
      <alignment horizontal="center"/>
    </xf>
    <xf numFmtId="0" fontId="17" fillId="0" borderId="0" xfId="0" applyFont="1" applyFill="1" applyBorder="1" applyAlignment="1">
      <alignment vertical="top" wrapText="1"/>
    </xf>
    <xf numFmtId="0"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17" fillId="0" borderId="11" xfId="0" applyFont="1" applyFill="1" applyBorder="1" applyAlignment="1">
      <alignment vertical="center"/>
    </xf>
    <xf numFmtId="49" fontId="12" fillId="0" borderId="0" xfId="0" applyNumberFormat="1" applyFont="1" applyFill="1" applyAlignment="1">
      <alignment horizontal="center" vertical="center" wrapText="1"/>
    </xf>
    <xf numFmtId="49" fontId="17" fillId="0" borderId="11" xfId="0" applyNumberFormat="1" applyFont="1" applyFill="1" applyBorder="1" applyAlignment="1">
      <alignment vertical="center" wrapText="1"/>
    </xf>
    <xf numFmtId="0" fontId="17" fillId="0" borderId="0" xfId="0" applyNumberFormat="1" applyFont="1" applyFill="1" applyBorder="1" applyAlignment="1">
      <alignment horizontal="center" vertical="center"/>
    </xf>
    <xf numFmtId="2" fontId="17" fillId="0" borderId="0" xfId="0" applyNumberFormat="1" applyFont="1" applyFill="1" applyBorder="1" applyAlignment="1">
      <alignment horizontal="center" vertical="center"/>
    </xf>
    <xf numFmtId="0" fontId="81" fillId="0" borderId="0" xfId="10" applyFill="1" applyAlignment="1">
      <alignment horizontal="center"/>
    </xf>
    <xf numFmtId="0" fontId="7" fillId="0" borderId="0" xfId="10" applyFont="1" applyFill="1" applyBorder="1" applyAlignment="1">
      <alignment horizontal="center"/>
    </xf>
    <xf numFmtId="0" fontId="7" fillId="0" borderId="0" xfId="10" applyFont="1" applyFill="1" applyBorder="1" applyAlignment="1"/>
    <xf numFmtId="0" fontId="81" fillId="0" borderId="0" xfId="10" applyFill="1"/>
    <xf numFmtId="0" fontId="17" fillId="0" borderId="0" xfId="10" applyFont="1" applyFill="1" applyAlignment="1">
      <alignment horizontal="center" vertical="top"/>
    </xf>
    <xf numFmtId="0" fontId="17" fillId="0" borderId="0" xfId="10" applyFont="1" applyFill="1" applyAlignment="1">
      <alignment vertical="top" wrapText="1"/>
    </xf>
    <xf numFmtId="0" fontId="17" fillId="0" borderId="0" xfId="10" applyNumberFormat="1" applyFont="1" applyFill="1"/>
    <xf numFmtId="0" fontId="17" fillId="0" borderId="0" xfId="10" applyFont="1" applyFill="1" applyAlignment="1">
      <alignment horizontal="right"/>
    </xf>
    <xf numFmtId="0" fontId="17" fillId="0" borderId="0" xfId="10" applyFont="1" applyFill="1"/>
    <xf numFmtId="0" fontId="9" fillId="0" borderId="0" xfId="10" applyFont="1" applyFill="1" applyBorder="1" applyAlignment="1">
      <alignment horizontal="center" vertical="center"/>
    </xf>
    <xf numFmtId="0" fontId="17" fillId="0" borderId="1" xfId="10" applyFont="1" applyFill="1" applyBorder="1" applyAlignment="1">
      <alignment horizontal="center" vertical="top"/>
    </xf>
    <xf numFmtId="0" fontId="17" fillId="0" borderId="1" xfId="10" applyFont="1" applyFill="1" applyBorder="1" applyAlignment="1">
      <alignment vertical="top" wrapText="1"/>
    </xf>
    <xf numFmtId="0" fontId="17" fillId="0" borderId="0" xfId="10" applyNumberFormat="1" applyFont="1" applyFill="1" applyBorder="1"/>
    <xf numFmtId="0" fontId="17" fillId="0" borderId="1" xfId="10" applyFont="1" applyFill="1" applyBorder="1" applyAlignment="1">
      <alignment horizontal="right"/>
    </xf>
    <xf numFmtId="0" fontId="17" fillId="0" borderId="1" xfId="10" applyFont="1" applyFill="1" applyBorder="1"/>
    <xf numFmtId="0" fontId="23" fillId="0" borderId="4" xfId="10" applyFont="1" applyFill="1" applyBorder="1" applyAlignment="1">
      <alignment horizontal="center" vertical="center"/>
    </xf>
    <xf numFmtId="0" fontId="23" fillId="0" borderId="4" xfId="10" quotePrefix="1" applyFont="1" applyFill="1" applyBorder="1" applyAlignment="1">
      <alignment horizontal="center" vertical="center"/>
    </xf>
    <xf numFmtId="0" fontId="23" fillId="0" borderId="4" xfId="10" quotePrefix="1" applyFont="1" applyFill="1" applyBorder="1" applyAlignment="1">
      <alignment horizontal="center" vertical="center" wrapText="1"/>
    </xf>
    <xf numFmtId="0" fontId="81" fillId="0" borderId="0" xfId="10" applyFill="1" applyAlignment="1">
      <alignment horizontal="left"/>
    </xf>
    <xf numFmtId="0" fontId="15" fillId="0" borderId="0" xfId="10" applyFont="1" applyFill="1" applyAlignment="1">
      <alignment vertical="center"/>
    </xf>
    <xf numFmtId="49" fontId="12" fillId="0" borderId="0" xfId="10" applyNumberFormat="1" applyFont="1" applyFill="1" applyBorder="1" applyAlignment="1">
      <alignment vertical="center" wrapText="1"/>
    </xf>
    <xf numFmtId="49" fontId="15" fillId="0" borderId="0" xfId="10" applyNumberFormat="1" applyFont="1" applyFill="1" applyBorder="1" applyAlignment="1">
      <alignment vertical="center" wrapText="1"/>
    </xf>
    <xf numFmtId="0" fontId="81" fillId="5" borderId="0" xfId="10" applyFill="1"/>
    <xf numFmtId="0" fontId="15" fillId="0" borderId="0" xfId="10" applyFont="1" applyFill="1"/>
    <xf numFmtId="2" fontId="12" fillId="0" borderId="0" xfId="11" applyNumberFormat="1" applyFont="1" applyFill="1" applyBorder="1" applyAlignment="1">
      <alignment horizontal="center" vertical="center" wrapText="1"/>
    </xf>
    <xf numFmtId="0" fontId="15" fillId="0" borderId="4" xfId="10" applyFont="1" applyFill="1" applyBorder="1" applyAlignment="1">
      <alignment horizontal="left" vertical="center"/>
    </xf>
    <xf numFmtId="0" fontId="15" fillId="0" borderId="0" xfId="10" applyFont="1" applyFill="1" applyBorder="1" applyAlignment="1">
      <alignment horizontal="left" vertical="center"/>
    </xf>
    <xf numFmtId="0" fontId="15" fillId="0" borderId="4" xfId="10" applyFont="1" applyFill="1" applyBorder="1" applyAlignment="1">
      <alignment vertical="center"/>
    </xf>
    <xf numFmtId="0" fontId="15" fillId="0" borderId="4" xfId="10" applyFont="1" applyFill="1" applyBorder="1" applyAlignment="1">
      <alignment vertical="center" wrapText="1"/>
    </xf>
    <xf numFmtId="0" fontId="23" fillId="0" borderId="15" xfId="10" applyFont="1" applyFill="1" applyBorder="1" applyAlignment="1"/>
    <xf numFmtId="0" fontId="82" fillId="0" borderId="0" xfId="10" applyFont="1" applyFill="1" applyAlignment="1">
      <alignment horizontal="center"/>
    </xf>
    <xf numFmtId="0" fontId="82" fillId="0" borderId="0" xfId="10" applyFont="1" applyFill="1"/>
    <xf numFmtId="0" fontId="83" fillId="0" borderId="0" xfId="10" applyFont="1" applyFill="1"/>
    <xf numFmtId="0" fontId="12" fillId="0" borderId="0" xfId="11" applyFont="1" applyFill="1" applyBorder="1" applyAlignment="1">
      <alignment vertical="top" wrapText="1"/>
    </xf>
    <xf numFmtId="0" fontId="12" fillId="0" borderId="0" xfId="1" applyFill="1" applyBorder="1" applyAlignment="1"/>
    <xf numFmtId="0" fontId="12" fillId="0" borderId="0" xfId="1" applyNumberFormat="1" applyFill="1" applyAlignment="1">
      <alignment horizontal="left"/>
    </xf>
    <xf numFmtId="0" fontId="14" fillId="0" borderId="0" xfId="1" applyFont="1" applyFill="1" applyBorder="1" applyAlignment="1"/>
    <xf numFmtId="0" fontId="14" fillId="0" borderId="0" xfId="1" applyFont="1" applyFill="1" applyBorder="1" applyAlignment="1">
      <alignment horizontal="center"/>
    </xf>
    <xf numFmtId="0" fontId="23" fillId="0" borderId="4" xfId="1" applyFont="1" applyFill="1" applyBorder="1" applyAlignment="1">
      <alignment horizontal="center" vertical="center"/>
    </xf>
    <xf numFmtId="0" fontId="23" fillId="0" borderId="4" xfId="1" quotePrefix="1" applyFont="1" applyFill="1" applyBorder="1" applyAlignment="1">
      <alignment horizontal="center" vertical="center"/>
    </xf>
    <xf numFmtId="0" fontId="10" fillId="0" borderId="0" xfId="1" applyFont="1" applyFill="1"/>
    <xf numFmtId="0" fontId="8" fillId="0" borderId="0" xfId="1" applyFont="1" applyFill="1" applyAlignment="1">
      <alignment horizontal="center" vertical="center"/>
    </xf>
    <xf numFmtId="0" fontId="15" fillId="0" borderId="11" xfId="1" applyFont="1" applyFill="1" applyBorder="1" applyAlignment="1">
      <alignment vertical="center" wrapText="1"/>
    </xf>
    <xf numFmtId="2" fontId="12" fillId="0" borderId="0" xfId="1" applyNumberFormat="1" applyFill="1"/>
    <xf numFmtId="0" fontId="23" fillId="0" borderId="0" xfId="1" applyFont="1" applyFill="1" applyBorder="1" applyAlignment="1">
      <alignment horizontal="center" vertical="center" wrapText="1"/>
    </xf>
    <xf numFmtId="0" fontId="15" fillId="0" borderId="0" xfId="1" applyNumberFormat="1" applyFont="1" applyFill="1" applyBorder="1" applyAlignment="1">
      <alignment horizontal="center" vertical="center" wrapText="1"/>
    </xf>
    <xf numFmtId="0" fontId="15" fillId="0" borderId="0" xfId="1" applyFont="1" applyFill="1" applyBorder="1" applyAlignment="1">
      <alignment horizontal="center" vertical="center" wrapText="1"/>
    </xf>
    <xf numFmtId="2" fontId="15" fillId="0" borderId="0" xfId="1" applyNumberFormat="1" applyFont="1" applyFill="1" applyBorder="1" applyAlignment="1">
      <alignment horizontal="center" vertical="center" wrapText="1"/>
    </xf>
    <xf numFmtId="2" fontId="23" fillId="0" borderId="0" xfId="1" applyNumberFormat="1" applyFont="1" applyFill="1" applyBorder="1" applyAlignment="1">
      <alignment horizontal="center" vertical="center" wrapText="1"/>
    </xf>
    <xf numFmtId="0" fontId="15" fillId="0" borderId="0" xfId="1" applyFont="1" applyFill="1" applyBorder="1" applyAlignment="1">
      <alignment horizontal="center" vertical="top"/>
    </xf>
    <xf numFmtId="2" fontId="15" fillId="0" borderId="0" xfId="1" applyNumberFormat="1" applyFont="1" applyFill="1" applyAlignment="1">
      <alignment vertical="top"/>
    </xf>
    <xf numFmtId="0" fontId="84" fillId="0" borderId="0" xfId="1" applyFont="1" applyFill="1" applyAlignment="1"/>
    <xf numFmtId="0" fontId="84" fillId="0" borderId="0" xfId="1" applyFont="1" applyFill="1" applyAlignment="1">
      <alignment horizontal="center"/>
    </xf>
    <xf numFmtId="0" fontId="84" fillId="0" borderId="0" xfId="1" applyFont="1" applyFill="1"/>
    <xf numFmtId="0" fontId="84" fillId="0" borderId="0" xfId="1" applyNumberFormat="1" applyFont="1" applyFill="1" applyAlignment="1">
      <alignment horizontal="left"/>
    </xf>
    <xf numFmtId="49" fontId="15" fillId="0" borderId="0" xfId="1" applyNumberFormat="1" applyFont="1" applyFill="1" applyBorder="1" applyAlignment="1">
      <alignment wrapText="1"/>
    </xf>
    <xf numFmtId="0" fontId="84" fillId="0" borderId="0" xfId="1" applyFont="1" applyFill="1" applyBorder="1"/>
    <xf numFmtId="0" fontId="84" fillId="0" borderId="0" xfId="1" applyNumberFormat="1" applyFont="1" applyFill="1" applyBorder="1" applyAlignment="1">
      <alignment horizontal="left"/>
    </xf>
    <xf numFmtId="0" fontId="84" fillId="0" borderId="0" xfId="1" applyFont="1" applyFill="1" applyBorder="1" applyAlignment="1">
      <alignment horizontal="center"/>
    </xf>
    <xf numFmtId="2" fontId="84" fillId="0" borderId="0" xfId="1" applyNumberFormat="1" applyFont="1" applyFill="1" applyBorder="1"/>
    <xf numFmtId="0" fontId="12" fillId="0" borderId="0" xfId="1" applyFont="1" applyFill="1" applyAlignment="1">
      <alignment horizontal="center"/>
    </xf>
    <xf numFmtId="0" fontId="8" fillId="0" borderId="0" xfId="1" applyFont="1" applyFill="1" applyAlignment="1"/>
    <xf numFmtId="0" fontId="12" fillId="0" borderId="0" xfId="1" applyFont="1" applyFill="1"/>
    <xf numFmtId="0" fontId="12" fillId="0" borderId="0" xfId="1" applyNumberFormat="1" applyFont="1" applyFill="1"/>
    <xf numFmtId="0" fontId="14" fillId="0" borderId="0" xfId="1" applyFont="1" applyFill="1" applyAlignment="1"/>
    <xf numFmtId="0" fontId="14" fillId="0" borderId="4" xfId="1" applyFont="1" applyFill="1" applyBorder="1" applyAlignment="1">
      <alignment horizontal="center" vertical="center"/>
    </xf>
    <xf numFmtId="0" fontId="14" fillId="0" borderId="4" xfId="1" quotePrefix="1" applyFont="1" applyFill="1" applyBorder="1" applyAlignment="1">
      <alignment horizontal="center" vertical="center"/>
    </xf>
    <xf numFmtId="0" fontId="12" fillId="0" borderId="0" xfId="1" applyFill="1" applyBorder="1" applyAlignment="1">
      <alignment horizontal="left"/>
    </xf>
    <xf numFmtId="0" fontId="12" fillId="0" borderId="0" xfId="1" quotePrefix="1" applyFont="1" applyFill="1" applyBorder="1" applyAlignment="1">
      <alignment horizontal="right"/>
    </xf>
    <xf numFmtId="0" fontId="12" fillId="0" borderId="0" xfId="1" applyFill="1" applyBorder="1"/>
    <xf numFmtId="2" fontId="12" fillId="0" borderId="0" xfId="1" applyNumberFormat="1" applyFill="1" applyBorder="1"/>
    <xf numFmtId="0" fontId="12" fillId="0" borderId="0" xfId="1" quotePrefix="1" applyFill="1" applyBorder="1" applyAlignment="1">
      <alignment horizontal="right"/>
    </xf>
    <xf numFmtId="49" fontId="17" fillId="0" borderId="11" xfId="1" applyNumberFormat="1" applyFont="1" applyFill="1" applyBorder="1" applyAlignment="1">
      <alignment vertical="center" wrapText="1"/>
    </xf>
    <xf numFmtId="49" fontId="17" fillId="0" borderId="11" xfId="1" applyNumberFormat="1" applyFont="1" applyFill="1" applyBorder="1" applyAlignment="1">
      <alignment horizontal="center" vertical="center" wrapText="1"/>
    </xf>
    <xf numFmtId="0" fontId="14" fillId="0" borderId="0" xfId="1" applyFont="1" applyFill="1" applyAlignment="1">
      <alignment horizontal="center" vertical="top"/>
    </xf>
    <xf numFmtId="0" fontId="17" fillId="0" borderId="0" xfId="1" applyFont="1" applyFill="1" applyAlignment="1">
      <alignment vertical="top"/>
    </xf>
    <xf numFmtId="0" fontId="12" fillId="0" borderId="0" xfId="1" applyNumberFormat="1" applyFont="1" applyFill="1" applyAlignment="1">
      <alignment vertical="top"/>
    </xf>
    <xf numFmtId="0" fontId="12" fillId="0" borderId="0" xfId="1" applyFont="1" applyFill="1" applyAlignment="1">
      <alignment vertical="top"/>
    </xf>
    <xf numFmtId="0" fontId="67" fillId="0" borderId="0" xfId="1" applyFont="1" applyFill="1" applyAlignment="1">
      <alignment horizontal="center"/>
    </xf>
    <xf numFmtId="2" fontId="17" fillId="0" borderId="0" xfId="1" applyNumberFormat="1" applyFont="1" applyFill="1" applyAlignment="1">
      <alignment horizontal="center"/>
    </xf>
    <xf numFmtId="2" fontId="14" fillId="0" borderId="0" xfId="1" applyNumberFormat="1" applyFont="1" applyFill="1" applyAlignment="1">
      <alignment horizontal="center"/>
    </xf>
    <xf numFmtId="2" fontId="12" fillId="0" borderId="0" xfId="1" applyNumberFormat="1" applyFont="1" applyFill="1" applyAlignment="1">
      <alignment horizontal="center"/>
    </xf>
    <xf numFmtId="0" fontId="8" fillId="0" borderId="0" xfId="1" applyFont="1" applyFill="1" applyAlignment="1">
      <alignment horizontal="center"/>
    </xf>
    <xf numFmtId="0" fontId="14" fillId="0" borderId="0" xfId="1" applyFont="1" applyFill="1" applyAlignment="1">
      <alignment vertical="center" wrapText="1"/>
    </xf>
    <xf numFmtId="0" fontId="14" fillId="0" borderId="4" xfId="1" quotePrefix="1" applyFont="1" applyFill="1" applyBorder="1" applyAlignment="1">
      <alignment horizontal="center"/>
    </xf>
    <xf numFmtId="2" fontId="17" fillId="0" borderId="0" xfId="1" applyNumberFormat="1" applyFont="1" applyFill="1" applyAlignment="1">
      <alignment vertical="top"/>
    </xf>
    <xf numFmtId="0" fontId="17" fillId="0" borderId="0" xfId="1" applyFont="1" applyFill="1" applyAlignment="1">
      <alignment vertical="center"/>
    </xf>
    <xf numFmtId="0" fontId="17" fillId="3" borderId="11" xfId="1" applyFont="1" applyFill="1" applyBorder="1" applyAlignment="1">
      <alignment vertical="top" wrapText="1"/>
    </xf>
    <xf numFmtId="0" fontId="15" fillId="0" borderId="0" xfId="1" applyFont="1" applyFill="1" applyBorder="1" applyAlignment="1">
      <alignment vertical="center"/>
    </xf>
    <xf numFmtId="2" fontId="17" fillId="0" borderId="0" xfId="1" applyNumberFormat="1" applyFont="1" applyFill="1"/>
    <xf numFmtId="0" fontId="17" fillId="0" borderId="0" xfId="1" applyNumberFormat="1" applyFont="1" applyFill="1" applyAlignment="1">
      <alignment vertical="top"/>
    </xf>
    <xf numFmtId="0" fontId="17" fillId="0" borderId="0" xfId="1" applyFont="1" applyFill="1" applyBorder="1"/>
    <xf numFmtId="167" fontId="12" fillId="0" borderId="0" xfId="1" applyNumberFormat="1" applyFont="1" applyFill="1" applyBorder="1" applyAlignment="1">
      <alignment horizontal="center" vertical="center"/>
    </xf>
    <xf numFmtId="0" fontId="17" fillId="2" borderId="11" xfId="1" applyFont="1" applyFill="1" applyBorder="1" applyAlignment="1">
      <alignment vertical="center" wrapText="1"/>
    </xf>
    <xf numFmtId="0" fontId="8" fillId="0" borderId="0" xfId="1" applyFont="1" applyFill="1" applyBorder="1" applyAlignment="1">
      <alignment vertical="center" wrapText="1"/>
    </xf>
    <xf numFmtId="0" fontId="12" fillId="0" borderId="0" xfId="1" applyFill="1" applyBorder="1" applyAlignment="1">
      <alignment horizontal="center"/>
    </xf>
    <xf numFmtId="0" fontId="14" fillId="0" borderId="7" xfId="1" applyFont="1" applyFill="1" applyBorder="1" applyAlignment="1">
      <alignment horizontal="center" vertical="center"/>
    </xf>
    <xf numFmtId="2" fontId="15" fillId="0" borderId="0" xfId="1" applyNumberFormat="1" applyFont="1" applyFill="1" applyBorder="1" applyAlignment="1">
      <alignment horizontal="center" vertical="center"/>
    </xf>
    <xf numFmtId="0" fontId="17" fillId="0" borderId="11" xfId="1" applyFont="1" applyFill="1" applyBorder="1" applyAlignment="1">
      <alignment vertical="center"/>
    </xf>
    <xf numFmtId="0" fontId="17" fillId="2" borderId="0" xfId="1" applyFont="1" applyFill="1" applyBorder="1" applyAlignment="1">
      <alignment horizontal="left" vertical="center" wrapText="1"/>
    </xf>
    <xf numFmtId="0" fontId="0" fillId="0" borderId="0" xfId="0" applyFill="1" applyAlignment="1">
      <alignment horizontal="center"/>
    </xf>
    <xf numFmtId="0" fontId="12" fillId="0" borderId="0" xfId="0" applyFont="1" applyFill="1" applyBorder="1" applyAlignment="1">
      <alignment horizontal="left"/>
    </xf>
    <xf numFmtId="0" fontId="12" fillId="0" borderId="0" xfId="0" applyFont="1" applyFill="1" applyAlignment="1">
      <alignment horizontal="left" vertical="top" wrapText="1"/>
    </xf>
    <xf numFmtId="0" fontId="8" fillId="0" borderId="0" xfId="0" applyFont="1" applyFill="1" applyAlignment="1">
      <alignment horizontal="center"/>
    </xf>
    <xf numFmtId="0" fontId="70" fillId="0" borderId="4" xfId="0" applyFont="1" applyFill="1" applyBorder="1" applyAlignment="1">
      <alignment horizontal="center" vertical="center"/>
    </xf>
    <xf numFmtId="0" fontId="70" fillId="0" borderId="4" xfId="0" applyFont="1" applyFill="1" applyBorder="1" applyAlignment="1">
      <alignment horizontal="center"/>
    </xf>
    <xf numFmtId="0" fontId="70" fillId="0" borderId="3" xfId="0" applyFont="1" applyFill="1" applyBorder="1" applyAlignment="1">
      <alignment horizontal="center"/>
    </xf>
    <xf numFmtId="0" fontId="23" fillId="3" borderId="0" xfId="0" applyFont="1" applyFill="1" applyAlignment="1">
      <alignment vertical="center"/>
    </xf>
    <xf numFmtId="0" fontId="15" fillId="0" borderId="0" xfId="0" applyFont="1" applyFill="1" applyBorder="1" applyAlignment="1">
      <alignment vertical="top" wrapText="1"/>
    </xf>
    <xf numFmtId="0" fontId="37" fillId="0" borderId="0" xfId="0" applyFont="1" applyFill="1" applyAlignment="1">
      <alignment vertical="center" wrapText="1"/>
    </xf>
    <xf numFmtId="0" fontId="0" fillId="0" borderId="0" xfId="0" applyFill="1" applyBorder="1" applyAlignment="1">
      <alignment vertical="center" wrapText="1"/>
    </xf>
    <xf numFmtId="0" fontId="12" fillId="0" borderId="0" xfId="0" applyNumberFormat="1" applyFont="1" applyFill="1" applyBorder="1" applyAlignment="1">
      <alignment horizontal="left" vertical="center"/>
    </xf>
    <xf numFmtId="0" fontId="15" fillId="0" borderId="11" xfId="0" applyFont="1" applyFill="1" applyBorder="1" applyAlignment="1">
      <alignment horizontal="left" vertical="center"/>
    </xf>
    <xf numFmtId="0" fontId="23" fillId="0" borderId="0" xfId="0" applyNumberFormat="1" applyFont="1" applyFill="1" applyBorder="1" applyAlignment="1">
      <alignment horizontal="center" vertical="center"/>
    </xf>
    <xf numFmtId="2" fontId="12" fillId="0" borderId="11" xfId="0" applyNumberFormat="1" applyFont="1" applyFill="1" applyBorder="1" applyAlignment="1">
      <alignment vertical="center" wrapText="1"/>
    </xf>
    <xf numFmtId="0" fontId="85" fillId="0" borderId="0" xfId="0" applyFont="1" applyFill="1" applyAlignment="1">
      <alignment vertical="center"/>
    </xf>
    <xf numFmtId="2" fontId="17" fillId="0" borderId="0" xfId="0" applyNumberFormat="1" applyFont="1" applyFill="1" applyAlignment="1">
      <alignment horizontal="left"/>
    </xf>
    <xf numFmtId="49" fontId="37" fillId="0" borderId="0" xfId="0" applyNumberFormat="1" applyFont="1" applyFill="1" applyAlignment="1">
      <alignment vertical="center" wrapText="1"/>
    </xf>
    <xf numFmtId="0" fontId="23" fillId="0" borderId="0" xfId="0" applyFont="1" applyFill="1" applyAlignment="1">
      <alignment horizontal="left" vertical="top"/>
    </xf>
    <xf numFmtId="0" fontId="37" fillId="0" borderId="11" xfId="0" applyFont="1" applyFill="1" applyBorder="1" applyAlignment="1">
      <alignment vertical="center"/>
    </xf>
    <xf numFmtId="0" fontId="23" fillId="0" borderId="0" xfId="0" applyFont="1" applyFill="1" applyBorder="1" applyAlignment="1">
      <alignment horizontal="center"/>
    </xf>
    <xf numFmtId="0" fontId="23" fillId="0" borderId="0" xfId="0" applyNumberFormat="1"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center" vertical="center"/>
    </xf>
    <xf numFmtId="2" fontId="23" fillId="0" borderId="0" xfId="0" applyNumberFormat="1" applyFont="1" applyFill="1" applyBorder="1" applyAlignment="1">
      <alignment horizontal="center" vertical="center"/>
    </xf>
    <xf numFmtId="0" fontId="18" fillId="0" borderId="0" xfId="0" applyFont="1" applyFill="1" applyBorder="1" applyAlignment="1">
      <alignment horizontal="left" vertical="top"/>
    </xf>
    <xf numFmtId="2" fontId="17" fillId="0" borderId="0" xfId="0" applyNumberFormat="1" applyFont="1" applyFill="1" applyBorder="1"/>
    <xf numFmtId="0" fontId="18" fillId="0" borderId="0" xfId="0" applyFont="1" applyFill="1" applyBorder="1" applyAlignment="1">
      <alignment horizontal="center" vertical="top"/>
    </xf>
    <xf numFmtId="0" fontId="17" fillId="0" borderId="4" xfId="0" quotePrefix="1" applyFont="1" applyFill="1" applyBorder="1" applyAlignment="1">
      <alignment horizontal="center" vertical="center" wrapText="1"/>
    </xf>
    <xf numFmtId="0" fontId="17" fillId="0" borderId="4" xfId="0" quotePrefix="1" applyFont="1" applyFill="1" applyBorder="1" applyAlignment="1">
      <alignment horizontal="center" vertical="top" wrapText="1"/>
    </xf>
    <xf numFmtId="0" fontId="68" fillId="0" borderId="0" xfId="0" applyFont="1" applyFill="1" applyAlignment="1">
      <alignment horizontal="center"/>
    </xf>
    <xf numFmtId="0" fontId="0" fillId="0" borderId="0" xfId="0" applyNumberFormat="1" applyFill="1" applyAlignment="1">
      <alignment horizontal="center"/>
    </xf>
    <xf numFmtId="0" fontId="23" fillId="0" borderId="0" xfId="0" quotePrefix="1" applyFont="1" applyFill="1" applyAlignment="1"/>
    <xf numFmtId="0" fontId="23" fillId="0" borderId="0" xfId="0" applyFont="1" applyFill="1" applyBorder="1" applyAlignment="1"/>
    <xf numFmtId="0" fontId="0" fillId="0" borderId="1" xfId="0" applyNumberFormat="1" applyFill="1" applyBorder="1"/>
    <xf numFmtId="0" fontId="23" fillId="0" borderId="10" xfId="0" applyFont="1" applyFill="1" applyBorder="1" applyAlignment="1">
      <alignment horizontal="center"/>
    </xf>
    <xf numFmtId="0" fontId="37" fillId="0" borderId="11" xfId="0" applyFont="1" applyFill="1" applyBorder="1" applyAlignment="1"/>
    <xf numFmtId="0" fontId="37" fillId="0" borderId="0" xfId="0" applyFont="1" applyFill="1" applyAlignment="1"/>
    <xf numFmtId="0" fontId="37" fillId="0" borderId="0" xfId="0" applyFont="1" applyFill="1"/>
    <xf numFmtId="49" fontId="37" fillId="0" borderId="11" xfId="0" applyNumberFormat="1" applyFont="1" applyFill="1" applyBorder="1" applyAlignment="1">
      <alignment vertical="center" wrapText="1"/>
    </xf>
    <xf numFmtId="0" fontId="76" fillId="0" borderId="0" xfId="0" applyFont="1" applyFill="1" applyAlignment="1">
      <alignment horizontal="center" vertical="center"/>
    </xf>
    <xf numFmtId="0" fontId="37" fillId="0" borderId="0" xfId="0" applyFont="1" applyFill="1" applyAlignment="1">
      <alignment vertical="center"/>
    </xf>
    <xf numFmtId="2" fontId="10" fillId="0" borderId="0" xfId="0" applyNumberFormat="1" applyFont="1" applyFill="1" applyBorder="1" applyAlignment="1">
      <alignment horizontal="center" vertical="center"/>
    </xf>
    <xf numFmtId="0" fontId="10" fillId="0" borderId="4" xfId="0" applyFont="1" applyFill="1" applyBorder="1" applyAlignment="1">
      <alignment vertical="center"/>
    </xf>
    <xf numFmtId="2" fontId="0" fillId="0" borderId="0" xfId="0" applyNumberFormat="1" applyFill="1" applyAlignment="1">
      <alignment horizontal="center" vertical="center"/>
    </xf>
    <xf numFmtId="0" fontId="0" fillId="0" borderId="0" xfId="0" applyNumberFormat="1" applyFill="1" applyAlignment="1">
      <alignment vertical="top" wrapText="1"/>
    </xf>
    <xf numFmtId="0" fontId="67" fillId="0" borderId="0" xfId="0" applyFont="1" applyFill="1" applyAlignment="1"/>
    <xf numFmtId="0" fontId="10" fillId="0" borderId="4" xfId="0" applyFont="1" applyFill="1" applyBorder="1" applyAlignment="1">
      <alignment horizontal="center" vertical="center"/>
    </xf>
    <xf numFmtId="0" fontId="90" fillId="0" borderId="0" xfId="0" applyFont="1" applyFill="1" applyBorder="1" applyAlignment="1"/>
    <xf numFmtId="0" fontId="10" fillId="0" borderId="0" xfId="0" quotePrefix="1" applyFont="1" applyFill="1" applyBorder="1" applyAlignment="1"/>
    <xf numFmtId="0" fontId="9" fillId="0" borderId="0" xfId="0" applyFont="1" applyFill="1" applyBorder="1" applyAlignment="1">
      <alignment horizontal="center"/>
    </xf>
    <xf numFmtId="0" fontId="10" fillId="0" borderId="11" xfId="0" applyFont="1" applyFill="1" applyBorder="1" applyAlignment="1">
      <alignment horizontal="center" vertical="center"/>
    </xf>
    <xf numFmtId="0" fontId="10" fillId="0" borderId="11" xfId="0" applyFont="1" applyFill="1" applyBorder="1" applyAlignment="1">
      <alignment horizontal="center"/>
    </xf>
    <xf numFmtId="0" fontId="10" fillId="0" borderId="0" xfId="0" applyFont="1" applyFill="1" applyBorder="1" applyAlignment="1">
      <alignment wrapText="1"/>
    </xf>
    <xf numFmtId="0" fontId="0" fillId="0" borderId="0" xfId="0" applyNumberFormat="1" applyFill="1" applyBorder="1" applyAlignment="1"/>
    <xf numFmtId="2" fontId="0" fillId="0" borderId="11" xfId="0" applyNumberFormat="1" applyFill="1" applyBorder="1" applyAlignment="1">
      <alignment horizontal="center"/>
    </xf>
    <xf numFmtId="0" fontId="48" fillId="0" borderId="0" xfId="0" applyFont="1" applyFill="1" applyBorder="1" applyAlignment="1">
      <alignment vertical="center" wrapText="1"/>
    </xf>
    <xf numFmtId="2" fontId="0" fillId="0" borderId="0" xfId="0" applyNumberFormat="1" applyFill="1" applyBorder="1" applyAlignment="1">
      <alignment horizontal="left"/>
    </xf>
    <xf numFmtId="0" fontId="17" fillId="0" borderId="0" xfId="0" applyNumberFormat="1" applyFont="1" applyFill="1" applyBorder="1" applyAlignment="1">
      <alignment horizontal="left" vertical="center"/>
    </xf>
    <xf numFmtId="0" fontId="12" fillId="0" borderId="0" xfId="0" applyFont="1" applyFill="1" applyBorder="1" applyAlignment="1">
      <alignment horizontal="left" vertical="top" wrapText="1"/>
    </xf>
    <xf numFmtId="2" fontId="0" fillId="0" borderId="0" xfId="0" applyNumberFormat="1" applyFill="1" applyBorder="1" applyAlignment="1">
      <alignment horizontal="left" vertical="center"/>
    </xf>
    <xf numFmtId="2" fontId="12" fillId="0" borderId="0" xfId="0" applyNumberFormat="1" applyFont="1" applyFill="1" applyBorder="1" applyAlignment="1">
      <alignment horizontal="left" vertical="center"/>
    </xf>
    <xf numFmtId="2" fontId="12" fillId="0" borderId="0" xfId="0" applyNumberFormat="1" applyFont="1" applyFill="1" applyBorder="1" applyAlignment="1">
      <alignment horizontal="left"/>
    </xf>
    <xf numFmtId="2" fontId="0" fillId="0" borderId="0" xfId="0" applyNumberFormat="1" applyFill="1" applyBorder="1" applyAlignment="1">
      <alignment horizontal="left" vertical="top"/>
    </xf>
    <xf numFmtId="2" fontId="12" fillId="0" borderId="0" xfId="0" applyNumberFormat="1" applyFont="1" applyFill="1" applyBorder="1" applyAlignment="1">
      <alignment horizontal="center"/>
    </xf>
    <xf numFmtId="2" fontId="12" fillId="0" borderId="0" xfId="0" applyNumberFormat="1" applyFont="1" applyFill="1" applyBorder="1" applyAlignment="1">
      <alignment horizontal="left" vertical="top" wrapText="1"/>
    </xf>
    <xf numFmtId="2" fontId="12" fillId="0" borderId="0" xfId="0" applyNumberFormat="1" applyFont="1" applyFill="1" applyBorder="1" applyAlignment="1">
      <alignment horizontal="center" vertical="top"/>
    </xf>
    <xf numFmtId="2" fontId="10" fillId="0" borderId="11" xfId="0" applyNumberFormat="1" applyFont="1" applyFill="1" applyBorder="1" applyAlignment="1">
      <alignment horizontal="center"/>
    </xf>
    <xf numFmtId="49" fontId="37" fillId="0" borderId="0" xfId="0" applyNumberFormat="1" applyFont="1" applyFill="1" applyBorder="1" applyAlignment="1">
      <alignment vertical="center" wrapText="1"/>
    </xf>
    <xf numFmtId="169" fontId="12" fillId="0" borderId="0" xfId="0" applyNumberFormat="1" applyFont="1" applyFill="1" applyBorder="1" applyAlignment="1">
      <alignment horizontal="center" vertical="center"/>
    </xf>
    <xf numFmtId="169" fontId="12" fillId="0" borderId="0" xfId="0" applyNumberFormat="1" applyFont="1" applyFill="1" applyBorder="1" applyAlignment="1">
      <alignment horizontal="left" vertical="center"/>
    </xf>
    <xf numFmtId="0" fontId="44" fillId="0" borderId="11" xfId="0" applyFont="1" applyFill="1" applyBorder="1" applyAlignment="1">
      <alignment horizontal="left" vertical="center" wrapText="1"/>
    </xf>
    <xf numFmtId="2" fontId="8" fillId="0" borderId="0" xfId="0" applyNumberFormat="1" applyFont="1" applyFill="1"/>
    <xf numFmtId="0" fontId="12" fillId="0" borderId="0" xfId="0" applyNumberFormat="1" applyFont="1" applyFill="1" applyBorder="1" applyAlignment="1"/>
    <xf numFmtId="2" fontId="10" fillId="0" borderId="0" xfId="0" applyNumberFormat="1" applyFont="1" applyFill="1" applyBorder="1" applyAlignment="1">
      <alignment horizontal="center"/>
    </xf>
    <xf numFmtId="2" fontId="37" fillId="0" borderId="0" xfId="0" applyNumberFormat="1" applyFont="1" applyFill="1" applyBorder="1" applyAlignment="1">
      <alignment horizontal="center" vertical="top"/>
    </xf>
    <xf numFmtId="2" fontId="16" fillId="0" borderId="0" xfId="0" applyNumberFormat="1" applyFont="1" applyFill="1" applyBorder="1" applyAlignment="1">
      <alignment horizontal="center" vertical="top"/>
    </xf>
    <xf numFmtId="0" fontId="0" fillId="0" borderId="0" xfId="0" applyFill="1" applyAlignment="1">
      <alignment wrapText="1"/>
    </xf>
    <xf numFmtId="0" fontId="0" fillId="0" borderId="15" xfId="0" applyNumberFormat="1" applyFill="1" applyBorder="1" applyAlignment="1"/>
    <xf numFmtId="0" fontId="10" fillId="0" borderId="4" xfId="0" applyFont="1" applyFill="1" applyBorder="1" applyAlignment="1">
      <alignment vertical="top"/>
    </xf>
    <xf numFmtId="0" fontId="23" fillId="0" borderId="0" xfId="0" applyFont="1" applyFill="1" applyBorder="1" applyAlignment="1">
      <alignment horizontal="center" vertical="top" wrapText="1"/>
    </xf>
    <xf numFmtId="0" fontId="0" fillId="0" borderId="0" xfId="0" applyFill="1" applyBorder="1" applyAlignment="1">
      <alignment horizontal="left" vertical="top" wrapText="1"/>
    </xf>
    <xf numFmtId="0" fontId="0" fillId="0" borderId="0" xfId="0" applyFill="1" applyAlignment="1">
      <alignment horizontal="left" vertical="top" wrapText="1"/>
    </xf>
    <xf numFmtId="2" fontId="0" fillId="0" borderId="0" xfId="0" applyNumberFormat="1" applyFill="1" applyBorder="1" applyAlignment="1">
      <alignment horizontal="center" vertical="top" wrapText="1"/>
    </xf>
    <xf numFmtId="2" fontId="0" fillId="0" borderId="0" xfId="0" applyNumberFormat="1" applyFill="1" applyBorder="1" applyAlignment="1">
      <alignment horizontal="left" vertical="top" wrapText="1"/>
    </xf>
    <xf numFmtId="2" fontId="15" fillId="0" borderId="0" xfId="0" applyNumberFormat="1" applyFont="1" applyFill="1" applyAlignment="1">
      <alignment horizontal="center"/>
    </xf>
    <xf numFmtId="2" fontId="10" fillId="0" borderId="0" xfId="0" applyNumberFormat="1" applyFont="1" applyFill="1" applyAlignment="1">
      <alignment horizontal="center"/>
    </xf>
    <xf numFmtId="0" fontId="15" fillId="0" borderId="0" xfId="0" applyNumberFormat="1" applyFont="1" applyFill="1" applyBorder="1" applyAlignment="1">
      <alignment horizontal="center" vertical="top" wrapText="1"/>
    </xf>
    <xf numFmtId="0" fontId="15" fillId="0" borderId="0" xfId="0" applyFont="1" applyFill="1" applyBorder="1" applyAlignment="1">
      <alignment horizontal="center"/>
    </xf>
    <xf numFmtId="0" fontId="18" fillId="0" borderId="0" xfId="0" applyFont="1" applyFill="1"/>
    <xf numFmtId="0" fontId="9" fillId="0" borderId="0" xfId="0" applyFont="1" applyFill="1" applyBorder="1" applyAlignment="1">
      <alignment horizontal="center" vertical="center"/>
    </xf>
    <xf numFmtId="0" fontId="0" fillId="0" borderId="0" xfId="0" applyFill="1" applyAlignment="1">
      <alignment horizontal="center"/>
    </xf>
    <xf numFmtId="0" fontId="23" fillId="0" borderId="0" xfId="0" applyFont="1" applyFill="1" applyAlignment="1">
      <alignment vertical="center"/>
    </xf>
    <xf numFmtId="2" fontId="0" fillId="0" borderId="0" xfId="0" applyNumberFormat="1" applyFill="1" applyAlignment="1">
      <alignment horizontal="center"/>
    </xf>
    <xf numFmtId="2" fontId="23" fillId="0" borderId="0" xfId="0" applyNumberFormat="1" applyFont="1" applyFill="1" applyAlignment="1">
      <alignment horizontal="center"/>
    </xf>
    <xf numFmtId="168" fontId="13" fillId="0" borderId="0" xfId="0" applyNumberFormat="1" applyFont="1" applyFill="1" applyAlignment="1">
      <alignment horizontal="center"/>
    </xf>
    <xf numFmtId="49" fontId="76" fillId="0" borderId="0" xfId="0" applyNumberFormat="1" applyFont="1" applyFill="1" applyBorder="1" applyAlignment="1">
      <alignment vertical="center" wrapText="1"/>
    </xf>
    <xf numFmtId="164" fontId="12" fillId="0" borderId="0" xfId="1" applyNumberFormat="1" applyFill="1"/>
    <xf numFmtId="2" fontId="15" fillId="0" borderId="4" xfId="0" applyNumberFormat="1" applyFont="1" applyFill="1" applyBorder="1" applyAlignment="1">
      <alignment horizontal="center" vertical="center"/>
    </xf>
    <xf numFmtId="2" fontId="15" fillId="0" borderId="4" xfId="0" applyNumberFormat="1" applyFont="1" applyFill="1" applyBorder="1" applyAlignment="1">
      <alignment horizontal="center" vertical="center" wrapText="1"/>
    </xf>
    <xf numFmtId="0" fontId="37" fillId="0" borderId="0" xfId="0" applyFont="1" applyFill="1" applyAlignment="1">
      <alignment wrapText="1"/>
    </xf>
    <xf numFmtId="0" fontId="23" fillId="2" borderId="0" xfId="0" applyFont="1" applyFill="1" applyBorder="1" applyAlignment="1">
      <alignment vertical="center" wrapText="1"/>
    </xf>
    <xf numFmtId="49" fontId="15" fillId="0" borderId="0" xfId="0" applyNumberFormat="1" applyFont="1" applyFill="1" applyBorder="1" applyAlignment="1">
      <alignment wrapText="1"/>
    </xf>
    <xf numFmtId="49" fontId="23" fillId="3" borderId="0" xfId="0" applyNumberFormat="1" applyFont="1" applyFill="1" applyBorder="1" applyAlignment="1">
      <alignment vertical="center" wrapText="1"/>
    </xf>
    <xf numFmtId="2" fontId="14" fillId="0" borderId="0" xfId="0" applyNumberFormat="1" applyFont="1" applyFill="1" applyAlignment="1">
      <alignment horizontal="center"/>
    </xf>
    <xf numFmtId="0" fontId="15" fillId="0" borderId="0" xfId="0" applyFont="1" applyFill="1" applyAlignment="1">
      <alignment horizontal="left" vertical="center" wrapText="1"/>
    </xf>
    <xf numFmtId="0" fontId="10" fillId="0" borderId="4" xfId="0" applyFont="1" applyFill="1" applyBorder="1" applyAlignment="1">
      <alignment horizontal="center" vertical="center"/>
    </xf>
    <xf numFmtId="0" fontId="0" fillId="0" borderId="0" xfId="0" applyFill="1" applyAlignment="1">
      <alignment horizontal="center"/>
    </xf>
    <xf numFmtId="0" fontId="0" fillId="0" borderId="0" xfId="0" applyFill="1" applyBorder="1" applyAlignment="1">
      <alignment horizontal="center"/>
    </xf>
    <xf numFmtId="0" fontId="10" fillId="0" borderId="4" xfId="0" applyFont="1" applyFill="1" applyBorder="1" applyAlignment="1">
      <alignment horizontal="center" vertical="center"/>
    </xf>
    <xf numFmtId="0" fontId="0" fillId="0" borderId="0" xfId="0" applyFill="1" applyAlignment="1">
      <alignment horizontal="center"/>
    </xf>
    <xf numFmtId="0" fontId="0" fillId="0" borderId="0" xfId="0" applyFill="1" applyBorder="1" applyAlignment="1">
      <alignment horizontal="center"/>
    </xf>
    <xf numFmtId="0" fontId="90" fillId="0" borderId="0" xfId="0" applyFont="1" applyFill="1" applyAlignment="1">
      <alignment horizontal="center"/>
    </xf>
    <xf numFmtId="0" fontId="10" fillId="0" borderId="3" xfId="0" applyNumberFormat="1" applyFont="1" applyFill="1" applyBorder="1" applyAlignment="1">
      <alignment horizontal="center" vertical="center" wrapText="1"/>
    </xf>
    <xf numFmtId="0" fontId="70" fillId="0" borderId="11" xfId="0" applyFont="1" applyFill="1" applyBorder="1" applyAlignment="1">
      <alignment vertical="center" wrapText="1"/>
    </xf>
    <xf numFmtId="0" fontId="8" fillId="0" borderId="0" xfId="0" applyFont="1" applyFill="1" applyBorder="1" applyAlignment="1">
      <alignment vertical="center" wrapText="1"/>
    </xf>
    <xf numFmtId="0" fontId="14" fillId="0" borderId="11" xfId="0" applyFont="1" applyFill="1" applyBorder="1" applyAlignment="1">
      <alignment vertical="center"/>
    </xf>
    <xf numFmtId="0" fontId="0" fillId="0" borderId="0" xfId="0" applyFill="1" applyAlignment="1">
      <alignment horizontal="right"/>
    </xf>
    <xf numFmtId="0" fontId="10" fillId="2" borderId="0" xfId="0" applyFont="1" applyFill="1" applyBorder="1" applyAlignment="1">
      <alignment vertical="center" wrapText="1"/>
    </xf>
    <xf numFmtId="0" fontId="10" fillId="0" borderId="0" xfId="0" quotePrefix="1" applyFont="1" applyFill="1" applyBorder="1" applyAlignment="1">
      <alignment horizontal="center"/>
    </xf>
    <xf numFmtId="0" fontId="10" fillId="0" borderId="7" xfId="0" applyFont="1" applyFill="1" applyBorder="1" applyAlignment="1">
      <alignment horizontal="center"/>
    </xf>
    <xf numFmtId="0" fontId="79" fillId="0" borderId="0" xfId="0" applyFont="1" applyFill="1" applyBorder="1" applyAlignment="1">
      <alignment vertical="center" wrapText="1"/>
    </xf>
    <xf numFmtId="0" fontId="10" fillId="0" borderId="0" xfId="0" applyFont="1" applyFill="1" applyBorder="1" applyAlignment="1">
      <alignment horizontal="left"/>
    </xf>
    <xf numFmtId="0" fontId="0" fillId="0" borderId="0" xfId="0" applyFill="1" applyBorder="1" applyAlignment="1">
      <alignment wrapText="1"/>
    </xf>
    <xf numFmtId="0" fontId="0" fillId="0" borderId="0" xfId="0" applyNumberFormat="1" applyFill="1" applyBorder="1" applyAlignment="1">
      <alignment horizontal="center"/>
    </xf>
    <xf numFmtId="0" fontId="76" fillId="0" borderId="0" xfId="0" applyFont="1" applyFill="1" applyBorder="1" applyAlignment="1">
      <alignment horizontal="left" vertical="center" wrapText="1"/>
    </xf>
    <xf numFmtId="2" fontId="37" fillId="0" borderId="11" xfId="0" applyNumberFormat="1" applyFont="1" applyFill="1" applyBorder="1" applyAlignment="1">
      <alignment vertical="center"/>
    </xf>
    <xf numFmtId="0" fontId="10" fillId="0" borderId="0" xfId="0" applyFont="1" applyFill="1" applyBorder="1" applyAlignment="1">
      <alignment horizontal="center" vertical="top"/>
    </xf>
    <xf numFmtId="0" fontId="10" fillId="0" borderId="0" xfId="0" applyFont="1" applyFill="1" applyBorder="1" applyAlignment="1">
      <alignment vertical="top"/>
    </xf>
    <xf numFmtId="0" fontId="15" fillId="0" borderId="0" xfId="0" applyFont="1" applyFill="1" applyBorder="1" applyAlignment="1">
      <alignment horizontal="left" vertical="top"/>
    </xf>
    <xf numFmtId="2" fontId="0" fillId="0" borderId="0" xfId="0" applyNumberFormat="1" applyFill="1" applyAlignment="1">
      <alignment horizontal="center" vertical="top"/>
    </xf>
    <xf numFmtId="0" fontId="16" fillId="0" borderId="0" xfId="0" applyFont="1" applyFill="1" applyBorder="1" applyAlignment="1">
      <alignment horizontal="left" vertical="center"/>
    </xf>
    <xf numFmtId="0" fontId="14" fillId="0" borderId="0" xfId="0" quotePrefix="1" applyFont="1" applyFill="1" applyAlignment="1"/>
    <xf numFmtId="0" fontId="0" fillId="0" borderId="0" xfId="0" applyFill="1" applyBorder="1" applyAlignment="1">
      <alignment horizontal="right"/>
    </xf>
    <xf numFmtId="0" fontId="23" fillId="0" borderId="4" xfId="0" applyFont="1" applyFill="1" applyBorder="1" applyAlignment="1">
      <alignment horizontal="center" wrapText="1"/>
    </xf>
    <xf numFmtId="0" fontId="10" fillId="0" borderId="13" xfId="0" applyFont="1" applyFill="1" applyBorder="1" applyAlignment="1">
      <alignment horizontal="left" vertical="center" wrapText="1"/>
    </xf>
    <xf numFmtId="0" fontId="10" fillId="0" borderId="15" xfId="0" applyFont="1" applyFill="1" applyBorder="1" applyAlignment="1">
      <alignment horizontal="center" vertical="center"/>
    </xf>
    <xf numFmtId="0" fontId="10" fillId="0" borderId="15" xfId="0" applyFont="1" applyFill="1" applyBorder="1" applyAlignment="1">
      <alignment vertical="center"/>
    </xf>
    <xf numFmtId="2" fontId="10" fillId="0" borderId="8" xfId="0" applyNumberFormat="1" applyFont="1" applyFill="1" applyBorder="1" applyAlignment="1">
      <alignment horizontal="center" vertical="center"/>
    </xf>
    <xf numFmtId="0" fontId="0" fillId="0" borderId="0" xfId="0" applyFill="1" applyAlignment="1">
      <alignment horizontal="right" vertical="top"/>
    </xf>
    <xf numFmtId="49" fontId="95" fillId="0" borderId="0" xfId="0" applyNumberFormat="1" applyFont="1" applyFill="1" applyBorder="1" applyAlignment="1">
      <alignment vertical="center" wrapText="1"/>
    </xf>
    <xf numFmtId="0" fontId="0" fillId="0" borderId="0" xfId="0" applyFill="1" applyAlignment="1">
      <alignment horizontal="center"/>
    </xf>
    <xf numFmtId="0" fontId="0" fillId="0" borderId="0" xfId="0" applyFill="1" applyBorder="1" applyAlignment="1">
      <alignment horizontal="center"/>
    </xf>
    <xf numFmtId="0" fontId="30" fillId="0" borderId="0" xfId="12" applyFont="1" applyFill="1" applyBorder="1" applyAlignment="1">
      <alignment horizontal="center" vertical="center"/>
    </xf>
    <xf numFmtId="0" fontId="26" fillId="0" borderId="0" xfId="13" applyFont="1" applyFill="1" applyBorder="1" applyAlignment="1">
      <alignment horizontal="left" vertical="top"/>
    </xf>
    <xf numFmtId="2" fontId="31" fillId="0" borderId="0" xfId="12" applyNumberFormat="1" applyFont="1" applyFill="1" applyBorder="1" applyAlignment="1">
      <alignment vertical="center"/>
    </xf>
    <xf numFmtId="0" fontId="19" fillId="0" borderId="0" xfId="13" applyFont="1" applyFill="1" applyBorder="1" applyAlignment="1">
      <alignment horizontal="center" wrapText="1"/>
    </xf>
    <xf numFmtId="2" fontId="31" fillId="0" borderId="0" xfId="12" applyNumberFormat="1" applyFont="1" applyFill="1" applyBorder="1" applyAlignment="1">
      <alignment horizontal="center" vertical="center"/>
    </xf>
    <xf numFmtId="0" fontId="14" fillId="0" borderId="0" xfId="3" applyFont="1" applyFill="1" applyBorder="1" applyAlignment="1"/>
    <xf numFmtId="0" fontId="14" fillId="0" borderId="0" xfId="3" applyFont="1" applyFill="1" applyBorder="1" applyAlignment="1">
      <alignment horizontal="center"/>
    </xf>
    <xf numFmtId="0" fontId="23" fillId="0" borderId="3" xfId="14" applyFont="1" applyFill="1" applyBorder="1" applyAlignment="1">
      <alignment horizontal="center" vertical="center" wrapText="1"/>
    </xf>
    <xf numFmtId="0" fontId="23" fillId="0" borderId="3" xfId="14" applyFont="1" applyFill="1" applyBorder="1" applyAlignment="1">
      <alignment horizontal="center" vertical="center"/>
    </xf>
    <xf numFmtId="0" fontId="14" fillId="0" borderId="4" xfId="13" applyFont="1" applyFill="1" applyBorder="1" applyAlignment="1">
      <alignment horizontal="center" vertical="center" wrapText="1"/>
    </xf>
    <xf numFmtId="0" fontId="23" fillId="0" borderId="10" xfId="14" applyFont="1" applyFill="1" applyBorder="1" applyAlignment="1">
      <alignment horizontal="center" vertical="center"/>
    </xf>
    <xf numFmtId="0" fontId="23" fillId="0" borderId="4" xfId="14" applyFont="1" applyFill="1" applyBorder="1" applyAlignment="1">
      <alignment horizontal="center" vertical="center"/>
    </xf>
    <xf numFmtId="0" fontId="14" fillId="0" borderId="0" xfId="13" applyFont="1" applyFill="1" applyBorder="1" applyAlignment="1">
      <alignment horizontal="center" vertical="center" wrapText="1"/>
    </xf>
    <xf numFmtId="0" fontId="15" fillId="0" borderId="0" xfId="0" applyFont="1" applyFill="1" applyAlignment="1">
      <alignment vertical="center" wrapText="1"/>
    </xf>
    <xf numFmtId="49" fontId="71" fillId="0" borderId="11" xfId="0" applyNumberFormat="1" applyFont="1" applyFill="1" applyBorder="1" applyAlignment="1">
      <alignment vertical="center" wrapText="1"/>
    </xf>
    <xf numFmtId="49" fontId="71" fillId="0" borderId="0" xfId="0" applyNumberFormat="1" applyFont="1" applyFill="1" applyAlignment="1">
      <alignment vertical="center" wrapText="1"/>
    </xf>
    <xf numFmtId="0" fontId="71" fillId="0" borderId="11" xfId="0" applyFont="1" applyFill="1" applyBorder="1" applyAlignment="1">
      <alignment vertical="center" wrapText="1"/>
    </xf>
    <xf numFmtId="0" fontId="71" fillId="0" borderId="0" xfId="0" applyFont="1" applyFill="1" applyAlignment="1">
      <alignment horizontal="center" vertical="center"/>
    </xf>
    <xf numFmtId="0" fontId="71" fillId="0" borderId="11" xfId="0" applyFont="1" applyFill="1" applyBorder="1" applyAlignment="1">
      <alignment vertical="center"/>
    </xf>
    <xf numFmtId="0" fontId="12" fillId="0" borderId="0" xfId="1" applyFill="1" applyAlignment="1">
      <alignment vertical="top" wrapText="1"/>
    </xf>
    <xf numFmtId="0" fontId="97" fillId="0" borderId="0" xfId="0" applyFont="1" applyFill="1"/>
    <xf numFmtId="0" fontId="14" fillId="0" borderId="0" xfId="0" applyFont="1" applyFill="1" applyBorder="1" applyAlignment="1"/>
    <xf numFmtId="0" fontId="7" fillId="0" borderId="0" xfId="0" applyFont="1" applyFill="1" applyBorder="1" applyAlignment="1"/>
    <xf numFmtId="0" fontId="12" fillId="0" borderId="0" xfId="1" applyFill="1" applyAlignment="1">
      <alignment vertical="top"/>
    </xf>
    <xf numFmtId="49" fontId="76" fillId="0" borderId="0" xfId="1" applyNumberFormat="1" applyFont="1" applyFill="1" applyBorder="1" applyAlignment="1">
      <alignment vertical="center" wrapText="1"/>
    </xf>
    <xf numFmtId="0" fontId="12" fillId="0" borderId="0" xfId="1" applyFill="1" applyBorder="1" applyAlignment="1">
      <alignment vertical="center"/>
    </xf>
    <xf numFmtId="0" fontId="23" fillId="0" borderId="0" xfId="1" applyFont="1" applyFill="1" applyBorder="1" applyAlignment="1">
      <alignment horizontal="center"/>
    </xf>
    <xf numFmtId="0" fontId="12" fillId="0" borderId="0" xfId="1" applyFont="1" applyFill="1" applyBorder="1" applyAlignment="1">
      <alignment vertical="center" wrapText="1"/>
    </xf>
    <xf numFmtId="0" fontId="12" fillId="0" borderId="0" xfId="1" applyFill="1" applyBorder="1" applyAlignment="1">
      <alignment vertical="center" wrapText="1"/>
    </xf>
    <xf numFmtId="0" fontId="10" fillId="0" borderId="0" xfId="1" applyFont="1" applyFill="1" applyBorder="1" applyAlignment="1">
      <alignment vertical="center"/>
    </xf>
    <xf numFmtId="0" fontId="23" fillId="0" borderId="0" xfId="1" applyFont="1" applyFill="1" applyBorder="1" applyAlignment="1"/>
    <xf numFmtId="49" fontId="12" fillId="0" borderId="0" xfId="1" applyNumberFormat="1" applyFont="1" applyFill="1" applyBorder="1" applyAlignment="1">
      <alignment horizontal="center" vertical="center" wrapText="1"/>
    </xf>
    <xf numFmtId="0" fontId="12" fillId="0" borderId="0" xfId="0" applyFont="1" applyFill="1" applyAlignment="1">
      <alignment vertical="top"/>
    </xf>
    <xf numFmtId="0" fontId="10" fillId="2" borderId="0" xfId="1" applyFont="1" applyFill="1" applyBorder="1" applyAlignment="1">
      <alignment vertical="center"/>
    </xf>
    <xf numFmtId="2" fontId="23" fillId="0" borderId="0" xfId="1" applyNumberFormat="1" applyFont="1" applyFill="1" applyAlignment="1">
      <alignment horizontal="center" vertical="top"/>
    </xf>
    <xf numFmtId="0" fontId="14" fillId="2" borderId="0" xfId="0" applyFont="1" applyFill="1" applyBorder="1" applyAlignment="1">
      <alignment vertical="center" wrapText="1"/>
    </xf>
    <xf numFmtId="2" fontId="14" fillId="0" borderId="0" xfId="1" applyNumberFormat="1" applyFont="1" applyFill="1" applyAlignment="1">
      <alignment horizontal="center" vertical="top"/>
    </xf>
    <xf numFmtId="0" fontId="10" fillId="0" borderId="4" xfId="0" applyFont="1" applyFill="1" applyBorder="1" applyAlignment="1">
      <alignment horizontal="center" vertical="center"/>
    </xf>
    <xf numFmtId="0" fontId="10" fillId="0" borderId="0" xfId="0" applyFont="1" applyFill="1" applyBorder="1" applyAlignment="1">
      <alignment horizontal="left"/>
    </xf>
    <xf numFmtId="0" fontId="10" fillId="0" borderId="3" xfId="0" applyFont="1" applyFill="1" applyBorder="1" applyAlignment="1">
      <alignment horizontal="center" vertical="center"/>
    </xf>
    <xf numFmtId="0" fontId="17" fillId="0" borderId="0" xfId="1" applyFont="1" applyFill="1" applyAlignment="1">
      <alignment horizontal="center"/>
    </xf>
    <xf numFmtId="0" fontId="10" fillId="0" borderId="8" xfId="0" applyFont="1" applyFill="1" applyBorder="1" applyAlignment="1">
      <alignment horizontal="center" vertical="center"/>
    </xf>
    <xf numFmtId="0" fontId="10" fillId="0" borderId="0" xfId="0" applyFont="1" applyFill="1" applyAlignment="1">
      <alignment horizontal="center" vertical="center"/>
    </xf>
    <xf numFmtId="2" fontId="10" fillId="0" borderId="0" xfId="0" applyNumberFormat="1" applyFont="1" applyFill="1"/>
    <xf numFmtId="2" fontId="12" fillId="0" borderId="0" xfId="0" applyNumberFormat="1" applyFont="1" applyFill="1"/>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16" fillId="0" borderId="0" xfId="0" quotePrefix="1"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2" fontId="12" fillId="0" borderId="0" xfId="0" applyNumberFormat="1" applyFont="1" applyFill="1" applyAlignment="1">
      <alignment vertical="top"/>
    </xf>
    <xf numFmtId="0" fontId="12" fillId="0" borderId="0" xfId="0" applyNumberFormat="1" applyFont="1" applyFill="1" applyBorder="1"/>
    <xf numFmtId="0" fontId="12" fillId="0" borderId="0" xfId="0" applyNumberFormat="1" applyFont="1" applyFill="1"/>
    <xf numFmtId="0" fontId="67" fillId="0" borderId="0" xfId="0" applyFont="1" applyFill="1"/>
    <xf numFmtId="0" fontId="10" fillId="0" borderId="0" xfId="1" applyFont="1" applyFill="1" applyAlignment="1">
      <alignment horizontal="center"/>
    </xf>
    <xf numFmtId="0" fontId="10" fillId="0" borderId="0" xfId="1" quotePrefix="1" applyFont="1" applyFill="1" applyAlignment="1">
      <alignment horizontal="center"/>
    </xf>
    <xf numFmtId="0" fontId="10" fillId="0" borderId="0" xfId="1" quotePrefix="1" applyFont="1" applyFill="1" applyAlignment="1"/>
    <xf numFmtId="0" fontId="12" fillId="0" borderId="0" xfId="1" applyFont="1" applyFill="1" applyBorder="1" applyAlignment="1">
      <alignment horizontal="left" vertical="center"/>
    </xf>
    <xf numFmtId="0" fontId="10" fillId="0" borderId="4" xfId="1" applyFont="1" applyFill="1" applyBorder="1" applyAlignment="1">
      <alignment horizontal="center" vertical="center" wrapText="1"/>
    </xf>
    <xf numFmtId="0" fontId="10" fillId="0" borderId="4" xfId="1" applyNumberFormat="1" applyFont="1" applyFill="1" applyBorder="1" applyAlignment="1">
      <alignment horizontal="center" vertical="center" wrapText="1"/>
    </xf>
    <xf numFmtId="0" fontId="10" fillId="0" borderId="4" xfId="1" applyFont="1" applyFill="1" applyBorder="1" applyAlignment="1">
      <alignment horizontal="center" vertical="center"/>
    </xf>
    <xf numFmtId="0" fontId="10" fillId="0" borderId="4" xfId="1" applyFont="1" applyFill="1" applyBorder="1" applyAlignment="1">
      <alignment horizontal="center"/>
    </xf>
    <xf numFmtId="0" fontId="12" fillId="0" borderId="0" xfId="1" applyFont="1" applyFill="1" applyBorder="1" applyAlignment="1">
      <alignment vertical="top" wrapText="1"/>
    </xf>
    <xf numFmtId="0" fontId="12" fillId="0" borderId="0" xfId="1" applyFill="1" applyAlignment="1"/>
    <xf numFmtId="0" fontId="12" fillId="0" borderId="11" xfId="1" applyFont="1" applyFill="1" applyBorder="1" applyAlignment="1">
      <alignment vertical="center"/>
    </xf>
    <xf numFmtId="0" fontId="12" fillId="0" borderId="0" xfId="1" applyFont="1" applyFill="1" applyBorder="1" applyAlignment="1">
      <alignment vertical="center"/>
    </xf>
    <xf numFmtId="0" fontId="12" fillId="0" borderId="11" xfId="1" applyFill="1" applyBorder="1" applyAlignment="1">
      <alignment vertical="center" wrapText="1"/>
    </xf>
    <xf numFmtId="49" fontId="12" fillId="0" borderId="0" xfId="1" applyNumberFormat="1" applyFont="1" applyFill="1" applyAlignment="1">
      <alignment vertical="center" wrapText="1"/>
    </xf>
    <xf numFmtId="0" fontId="14" fillId="0" borderId="11" xfId="1" applyFont="1" applyFill="1" applyBorder="1" applyAlignment="1">
      <alignment vertical="center" wrapText="1"/>
    </xf>
    <xf numFmtId="0" fontId="15" fillId="0" borderId="11" xfId="1" applyFont="1" applyFill="1" applyBorder="1" applyAlignment="1">
      <alignment horizontal="center" vertical="center"/>
    </xf>
    <xf numFmtId="0" fontId="14" fillId="0" borderId="0" xfId="1" applyFont="1" applyFill="1" applyBorder="1" applyAlignment="1">
      <alignment vertical="center"/>
    </xf>
    <xf numFmtId="0" fontId="12" fillId="0" borderId="0" xfId="1" applyFill="1" applyAlignment="1">
      <alignment horizontal="center" vertical="top"/>
    </xf>
    <xf numFmtId="0" fontId="12" fillId="0" borderId="0" xfId="1" applyNumberFormat="1" applyFill="1" applyAlignment="1">
      <alignment vertical="top"/>
    </xf>
    <xf numFmtId="2" fontId="12" fillId="0" borderId="0" xfId="1" applyNumberFormat="1" applyFill="1" applyAlignment="1">
      <alignment vertical="top"/>
    </xf>
    <xf numFmtId="0" fontId="10" fillId="0" borderId="0" xfId="1" applyFont="1" applyFill="1" applyBorder="1" applyAlignment="1">
      <alignment horizontal="center" vertical="top"/>
    </xf>
    <xf numFmtId="0" fontId="12" fillId="0" borderId="0" xfId="1" applyFill="1" applyBorder="1" applyAlignment="1">
      <alignment horizontal="center" vertical="top"/>
    </xf>
    <xf numFmtId="0" fontId="12" fillId="0" borderId="0" xfId="1" applyFill="1" applyAlignment="1">
      <alignment horizontal="center" vertical="top" wrapText="1"/>
    </xf>
    <xf numFmtId="0" fontId="12" fillId="0" borderId="0" xfId="1" applyNumberFormat="1" applyFill="1" applyAlignment="1">
      <alignment horizontal="center" vertical="top" wrapText="1"/>
    </xf>
    <xf numFmtId="0" fontId="12" fillId="0" borderId="0" xfId="1" applyNumberFormat="1" applyFill="1" applyAlignment="1"/>
    <xf numFmtId="0" fontId="17" fillId="0" borderId="0" xfId="1" applyFont="1" applyFill="1" applyAlignment="1"/>
    <xf numFmtId="0" fontId="17" fillId="0" borderId="0" xfId="1" applyNumberFormat="1" applyFont="1" applyFill="1" applyAlignment="1"/>
    <xf numFmtId="0" fontId="23" fillId="2" borderId="0" xfId="0" applyFont="1" applyFill="1" applyAlignment="1">
      <alignment vertical="center"/>
    </xf>
    <xf numFmtId="2" fontId="10" fillId="2" borderId="0" xfId="0" applyNumberFormat="1" applyFont="1" applyFill="1" applyBorder="1" applyAlignment="1">
      <alignment horizontal="left" vertical="center"/>
    </xf>
    <xf numFmtId="2" fontId="15" fillId="4" borderId="0"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0" fontId="0" fillId="0" borderId="0" xfId="0" applyFill="1" applyAlignment="1">
      <alignment horizontal="center"/>
    </xf>
    <xf numFmtId="0" fontId="14" fillId="0" borderId="4" xfId="0" applyFont="1" applyFill="1" applyBorder="1" applyAlignment="1">
      <alignment horizontal="center" vertical="center"/>
    </xf>
    <xf numFmtId="0" fontId="17" fillId="0" borderId="0" xfId="0" applyFont="1" applyFill="1" applyBorder="1" applyAlignment="1">
      <alignment horizontal="center" vertical="center"/>
    </xf>
    <xf numFmtId="0" fontId="10" fillId="2" borderId="0" xfId="1" applyFont="1" applyFill="1" applyAlignment="1">
      <alignment vertical="center"/>
    </xf>
    <xf numFmtId="0" fontId="10" fillId="0" borderId="0" xfId="0" applyNumberFormat="1" applyFont="1" applyFill="1" applyAlignment="1">
      <alignment horizontal="center"/>
    </xf>
    <xf numFmtId="0" fontId="23" fillId="0" borderId="0" xfId="0" applyFont="1" applyFill="1" applyAlignment="1">
      <alignment horizontal="center" vertical="top"/>
    </xf>
    <xf numFmtId="0" fontId="22" fillId="0" borderId="0" xfId="0" applyFont="1" applyFill="1" applyAlignment="1">
      <alignment vertical="center" wrapText="1"/>
    </xf>
    <xf numFmtId="0" fontId="22" fillId="0" borderId="0" xfId="0" applyFont="1" applyFill="1" applyAlignment="1">
      <alignment horizontal="center"/>
    </xf>
    <xf numFmtId="0" fontId="17" fillId="0" borderId="0" xfId="0" applyFont="1" applyFill="1" applyAlignment="1">
      <alignment vertical="center" wrapText="1"/>
    </xf>
    <xf numFmtId="0" fontId="17" fillId="0" borderId="0" xfId="3" applyFont="1" applyFill="1" applyBorder="1"/>
    <xf numFmtId="0" fontId="17" fillId="0" borderId="0" xfId="0" applyFont="1" applyFill="1" applyAlignment="1">
      <alignment vertical="top"/>
    </xf>
    <xf numFmtId="0" fontId="19" fillId="0" borderId="0" xfId="0" applyFont="1" applyFill="1" applyBorder="1" applyAlignment="1">
      <alignment horizontal="center" vertical="center"/>
    </xf>
    <xf numFmtId="0" fontId="28" fillId="0" borderId="0" xfId="3" applyFont="1" applyFill="1" applyBorder="1" applyAlignment="1">
      <alignment vertical="center" wrapText="1"/>
    </xf>
    <xf numFmtId="0" fontId="8" fillId="0" borderId="0" xfId="3" applyFont="1" applyFill="1" applyAlignment="1">
      <alignment horizontal="center"/>
    </xf>
    <xf numFmtId="0" fontId="15" fillId="0" borderId="0" xfId="3" applyFont="1" applyFill="1"/>
    <xf numFmtId="2" fontId="26" fillId="0" borderId="0" xfId="3" applyNumberFormat="1" applyFont="1" applyFill="1"/>
    <xf numFmtId="0" fontId="19" fillId="0" borderId="0" xfId="0" applyFont="1" applyFill="1" applyBorder="1" applyAlignment="1">
      <alignment vertical="center"/>
    </xf>
    <xf numFmtId="0" fontId="98" fillId="0" borderId="0" xfId="0" applyFont="1" applyFill="1" applyAlignment="1">
      <alignment horizontal="center"/>
    </xf>
    <xf numFmtId="0" fontId="98" fillId="0" borderId="0" xfId="0" applyFont="1" applyFill="1"/>
    <xf numFmtId="0" fontId="98" fillId="0" borderId="0" xfId="0" applyFont="1" applyFill="1" applyAlignment="1">
      <alignment horizontal="center" vertical="center"/>
    </xf>
    <xf numFmtId="0" fontId="98" fillId="0" borderId="0" xfId="3" applyFont="1" applyFill="1" applyAlignment="1">
      <alignment horizontal="center"/>
    </xf>
    <xf numFmtId="0" fontId="98" fillId="0" borderId="0" xfId="3" applyFont="1" applyFill="1"/>
    <xf numFmtId="0" fontId="98" fillId="0" borderId="0" xfId="3" applyNumberFormat="1" applyFont="1" applyFill="1" applyAlignment="1">
      <alignment horizontal="center"/>
    </xf>
    <xf numFmtId="0" fontId="98" fillId="0" borderId="0" xfId="3" applyFont="1" applyFill="1" applyAlignment="1">
      <alignment horizontal="left"/>
    </xf>
    <xf numFmtId="2" fontId="91" fillId="0" borderId="0" xfId="1" applyNumberFormat="1" applyFont="1" applyFill="1" applyBorder="1" applyAlignment="1">
      <alignment horizontal="center" vertical="center"/>
    </xf>
    <xf numFmtId="0" fontId="23" fillId="0" borderId="3" xfId="1" applyFont="1" applyFill="1" applyBorder="1" applyAlignment="1">
      <alignment horizontal="center" vertical="center" wrapText="1"/>
    </xf>
    <xf numFmtId="0" fontId="14" fillId="0" borderId="0" xfId="3" applyFont="1" applyFill="1" applyBorder="1" applyAlignment="1">
      <alignment horizontal="center" wrapText="1"/>
    </xf>
    <xf numFmtId="0" fontId="23" fillId="0" borderId="0" xfId="3" applyFont="1" applyFill="1" applyBorder="1" applyAlignment="1">
      <alignment horizontal="center" wrapText="1"/>
    </xf>
    <xf numFmtId="0" fontId="23" fillId="0" borderId="3" xfId="12" applyFont="1" applyFill="1" applyBorder="1" applyAlignment="1">
      <alignment horizontal="center" vertical="center" wrapText="1"/>
    </xf>
    <xf numFmtId="0" fontId="23" fillId="0" borderId="10" xfId="12" applyFont="1" applyFill="1" applyBorder="1" applyAlignment="1">
      <alignment horizontal="center" vertical="center" wrapText="1"/>
    </xf>
    <xf numFmtId="0" fontId="23" fillId="0" borderId="4" xfId="12" applyFont="1" applyFill="1" applyBorder="1" applyAlignment="1">
      <alignment horizontal="center" vertical="center" wrapText="1"/>
    </xf>
    <xf numFmtId="0" fontId="31" fillId="0" borderId="0" xfId="1" applyFont="1" applyFill="1"/>
    <xf numFmtId="0" fontId="30" fillId="0" borderId="0" xfId="1" applyFont="1" applyFill="1"/>
    <xf numFmtId="0" fontId="8" fillId="0" borderId="0" xfId="3" applyFont="1" applyFill="1" applyBorder="1" applyAlignment="1">
      <alignment vertical="center" wrapText="1"/>
    </xf>
    <xf numFmtId="0" fontId="8" fillId="0" borderId="0" xfId="3" applyFont="1" applyFill="1" applyBorder="1" applyAlignment="1">
      <alignment horizontal="center" wrapText="1"/>
    </xf>
    <xf numFmtId="0" fontId="34" fillId="0" borderId="4" xfId="4" applyFont="1" applyFill="1" applyBorder="1" applyAlignment="1">
      <alignment horizontal="center" vertical="center" wrapText="1"/>
    </xf>
    <xf numFmtId="0" fontId="34" fillId="0" borderId="4" xfId="4" applyFont="1" applyFill="1" applyBorder="1" applyAlignment="1">
      <alignment horizontal="center" vertical="top" wrapText="1"/>
    </xf>
    <xf numFmtId="0" fontId="31" fillId="0" borderId="0" xfId="1" applyFont="1" applyFill="1" applyBorder="1" applyAlignment="1">
      <alignment vertical="center"/>
    </xf>
    <xf numFmtId="0" fontId="36" fillId="0" borderId="0" xfId="4" applyFont="1" applyFill="1" applyBorder="1" applyAlignment="1">
      <alignment horizontal="center" vertical="center" wrapText="1"/>
    </xf>
    <xf numFmtId="165" fontId="30" fillId="0" borderId="0" xfId="1" applyNumberFormat="1" applyFont="1" applyFill="1" applyBorder="1"/>
    <xf numFmtId="0" fontId="12" fillId="0" borderId="15" xfId="1" applyFont="1" applyFill="1" applyBorder="1" applyAlignment="1">
      <alignment vertical="center"/>
    </xf>
    <xf numFmtId="1" fontId="36" fillId="0" borderId="0" xfId="4" applyNumberFormat="1" applyFont="1" applyFill="1" applyBorder="1" applyAlignment="1">
      <alignment horizontal="right" vertical="center" wrapText="1"/>
    </xf>
    <xf numFmtId="2" fontId="35" fillId="0" borderId="0" xfId="12" applyNumberFormat="1" applyFont="1" applyFill="1" applyBorder="1" applyAlignment="1">
      <alignment horizontal="center" vertical="center" wrapText="1"/>
    </xf>
    <xf numFmtId="49" fontId="10" fillId="3" borderId="0" xfId="0" applyNumberFormat="1" applyFont="1" applyFill="1" applyBorder="1" applyAlignment="1">
      <alignment vertical="center" wrapText="1"/>
    </xf>
    <xf numFmtId="0" fontId="15" fillId="0" borderId="4" xfId="1" applyFont="1" applyFill="1" applyBorder="1" applyAlignment="1">
      <alignment horizontal="center" vertical="center"/>
    </xf>
    <xf numFmtId="0" fontId="23" fillId="0" borderId="4" xfId="1" applyFont="1" applyFill="1" applyBorder="1" applyAlignment="1">
      <alignment horizontal="center" vertical="center" wrapText="1"/>
    </xf>
    <xf numFmtId="49" fontId="14" fillId="0" borderId="4" xfId="1" applyNumberFormat="1" applyFont="1" applyFill="1" applyBorder="1" applyAlignment="1">
      <alignment horizontal="center" vertical="center" wrapText="1"/>
    </xf>
    <xf numFmtId="0" fontId="14" fillId="0" borderId="4" xfId="1" applyNumberFormat="1" applyFont="1" applyFill="1" applyBorder="1" applyAlignment="1">
      <alignment horizontal="center" vertical="center" wrapText="1"/>
    </xf>
    <xf numFmtId="2" fontId="14" fillId="0" borderId="10" xfId="1" applyNumberFormat="1" applyFont="1" applyFill="1" applyBorder="1" applyAlignment="1">
      <alignment horizontal="center" vertical="center" wrapText="1"/>
    </xf>
    <xf numFmtId="0" fontId="23" fillId="0" borderId="3" xfId="12" applyFont="1" applyFill="1" applyBorder="1" applyAlignment="1">
      <alignment horizontal="center" vertical="top" wrapText="1"/>
    </xf>
    <xf numFmtId="0" fontId="23" fillId="0" borderId="4" xfId="1" applyFont="1" applyFill="1" applyBorder="1" applyAlignment="1">
      <alignment horizontal="center" vertical="top" wrapText="1"/>
    </xf>
    <xf numFmtId="0" fontId="23" fillId="0" borderId="10" xfId="12" applyFont="1" applyFill="1" applyBorder="1" applyAlignment="1">
      <alignment horizontal="center" vertical="top" wrapText="1"/>
    </xf>
    <xf numFmtId="0" fontId="23" fillId="0" borderId="4" xfId="12" applyFont="1" applyFill="1" applyBorder="1" applyAlignment="1">
      <alignment horizontal="center" vertical="top" wrapText="1"/>
    </xf>
    <xf numFmtId="49" fontId="17" fillId="0" borderId="4" xfId="1" applyNumberFormat="1" applyFont="1" applyFill="1" applyBorder="1" applyAlignment="1">
      <alignment horizontal="left" vertical="center" wrapText="1"/>
    </xf>
    <xf numFmtId="0" fontId="14" fillId="0" borderId="4" xfId="1" applyNumberFormat="1" applyFont="1" applyFill="1" applyBorder="1" applyAlignment="1">
      <alignment horizontal="center" vertical="center" wrapText="1"/>
    </xf>
    <xf numFmtId="0" fontId="17" fillId="0" borderId="4" xfId="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2" fontId="14" fillId="0" borderId="10" xfId="0" applyNumberFormat="1" applyFont="1" applyFill="1" applyBorder="1" applyAlignment="1">
      <alignment horizontal="center" vertical="center" wrapText="1"/>
    </xf>
    <xf numFmtId="0" fontId="17" fillId="0" borderId="4" xfId="0" applyFont="1" applyFill="1" applyBorder="1" applyAlignment="1">
      <alignment horizontal="left" vertical="center" wrapText="1"/>
    </xf>
    <xf numFmtId="2" fontId="14" fillId="0" borderId="4"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2" fontId="23" fillId="0" borderId="4" xfId="2" applyNumberFormat="1" applyFont="1" applyFill="1" applyBorder="1" applyAlignment="1">
      <alignment horizontal="center" vertical="center" wrapText="1"/>
    </xf>
    <xf numFmtId="0" fontId="14" fillId="0" borderId="3" xfId="0" applyFont="1" applyFill="1" applyBorder="1" applyAlignment="1">
      <alignment horizontal="center" vertical="center" wrapText="1"/>
    </xf>
    <xf numFmtId="0" fontId="23" fillId="0" borderId="3"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4" xfId="0" applyNumberFormat="1" applyFont="1" applyFill="1" applyBorder="1" applyAlignment="1">
      <alignment horizontal="center" vertical="center" wrapText="1"/>
    </xf>
    <xf numFmtId="0" fontId="23" fillId="0" borderId="4"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0" fillId="0" borderId="4" xfId="0" applyFill="1" applyBorder="1" applyAlignment="1">
      <alignment horizontal="center" vertical="center" wrapText="1"/>
    </xf>
    <xf numFmtId="0" fontId="9" fillId="0" borderId="0" xfId="0" applyFont="1" applyFill="1" applyBorder="1" applyAlignment="1">
      <alignment horizontal="center"/>
    </xf>
    <xf numFmtId="0" fontId="10" fillId="0" borderId="6" xfId="0" applyFont="1" applyFill="1" applyBorder="1" applyAlignment="1">
      <alignment horizontal="center" vertical="center"/>
    </xf>
    <xf numFmtId="0" fontId="23" fillId="0" borderId="4" xfId="0" applyFont="1" applyFill="1" applyBorder="1" applyAlignment="1">
      <alignment horizontal="center"/>
    </xf>
    <xf numFmtId="0" fontId="10" fillId="0" borderId="10" xfId="0" applyFont="1" applyFill="1" applyBorder="1" applyAlignment="1">
      <alignment horizontal="center"/>
    </xf>
    <xf numFmtId="0" fontId="10" fillId="0" borderId="9" xfId="0" applyFont="1" applyFill="1" applyBorder="1" applyAlignment="1">
      <alignment horizontal="center"/>
    </xf>
    <xf numFmtId="0" fontId="18" fillId="0" borderId="0" xfId="0" applyFont="1" applyFill="1" applyBorder="1" applyAlignment="1">
      <alignment horizontal="center"/>
    </xf>
    <xf numFmtId="0" fontId="10" fillId="0" borderId="10" xfId="0" applyFont="1" applyFill="1" applyBorder="1" applyAlignment="1">
      <alignment horizontal="center" vertical="center"/>
    </xf>
    <xf numFmtId="0" fontId="10" fillId="0" borderId="9" xfId="0" applyFont="1" applyFill="1" applyBorder="1" applyAlignment="1">
      <alignment horizontal="center" vertical="center"/>
    </xf>
    <xf numFmtId="0" fontId="12" fillId="0" borderId="4" xfId="0" applyFont="1" applyFill="1" applyBorder="1" applyAlignment="1">
      <alignment horizontal="left" vertical="center"/>
    </xf>
    <xf numFmtId="0" fontId="18" fillId="0" borderId="0" xfId="0" applyFont="1" applyFill="1" applyBorder="1" applyAlignment="1">
      <alignment horizontal="center" vertical="center"/>
    </xf>
    <xf numFmtId="0" fontId="10" fillId="0" borderId="3" xfId="0" applyFont="1" applyFill="1" applyBorder="1" applyAlignment="1">
      <alignment horizontal="center" vertical="center"/>
    </xf>
    <xf numFmtId="0" fontId="0" fillId="0" borderId="0" xfId="0" applyFill="1" applyAlignment="1">
      <alignment horizontal="center"/>
    </xf>
    <xf numFmtId="0" fontId="23" fillId="0" borderId="4" xfId="3"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3" xfId="0" applyFont="1" applyFill="1" applyBorder="1" applyAlignment="1">
      <alignment horizontal="center" vertical="center" wrapText="1"/>
    </xf>
    <xf numFmtId="2" fontId="23" fillId="0" borderId="4" xfId="0" applyNumberFormat="1" applyFont="1" applyFill="1" applyBorder="1" applyAlignment="1">
      <alignment horizontal="center" vertical="center" wrapText="1"/>
    </xf>
    <xf numFmtId="0" fontId="15" fillId="0" borderId="4" xfId="0" applyFont="1" applyFill="1" applyBorder="1" applyAlignment="1">
      <alignment horizontal="left" vertical="top"/>
    </xf>
    <xf numFmtId="0" fontId="23" fillId="0" borderId="4" xfId="0" applyFont="1" applyFill="1" applyBorder="1" applyAlignment="1">
      <alignment horizontal="center" vertical="top" wrapText="1"/>
    </xf>
    <xf numFmtId="0" fontId="23" fillId="0" borderId="4" xfId="10" applyFont="1" applyFill="1" applyBorder="1" applyAlignment="1">
      <alignment horizontal="center" vertical="center"/>
    </xf>
    <xf numFmtId="0" fontId="23" fillId="0" borderId="4" xfId="1" applyFont="1" applyFill="1" applyBorder="1" applyAlignment="1">
      <alignment horizontal="center" vertical="center" wrapText="1"/>
    </xf>
    <xf numFmtId="0" fontId="23" fillId="0" borderId="4" xfId="1" applyNumberFormat="1" applyFont="1" applyFill="1" applyBorder="1" applyAlignment="1">
      <alignment horizontal="center" vertical="center" wrapText="1"/>
    </xf>
    <xf numFmtId="0" fontId="23" fillId="0" borderId="4" xfId="1" applyFont="1" applyFill="1" applyBorder="1" applyAlignment="1">
      <alignment horizontal="center" vertical="center"/>
    </xf>
    <xf numFmtId="0" fontId="14" fillId="0" borderId="4" xfId="1" applyFont="1" applyFill="1" applyBorder="1" applyAlignment="1">
      <alignment horizontal="center" vertical="center" wrapText="1"/>
    </xf>
    <xf numFmtId="0" fontId="14" fillId="0" borderId="4" xfId="1" applyFont="1" applyFill="1" applyBorder="1" applyAlignment="1">
      <alignment horizontal="center" vertical="center"/>
    </xf>
    <xf numFmtId="0" fontId="18" fillId="0" borderId="0" xfId="1" applyFont="1" applyFill="1" applyBorder="1" applyAlignment="1">
      <alignment horizontal="center" vertical="center"/>
    </xf>
    <xf numFmtId="0" fontId="48" fillId="0" borderId="4" xfId="0" applyFont="1" applyFill="1" applyBorder="1" applyAlignment="1">
      <alignment horizontal="center" vertical="center" wrapText="1"/>
    </xf>
    <xf numFmtId="0" fontId="49" fillId="0" borderId="4" xfId="0" applyFont="1" applyFill="1" applyBorder="1" applyAlignment="1">
      <alignment horizontal="center" vertical="top" wrapText="1"/>
    </xf>
    <xf numFmtId="0" fontId="50" fillId="0" borderId="4" xfId="0" applyFont="1" applyFill="1" applyBorder="1" applyAlignment="1">
      <alignment vertical="top" wrapText="1"/>
    </xf>
    <xf numFmtId="0" fontId="50" fillId="0" borderId="4" xfId="0" applyFont="1" applyFill="1" applyBorder="1" applyAlignment="1">
      <alignment horizontal="center" vertical="top" wrapText="1"/>
    </xf>
    <xf numFmtId="2" fontId="50" fillId="0" borderId="4" xfId="0" applyNumberFormat="1" applyFont="1" applyFill="1" applyBorder="1" applyAlignment="1">
      <alignment horizontal="center" vertical="top" wrapText="1"/>
    </xf>
    <xf numFmtId="0" fontId="0" fillId="0" borderId="4" xfId="0" applyFill="1" applyBorder="1"/>
    <xf numFmtId="0" fontId="49" fillId="0" borderId="4" xfId="0" applyFont="1" applyFill="1" applyBorder="1" applyAlignment="1">
      <alignment horizontal="center" vertical="top"/>
    </xf>
    <xf numFmtId="0" fontId="50" fillId="0" borderId="4" xfId="0" applyFont="1" applyFill="1" applyBorder="1" applyAlignment="1">
      <alignment horizontal="left" vertical="top" wrapText="1"/>
    </xf>
    <xf numFmtId="0" fontId="50" fillId="0" borderId="4" xfId="0" applyFont="1" applyFill="1" applyBorder="1" applyAlignment="1">
      <alignment horizontal="center" vertical="top"/>
    </xf>
    <xf numFmtId="0" fontId="50" fillId="0" borderId="4" xfId="0" applyFont="1" applyFill="1" applyBorder="1" applyAlignment="1">
      <alignment vertical="top"/>
    </xf>
    <xf numFmtId="0" fontId="50" fillId="0" borderId="4" xfId="0" applyNumberFormat="1" applyFont="1" applyFill="1" applyBorder="1" applyAlignment="1">
      <alignment horizontal="center" vertical="top" wrapText="1"/>
    </xf>
    <xf numFmtId="0" fontId="49" fillId="0" borderId="4" xfId="0" applyNumberFormat="1" applyFont="1" applyFill="1" applyBorder="1" applyAlignment="1">
      <alignment horizontal="center" vertical="top" wrapText="1"/>
    </xf>
    <xf numFmtId="0" fontId="49" fillId="0" borderId="4" xfId="0" applyNumberFormat="1" applyFont="1" applyFill="1" applyBorder="1" applyAlignment="1">
      <alignment horizontal="center" vertical="center" wrapText="1"/>
    </xf>
    <xf numFmtId="0" fontId="50" fillId="0" borderId="4" xfId="0" applyFont="1" applyFill="1" applyBorder="1" applyAlignment="1">
      <alignment vertical="center"/>
    </xf>
    <xf numFmtId="0" fontId="50" fillId="0" borderId="4" xfId="0" applyFont="1" applyFill="1" applyBorder="1" applyAlignment="1">
      <alignment horizontal="center" vertical="center"/>
    </xf>
    <xf numFmtId="0" fontId="49" fillId="0" borderId="4" xfId="0" applyFont="1" applyFill="1" applyBorder="1" applyAlignment="1">
      <alignment horizontal="center" vertical="center"/>
    </xf>
    <xf numFmtId="0" fontId="50" fillId="0" borderId="4" xfId="0" applyFont="1" applyFill="1" applyBorder="1" applyAlignment="1">
      <alignment horizontal="left" vertical="center" wrapText="1"/>
    </xf>
    <xf numFmtId="0" fontId="50" fillId="0" borderId="4" xfId="2" applyFont="1" applyFill="1" applyBorder="1" applyAlignment="1">
      <alignment horizontal="left" vertical="top" wrapText="1"/>
    </xf>
    <xf numFmtId="2" fontId="50" fillId="0" borderId="3" xfId="2" applyNumberFormat="1" applyFont="1" applyFill="1" applyBorder="1" applyAlignment="1">
      <alignment horizontal="center" vertical="top" wrapText="1"/>
    </xf>
    <xf numFmtId="0" fontId="50" fillId="0" borderId="4" xfId="6" applyFont="1" applyFill="1" applyBorder="1" applyAlignment="1">
      <alignment vertical="top" wrapText="1"/>
    </xf>
    <xf numFmtId="0" fontId="50" fillId="0" borderId="4" xfId="2" applyFont="1" applyFill="1" applyBorder="1" applyAlignment="1">
      <alignment horizontal="center" vertical="top"/>
    </xf>
    <xf numFmtId="0" fontId="50" fillId="0" borderId="4" xfId="2" applyFont="1" applyFill="1" applyBorder="1" applyAlignment="1">
      <alignment horizontal="center" vertical="top" wrapText="1"/>
    </xf>
    <xf numFmtId="0" fontId="50" fillId="0" borderId="4" xfId="0" applyFont="1" applyFill="1" applyBorder="1"/>
    <xf numFmtId="1" fontId="49" fillId="0" borderId="4" xfId="0" applyNumberFormat="1" applyFont="1" applyFill="1" applyBorder="1" applyAlignment="1">
      <alignment horizontal="center" vertical="top"/>
    </xf>
    <xf numFmtId="0" fontId="53" fillId="0" borderId="4" xfId="0" applyFont="1" applyFill="1" applyBorder="1" applyAlignment="1">
      <alignment horizontal="center" vertical="top"/>
    </xf>
    <xf numFmtId="0" fontId="53" fillId="0" borderId="4" xfId="0" applyFont="1" applyFill="1" applyBorder="1" applyAlignment="1">
      <alignment horizontal="left" vertical="top" wrapText="1"/>
    </xf>
    <xf numFmtId="2" fontId="53" fillId="0" borderId="4" xfId="0" applyNumberFormat="1" applyFont="1" applyFill="1" applyBorder="1" applyAlignment="1">
      <alignment horizontal="center" vertical="top" wrapText="1"/>
    </xf>
    <xf numFmtId="0" fontId="50" fillId="0" borderId="4" xfId="2" applyFont="1" applyFill="1" applyBorder="1" applyAlignment="1">
      <alignment vertical="top" wrapText="1"/>
    </xf>
    <xf numFmtId="0" fontId="48" fillId="0" borderId="4" xfId="0" applyFont="1" applyFill="1" applyBorder="1" applyAlignment="1">
      <alignment vertical="top" wrapText="1"/>
    </xf>
    <xf numFmtId="0" fontId="50" fillId="0" borderId="6" xfId="2" applyNumberFormat="1" applyFont="1" applyFill="1" applyBorder="1" applyAlignment="1">
      <alignment horizontal="center" vertical="top" wrapText="1"/>
    </xf>
    <xf numFmtId="0" fontId="50" fillId="0" borderId="6" xfId="2" applyFont="1" applyFill="1" applyBorder="1" applyAlignment="1">
      <alignment horizontal="center" vertical="top" wrapText="1"/>
    </xf>
    <xf numFmtId="0" fontId="50" fillId="0" borderId="3" xfId="2" applyNumberFormat="1" applyFont="1" applyFill="1" applyBorder="1" applyAlignment="1">
      <alignment horizontal="center" vertical="top" wrapText="1"/>
    </xf>
    <xf numFmtId="0" fontId="50" fillId="0" borderId="3" xfId="2" applyFont="1" applyFill="1" applyBorder="1" applyAlignment="1">
      <alignment horizontal="center" vertical="top" wrapText="1"/>
    </xf>
    <xf numFmtId="0" fontId="53" fillId="0" borderId="4" xfId="0" applyFont="1" applyFill="1" applyBorder="1" applyAlignment="1">
      <alignment vertical="center" wrapText="1"/>
    </xf>
    <xf numFmtId="0" fontId="53" fillId="0" borderId="4" xfId="0" applyFont="1" applyFill="1" applyBorder="1" applyAlignment="1">
      <alignment horizontal="center" vertical="top" wrapText="1"/>
    </xf>
    <xf numFmtId="0" fontId="53" fillId="0" borderId="4" xfId="0" applyFont="1" applyFill="1" applyBorder="1" applyAlignment="1">
      <alignment vertical="top" wrapText="1"/>
    </xf>
    <xf numFmtId="0" fontId="53" fillId="0" borderId="4" xfId="2" applyFont="1" applyFill="1" applyBorder="1" applyAlignment="1">
      <alignment vertical="top" wrapText="1"/>
    </xf>
    <xf numFmtId="0" fontId="53" fillId="0" borderId="4" xfId="2" applyFont="1" applyFill="1" applyBorder="1" applyAlignment="1">
      <alignment horizontal="center" vertical="top" wrapText="1"/>
    </xf>
    <xf numFmtId="0" fontId="50" fillId="0" borderId="6" xfId="6" applyFont="1" applyFill="1" applyBorder="1" applyAlignment="1">
      <alignment horizontal="center" vertical="top"/>
    </xf>
    <xf numFmtId="0" fontId="50" fillId="0" borderId="4" xfId="6" applyFont="1" applyFill="1" applyBorder="1" applyAlignment="1">
      <alignment horizontal="center" vertical="top"/>
    </xf>
    <xf numFmtId="0" fontId="50" fillId="0" borderId="4" xfId="0" applyNumberFormat="1" applyFont="1" applyFill="1" applyBorder="1" applyAlignment="1">
      <alignment horizontal="center" vertical="top"/>
    </xf>
    <xf numFmtId="10" fontId="50" fillId="0" borderId="4" xfId="6" applyNumberFormat="1" applyFont="1" applyFill="1" applyBorder="1" applyAlignment="1">
      <alignment horizontal="center" vertical="top" wrapText="1"/>
    </xf>
    <xf numFmtId="10" fontId="50" fillId="0" borderId="4" xfId="2" applyNumberFormat="1" applyFont="1" applyFill="1" applyBorder="1" applyAlignment="1">
      <alignment horizontal="center" vertical="top" wrapText="1"/>
    </xf>
    <xf numFmtId="2" fontId="50" fillId="0" borderId="4" xfId="0" applyNumberFormat="1" applyFont="1" applyFill="1" applyBorder="1" applyAlignment="1">
      <alignment horizontal="center" vertical="top"/>
    </xf>
    <xf numFmtId="1" fontId="50" fillId="0" borderId="4" xfId="0" applyNumberFormat="1" applyFont="1" applyFill="1" applyBorder="1" applyAlignment="1">
      <alignment horizontal="center" vertical="top" wrapText="1"/>
    </xf>
    <xf numFmtId="0" fontId="50" fillId="0" borderId="4" xfId="0" applyFont="1" applyFill="1" applyBorder="1" applyAlignment="1">
      <alignment vertical="center" wrapText="1"/>
    </xf>
    <xf numFmtId="0" fontId="50" fillId="0" borderId="4" xfId="0" applyNumberFormat="1" applyFont="1" applyFill="1" applyBorder="1" applyAlignment="1">
      <alignment horizontal="left" vertical="top" wrapText="1"/>
    </xf>
    <xf numFmtId="1" fontId="50" fillId="0" borderId="4" xfId="0" applyNumberFormat="1" applyFont="1" applyFill="1" applyBorder="1" applyAlignment="1">
      <alignment horizontal="center" vertical="top"/>
    </xf>
    <xf numFmtId="0" fontId="53" fillId="0" borderId="4" xfId="2" applyFont="1" applyFill="1" applyBorder="1" applyAlignment="1">
      <alignment horizontal="left" vertical="top" wrapText="1"/>
    </xf>
    <xf numFmtId="0" fontId="53" fillId="0" borderId="4" xfId="2" applyFont="1" applyFill="1" applyBorder="1" applyAlignment="1">
      <alignment horizontal="center" vertical="top"/>
    </xf>
    <xf numFmtId="0" fontId="48" fillId="0" borderId="4" xfId="0" applyFont="1" applyFill="1" applyBorder="1" applyAlignment="1">
      <alignment horizontal="left" vertical="top" wrapText="1"/>
    </xf>
    <xf numFmtId="0" fontId="53" fillId="0" borderId="4" xfId="0" applyFont="1" applyFill="1" applyBorder="1" applyAlignment="1">
      <alignment vertical="top"/>
    </xf>
    <xf numFmtId="0" fontId="50" fillId="0" borderId="14" xfId="2" applyFont="1" applyFill="1" applyBorder="1" applyAlignment="1">
      <alignment vertical="top" wrapText="1"/>
    </xf>
    <xf numFmtId="0" fontId="50" fillId="0" borderId="9" xfId="2" applyNumberFormat="1" applyFont="1" applyFill="1" applyBorder="1" applyAlignment="1">
      <alignment horizontal="center" vertical="top"/>
    </xf>
    <xf numFmtId="0" fontId="50" fillId="0" borderId="10" xfId="2" applyFont="1" applyFill="1" applyBorder="1" applyAlignment="1">
      <alignment vertical="top" wrapText="1"/>
    </xf>
    <xf numFmtId="0" fontId="50" fillId="0" borderId="13" xfId="2" applyFont="1" applyFill="1" applyBorder="1" applyAlignment="1">
      <alignment vertical="top" wrapText="1"/>
    </xf>
    <xf numFmtId="0" fontId="50" fillId="0" borderId="4" xfId="2" applyNumberFormat="1" applyFont="1" applyFill="1" applyBorder="1" applyAlignment="1">
      <alignment horizontal="center" vertical="top"/>
    </xf>
    <xf numFmtId="0" fontId="50" fillId="0" borderId="6" xfId="2" applyFont="1" applyFill="1" applyBorder="1" applyAlignment="1">
      <alignment vertical="top" wrapText="1"/>
    </xf>
    <xf numFmtId="166" fontId="50" fillId="0" borderId="4" xfId="0" applyNumberFormat="1" applyFont="1" applyFill="1" applyBorder="1" applyAlignment="1">
      <alignment vertical="top" wrapText="1"/>
    </xf>
    <xf numFmtId="0" fontId="50" fillId="0" borderId="4" xfId="2" applyNumberFormat="1" applyFont="1" applyFill="1" applyBorder="1" applyAlignment="1">
      <alignment horizontal="center" vertical="top" wrapText="1"/>
    </xf>
    <xf numFmtId="0" fontId="50" fillId="0" borderId="4" xfId="0" applyNumberFormat="1" applyFont="1" applyFill="1" applyBorder="1" applyAlignment="1">
      <alignment horizontal="center" vertical="center" wrapText="1"/>
    </xf>
    <xf numFmtId="0" fontId="50" fillId="0" borderId="4" xfId="0" applyFont="1" applyFill="1" applyBorder="1" applyAlignment="1">
      <alignment horizontal="center" vertical="center" wrapText="1"/>
    </xf>
    <xf numFmtId="2" fontId="50" fillId="0" borderId="4" xfId="0" applyNumberFormat="1" applyFont="1" applyFill="1" applyBorder="1" applyAlignment="1">
      <alignment horizontal="center" vertical="center" wrapText="1"/>
    </xf>
    <xf numFmtId="0" fontId="50" fillId="0" borderId="9" xfId="2" applyFont="1" applyFill="1" applyBorder="1" applyAlignment="1">
      <alignment horizontal="center" vertical="top" wrapText="1"/>
    </xf>
    <xf numFmtId="0" fontId="62" fillId="0" borderId="10" xfId="0" applyFont="1" applyFill="1" applyBorder="1" applyAlignment="1">
      <alignment vertical="center" wrapText="1"/>
    </xf>
    <xf numFmtId="0" fontId="63" fillId="0" borderId="4" xfId="0" applyFont="1" applyFill="1" applyBorder="1" applyAlignment="1">
      <alignment vertical="top" wrapText="1"/>
    </xf>
    <xf numFmtId="0" fontId="63" fillId="0" borderId="4" xfId="0" applyFont="1" applyFill="1" applyBorder="1" applyAlignment="1">
      <alignment vertical="top"/>
    </xf>
    <xf numFmtId="0" fontId="50" fillId="0" borderId="4" xfId="0" applyNumberFormat="1" applyFont="1" applyFill="1" applyBorder="1" applyAlignment="1">
      <alignment horizontal="center" vertical="center"/>
    </xf>
    <xf numFmtId="0" fontId="50" fillId="0" borderId="4" xfId="0" applyNumberFormat="1" applyFont="1" applyFill="1" applyBorder="1" applyAlignment="1">
      <alignment horizontal="left" vertical="center"/>
    </xf>
    <xf numFmtId="0" fontId="50" fillId="0" borderId="4" xfId="6" applyFont="1" applyFill="1" applyBorder="1" applyAlignment="1">
      <alignment vertical="center" wrapText="1"/>
    </xf>
    <xf numFmtId="0" fontId="53" fillId="0" borderId="4" xfId="0" applyFont="1" applyFill="1" applyBorder="1" applyAlignment="1">
      <alignment horizontal="center" vertical="center" wrapText="1"/>
    </xf>
    <xf numFmtId="0" fontId="50" fillId="0" borderId="4" xfId="0" applyNumberFormat="1" applyFont="1" applyFill="1" applyBorder="1" applyAlignment="1">
      <alignment horizontal="left" vertical="top"/>
    </xf>
    <xf numFmtId="0" fontId="49" fillId="0" borderId="4" xfId="0" applyFont="1" applyFill="1" applyBorder="1" applyAlignment="1">
      <alignment horizontal="left" vertical="top" wrapText="1"/>
    </xf>
    <xf numFmtId="0" fontId="50" fillId="0" borderId="4" xfId="6" applyFont="1" applyFill="1" applyBorder="1" applyAlignment="1">
      <alignment horizontal="center" vertical="top" wrapText="1"/>
    </xf>
    <xf numFmtId="0" fontId="53" fillId="0" borderId="9" xfId="0" applyFont="1" applyFill="1" applyBorder="1" applyAlignment="1">
      <alignment vertical="top" wrapText="1"/>
    </xf>
    <xf numFmtId="0" fontId="50" fillId="0" borderId="3" xfId="2" applyFont="1" applyFill="1" applyBorder="1" applyAlignment="1">
      <alignment vertical="top" wrapText="1"/>
    </xf>
    <xf numFmtId="0" fontId="50" fillId="0" borderId="3" xfId="0" applyNumberFormat="1" applyFont="1" applyFill="1" applyBorder="1" applyAlignment="1">
      <alignment horizontal="center" vertical="top"/>
    </xf>
    <xf numFmtId="0" fontId="50" fillId="0" borderId="10" xfId="6" applyFont="1" applyFill="1" applyBorder="1" applyAlignment="1">
      <alignment vertical="top" wrapText="1"/>
    </xf>
    <xf numFmtId="0" fontId="53" fillId="0" borderId="10" xfId="7" applyFont="1" applyFill="1" applyBorder="1" applyAlignment="1">
      <alignment vertical="top"/>
    </xf>
    <xf numFmtId="0" fontId="53" fillId="0" borderId="4" xfId="7" applyFont="1" applyFill="1" applyBorder="1" applyAlignment="1">
      <alignment vertical="top"/>
    </xf>
    <xf numFmtId="0" fontId="53" fillId="0" borderId="10" xfId="7" applyFont="1" applyFill="1" applyBorder="1" applyAlignment="1">
      <alignment vertical="top" wrapText="1"/>
    </xf>
    <xf numFmtId="0" fontId="53" fillId="0" borderId="4" xfId="7" applyFont="1" applyFill="1" applyBorder="1" applyAlignment="1">
      <alignment vertical="top" wrapText="1"/>
    </xf>
    <xf numFmtId="0" fontId="50" fillId="0" borderId="10" xfId="6" applyFont="1" applyFill="1" applyBorder="1" applyAlignment="1">
      <alignment vertical="top"/>
    </xf>
    <xf numFmtId="0" fontId="50" fillId="0" borderId="4" xfId="6" applyFont="1" applyFill="1" applyBorder="1" applyAlignment="1">
      <alignment vertical="top"/>
    </xf>
    <xf numFmtId="0" fontId="53" fillId="0" borderId="4" xfId="6" applyFont="1" applyFill="1" applyBorder="1" applyAlignment="1">
      <alignment vertical="top" wrapText="1"/>
    </xf>
    <xf numFmtId="0" fontId="53" fillId="0" borderId="6" xfId="6" applyFont="1" applyFill="1" applyBorder="1" applyAlignment="1">
      <alignment vertical="top" wrapText="1"/>
    </xf>
    <xf numFmtId="0" fontId="53" fillId="0" borderId="4" xfId="6" applyFont="1" applyFill="1" applyBorder="1" applyAlignment="1">
      <alignment horizontal="center" vertical="top"/>
    </xf>
    <xf numFmtId="0" fontId="50" fillId="0" borderId="9" xfId="6" applyFont="1" applyFill="1" applyBorder="1" applyAlignment="1">
      <alignment vertical="top" wrapText="1"/>
    </xf>
    <xf numFmtId="0" fontId="53" fillId="0" borderId="9" xfId="6" applyFont="1" applyFill="1" applyBorder="1" applyAlignment="1">
      <alignment vertical="top" wrapText="1"/>
    </xf>
    <xf numFmtId="0" fontId="48" fillId="0" borderId="0" xfId="0" applyNumberFormat="1" applyFont="1" applyFill="1" applyBorder="1" applyAlignment="1">
      <alignment horizontal="center" vertical="top"/>
    </xf>
    <xf numFmtId="49" fontId="17" fillId="0" borderId="4" xfId="1" applyNumberFormat="1" applyFont="1" applyFill="1" applyBorder="1" applyAlignment="1">
      <alignment vertical="center" wrapText="1"/>
    </xf>
    <xf numFmtId="0" fontId="17" fillId="0" borderId="4" xfId="1" applyNumberFormat="1" applyFont="1" applyFill="1" applyBorder="1" applyAlignment="1">
      <alignment horizontal="center" vertical="center" wrapText="1"/>
    </xf>
    <xf numFmtId="1" fontId="17" fillId="0" borderId="4" xfId="1" applyNumberFormat="1" applyFont="1" applyFill="1" applyBorder="1" applyAlignment="1">
      <alignment horizontal="center" vertical="center" wrapText="1"/>
    </xf>
    <xf numFmtId="2" fontId="17" fillId="0" borderId="4" xfId="1" applyNumberFormat="1" applyFont="1" applyFill="1" applyBorder="1" applyAlignment="1">
      <alignment horizontal="center" vertical="center" wrapText="1"/>
    </xf>
    <xf numFmtId="2" fontId="66" fillId="0" borderId="4" xfId="1" applyNumberFormat="1" applyFont="1" applyFill="1" applyBorder="1" applyAlignment="1">
      <alignment horizontal="center" vertical="center" wrapText="1"/>
    </xf>
    <xf numFmtId="2" fontId="17" fillId="0" borderId="3" xfId="1" applyNumberFormat="1" applyFont="1" applyFill="1" applyBorder="1" applyAlignment="1">
      <alignment horizontal="center" vertical="center" wrapText="1"/>
    </xf>
    <xf numFmtId="49" fontId="17" fillId="0" borderId="3" xfId="1" applyNumberFormat="1" applyFont="1" applyFill="1" applyBorder="1" applyAlignment="1">
      <alignment horizontal="center" vertical="center" wrapText="1"/>
    </xf>
    <xf numFmtId="1" fontId="17" fillId="0" borderId="3" xfId="1" applyNumberFormat="1" applyFont="1" applyFill="1" applyBorder="1" applyAlignment="1">
      <alignment horizontal="center" vertical="center" wrapText="1"/>
    </xf>
    <xf numFmtId="2" fontId="66" fillId="0" borderId="3" xfId="1" applyNumberFormat="1" applyFont="1" applyFill="1" applyBorder="1" applyAlignment="1">
      <alignment horizontal="center" vertical="center" wrapText="1"/>
    </xf>
    <xf numFmtId="0" fontId="17" fillId="0" borderId="10" xfId="1" applyNumberFormat="1" applyFont="1" applyFill="1" applyBorder="1" applyAlignment="1">
      <alignment vertical="center" wrapText="1"/>
    </xf>
    <xf numFmtId="0" fontId="17" fillId="0" borderId="12" xfId="1" applyNumberFormat="1" applyFont="1" applyFill="1" applyBorder="1" applyAlignment="1">
      <alignment vertical="center" wrapText="1"/>
    </xf>
    <xf numFmtId="1" fontId="17" fillId="0" borderId="12" xfId="1" applyNumberFormat="1" applyFont="1" applyFill="1" applyBorder="1" applyAlignment="1">
      <alignment horizontal="center" vertical="center" wrapText="1"/>
    </xf>
    <xf numFmtId="2" fontId="17" fillId="0" borderId="12" xfId="1" applyNumberFormat="1" applyFont="1" applyFill="1" applyBorder="1" applyAlignment="1">
      <alignment horizontal="center" vertical="center" wrapText="1"/>
    </xf>
    <xf numFmtId="2" fontId="17" fillId="0" borderId="9" xfId="1" applyNumberFormat="1" applyFont="1" applyFill="1" applyBorder="1" applyAlignment="1">
      <alignment horizontal="center" vertical="center" wrapText="1"/>
    </xf>
    <xf numFmtId="1" fontId="17" fillId="0" borderId="6" xfId="1" applyNumberFormat="1" applyFont="1" applyFill="1" applyBorder="1" applyAlignment="1">
      <alignment horizontal="center" vertical="center" wrapText="1"/>
    </xf>
    <xf numFmtId="2" fontId="17" fillId="0" borderId="6" xfId="1" applyNumberFormat="1" applyFont="1" applyFill="1" applyBorder="1" applyAlignment="1">
      <alignment horizontal="center" vertical="center" wrapText="1"/>
    </xf>
    <xf numFmtId="165" fontId="17" fillId="0" borderId="4" xfId="1" applyNumberFormat="1" applyFont="1" applyFill="1" applyBorder="1" applyAlignment="1">
      <alignment horizontal="center" vertical="center" wrapText="1"/>
    </xf>
    <xf numFmtId="0" fontId="17" fillId="0" borderId="6" xfId="1" applyNumberFormat="1" applyFont="1" applyFill="1" applyBorder="1" applyAlignment="1">
      <alignment horizontal="center" vertical="center" wrapText="1"/>
    </xf>
    <xf numFmtId="49" fontId="17" fillId="0" borderId="6" xfId="1" applyNumberFormat="1" applyFont="1" applyFill="1" applyBorder="1" applyAlignment="1">
      <alignment vertical="top" wrapText="1"/>
    </xf>
    <xf numFmtId="49" fontId="17" fillId="0" borderId="6" xfId="1" applyNumberFormat="1" applyFont="1" applyFill="1" applyBorder="1" applyAlignment="1">
      <alignment horizontal="center" vertical="center" wrapText="1"/>
    </xf>
    <xf numFmtId="165" fontId="17" fillId="0" borderId="6" xfId="1" applyNumberFormat="1" applyFont="1" applyFill="1" applyBorder="1" applyAlignment="1">
      <alignment horizontal="center" vertical="center" wrapText="1"/>
    </xf>
    <xf numFmtId="2" fontId="23" fillId="0" borderId="4" xfId="1" applyNumberFormat="1" applyFont="1" applyFill="1" applyBorder="1" applyAlignment="1">
      <alignment horizontal="center" vertical="center" wrapText="1"/>
    </xf>
    <xf numFmtId="0" fontId="14" fillId="0" borderId="4" xfId="1" applyNumberFormat="1" applyFont="1" applyFill="1" applyBorder="1" applyAlignment="1">
      <alignment horizontal="center" vertical="top" wrapText="1"/>
    </xf>
    <xf numFmtId="0" fontId="14" fillId="0" borderId="4" xfId="1" applyNumberFormat="1" applyFont="1" applyFill="1" applyBorder="1" applyAlignment="1">
      <alignment vertical="center" wrapText="1"/>
    </xf>
    <xf numFmtId="0" fontId="14" fillId="0" borderId="10" xfId="1" applyNumberFormat="1" applyFont="1" applyFill="1" applyBorder="1" applyAlignment="1">
      <alignment horizontal="center" vertical="center" wrapText="1"/>
    </xf>
    <xf numFmtId="0" fontId="17" fillId="0" borderId="4" xfId="1" applyNumberFormat="1" applyFont="1" applyFill="1" applyBorder="1" applyAlignment="1">
      <alignment vertical="center" wrapText="1"/>
    </xf>
    <xf numFmtId="164" fontId="17" fillId="0" borderId="4" xfId="1" applyNumberFormat="1" applyFont="1" applyFill="1" applyBorder="1" applyAlignment="1">
      <alignment horizontal="center" vertical="center" wrapText="1"/>
    </xf>
    <xf numFmtId="49" fontId="14" fillId="0" borderId="4" xfId="1" quotePrefix="1" applyNumberFormat="1" applyFont="1" applyFill="1" applyBorder="1" applyAlignment="1">
      <alignment horizontal="center" vertical="center" wrapText="1"/>
    </xf>
    <xf numFmtId="0" fontId="17" fillId="0" borderId="3" xfId="1" applyFont="1" applyFill="1" applyBorder="1" applyAlignment="1">
      <alignment horizontal="left" vertical="center" wrapText="1"/>
    </xf>
    <xf numFmtId="0" fontId="17" fillId="0" borderId="4" xfId="1" applyFont="1" applyFill="1" applyBorder="1" applyAlignment="1">
      <alignment horizontal="center" vertical="center"/>
    </xf>
    <xf numFmtId="2" fontId="17" fillId="0" borderId="4" xfId="1" applyNumberFormat="1" applyFont="1" applyFill="1" applyBorder="1" applyAlignment="1">
      <alignment horizontal="center" vertical="center"/>
    </xf>
    <xf numFmtId="49" fontId="14" fillId="0" borderId="4" xfId="1" applyNumberFormat="1" applyFont="1" applyFill="1" applyBorder="1" applyAlignment="1">
      <alignment vertical="center" wrapText="1"/>
    </xf>
    <xf numFmtId="49" fontId="10" fillId="0" borderId="0" xfId="1" applyNumberFormat="1" applyFont="1" applyFill="1" applyBorder="1" applyAlignment="1">
      <alignment wrapText="1"/>
    </xf>
    <xf numFmtId="49" fontId="64" fillId="0" borderId="0" xfId="1" applyNumberFormat="1" applyFont="1" applyFill="1" applyBorder="1" applyAlignment="1">
      <alignment horizontal="left" vertical="center" wrapText="1"/>
    </xf>
    <xf numFmtId="2" fontId="18" fillId="0" borderId="0" xfId="1" applyNumberFormat="1" applyFont="1" applyFill="1" applyBorder="1" applyAlignment="1">
      <alignment horizontal="center" vertical="center" wrapText="1"/>
    </xf>
    <xf numFmtId="0" fontId="17" fillId="0" borderId="4" xfId="0" applyFont="1" applyFill="1" applyBorder="1" applyAlignment="1" applyProtection="1">
      <alignment horizontal="center" vertical="center"/>
    </xf>
    <xf numFmtId="0" fontId="17" fillId="0" borderId="4" xfId="0" applyFont="1" applyFill="1" applyBorder="1" applyAlignment="1" applyProtection="1">
      <alignment vertical="center" wrapText="1"/>
    </xf>
    <xf numFmtId="0" fontId="17" fillId="0" borderId="4" xfId="0" applyNumberFormat="1" applyFont="1" applyFill="1" applyBorder="1" applyAlignment="1">
      <alignment horizontal="center" vertical="center" wrapText="1"/>
    </xf>
    <xf numFmtId="0" fontId="17" fillId="0" borderId="4" xfId="0" applyFont="1" applyFill="1" applyBorder="1" applyAlignment="1" applyProtection="1">
      <alignment horizontal="center" vertical="center" wrapText="1"/>
    </xf>
    <xf numFmtId="2" fontId="17" fillId="0" borderId="4" xfId="0" applyNumberFormat="1" applyFont="1" applyFill="1" applyBorder="1" applyAlignment="1">
      <alignment horizontal="center" vertical="center" wrapText="1"/>
    </xf>
    <xf numFmtId="2" fontId="17" fillId="0" borderId="10" xfId="0" applyNumberFormat="1" applyFont="1" applyFill="1" applyBorder="1" applyAlignment="1">
      <alignment horizontal="center" vertical="center" wrapText="1"/>
    </xf>
    <xf numFmtId="4" fontId="17" fillId="0" borderId="4" xfId="0" applyNumberFormat="1" applyFont="1" applyFill="1" applyBorder="1" applyAlignment="1" applyProtection="1">
      <alignment horizontal="center" vertical="center"/>
    </xf>
    <xf numFmtId="165" fontId="17" fillId="0" borderId="4" xfId="0" applyNumberFormat="1" applyFont="1" applyFill="1" applyBorder="1" applyAlignment="1">
      <alignment horizontal="center" vertical="center" wrapText="1"/>
    </xf>
    <xf numFmtId="4" fontId="17" fillId="0" borderId="10" xfId="0" applyNumberFormat="1" applyFont="1" applyFill="1" applyBorder="1" applyAlignment="1" applyProtection="1">
      <alignment horizontal="center" vertical="center"/>
    </xf>
    <xf numFmtId="0" fontId="17" fillId="0" borderId="4" xfId="0" applyFont="1" applyFill="1" applyBorder="1" applyAlignment="1" applyProtection="1">
      <alignment horizontal="left" vertical="center" wrapText="1"/>
    </xf>
    <xf numFmtId="0" fontId="17" fillId="0" borderId="3" xfId="0" applyNumberFormat="1" applyFont="1" applyFill="1" applyBorder="1" applyAlignment="1">
      <alignment horizontal="center" vertical="center" wrapText="1"/>
    </xf>
    <xf numFmtId="49" fontId="17" fillId="0" borderId="4" xfId="0" applyNumberFormat="1" applyFont="1" applyFill="1" applyBorder="1" applyAlignment="1">
      <alignment vertical="center" wrapText="1"/>
    </xf>
    <xf numFmtId="49" fontId="17" fillId="0" borderId="4" xfId="0" applyNumberFormat="1" applyFont="1" applyFill="1" applyBorder="1" applyAlignment="1">
      <alignment horizontal="center" vertical="center" wrapText="1"/>
    </xf>
    <xf numFmtId="0" fontId="17" fillId="0" borderId="4" xfId="0" applyFont="1" applyFill="1" applyBorder="1" applyAlignment="1" applyProtection="1">
      <alignment horizontal="center" vertical="top"/>
    </xf>
    <xf numFmtId="49" fontId="17" fillId="0" borderId="4" xfId="0" applyNumberFormat="1" applyFont="1" applyFill="1" applyBorder="1" applyAlignment="1">
      <alignment vertical="top" wrapText="1"/>
    </xf>
    <xf numFmtId="0" fontId="17" fillId="0" borderId="4" xfId="0" applyNumberFormat="1" applyFont="1" applyFill="1" applyBorder="1" applyAlignment="1">
      <alignment horizontal="center" vertical="top" wrapText="1"/>
    </xf>
    <xf numFmtId="2" fontId="17" fillId="0" borderId="10" xfId="0" applyNumberFormat="1" applyFont="1" applyFill="1" applyBorder="1" applyAlignment="1">
      <alignment horizontal="center" vertical="top" wrapText="1"/>
    </xf>
    <xf numFmtId="2" fontId="17" fillId="0" borderId="4" xfId="0" applyNumberFormat="1" applyFont="1" applyFill="1" applyBorder="1" applyAlignment="1">
      <alignment horizontal="center" vertical="top" wrapText="1"/>
    </xf>
    <xf numFmtId="0" fontId="17" fillId="0" borderId="4" xfId="0" applyFont="1" applyFill="1" applyBorder="1" applyAlignment="1">
      <alignment vertical="center" wrapText="1"/>
    </xf>
    <xf numFmtId="0" fontId="17" fillId="0" borderId="10" xfId="0" applyFont="1" applyFill="1" applyBorder="1" applyAlignment="1" applyProtection="1">
      <alignment horizontal="center" vertical="center" wrapText="1"/>
    </xf>
    <xf numFmtId="165" fontId="17" fillId="0" borderId="4" xfId="0" applyNumberFormat="1" applyFont="1" applyFill="1" applyBorder="1" applyAlignment="1" applyProtection="1">
      <alignment horizontal="center" vertical="center" wrapText="1"/>
    </xf>
    <xf numFmtId="2" fontId="17" fillId="0" borderId="10" xfId="0" applyNumberFormat="1" applyFont="1" applyFill="1" applyBorder="1" applyAlignment="1" applyProtection="1">
      <alignment horizontal="center" vertical="center" wrapText="1"/>
    </xf>
    <xf numFmtId="2" fontId="17" fillId="0" borderId="4" xfId="0" applyNumberFormat="1" applyFont="1" applyFill="1" applyBorder="1" applyAlignment="1" applyProtection="1">
      <alignment horizontal="center" vertical="center" wrapText="1"/>
    </xf>
    <xf numFmtId="1" fontId="17" fillId="0" borderId="10" xfId="0" applyNumberFormat="1" applyFont="1" applyFill="1" applyBorder="1" applyAlignment="1" applyProtection="1">
      <alignment vertical="center" wrapText="1"/>
    </xf>
    <xf numFmtId="0" fontId="17" fillId="0" borderId="6" xfId="0" applyFont="1" applyFill="1" applyBorder="1" applyAlignment="1" applyProtection="1">
      <alignment horizontal="center" vertical="center"/>
    </xf>
    <xf numFmtId="0" fontId="17" fillId="0" borderId="4" xfId="0" applyFont="1" applyFill="1" applyBorder="1" applyAlignment="1" applyProtection="1">
      <alignment horizontal="left" vertical="center"/>
    </xf>
    <xf numFmtId="2" fontId="17" fillId="0" borderId="12" xfId="0" applyNumberFormat="1" applyFont="1" applyFill="1" applyBorder="1" applyAlignment="1" applyProtection="1">
      <alignment horizontal="center" vertical="center"/>
    </xf>
    <xf numFmtId="2" fontId="17" fillId="0" borderId="4" xfId="0" applyNumberFormat="1" applyFont="1" applyFill="1" applyBorder="1" applyAlignment="1" applyProtection="1">
      <alignment horizontal="center" vertical="center"/>
    </xf>
    <xf numFmtId="1" fontId="17" fillId="0" borderId="12" xfId="0" applyNumberFormat="1" applyFont="1" applyFill="1" applyBorder="1" applyAlignment="1" applyProtection="1">
      <alignment vertical="center"/>
    </xf>
    <xf numFmtId="0" fontId="14" fillId="0" borderId="4" xfId="0" applyFont="1" applyFill="1" applyBorder="1" applyAlignment="1" applyProtection="1">
      <alignment horizontal="center" vertical="center"/>
    </xf>
    <xf numFmtId="0" fontId="14" fillId="0" borderId="4" xfId="0" applyNumberFormat="1" applyFont="1" applyFill="1" applyBorder="1" applyAlignment="1">
      <alignment vertical="center" wrapText="1"/>
    </xf>
    <xf numFmtId="0" fontId="14" fillId="0" borderId="4" xfId="0" applyFont="1" applyFill="1" applyBorder="1" applyAlignment="1" applyProtection="1">
      <alignment horizontal="left" vertical="center"/>
    </xf>
    <xf numFmtId="2" fontId="14" fillId="0" borderId="4" xfId="0" applyNumberFormat="1" applyFont="1" applyFill="1" applyBorder="1" applyAlignment="1">
      <alignment horizontal="center" vertical="center"/>
    </xf>
    <xf numFmtId="0" fontId="14" fillId="0" borderId="10" xfId="0" applyFont="1" applyFill="1" applyBorder="1" applyAlignment="1" applyProtection="1">
      <alignment horizontal="left" vertical="center"/>
    </xf>
    <xf numFmtId="0" fontId="17" fillId="0" borderId="10"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10" xfId="0" applyFont="1" applyFill="1" applyBorder="1" applyAlignment="1" applyProtection="1">
      <alignment vertical="center"/>
    </xf>
    <xf numFmtId="0" fontId="17" fillId="0" borderId="12" xfId="0" applyFont="1" applyFill="1" applyBorder="1" applyAlignment="1" applyProtection="1">
      <alignment horizontal="center" vertical="center"/>
    </xf>
    <xf numFmtId="2" fontId="17" fillId="0" borderId="10" xfId="0" applyNumberFormat="1" applyFont="1" applyFill="1" applyBorder="1" applyAlignment="1" applyProtection="1">
      <alignment horizontal="center" vertical="center"/>
    </xf>
    <xf numFmtId="0" fontId="17" fillId="0" borderId="3" xfId="0" applyFont="1" applyFill="1" applyBorder="1" applyAlignment="1">
      <alignment horizontal="left" vertical="center" wrapText="1"/>
    </xf>
    <xf numFmtId="2" fontId="17" fillId="0" borderId="4" xfId="0" applyNumberFormat="1" applyFont="1" applyFill="1" applyBorder="1" applyAlignment="1">
      <alignment horizontal="center" vertical="center"/>
    </xf>
    <xf numFmtId="2" fontId="17" fillId="0" borderId="10" xfId="0" applyNumberFormat="1" applyFont="1" applyFill="1" applyBorder="1" applyAlignment="1">
      <alignment horizontal="center" vertical="center"/>
    </xf>
    <xf numFmtId="49" fontId="14" fillId="0" borderId="4" xfId="0" applyNumberFormat="1" applyFont="1" applyFill="1" applyBorder="1" applyAlignment="1">
      <alignment vertical="center" wrapText="1"/>
    </xf>
    <xf numFmtId="0" fontId="12" fillId="0" borderId="4" xfId="0" applyFont="1" applyFill="1" applyBorder="1" applyAlignment="1" applyProtection="1">
      <alignment horizontal="left"/>
    </xf>
    <xf numFmtId="0" fontId="12" fillId="0" borderId="4" xfId="0" applyFont="1" applyFill="1" applyBorder="1"/>
    <xf numFmtId="2" fontId="14" fillId="0" borderId="10" xfId="0" applyNumberFormat="1" applyFont="1" applyFill="1" applyBorder="1" applyAlignment="1">
      <alignment horizontal="center" vertical="center"/>
    </xf>
    <xf numFmtId="2" fontId="15" fillId="0" borderId="4" xfId="1" applyNumberFormat="1" applyFont="1" applyFill="1" applyBorder="1" applyAlignment="1">
      <alignment horizontal="center" vertical="center"/>
    </xf>
    <xf numFmtId="0" fontId="17" fillId="0" borderId="6" xfId="0" applyFont="1" applyFill="1" applyBorder="1" applyAlignment="1">
      <alignment horizontal="center" vertical="center" wrapText="1"/>
    </xf>
    <xf numFmtId="2" fontId="17" fillId="0" borderId="6" xfId="0" applyNumberFormat="1" applyFont="1" applyFill="1" applyBorder="1" applyAlignment="1">
      <alignment horizontal="center" vertical="center" wrapText="1"/>
    </xf>
    <xf numFmtId="2" fontId="66" fillId="0" borderId="4" xfId="0" applyNumberFormat="1" applyFont="1" applyFill="1" applyBorder="1" applyAlignment="1">
      <alignment horizontal="center" vertical="center" wrapText="1"/>
    </xf>
    <xf numFmtId="1" fontId="17" fillId="0" borderId="4" xfId="0" applyNumberFormat="1" applyFont="1" applyFill="1" applyBorder="1" applyAlignment="1">
      <alignment horizontal="center" vertical="center" wrapText="1"/>
    </xf>
    <xf numFmtId="0" fontId="17" fillId="0" borderId="6" xfId="0" applyFont="1" applyFill="1" applyBorder="1" applyAlignment="1">
      <alignment vertical="center" wrapText="1"/>
    </xf>
    <xf numFmtId="0" fontId="17" fillId="0" borderId="3"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6" xfId="0" applyFont="1" applyFill="1" applyBorder="1" applyAlignment="1">
      <alignment horizontal="left" vertical="center" wrapText="1"/>
    </xf>
    <xf numFmtId="0" fontId="17" fillId="0" borderId="0" xfId="0" applyFont="1" applyFill="1" applyAlignment="1">
      <alignment horizontal="left" vertical="center" wrapText="1"/>
    </xf>
    <xf numFmtId="0" fontId="14" fillId="0" borderId="3" xfId="0" applyNumberFormat="1" applyFont="1" applyFill="1" applyBorder="1" applyAlignment="1">
      <alignment vertical="center" wrapText="1"/>
    </xf>
    <xf numFmtId="0" fontId="14" fillId="0" borderId="3" xfId="0" applyFont="1" applyFill="1" applyBorder="1" applyAlignment="1">
      <alignment vertical="center" wrapText="1"/>
    </xf>
    <xf numFmtId="2" fontId="14" fillId="0" borderId="3"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2" fontId="14" fillId="0" borderId="13" xfId="0" applyNumberFormat="1" applyFont="1" applyFill="1" applyBorder="1" applyAlignment="1">
      <alignment horizontal="center" vertical="center" wrapText="1"/>
    </xf>
    <xf numFmtId="0" fontId="14" fillId="0" borderId="13" xfId="0" applyNumberFormat="1" applyFont="1" applyFill="1" applyBorder="1" applyAlignment="1">
      <alignment vertical="center" wrapText="1"/>
    </xf>
    <xf numFmtId="0" fontId="14" fillId="0" borderId="4" xfId="0" applyFont="1" applyFill="1" applyBorder="1" applyAlignment="1">
      <alignment vertical="center" wrapText="1"/>
    </xf>
    <xf numFmtId="0" fontId="14" fillId="0" borderId="10" xfId="0" applyNumberFormat="1" applyFont="1" applyFill="1" applyBorder="1" applyAlignment="1">
      <alignment vertical="center" wrapText="1"/>
    </xf>
    <xf numFmtId="164" fontId="17" fillId="0" borderId="4" xfId="0" applyNumberFormat="1" applyFont="1" applyFill="1" applyBorder="1" applyAlignment="1">
      <alignment horizontal="center" vertical="center" wrapText="1"/>
    </xf>
    <xf numFmtId="0" fontId="17" fillId="0" borderId="4" xfId="0" applyNumberFormat="1" applyFont="1" applyFill="1" applyBorder="1" applyAlignment="1">
      <alignment vertical="center" wrapText="1"/>
    </xf>
    <xf numFmtId="0" fontId="17" fillId="0" borderId="3" xfId="0" applyNumberFormat="1" applyFont="1" applyFill="1" applyBorder="1" applyAlignment="1">
      <alignment vertical="center" wrapText="1"/>
    </xf>
    <xf numFmtId="1" fontId="17" fillId="0" borderId="3" xfId="0" applyNumberFormat="1" applyFont="1" applyFill="1" applyBorder="1" applyAlignment="1">
      <alignment horizontal="center" vertical="center" wrapText="1"/>
    </xf>
    <xf numFmtId="2" fontId="17" fillId="0" borderId="3" xfId="0" applyNumberFormat="1" applyFont="1" applyFill="1" applyBorder="1" applyAlignment="1">
      <alignment horizontal="center" vertical="center" wrapText="1"/>
    </xf>
    <xf numFmtId="0" fontId="17" fillId="0" borderId="3" xfId="0" applyFont="1" applyFill="1" applyBorder="1" applyAlignment="1">
      <alignment vertical="center" wrapText="1"/>
    </xf>
    <xf numFmtId="2" fontId="17" fillId="0" borderId="3" xfId="0" applyNumberFormat="1" applyFont="1" applyFill="1" applyBorder="1" applyAlignment="1">
      <alignment horizontal="center" vertical="center"/>
    </xf>
    <xf numFmtId="49" fontId="0" fillId="0" borderId="4" xfId="0" applyNumberFormat="1" applyFill="1" applyBorder="1" applyAlignment="1">
      <alignment wrapText="1"/>
    </xf>
    <xf numFmtId="1" fontId="66" fillId="0" borderId="4" xfId="0" applyNumberFormat="1" applyFont="1" applyFill="1" applyBorder="1" applyAlignment="1">
      <alignment horizontal="center" vertical="center" wrapText="1"/>
    </xf>
    <xf numFmtId="0" fontId="17" fillId="0" borderId="10" xfId="0" applyNumberFormat="1" applyFont="1" applyFill="1" applyBorder="1" applyAlignment="1">
      <alignment vertical="center" wrapText="1"/>
    </xf>
    <xf numFmtId="0" fontId="17" fillId="0" borderId="12" xfId="0" applyNumberFormat="1" applyFont="1" applyFill="1" applyBorder="1" applyAlignment="1">
      <alignment vertical="center" wrapText="1"/>
    </xf>
    <xf numFmtId="0" fontId="17" fillId="0" borderId="9" xfId="0" applyNumberFormat="1" applyFont="1" applyFill="1" applyBorder="1" applyAlignment="1">
      <alignment vertical="center" wrapText="1"/>
    </xf>
    <xf numFmtId="1" fontId="17" fillId="0" borderId="4" xfId="0" applyNumberFormat="1" applyFont="1" applyFill="1" applyBorder="1" applyAlignment="1">
      <alignment horizontal="center" vertical="top" wrapText="1"/>
    </xf>
    <xf numFmtId="1" fontId="66" fillId="0" borderId="4" xfId="0" applyNumberFormat="1" applyFont="1" applyFill="1" applyBorder="1" applyAlignment="1">
      <alignment horizontal="center" vertical="top" wrapText="1"/>
    </xf>
    <xf numFmtId="2" fontId="66" fillId="0" borderId="4" xfId="0" applyNumberFormat="1" applyFont="1" applyFill="1" applyBorder="1" applyAlignment="1">
      <alignment horizontal="center" vertical="top" wrapText="1"/>
    </xf>
    <xf numFmtId="165" fontId="66" fillId="0" borderId="4" xfId="0" applyNumberFormat="1" applyFont="1" applyFill="1" applyBorder="1" applyAlignment="1">
      <alignment horizontal="center" vertical="center" wrapText="1"/>
    </xf>
    <xf numFmtId="2" fontId="70" fillId="0" borderId="4" xfId="0" applyNumberFormat="1" applyFont="1" applyFill="1" applyBorder="1" applyAlignment="1">
      <alignment horizontal="center" vertical="center" wrapText="1"/>
    </xf>
    <xf numFmtId="2" fontId="71" fillId="0" borderId="4" xfId="0" applyNumberFormat="1" applyFont="1" applyFill="1" applyBorder="1" applyAlignment="1">
      <alignment horizontal="center" vertical="center" wrapText="1"/>
    </xf>
    <xf numFmtId="2" fontId="72" fillId="0" borderId="4" xfId="0" applyNumberFormat="1" applyFont="1" applyFill="1" applyBorder="1" applyAlignment="1">
      <alignment horizontal="center" vertical="center" wrapText="1"/>
    </xf>
    <xf numFmtId="49" fontId="17" fillId="0" borderId="4" xfId="0" applyNumberFormat="1" applyFont="1" applyFill="1" applyBorder="1" applyAlignment="1">
      <alignment horizontal="left" vertical="center" wrapText="1"/>
    </xf>
    <xf numFmtId="0" fontId="14" fillId="0" borderId="4" xfId="0" applyNumberFormat="1" applyFont="1" applyFill="1" applyBorder="1" applyAlignment="1">
      <alignment horizontal="center" vertical="top" wrapText="1"/>
    </xf>
    <xf numFmtId="0" fontId="14" fillId="0" borderId="10" xfId="0" applyNumberFormat="1" applyFont="1" applyFill="1" applyBorder="1" applyAlignment="1">
      <alignment horizontal="center" vertical="top" wrapText="1"/>
    </xf>
    <xf numFmtId="0" fontId="17" fillId="0" borderId="12" xfId="0" applyNumberFormat="1" applyFont="1" applyFill="1" applyBorder="1" applyAlignment="1">
      <alignment horizontal="center" vertical="center" wrapText="1"/>
    </xf>
    <xf numFmtId="0" fontId="17" fillId="0" borderId="10" xfId="0" applyNumberFormat="1" applyFont="1" applyFill="1" applyBorder="1" applyAlignment="1">
      <alignment vertical="top" wrapText="1"/>
    </xf>
    <xf numFmtId="0" fontId="17" fillId="0" borderId="4" xfId="0" applyNumberFormat="1" applyFont="1" applyFill="1" applyBorder="1" applyAlignment="1">
      <alignment vertical="top" wrapText="1"/>
    </xf>
    <xf numFmtId="2" fontId="17" fillId="0" borderId="12" xfId="0" applyNumberFormat="1" applyFont="1" applyFill="1" applyBorder="1" applyAlignment="1">
      <alignment horizontal="center" vertical="top" wrapText="1"/>
    </xf>
    <xf numFmtId="164" fontId="17" fillId="0" borderId="4" xfId="0" applyNumberFormat="1" applyFont="1" applyFill="1" applyBorder="1" applyAlignment="1">
      <alignment horizontal="center" vertical="top" wrapText="1"/>
    </xf>
    <xf numFmtId="1" fontId="17" fillId="0" borderId="6" xfId="0" applyNumberFormat="1" applyFont="1" applyFill="1" applyBorder="1" applyAlignment="1">
      <alignment horizontal="center" vertical="center" wrapText="1"/>
    </xf>
    <xf numFmtId="49" fontId="17" fillId="0" borderId="4" xfId="0" quotePrefix="1" applyNumberFormat="1" applyFont="1" applyFill="1" applyBorder="1" applyAlignment="1">
      <alignment horizontal="center" vertical="top" wrapText="1"/>
    </xf>
    <xf numFmtId="2" fontId="17" fillId="0" borderId="4" xfId="0" quotePrefix="1" applyNumberFormat="1" applyFont="1" applyFill="1" applyBorder="1" applyAlignment="1">
      <alignment horizontal="center" vertical="center" wrapText="1"/>
    </xf>
    <xf numFmtId="49" fontId="14" fillId="0" borderId="4" xfId="0" applyNumberFormat="1" applyFont="1" applyFill="1" applyBorder="1" applyAlignment="1">
      <alignment horizontal="center" vertical="top" wrapText="1"/>
    </xf>
    <xf numFmtId="0" fontId="15" fillId="0" borderId="4" xfId="0" applyFont="1" applyFill="1" applyBorder="1" applyAlignment="1">
      <alignment horizontal="center" vertical="center"/>
    </xf>
    <xf numFmtId="0" fontId="15" fillId="0" borderId="4" xfId="0" applyFont="1" applyFill="1" applyBorder="1" applyAlignment="1">
      <alignment vertical="center" wrapText="1"/>
    </xf>
    <xf numFmtId="0" fontId="15" fillId="0" borderId="4" xfId="0" applyFont="1" applyFill="1" applyBorder="1" applyAlignment="1">
      <alignment horizontal="center" vertical="center" wrapText="1"/>
    </xf>
    <xf numFmtId="0" fontId="15" fillId="0" borderId="4" xfId="0" applyFont="1" applyFill="1" applyBorder="1" applyAlignment="1">
      <alignment horizontal="center" vertical="top"/>
    </xf>
    <xf numFmtId="49" fontId="15" fillId="0" borderId="4" xfId="0" applyNumberFormat="1" applyFont="1" applyFill="1" applyBorder="1" applyAlignment="1">
      <alignment vertical="center" wrapText="1"/>
    </xf>
    <xf numFmtId="0" fontId="15" fillId="0" borderId="4" xfId="0" applyNumberFormat="1" applyFont="1" applyFill="1" applyBorder="1" applyAlignment="1">
      <alignment horizontal="center" vertical="center" wrapText="1"/>
    </xf>
    <xf numFmtId="49" fontId="15" fillId="0" borderId="4" xfId="0" applyNumberFormat="1" applyFont="1" applyFill="1" applyBorder="1" applyAlignment="1">
      <alignment horizontal="center" vertical="center" wrapText="1"/>
    </xf>
    <xf numFmtId="0" fontId="15" fillId="0" borderId="10" xfId="0" applyFont="1" applyFill="1" applyBorder="1" applyAlignment="1">
      <alignment vertical="center" wrapText="1"/>
    </xf>
    <xf numFmtId="0" fontId="15" fillId="0" borderId="12" xfId="0" applyFont="1" applyFill="1" applyBorder="1" applyAlignment="1">
      <alignment vertical="center" wrapText="1"/>
    </xf>
    <xf numFmtId="0" fontId="15" fillId="0" borderId="9" xfId="0" applyFont="1" applyFill="1" applyBorder="1" applyAlignment="1">
      <alignment vertical="center" wrapText="1"/>
    </xf>
    <xf numFmtId="0" fontId="23" fillId="0" borderId="4" xfId="0" applyNumberFormat="1" applyFont="1" applyFill="1" applyBorder="1" applyAlignment="1">
      <alignment vertical="center" wrapText="1"/>
    </xf>
    <xf numFmtId="0" fontId="41" fillId="0" borderId="4" xfId="0" applyFont="1" applyFill="1" applyBorder="1" applyAlignment="1">
      <alignment horizontal="center" vertical="center"/>
    </xf>
    <xf numFmtId="2" fontId="23" fillId="0" borderId="4" xfId="0" applyNumberFormat="1" applyFont="1" applyFill="1" applyBorder="1" applyAlignment="1">
      <alignment horizontal="center" vertical="center"/>
    </xf>
    <xf numFmtId="0" fontId="23" fillId="0" borderId="3" xfId="0" applyFont="1" applyFill="1" applyBorder="1" applyAlignment="1">
      <alignment horizontal="center" vertical="top"/>
    </xf>
    <xf numFmtId="2" fontId="23" fillId="0" borderId="9" xfId="0" applyNumberFormat="1" applyFont="1" applyFill="1" applyBorder="1" applyAlignment="1">
      <alignment horizontal="center" vertical="center"/>
    </xf>
    <xf numFmtId="0" fontId="15" fillId="0" borderId="3" xfId="0" applyFont="1" applyFill="1" applyBorder="1" applyAlignment="1">
      <alignment horizontal="center" vertical="center"/>
    </xf>
    <xf numFmtId="0" fontId="14" fillId="0" borderId="4" xfId="5" applyFont="1" applyFill="1" applyBorder="1" applyAlignment="1">
      <alignment vertical="top" wrapText="1"/>
    </xf>
    <xf numFmtId="0" fontId="15" fillId="0" borderId="4" xfId="5" applyFont="1" applyFill="1" applyBorder="1" applyAlignment="1">
      <alignment horizontal="center" vertical="center" wrapText="1"/>
    </xf>
    <xf numFmtId="2" fontId="15" fillId="0" borderId="9" xfId="5" applyNumberFormat="1" applyFont="1" applyFill="1" applyBorder="1" applyAlignment="1">
      <alignment horizontal="center" vertical="center" wrapText="1"/>
    </xf>
    <xf numFmtId="0" fontId="15" fillId="0" borderId="4" xfId="0" applyFont="1" applyFill="1" applyBorder="1" applyAlignment="1">
      <alignment horizontal="left" vertical="center" wrapText="1"/>
    </xf>
    <xf numFmtId="0" fontId="17" fillId="0" borderId="4" xfId="5" applyFont="1" applyFill="1" applyBorder="1" applyAlignment="1">
      <alignment horizontal="left" vertical="center" wrapText="1"/>
    </xf>
    <xf numFmtId="2" fontId="15" fillId="0" borderId="4" xfId="1" applyNumberFormat="1" applyFont="1" applyFill="1" applyBorder="1" applyAlignment="1">
      <alignment horizontal="center" vertical="center" wrapText="1"/>
    </xf>
    <xf numFmtId="0" fontId="15" fillId="0" borderId="4" xfId="3" applyFont="1" applyFill="1" applyBorder="1" applyAlignment="1">
      <alignment vertical="center" wrapText="1"/>
    </xf>
    <xf numFmtId="0" fontId="14" fillId="0" borderId="4" xfId="5" applyFont="1" applyFill="1" applyBorder="1" applyAlignment="1">
      <alignment vertical="center" wrapText="1"/>
    </xf>
    <xf numFmtId="2" fontId="15" fillId="0" borderId="4" xfId="5" applyNumberFormat="1" applyFont="1" applyFill="1" applyBorder="1" applyAlignment="1">
      <alignment horizontal="center" vertical="center" wrapText="1"/>
    </xf>
    <xf numFmtId="49" fontId="15" fillId="0" borderId="10" xfId="0" applyNumberFormat="1" applyFont="1" applyFill="1" applyBorder="1" applyAlignment="1">
      <alignment vertical="center" wrapText="1"/>
    </xf>
    <xf numFmtId="0" fontId="17" fillId="0" borderId="4" xfId="5" applyFont="1" applyFill="1" applyBorder="1" applyAlignment="1">
      <alignment horizontal="left" vertical="top" wrapText="1"/>
    </xf>
    <xf numFmtId="0" fontId="15" fillId="0" borderId="4" xfId="5" applyFont="1" applyFill="1" applyBorder="1" applyAlignment="1">
      <alignment horizontal="center" vertical="top" wrapText="1"/>
    </xf>
    <xf numFmtId="0" fontId="15" fillId="0" borderId="4" xfId="0" applyFont="1" applyFill="1" applyBorder="1" applyAlignment="1">
      <alignment horizontal="center"/>
    </xf>
    <xf numFmtId="2" fontId="15" fillId="0" borderId="9" xfId="0" applyNumberFormat="1" applyFont="1" applyFill="1" applyBorder="1" applyAlignment="1">
      <alignment horizontal="center" vertical="center"/>
    </xf>
    <xf numFmtId="0" fontId="15" fillId="0" borderId="6" xfId="0" applyFont="1" applyFill="1" applyBorder="1" applyAlignment="1">
      <alignment horizontal="center" vertical="center"/>
    </xf>
    <xf numFmtId="0" fontId="15" fillId="0" borderId="4" xfId="0" applyFont="1" applyFill="1" applyBorder="1" applyAlignment="1">
      <alignment wrapText="1"/>
    </xf>
    <xf numFmtId="2" fontId="15" fillId="0" borderId="4" xfId="0" applyNumberFormat="1" applyFont="1" applyFill="1" applyBorder="1" applyAlignment="1">
      <alignment horizontal="center"/>
    </xf>
    <xf numFmtId="49" fontId="23" fillId="0" borderId="4" xfId="0" applyNumberFormat="1" applyFont="1" applyFill="1" applyBorder="1" applyAlignment="1">
      <alignment vertical="center" wrapText="1"/>
    </xf>
    <xf numFmtId="0" fontId="23" fillId="0" borderId="4" xfId="0" applyFont="1" applyFill="1" applyBorder="1" applyAlignment="1">
      <alignment wrapText="1"/>
    </xf>
    <xf numFmtId="1" fontId="15" fillId="0" borderId="4" xfId="0" applyNumberFormat="1" applyFont="1" applyFill="1" applyBorder="1" applyAlignment="1">
      <alignment horizontal="center"/>
    </xf>
    <xf numFmtId="0" fontId="74" fillId="0" borderId="4" xfId="5" applyFont="1" applyFill="1" applyBorder="1" applyAlignment="1">
      <alignment horizontal="left" vertical="top" wrapText="1"/>
    </xf>
    <xf numFmtId="0" fontId="17" fillId="0" borderId="4" xfId="0" applyFont="1" applyFill="1" applyBorder="1"/>
    <xf numFmtId="2" fontId="23" fillId="0" borderId="4" xfId="0" applyNumberFormat="1" applyFont="1" applyFill="1" applyBorder="1" applyAlignment="1">
      <alignment horizontal="center" vertical="top"/>
    </xf>
    <xf numFmtId="0" fontId="12" fillId="0" borderId="4" xfId="0" applyFont="1" applyFill="1" applyBorder="1" applyAlignment="1">
      <alignment vertical="center" wrapText="1"/>
    </xf>
    <xf numFmtId="0" fontId="12" fillId="0" borderId="4" xfId="0" applyFont="1" applyFill="1" applyBorder="1" applyAlignment="1">
      <alignment vertical="top" wrapText="1"/>
    </xf>
    <xf numFmtId="0" fontId="30" fillId="0" borderId="0" xfId="0" applyFont="1" applyFill="1" applyBorder="1" applyAlignment="1">
      <alignment horizontal="center" vertical="center"/>
    </xf>
    <xf numFmtId="0" fontId="15" fillId="0" borderId="4" xfId="2" applyNumberFormat="1" applyFont="1" applyFill="1" applyBorder="1" applyAlignment="1">
      <alignment horizontal="center" vertical="center" wrapText="1"/>
    </xf>
    <xf numFmtId="165" fontId="15" fillId="0" borderId="4" xfId="2" applyNumberFormat="1" applyFont="1" applyFill="1" applyBorder="1" applyAlignment="1">
      <alignment horizontal="center" vertical="center" wrapText="1"/>
    </xf>
    <xf numFmtId="2" fontId="15" fillId="0" borderId="4" xfId="2" applyNumberFormat="1" applyFont="1" applyFill="1" applyBorder="1" applyAlignment="1">
      <alignment horizontal="center" vertical="center" wrapText="1"/>
    </xf>
    <xf numFmtId="0" fontId="15" fillId="0" borderId="4" xfId="2" applyNumberFormat="1" applyFont="1" applyFill="1" applyBorder="1" applyAlignment="1">
      <alignment horizontal="center" vertical="top" wrapText="1"/>
    </xf>
    <xf numFmtId="49" fontId="15" fillId="0" borderId="4" xfId="2" applyNumberFormat="1" applyFont="1" applyFill="1" applyBorder="1" applyAlignment="1">
      <alignment vertical="center" wrapText="1"/>
    </xf>
    <xf numFmtId="49" fontId="15" fillId="0" borderId="4" xfId="2" applyNumberFormat="1" applyFont="1" applyFill="1" applyBorder="1" applyAlignment="1">
      <alignment horizontal="center" vertical="center" wrapText="1"/>
    </xf>
    <xf numFmtId="1" fontId="15" fillId="0" borderId="4" xfId="2" applyNumberFormat="1" applyFont="1" applyFill="1" applyBorder="1" applyAlignment="1">
      <alignment horizontal="center" vertical="center" wrapText="1"/>
    </xf>
    <xf numFmtId="0" fontId="15" fillId="0" borderId="10" xfId="2" applyNumberFormat="1" applyFont="1" applyFill="1" applyBorder="1" applyAlignment="1">
      <alignment vertical="center" wrapText="1"/>
    </xf>
    <xf numFmtId="0" fontId="15" fillId="0" borderId="12" xfId="2" applyNumberFormat="1" applyFont="1" applyFill="1" applyBorder="1" applyAlignment="1">
      <alignment vertical="center" wrapText="1"/>
    </xf>
    <xf numFmtId="0" fontId="15" fillId="0" borderId="9" xfId="2" applyNumberFormat="1" applyFont="1" applyFill="1" applyBorder="1" applyAlignment="1">
      <alignment vertical="center" wrapText="1"/>
    </xf>
    <xf numFmtId="49" fontId="15" fillId="0" borderId="4" xfId="0" applyNumberFormat="1" applyFont="1" applyFill="1" applyBorder="1" applyAlignment="1">
      <alignment vertical="top" wrapText="1"/>
    </xf>
    <xf numFmtId="49" fontId="15" fillId="0" borderId="4" xfId="2" applyNumberFormat="1" applyFont="1" applyFill="1" applyBorder="1" applyAlignment="1">
      <alignment horizontal="center" vertical="top" wrapText="1"/>
    </xf>
    <xf numFmtId="1" fontId="15" fillId="0" borderId="4" xfId="2" applyNumberFormat="1" applyFont="1" applyFill="1" applyBorder="1" applyAlignment="1">
      <alignment horizontal="center" vertical="top" wrapText="1"/>
    </xf>
    <xf numFmtId="2" fontId="15" fillId="0" borderId="4" xfId="2" applyNumberFormat="1" applyFont="1" applyFill="1" applyBorder="1" applyAlignment="1">
      <alignment horizontal="center" vertical="top" wrapText="1"/>
    </xf>
    <xf numFmtId="49" fontId="23" fillId="0" borderId="4" xfId="2" applyNumberFormat="1" applyFont="1" applyFill="1" applyBorder="1" applyAlignment="1">
      <alignment vertical="top" wrapText="1"/>
    </xf>
    <xf numFmtId="0" fontId="15" fillId="0" borderId="4" xfId="2" applyNumberFormat="1" applyFont="1" applyFill="1" applyBorder="1" applyAlignment="1">
      <alignment vertical="center" wrapText="1"/>
    </xf>
    <xf numFmtId="0" fontId="23" fillId="0" borderId="4" xfId="2" applyNumberFormat="1" applyFont="1" applyFill="1" applyBorder="1" applyAlignment="1">
      <alignment horizontal="center" vertical="center" wrapText="1"/>
    </xf>
    <xf numFmtId="0" fontId="23" fillId="0" borderId="4" xfId="2" applyNumberFormat="1" applyFont="1" applyFill="1" applyBorder="1" applyAlignment="1">
      <alignment vertical="top" wrapText="1"/>
    </xf>
    <xf numFmtId="0" fontId="23" fillId="0" borderId="4" xfId="2" applyNumberFormat="1" applyFont="1" applyFill="1" applyBorder="1" applyAlignment="1">
      <alignment horizontal="center" vertical="top" wrapText="1"/>
    </xf>
    <xf numFmtId="0" fontId="15" fillId="0" borderId="4" xfId="2" applyNumberFormat="1" applyFont="1" applyFill="1" applyBorder="1" applyAlignment="1">
      <alignment vertical="top" wrapText="1"/>
    </xf>
    <xf numFmtId="49" fontId="15" fillId="0" borderId="4" xfId="2" quotePrefix="1" applyNumberFormat="1" applyFont="1" applyFill="1" applyBorder="1" applyAlignment="1">
      <alignment horizontal="center" vertical="top" wrapText="1"/>
    </xf>
    <xf numFmtId="0" fontId="17" fillId="0" borderId="4" xfId="2" applyNumberFormat="1" applyFont="1" applyFill="1" applyBorder="1" applyAlignment="1">
      <alignment wrapText="1"/>
    </xf>
    <xf numFmtId="49" fontId="17" fillId="0" borderId="4" xfId="2" applyNumberFormat="1" applyFont="1" applyFill="1" applyBorder="1" applyAlignment="1">
      <alignment horizontal="center" wrapText="1"/>
    </xf>
    <xf numFmtId="2" fontId="17" fillId="0" borderId="4" xfId="2" applyNumberFormat="1" applyFont="1" applyFill="1" applyBorder="1" applyAlignment="1">
      <alignment horizontal="right" wrapText="1"/>
    </xf>
    <xf numFmtId="0" fontId="17" fillId="0" borderId="3" xfId="0" applyFont="1" applyFill="1" applyBorder="1" applyAlignment="1">
      <alignment horizontal="center" vertical="center"/>
    </xf>
    <xf numFmtId="0" fontId="17" fillId="0" borderId="4" xfId="0" applyFont="1" applyFill="1" applyBorder="1" applyAlignment="1">
      <alignment vertical="top" wrapText="1"/>
    </xf>
    <xf numFmtId="0" fontId="17" fillId="0" borderId="4" xfId="0" applyNumberFormat="1" applyFont="1" applyFill="1" applyBorder="1" applyAlignment="1">
      <alignment horizontal="center" vertical="center"/>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top" wrapText="1"/>
    </xf>
    <xf numFmtId="1" fontId="17" fillId="0" borderId="4" xfId="0" applyNumberFormat="1" applyFont="1" applyFill="1" applyBorder="1" applyAlignment="1">
      <alignment vertical="top" wrapText="1"/>
    </xf>
    <xf numFmtId="0" fontId="16" fillId="0" borderId="10" xfId="0" applyFont="1" applyFill="1" applyBorder="1" applyAlignment="1">
      <alignment vertical="center" wrapText="1"/>
    </xf>
    <xf numFmtId="0" fontId="14" fillId="0" borderId="10" xfId="0" applyFont="1" applyFill="1" applyBorder="1" applyAlignment="1">
      <alignment vertical="center"/>
    </xf>
    <xf numFmtId="0" fontId="14" fillId="0" borderId="12" xfId="0" applyFont="1" applyFill="1" applyBorder="1" applyAlignment="1">
      <alignment vertical="center"/>
    </xf>
    <xf numFmtId="0" fontId="14" fillId="0" borderId="9" xfId="0" applyFont="1" applyFill="1" applyBorder="1" applyAlignment="1">
      <alignment vertical="center"/>
    </xf>
    <xf numFmtId="0" fontId="15" fillId="0" borderId="4" xfId="0" applyFont="1" applyFill="1" applyBorder="1" applyAlignment="1">
      <alignment vertical="top" wrapText="1"/>
    </xf>
    <xf numFmtId="0" fontId="15" fillId="0" borderId="4" xfId="0" applyNumberFormat="1" applyFont="1" applyFill="1" applyBorder="1" applyAlignment="1">
      <alignment horizontal="center" vertical="center"/>
    </xf>
    <xf numFmtId="0" fontId="15" fillId="0" borderId="4" xfId="0" applyFont="1" applyFill="1" applyBorder="1" applyAlignment="1">
      <alignment horizontal="justify" vertical="top" wrapText="1"/>
    </xf>
    <xf numFmtId="1" fontId="15" fillId="0" borderId="4" xfId="0" applyNumberFormat="1" applyFont="1" applyFill="1" applyBorder="1" applyAlignment="1">
      <alignment horizontal="center" vertical="center"/>
    </xf>
    <xf numFmtId="0" fontId="15" fillId="0" borderId="4" xfId="0" applyFont="1" applyFill="1" applyBorder="1" applyAlignment="1">
      <alignment horizontal="left" vertical="top" wrapText="1"/>
    </xf>
    <xf numFmtId="0" fontId="23" fillId="0" borderId="4" xfId="0" applyFont="1" applyFill="1" applyBorder="1" applyAlignment="1">
      <alignment vertical="top" wrapText="1"/>
    </xf>
    <xf numFmtId="0" fontId="23" fillId="0" borderId="4" xfId="0" applyNumberFormat="1" applyFont="1" applyFill="1" applyBorder="1" applyAlignment="1">
      <alignment horizontal="center" vertical="center"/>
    </xf>
    <xf numFmtId="0" fontId="23" fillId="0" borderId="10" xfId="0" applyNumberFormat="1" applyFont="1" applyFill="1" applyBorder="1" applyAlignment="1">
      <alignment vertical="center"/>
    </xf>
    <xf numFmtId="0" fontId="23" fillId="0" borderId="12" xfId="0" applyNumberFormat="1" applyFont="1" applyFill="1" applyBorder="1" applyAlignment="1">
      <alignment vertical="center"/>
    </xf>
    <xf numFmtId="0" fontId="23" fillId="0" borderId="9" xfId="0" applyNumberFormat="1" applyFont="1" applyFill="1" applyBorder="1" applyAlignment="1">
      <alignment vertical="center"/>
    </xf>
    <xf numFmtId="0" fontId="15" fillId="0" borderId="6" xfId="0" applyFont="1" applyFill="1" applyBorder="1" applyAlignment="1">
      <alignment vertical="top" wrapText="1"/>
    </xf>
    <xf numFmtId="0" fontId="15" fillId="0" borderId="6" xfId="0" applyNumberFormat="1" applyFont="1" applyFill="1" applyBorder="1" applyAlignment="1">
      <alignment horizontal="center" vertical="center"/>
    </xf>
    <xf numFmtId="2" fontId="15" fillId="0" borderId="6" xfId="0" applyNumberFormat="1" applyFont="1" applyFill="1" applyBorder="1" applyAlignment="1">
      <alignment horizontal="center" vertical="center"/>
    </xf>
    <xf numFmtId="0" fontId="15" fillId="0" borderId="6" xfId="0" quotePrefix="1" applyFont="1" applyFill="1" applyBorder="1" applyAlignment="1">
      <alignment horizontal="center" vertical="center"/>
    </xf>
    <xf numFmtId="0" fontId="15" fillId="0" borderId="4" xfId="0" quotePrefix="1" applyFont="1" applyFill="1" applyBorder="1" applyAlignment="1">
      <alignment horizontal="center" vertical="center"/>
    </xf>
    <xf numFmtId="2" fontId="23" fillId="0" borderId="4" xfId="0" applyNumberFormat="1" applyFont="1" applyFill="1" applyBorder="1" applyAlignment="1">
      <alignment horizontal="center"/>
    </xf>
    <xf numFmtId="0" fontId="9" fillId="0" borderId="10" xfId="0" applyFont="1" applyFill="1" applyBorder="1" applyAlignment="1">
      <alignment vertical="center" wrapText="1"/>
    </xf>
    <xf numFmtId="0" fontId="15" fillId="0" borderId="4" xfId="2" applyFont="1" applyFill="1" applyBorder="1" applyAlignment="1">
      <alignment vertical="top" wrapText="1"/>
    </xf>
    <xf numFmtId="1" fontId="15" fillId="0" borderId="6" xfId="0" applyNumberFormat="1" applyFont="1" applyFill="1" applyBorder="1" applyAlignment="1">
      <alignment horizontal="center" vertical="center"/>
    </xf>
    <xf numFmtId="0" fontId="15" fillId="0" borderId="4" xfId="0" applyFont="1" applyFill="1" applyBorder="1" applyAlignment="1">
      <alignment horizontal="center" vertical="top" wrapText="1"/>
    </xf>
    <xf numFmtId="0" fontId="15" fillId="0" borderId="10" xfId="0" applyNumberFormat="1" applyFont="1" applyFill="1" applyBorder="1" applyAlignment="1">
      <alignment vertical="center"/>
    </xf>
    <xf numFmtId="0" fontId="15" fillId="0" borderId="12" xfId="0" applyNumberFormat="1" applyFont="1" applyFill="1" applyBorder="1" applyAlignment="1">
      <alignment vertical="center"/>
    </xf>
    <xf numFmtId="0" fontId="15" fillId="0" borderId="9" xfId="0" applyNumberFormat="1" applyFont="1" applyFill="1" applyBorder="1" applyAlignment="1">
      <alignment vertical="center"/>
    </xf>
    <xf numFmtId="0" fontId="15" fillId="0" borderId="4" xfId="2" applyFont="1" applyFill="1" applyBorder="1" applyAlignment="1">
      <alignment vertical="center" wrapText="1"/>
    </xf>
    <xf numFmtId="0" fontId="23" fillId="0" borderId="4" xfId="0" applyNumberFormat="1" applyFont="1" applyFill="1" applyBorder="1" applyAlignment="1">
      <alignment horizontal="center"/>
    </xf>
    <xf numFmtId="0" fontId="23" fillId="0" borderId="10" xfId="0" applyFont="1" applyFill="1" applyBorder="1" applyAlignment="1"/>
    <xf numFmtId="0" fontId="23" fillId="0" borderId="12" xfId="0" applyFont="1" applyFill="1" applyBorder="1" applyAlignment="1">
      <alignment horizontal="center"/>
    </xf>
    <xf numFmtId="0" fontId="23" fillId="0" borderId="12" xfId="0" applyFont="1" applyFill="1" applyBorder="1" applyAlignment="1"/>
    <xf numFmtId="0" fontId="23" fillId="0" borderId="9" xfId="0" applyFont="1" applyFill="1" applyBorder="1" applyAlignment="1"/>
    <xf numFmtId="0" fontId="15" fillId="0" borderId="4" xfId="0" quotePrefix="1" applyFont="1" applyFill="1" applyBorder="1" applyAlignment="1">
      <alignment horizontal="center" vertical="center" wrapText="1"/>
    </xf>
    <xf numFmtId="0" fontId="15" fillId="0" borderId="13" xfId="0" applyNumberFormat="1" applyFont="1" applyFill="1" applyBorder="1" applyAlignment="1">
      <alignment horizontal="center" vertical="center"/>
    </xf>
    <xf numFmtId="0" fontId="15" fillId="0" borderId="8" xfId="0" applyFont="1" applyFill="1" applyBorder="1" applyAlignment="1">
      <alignment vertical="center" wrapText="1"/>
    </xf>
    <xf numFmtId="0" fontId="15" fillId="0" borderId="4" xfId="0" applyNumberFormat="1" applyFont="1" applyFill="1" applyBorder="1" applyAlignment="1">
      <alignment horizontal="center" vertical="top" wrapText="1"/>
    </xf>
    <xf numFmtId="0" fontId="15" fillId="0" borderId="4" xfId="1" applyFont="1" applyFill="1" applyBorder="1" applyAlignment="1">
      <alignment vertical="center" wrapText="1"/>
    </xf>
    <xf numFmtId="0" fontId="15" fillId="0" borderId="4" xfId="1" applyFont="1" applyFill="1" applyBorder="1" applyAlignment="1">
      <alignment horizontal="center" vertical="center" wrapText="1"/>
    </xf>
    <xf numFmtId="0" fontId="15" fillId="0" borderId="3" xfId="0" applyFont="1" applyFill="1" applyBorder="1" applyAlignment="1">
      <alignment horizontal="center" vertical="top"/>
    </xf>
    <xf numFmtId="0" fontId="15" fillId="0" borderId="4" xfId="0" applyNumberFormat="1" applyFont="1" applyFill="1" applyBorder="1" applyAlignment="1">
      <alignment horizontal="center"/>
    </xf>
    <xf numFmtId="2" fontId="15" fillId="0" borderId="4" xfId="0" applyNumberFormat="1" applyFont="1" applyFill="1" applyBorder="1" applyAlignment="1">
      <alignment horizontal="right" vertical="top" wrapText="1"/>
    </xf>
    <xf numFmtId="0" fontId="23" fillId="0" borderId="4" xfId="0" applyFont="1" applyFill="1" applyBorder="1" applyAlignment="1">
      <alignment vertical="center" wrapText="1"/>
    </xf>
    <xf numFmtId="0" fontId="15" fillId="0" borderId="10" xfId="0" applyNumberFormat="1" applyFont="1" applyFill="1" applyBorder="1" applyAlignment="1"/>
    <xf numFmtId="0" fontId="15" fillId="0" borderId="12" xfId="0" applyNumberFormat="1" applyFont="1" applyFill="1" applyBorder="1" applyAlignment="1"/>
    <xf numFmtId="0" fontId="15" fillId="0" borderId="9" xfId="0" applyNumberFormat="1" applyFont="1" applyFill="1" applyBorder="1" applyAlignment="1"/>
    <xf numFmtId="0" fontId="80" fillId="0" borderId="4" xfId="0" applyNumberFormat="1" applyFont="1" applyFill="1" applyBorder="1" applyAlignment="1">
      <alignment horizontal="center" vertical="center"/>
    </xf>
    <xf numFmtId="0" fontId="15" fillId="0" borderId="4" xfId="0" applyFont="1" applyFill="1" applyBorder="1"/>
    <xf numFmtId="0" fontId="17" fillId="0" borderId="4" xfId="0" applyFont="1" applyFill="1" applyBorder="1" applyAlignment="1">
      <alignment horizontal="center" vertical="top"/>
    </xf>
    <xf numFmtId="0" fontId="17" fillId="0" borderId="4" xfId="0" applyFont="1" applyFill="1" applyBorder="1" applyAlignment="1">
      <alignment horizontal="center"/>
    </xf>
    <xf numFmtId="0" fontId="14" fillId="0" borderId="4" xfId="0" applyFont="1" applyFill="1" applyBorder="1" applyAlignment="1">
      <alignment horizontal="center" vertical="top"/>
    </xf>
    <xf numFmtId="0" fontId="23" fillId="0" borderId="4" xfId="0" applyFont="1" applyFill="1" applyBorder="1"/>
    <xf numFmtId="0" fontId="15" fillId="0" borderId="0" xfId="0" applyFont="1" applyFill="1" applyBorder="1" applyAlignment="1">
      <alignment vertical="top"/>
    </xf>
    <xf numFmtId="0" fontId="16" fillId="0" borderId="10" xfId="0" applyFont="1" applyFill="1" applyBorder="1" applyAlignment="1">
      <alignment vertical="center"/>
    </xf>
    <xf numFmtId="0" fontId="16" fillId="0" borderId="12" xfId="0" applyFont="1" applyFill="1" applyBorder="1" applyAlignment="1">
      <alignment vertical="center"/>
    </xf>
    <xf numFmtId="0" fontId="16" fillId="0" borderId="9" xfId="0" applyFont="1" applyFill="1" applyBorder="1" applyAlignment="1">
      <alignment vertical="center"/>
    </xf>
    <xf numFmtId="0" fontId="37" fillId="0" borderId="4" xfId="0" applyNumberFormat="1" applyFont="1" applyFill="1" applyBorder="1" applyAlignment="1">
      <alignment horizontal="center" vertical="center"/>
    </xf>
    <xf numFmtId="0" fontId="37" fillId="0" borderId="4" xfId="0" applyFont="1" applyFill="1" applyBorder="1" applyAlignment="1">
      <alignment horizontal="center" vertical="center"/>
    </xf>
    <xf numFmtId="2" fontId="37" fillId="0" borderId="4" xfId="0" applyNumberFormat="1" applyFont="1" applyFill="1" applyBorder="1" applyAlignment="1">
      <alignment horizontal="center" vertical="center"/>
    </xf>
    <xf numFmtId="0" fontId="16" fillId="0" borderId="4" xfId="0" applyFont="1" applyFill="1" applyBorder="1" applyAlignment="1">
      <alignment horizontal="center" vertical="center"/>
    </xf>
    <xf numFmtId="0" fontId="16" fillId="0" borderId="4" xfId="0" applyNumberFormat="1" applyFont="1" applyFill="1" applyBorder="1" applyAlignment="1">
      <alignment vertical="center" wrapText="1"/>
    </xf>
    <xf numFmtId="0" fontId="16" fillId="0" borderId="4" xfId="0" applyNumberFormat="1" applyFont="1" applyFill="1" applyBorder="1" applyAlignment="1">
      <alignment horizontal="center" vertical="center"/>
    </xf>
    <xf numFmtId="2" fontId="16" fillId="0" borderId="4" xfId="0" applyNumberFormat="1" applyFont="1" applyFill="1" applyBorder="1" applyAlignment="1">
      <alignment horizontal="center" vertical="center"/>
    </xf>
    <xf numFmtId="49" fontId="37" fillId="0" borderId="4" xfId="0" applyNumberFormat="1" applyFont="1" applyFill="1" applyBorder="1" applyAlignment="1">
      <alignment vertical="center" wrapText="1"/>
    </xf>
    <xf numFmtId="1" fontId="16" fillId="0" borderId="4" xfId="0" applyNumberFormat="1" applyFont="1" applyFill="1" applyBorder="1" applyAlignment="1">
      <alignment vertical="center"/>
    </xf>
    <xf numFmtId="164" fontId="37" fillId="0" borderId="4" xfId="0" applyNumberFormat="1" applyFont="1" applyFill="1" applyBorder="1" applyAlignment="1">
      <alignment horizontal="center" vertical="center"/>
    </xf>
    <xf numFmtId="1" fontId="16" fillId="0" borderId="4" xfId="0" applyNumberFormat="1" applyFont="1" applyFill="1" applyBorder="1" applyAlignment="1">
      <alignment horizontal="center" vertical="center"/>
    </xf>
    <xf numFmtId="0" fontId="37" fillId="0" borderId="4" xfId="0" applyFont="1" applyFill="1" applyBorder="1" applyAlignment="1">
      <alignment horizontal="left" vertical="center"/>
    </xf>
    <xf numFmtId="2" fontId="37" fillId="0" borderId="12" xfId="0" applyNumberFormat="1" applyFont="1" applyFill="1" applyBorder="1" applyAlignment="1">
      <alignment horizontal="center" vertical="center"/>
    </xf>
    <xf numFmtId="0" fontId="37" fillId="0" borderId="4" xfId="0" applyFont="1" applyFill="1" applyBorder="1" applyAlignment="1">
      <alignment horizontal="left" vertical="center" wrapText="1"/>
    </xf>
    <xf numFmtId="49" fontId="16" fillId="0" borderId="4" xfId="0" applyNumberFormat="1" applyFont="1" applyFill="1" applyBorder="1" applyAlignment="1">
      <alignment vertical="center" wrapText="1"/>
    </xf>
    <xf numFmtId="0" fontId="37" fillId="0" borderId="9" xfId="0" applyFont="1" applyFill="1" applyBorder="1" applyAlignment="1">
      <alignment vertical="center"/>
    </xf>
    <xf numFmtId="0" fontId="37" fillId="0" borderId="9" xfId="0" applyFont="1" applyFill="1" applyBorder="1" applyAlignment="1">
      <alignment horizontal="center" vertical="center"/>
    </xf>
    <xf numFmtId="0" fontId="14" fillId="0" borderId="5" xfId="0" applyFont="1" applyFill="1" applyBorder="1" applyAlignment="1">
      <alignment horizontal="center" vertical="center"/>
    </xf>
    <xf numFmtId="2" fontId="23" fillId="0" borderId="6" xfId="0" applyNumberFormat="1" applyFont="1" applyFill="1" applyBorder="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10" fillId="0" borderId="4" xfId="0" applyFont="1" applyFill="1" applyBorder="1"/>
    <xf numFmtId="0" fontId="10" fillId="0" borderId="10" xfId="0" applyFont="1" applyFill="1" applyBorder="1" applyAlignment="1">
      <alignment wrapText="1"/>
    </xf>
    <xf numFmtId="0" fontId="10" fillId="0" borderId="12" xfId="0" applyFont="1" applyFill="1" applyBorder="1" applyAlignment="1">
      <alignment wrapText="1"/>
    </xf>
    <xf numFmtId="0" fontId="10" fillId="0" borderId="9" xfId="0" applyFont="1" applyFill="1" applyBorder="1" applyAlignment="1">
      <alignment wrapText="1"/>
    </xf>
    <xf numFmtId="0" fontId="10" fillId="0" borderId="4" xfId="0" applyFont="1" applyFill="1" applyBorder="1" applyAlignment="1">
      <alignment vertical="center" wrapText="1"/>
    </xf>
    <xf numFmtId="0" fontId="0" fillId="0" borderId="10" xfId="0" applyNumberFormat="1" applyFill="1" applyBorder="1" applyAlignment="1"/>
    <xf numFmtId="0" fontId="0" fillId="0" borderId="12" xfId="0" applyNumberFormat="1" applyFill="1" applyBorder="1" applyAlignment="1"/>
    <xf numFmtId="0" fontId="0" fillId="0" borderId="9" xfId="0" applyNumberFormat="1" applyFill="1" applyBorder="1" applyAlignment="1"/>
    <xf numFmtId="0" fontId="0" fillId="0" borderId="4" xfId="0" applyFill="1" applyBorder="1" applyAlignment="1">
      <alignment vertical="center" wrapText="1"/>
    </xf>
    <xf numFmtId="0" fontId="0" fillId="0" borderId="4" xfId="0" applyNumberFormat="1" applyFill="1" applyBorder="1" applyAlignment="1">
      <alignment horizontal="center" vertical="center"/>
    </xf>
    <xf numFmtId="0" fontId="0" fillId="0" borderId="4" xfId="0" applyFill="1" applyBorder="1" applyAlignment="1">
      <alignment horizontal="center" vertical="center"/>
    </xf>
    <xf numFmtId="2" fontId="0" fillId="0" borderId="4" xfId="0" applyNumberFormat="1" applyFill="1" applyBorder="1" applyAlignment="1">
      <alignment horizontal="center" vertical="center"/>
    </xf>
    <xf numFmtId="0" fontId="10" fillId="0" borderId="4" xfId="0" applyFont="1" applyFill="1" applyBorder="1" applyAlignment="1">
      <alignment horizontal="left" vertical="center" wrapText="1"/>
    </xf>
    <xf numFmtId="2" fontId="10" fillId="0" borderId="4" xfId="0" applyNumberFormat="1" applyFont="1" applyFill="1" applyBorder="1" applyAlignment="1">
      <alignment horizontal="center" vertical="center"/>
    </xf>
    <xf numFmtId="0" fontId="12" fillId="0" borderId="4" xfId="0" applyFont="1" applyFill="1" applyBorder="1" applyAlignment="1">
      <alignment horizontal="left" vertical="center" wrapText="1"/>
    </xf>
    <xf numFmtId="0" fontId="91" fillId="0" borderId="4" xfId="0" applyFont="1" applyFill="1" applyBorder="1" applyAlignment="1">
      <alignment horizontal="left" vertical="center" wrapText="1"/>
    </xf>
    <xf numFmtId="0" fontId="0" fillId="0" borderId="4" xfId="0" applyFill="1" applyBorder="1" applyAlignment="1">
      <alignment horizontal="right" vertical="top"/>
    </xf>
    <xf numFmtId="0" fontId="79" fillId="0" borderId="10" xfId="0" applyFont="1" applyFill="1" applyBorder="1" applyAlignment="1">
      <alignment vertical="center" wrapText="1"/>
    </xf>
    <xf numFmtId="0" fontId="0" fillId="0" borderId="4" xfId="0" applyFill="1" applyBorder="1" applyAlignment="1">
      <alignment horizontal="right"/>
    </xf>
    <xf numFmtId="0" fontId="12" fillId="0" borderId="4" xfId="2" applyFont="1" applyFill="1" applyBorder="1" applyAlignment="1">
      <alignment vertical="top" wrapText="1"/>
    </xf>
    <xf numFmtId="0" fontId="12" fillId="0" borderId="6" xfId="0" applyNumberFormat="1" applyFont="1" applyFill="1" applyBorder="1" applyAlignment="1">
      <alignment horizontal="center" vertical="center"/>
    </xf>
    <xf numFmtId="0" fontId="0" fillId="0" borderId="4" xfId="0" applyFill="1" applyBorder="1" applyAlignment="1">
      <alignment horizontal="right" vertical="center"/>
    </xf>
    <xf numFmtId="49" fontId="0" fillId="0" borderId="4" xfId="0" applyNumberFormat="1" applyFill="1" applyBorder="1" applyAlignment="1">
      <alignment horizontal="center" vertical="center"/>
    </xf>
    <xf numFmtId="0" fontId="12" fillId="0" borderId="4" xfId="2" applyFont="1" applyFill="1" applyBorder="1" applyAlignment="1">
      <alignment vertical="center" wrapText="1"/>
    </xf>
    <xf numFmtId="49" fontId="12" fillId="0" borderId="4" xfId="0" applyNumberFormat="1" applyFont="1" applyFill="1" applyBorder="1" applyAlignment="1">
      <alignment horizontal="center" vertical="center" wrapText="1"/>
    </xf>
    <xf numFmtId="0" fontId="12" fillId="0" borderId="12" xfId="2" applyFont="1" applyFill="1" applyBorder="1" applyAlignment="1">
      <alignment vertical="center" wrapText="1"/>
    </xf>
    <xf numFmtId="0" fontId="0" fillId="0" borderId="3" xfId="0" applyNumberFormat="1" applyFill="1" applyBorder="1" applyAlignment="1">
      <alignment horizontal="center" vertical="center"/>
    </xf>
    <xf numFmtId="0" fontId="10" fillId="0" borderId="12" xfId="0" applyFont="1" applyFill="1" applyBorder="1" applyAlignment="1">
      <alignment horizontal="left" vertical="center" wrapText="1"/>
    </xf>
    <xf numFmtId="0" fontId="12" fillId="0" borderId="4" xfId="0" applyFont="1" applyFill="1" applyBorder="1" applyAlignment="1">
      <alignment horizontal="right" vertical="top" wrapText="1"/>
    </xf>
    <xf numFmtId="0" fontId="12" fillId="0" borderId="9" xfId="0" applyFont="1" applyFill="1" applyBorder="1" applyAlignment="1">
      <alignment horizontal="left" vertical="center" wrapText="1"/>
    </xf>
    <xf numFmtId="2" fontId="0" fillId="0" borderId="12" xfId="0" applyNumberFormat="1" applyFill="1" applyBorder="1" applyAlignment="1">
      <alignment horizontal="center" vertical="center"/>
    </xf>
    <xf numFmtId="0" fontId="10" fillId="0" borderId="9" xfId="0" applyFont="1" applyFill="1" applyBorder="1" applyAlignment="1">
      <alignment horizontal="left" vertical="top" wrapText="1"/>
    </xf>
    <xf numFmtId="0" fontId="0" fillId="0" borderId="3" xfId="0" applyNumberFormat="1" applyFill="1" applyBorder="1" applyAlignment="1">
      <alignment horizontal="center" vertical="top"/>
    </xf>
    <xf numFmtId="0" fontId="12" fillId="0" borderId="4" xfId="0" applyFont="1" applyFill="1" applyBorder="1" applyAlignment="1">
      <alignment horizontal="center" vertical="center" wrapText="1"/>
    </xf>
    <xf numFmtId="2" fontId="10" fillId="0" borderId="4" xfId="0" applyNumberFormat="1" applyFont="1" applyFill="1" applyBorder="1" applyAlignment="1">
      <alignment horizontal="center" vertical="center" wrapText="1"/>
    </xf>
    <xf numFmtId="0" fontId="12" fillId="0" borderId="9" xfId="0" applyFont="1" applyFill="1" applyBorder="1" applyAlignment="1">
      <alignment horizontal="left" vertical="top" wrapText="1"/>
    </xf>
    <xf numFmtId="0" fontId="12" fillId="0" borderId="8" xfId="0" applyFont="1" applyFill="1" applyBorder="1" applyAlignment="1">
      <alignment vertical="center" wrapText="1"/>
    </xf>
    <xf numFmtId="0" fontId="12" fillId="0" borderId="4" xfId="0" applyNumberFormat="1" applyFont="1" applyFill="1" applyBorder="1" applyAlignment="1">
      <alignment horizontal="center" vertical="center"/>
    </xf>
    <xf numFmtId="1" fontId="12" fillId="0" borderId="4" xfId="0" applyNumberFormat="1" applyFont="1" applyFill="1" applyBorder="1" applyAlignment="1">
      <alignment horizontal="center" vertical="center" wrapText="1"/>
    </xf>
    <xf numFmtId="0" fontId="12" fillId="0" borderId="4" xfId="0" applyFont="1" applyFill="1" applyBorder="1" applyAlignment="1">
      <alignment vertical="center"/>
    </xf>
    <xf numFmtId="0" fontId="12" fillId="0" borderId="4" xfId="0" applyNumberFormat="1" applyFont="1" applyFill="1" applyBorder="1" applyAlignment="1">
      <alignment horizontal="center" vertical="center" wrapText="1"/>
    </xf>
    <xf numFmtId="0" fontId="12" fillId="0" borderId="4" xfId="0" applyFont="1" applyFill="1" applyBorder="1" applyAlignment="1">
      <alignment horizontal="right" vertical="center" wrapText="1"/>
    </xf>
    <xf numFmtId="49" fontId="12" fillId="0" borderId="4" xfId="0" applyNumberFormat="1" applyFont="1" applyFill="1" applyBorder="1" applyAlignment="1">
      <alignment vertical="center" wrapText="1"/>
    </xf>
    <xf numFmtId="2" fontId="0" fillId="0" borderId="9" xfId="0" applyNumberFormat="1" applyFill="1" applyBorder="1" applyAlignment="1">
      <alignment horizontal="center" vertical="center"/>
    </xf>
    <xf numFmtId="0" fontId="10" fillId="0" borderId="10" xfId="0" applyFont="1" applyFill="1" applyBorder="1" applyAlignment="1">
      <alignment horizontal="left" wrapText="1"/>
    </xf>
    <xf numFmtId="0" fontId="0" fillId="0" borderId="4" xfId="0" applyNumberFormat="1" applyFill="1" applyBorder="1" applyAlignment="1"/>
    <xf numFmtId="0" fontId="10" fillId="0" borderId="3" xfId="0" applyFont="1" applyFill="1" applyBorder="1" applyAlignment="1">
      <alignment horizontal="left" vertical="center" wrapText="1"/>
    </xf>
    <xf numFmtId="0" fontId="0" fillId="0" borderId="13" xfId="0" applyFill="1" applyBorder="1" applyAlignment="1">
      <alignment horizontal="center" vertical="center"/>
    </xf>
    <xf numFmtId="2" fontId="10" fillId="0" borderId="3" xfId="0" applyNumberFormat="1" applyFont="1" applyFill="1" applyBorder="1" applyAlignment="1">
      <alignment horizontal="center" vertical="center"/>
    </xf>
    <xf numFmtId="0" fontId="10" fillId="0" borderId="2" xfId="0" applyFont="1" applyFill="1" applyBorder="1" applyAlignment="1">
      <alignment horizontal="center" vertical="center"/>
    </xf>
    <xf numFmtId="2" fontId="0" fillId="0" borderId="3" xfId="0" applyNumberFormat="1" applyFill="1" applyBorder="1" applyAlignment="1">
      <alignment horizontal="center" vertical="center"/>
    </xf>
    <xf numFmtId="2" fontId="0" fillId="0" borderId="13" xfId="0" applyNumberFormat="1" applyFill="1" applyBorder="1" applyAlignment="1">
      <alignment horizontal="center" vertical="center"/>
    </xf>
    <xf numFmtId="0" fontId="0" fillId="0" borderId="10" xfId="0" applyFill="1" applyBorder="1" applyAlignment="1">
      <alignment horizontal="center" vertical="center"/>
    </xf>
    <xf numFmtId="0" fontId="0" fillId="0" borderId="9" xfId="0" applyFill="1" applyBorder="1" applyAlignment="1">
      <alignment horizontal="center" vertical="center"/>
    </xf>
    <xf numFmtId="2" fontId="0" fillId="0" borderId="10" xfId="0" applyNumberFormat="1" applyFill="1" applyBorder="1" applyAlignment="1">
      <alignment horizontal="center" vertical="center"/>
    </xf>
    <xf numFmtId="0" fontId="10" fillId="0" borderId="7" xfId="0" applyFont="1" applyFill="1" applyBorder="1" applyAlignment="1">
      <alignment horizontal="left" vertical="center" wrapText="1"/>
    </xf>
    <xf numFmtId="0" fontId="0" fillId="0" borderId="7" xfId="0" applyFill="1" applyBorder="1" applyAlignment="1">
      <alignment horizontal="center" vertical="center"/>
    </xf>
    <xf numFmtId="2" fontId="0" fillId="0" borderId="4" xfId="0" applyNumberFormat="1" applyFill="1" applyBorder="1" applyAlignment="1">
      <alignment horizontal="center" vertical="top"/>
    </xf>
    <xf numFmtId="0" fontId="12" fillId="0" borderId="4" xfId="0" applyFont="1" applyFill="1" applyBorder="1" applyAlignment="1">
      <alignment horizontal="right" vertical="top"/>
    </xf>
    <xf numFmtId="0" fontId="12" fillId="0" borderId="4" xfId="0" applyFont="1" applyFill="1" applyBorder="1" applyAlignment="1">
      <alignment horizontal="left" wrapText="1"/>
    </xf>
    <xf numFmtId="0" fontId="0" fillId="0" borderId="4" xfId="0" applyNumberFormat="1" applyFill="1" applyBorder="1" applyAlignment="1">
      <alignment horizontal="center" vertical="top"/>
    </xf>
    <xf numFmtId="0" fontId="0" fillId="0" borderId="4" xfId="0" applyFill="1" applyBorder="1" applyAlignment="1">
      <alignment horizontal="center" vertical="top"/>
    </xf>
    <xf numFmtId="2" fontId="0" fillId="0" borderId="13" xfId="0" applyNumberFormat="1" applyFill="1" applyBorder="1" applyAlignment="1">
      <alignment horizontal="center" vertical="top"/>
    </xf>
    <xf numFmtId="0" fontId="12" fillId="0" borderId="7" xfId="0" applyFont="1" applyFill="1" applyBorder="1" applyAlignment="1">
      <alignment horizontal="right" vertical="top"/>
    </xf>
    <xf numFmtId="49" fontId="12" fillId="0" borderId="3" xfId="0" applyNumberFormat="1" applyFont="1" applyFill="1" applyBorder="1" applyAlignment="1">
      <alignment vertical="center" wrapText="1"/>
    </xf>
    <xf numFmtId="0" fontId="12" fillId="0" borderId="3" xfId="0" applyNumberFormat="1" applyFont="1" applyFill="1" applyBorder="1" applyAlignment="1">
      <alignment horizontal="center" vertical="center" wrapText="1"/>
    </xf>
    <xf numFmtId="0" fontId="0" fillId="0" borderId="3" xfId="0" applyFill="1" applyBorder="1" applyAlignment="1">
      <alignment horizontal="center" vertical="center" wrapText="1"/>
    </xf>
    <xf numFmtId="0" fontId="0" fillId="0" borderId="3" xfId="0" applyFill="1" applyBorder="1" applyAlignment="1">
      <alignment horizontal="center" vertical="top"/>
    </xf>
    <xf numFmtId="2" fontId="0" fillId="0" borderId="3" xfId="0" applyNumberFormat="1" applyFill="1" applyBorder="1" applyAlignment="1">
      <alignment horizontal="center" vertical="top"/>
    </xf>
    <xf numFmtId="0" fontId="12" fillId="0" borderId="4" xfId="0" applyFont="1" applyFill="1" applyBorder="1" applyAlignment="1">
      <alignment horizontal="center" vertical="top" wrapText="1"/>
    </xf>
    <xf numFmtId="0" fontId="10" fillId="0" borderId="10" xfId="0" applyFont="1" applyFill="1" applyBorder="1" applyAlignment="1">
      <alignment vertical="center" wrapText="1"/>
    </xf>
    <xf numFmtId="0" fontId="12" fillId="0" borderId="4" xfId="0" applyFont="1" applyFill="1" applyBorder="1" applyAlignment="1">
      <alignment horizontal="left" vertical="top" wrapText="1"/>
    </xf>
    <xf numFmtId="165" fontId="0" fillId="0" borderId="4" xfId="0" applyNumberFormat="1" applyFill="1" applyBorder="1" applyAlignment="1">
      <alignment horizontal="center" vertical="top"/>
    </xf>
    <xf numFmtId="2" fontId="0" fillId="0" borderId="6" xfId="0" applyNumberFormat="1" applyFill="1" applyBorder="1" applyAlignment="1">
      <alignment horizontal="center" vertical="top"/>
    </xf>
    <xf numFmtId="0" fontId="12" fillId="0" borderId="9" xfId="0" applyFont="1" applyFill="1" applyBorder="1" applyAlignment="1">
      <alignment horizontal="right" vertical="top" wrapText="1"/>
    </xf>
    <xf numFmtId="0" fontId="10" fillId="0" borderId="10" xfId="0" applyFont="1" applyFill="1" applyBorder="1" applyAlignment="1">
      <alignment horizontal="left" vertical="center" wrapText="1"/>
    </xf>
    <xf numFmtId="0" fontId="0" fillId="0" borderId="9" xfId="0" applyFill="1" applyBorder="1" applyAlignment="1">
      <alignment vertical="top" wrapText="1"/>
    </xf>
    <xf numFmtId="2" fontId="0" fillId="0" borderId="6" xfId="0" applyNumberFormat="1" applyFill="1" applyBorder="1" applyAlignment="1">
      <alignment horizontal="center" vertical="center"/>
    </xf>
    <xf numFmtId="0" fontId="12" fillId="0" borderId="3" xfId="0" applyNumberFormat="1" applyFont="1" applyFill="1" applyBorder="1" applyAlignment="1">
      <alignment horizontal="center" vertical="center"/>
    </xf>
    <xf numFmtId="0" fontId="12" fillId="0" borderId="4" xfId="0" applyFont="1" applyFill="1" applyBorder="1" applyAlignment="1">
      <alignment horizontal="center" vertical="center"/>
    </xf>
    <xf numFmtId="2" fontId="12" fillId="0" borderId="6" xfId="0" applyNumberFormat="1" applyFont="1" applyFill="1" applyBorder="1" applyAlignment="1">
      <alignment horizontal="center" vertical="center"/>
    </xf>
    <xf numFmtId="0" fontId="10" fillId="0" borderId="9" xfId="0" applyFont="1" applyFill="1" applyBorder="1" applyAlignment="1">
      <alignment horizontal="left" vertical="center" wrapText="1"/>
    </xf>
    <xf numFmtId="0" fontId="12" fillId="0" borderId="4" xfId="0" applyNumberFormat="1" applyFont="1" applyFill="1" applyBorder="1" applyAlignment="1">
      <alignment horizontal="center"/>
    </xf>
    <xf numFmtId="0" fontId="12" fillId="0" borderId="4" xfId="0" applyFont="1" applyFill="1" applyBorder="1" applyAlignment="1">
      <alignment horizontal="center"/>
    </xf>
    <xf numFmtId="2" fontId="10" fillId="0" borderId="4" xfId="0" applyNumberFormat="1" applyFont="1" applyFill="1" applyBorder="1" applyAlignment="1">
      <alignment horizontal="center"/>
    </xf>
    <xf numFmtId="2" fontId="12" fillId="0" borderId="4" xfId="0" applyNumberFormat="1" applyFont="1" applyFill="1" applyBorder="1" applyAlignment="1">
      <alignment horizontal="center"/>
    </xf>
    <xf numFmtId="0" fontId="12" fillId="0" borderId="10" xfId="0" applyFont="1" applyFill="1" applyBorder="1" applyAlignment="1">
      <alignment vertical="top" wrapText="1"/>
    </xf>
    <xf numFmtId="0" fontId="12" fillId="0" borderId="12" xfId="0" applyFont="1" applyFill="1" applyBorder="1" applyAlignment="1">
      <alignment vertical="top" wrapText="1"/>
    </xf>
    <xf numFmtId="0" fontId="12" fillId="0" borderId="9" xfId="0" applyFont="1" applyFill="1" applyBorder="1" applyAlignment="1">
      <alignment vertical="top" wrapText="1"/>
    </xf>
    <xf numFmtId="0" fontId="12" fillId="0" borderId="4" xfId="0" applyNumberFormat="1" applyFont="1" applyFill="1" applyBorder="1" applyAlignment="1">
      <alignment horizontal="center" vertical="top" wrapText="1"/>
    </xf>
    <xf numFmtId="2" fontId="12" fillId="0" borderId="6" xfId="0" applyNumberFormat="1" applyFont="1" applyFill="1" applyBorder="1" applyAlignment="1">
      <alignment horizontal="center" vertical="top"/>
    </xf>
    <xf numFmtId="2" fontId="12" fillId="0" borderId="4" xfId="0" applyNumberFormat="1" applyFont="1" applyFill="1" applyBorder="1" applyAlignment="1">
      <alignment horizontal="center" vertical="top"/>
    </xf>
    <xf numFmtId="0" fontId="0" fillId="0" borderId="4" xfId="0" applyFill="1" applyBorder="1" applyAlignment="1">
      <alignment vertical="top" wrapText="1"/>
    </xf>
    <xf numFmtId="2" fontId="0" fillId="0" borderId="4" xfId="0" applyNumberFormat="1" applyFill="1" applyBorder="1" applyAlignment="1">
      <alignment horizontal="center"/>
    </xf>
    <xf numFmtId="0" fontId="12" fillId="0" borderId="4" xfId="0" applyFont="1" applyFill="1" applyBorder="1" applyAlignment="1">
      <alignment horizontal="center" vertical="top"/>
    </xf>
    <xf numFmtId="0" fontId="10" fillId="0" borderId="6" xfId="0" applyFont="1" applyFill="1" applyBorder="1"/>
    <xf numFmtId="0" fontId="10" fillId="0" borderId="4" xfId="0" applyNumberFormat="1" applyFont="1" applyFill="1" applyBorder="1" applyAlignment="1">
      <alignment vertical="center" wrapText="1"/>
    </xf>
    <xf numFmtId="0" fontId="10" fillId="0" borderId="10" xfId="0" applyNumberFormat="1" applyFont="1" applyFill="1" applyBorder="1" applyAlignment="1">
      <alignment horizontal="center"/>
    </xf>
    <xf numFmtId="0" fontId="0" fillId="0" borderId="6" xfId="0" applyFill="1" applyBorder="1"/>
    <xf numFmtId="0" fontId="12" fillId="0" borderId="10" xfId="0" applyNumberFormat="1" applyFont="1" applyFill="1" applyBorder="1" applyAlignment="1">
      <alignment vertical="center"/>
    </xf>
    <xf numFmtId="2" fontId="12" fillId="0" borderId="4" xfId="0" applyNumberFormat="1" applyFont="1" applyFill="1" applyBorder="1" applyAlignment="1">
      <alignment horizontal="center" vertical="center"/>
    </xf>
    <xf numFmtId="0" fontId="0" fillId="0" borderId="10" xfId="0" applyFill="1" applyBorder="1" applyAlignment="1">
      <alignment vertical="center" wrapText="1"/>
    </xf>
    <xf numFmtId="0" fontId="12" fillId="0" borderId="14" xfId="0" applyNumberFormat="1" applyFont="1" applyFill="1" applyBorder="1" applyAlignment="1">
      <alignment horizontal="center"/>
    </xf>
    <xf numFmtId="0" fontId="12" fillId="0" borderId="10"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14" xfId="0" applyFont="1" applyFill="1" applyBorder="1" applyAlignment="1">
      <alignment horizontal="center" vertical="center"/>
    </xf>
    <xf numFmtId="0" fontId="12" fillId="0" borderId="9" xfId="0" applyFont="1" applyFill="1" applyBorder="1" applyAlignment="1">
      <alignment horizontal="center" vertical="center" wrapText="1"/>
    </xf>
    <xf numFmtId="0" fontId="12" fillId="0" borderId="14" xfId="0" applyNumberFormat="1" applyFont="1" applyFill="1" applyBorder="1" applyAlignment="1">
      <alignment horizontal="center" vertical="center"/>
    </xf>
    <xf numFmtId="0" fontId="0" fillId="0" borderId="4" xfId="0" applyFill="1" applyBorder="1" applyAlignment="1">
      <alignment horizontal="center"/>
    </xf>
    <xf numFmtId="0" fontId="12" fillId="0" borderId="10" xfId="0" applyNumberFormat="1" applyFont="1" applyFill="1" applyBorder="1" applyAlignment="1"/>
    <xf numFmtId="0" fontId="12" fillId="0" borderId="4" xfId="0" applyNumberFormat="1" applyFont="1" applyFill="1" applyBorder="1" applyAlignment="1"/>
    <xf numFmtId="0" fontId="0" fillId="0" borderId="3" xfId="0" applyFill="1" applyBorder="1" applyAlignment="1">
      <alignment horizontal="center"/>
    </xf>
    <xf numFmtId="0" fontId="0" fillId="0" borderId="3" xfId="0" applyFill="1" applyBorder="1" applyAlignment="1">
      <alignment vertical="center" wrapText="1"/>
    </xf>
    <xf numFmtId="0" fontId="12" fillId="0" borderId="3" xfId="0" applyNumberFormat="1" applyFont="1" applyFill="1" applyBorder="1" applyAlignment="1">
      <alignment horizontal="center"/>
    </xf>
    <xf numFmtId="0" fontId="12" fillId="0" borderId="3" xfId="0" applyFont="1" applyFill="1" applyBorder="1" applyAlignment="1">
      <alignment horizontal="center"/>
    </xf>
    <xf numFmtId="2" fontId="12" fillId="0" borderId="3" xfId="0" applyNumberFormat="1" applyFont="1" applyFill="1" applyBorder="1" applyAlignment="1">
      <alignment horizontal="center"/>
    </xf>
    <xf numFmtId="0" fontId="0" fillId="0" borderId="13" xfId="0" applyFill="1" applyBorder="1" applyAlignment="1">
      <alignment horizontal="center" vertical="center" wrapText="1"/>
    </xf>
    <xf numFmtId="0" fontId="12" fillId="0" borderId="13" xfId="0" applyFont="1" applyFill="1" applyBorder="1" applyAlignment="1">
      <alignment vertical="center" wrapText="1"/>
    </xf>
    <xf numFmtId="0" fontId="12" fillId="0" borderId="13"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3" xfId="0" applyFont="1" applyFill="1" applyBorder="1" applyAlignment="1">
      <alignment horizontal="center" vertical="center" wrapText="1"/>
    </xf>
    <xf numFmtId="165" fontId="12" fillId="0" borderId="4" xfId="0" applyNumberFormat="1" applyFont="1" applyFill="1" applyBorder="1" applyAlignment="1">
      <alignment horizontal="center" vertical="center"/>
    </xf>
    <xf numFmtId="0" fontId="10" fillId="0" borderId="4" xfId="0" applyFont="1" applyFill="1" applyBorder="1" applyAlignment="1">
      <alignment horizontal="left" vertical="top" wrapText="1"/>
    </xf>
    <xf numFmtId="0" fontId="12" fillId="0" borderId="12" xfId="0" applyNumberFormat="1" applyFont="1" applyFill="1" applyBorder="1" applyAlignment="1"/>
    <xf numFmtId="0" fontId="12" fillId="0" borderId="9" xfId="0" applyNumberFormat="1" applyFont="1" applyFill="1" applyBorder="1" applyAlignment="1"/>
    <xf numFmtId="0" fontId="12" fillId="0" borderId="3" xfId="0" applyFont="1" applyFill="1" applyBorder="1" applyAlignment="1">
      <alignment vertical="top" wrapText="1"/>
    </xf>
    <xf numFmtId="0" fontId="0" fillId="0" borderId="6" xfId="0" applyFill="1" applyBorder="1" applyAlignment="1">
      <alignment horizontal="center" vertical="top"/>
    </xf>
    <xf numFmtId="49" fontId="10" fillId="0" borderId="4" xfId="0" applyNumberFormat="1" applyFont="1" applyFill="1" applyBorder="1" applyAlignment="1">
      <alignment vertical="center" wrapText="1"/>
    </xf>
    <xf numFmtId="2" fontId="10" fillId="0" borderId="4" xfId="0" applyNumberFormat="1" applyFont="1" applyFill="1" applyBorder="1" applyAlignment="1">
      <alignment horizontal="center" vertical="top"/>
    </xf>
    <xf numFmtId="0" fontId="16" fillId="0" borderId="4" xfId="0" applyNumberFormat="1" applyFont="1" applyFill="1" applyBorder="1" applyAlignment="1">
      <alignment horizontal="center"/>
    </xf>
    <xf numFmtId="0" fontId="16" fillId="0" borderId="4" xfId="0" applyFont="1" applyFill="1" applyBorder="1" applyAlignment="1">
      <alignment horizontal="center"/>
    </xf>
    <xf numFmtId="0" fontId="16" fillId="0" borderId="15" xfId="0" applyNumberFormat="1" applyFont="1" applyFill="1" applyBorder="1" applyAlignment="1">
      <alignment horizontal="center"/>
    </xf>
    <xf numFmtId="0" fontId="16" fillId="0" borderId="15" xfId="0" applyFont="1" applyFill="1" applyBorder="1" applyAlignment="1">
      <alignment horizontal="center"/>
    </xf>
    <xf numFmtId="0" fontId="16" fillId="0" borderId="0" xfId="0" applyFont="1" applyFill="1" applyBorder="1" applyAlignment="1">
      <alignment horizontal="center"/>
    </xf>
    <xf numFmtId="2" fontId="37" fillId="0" borderId="4" xfId="0" applyNumberFormat="1" applyFont="1" applyFill="1" applyBorder="1" applyAlignment="1">
      <alignment horizontal="center" vertical="top"/>
    </xf>
    <xf numFmtId="0" fontId="16" fillId="0" borderId="4" xfId="0" applyFont="1" applyFill="1" applyBorder="1" applyAlignment="1">
      <alignment horizontal="center" vertical="top" wrapText="1"/>
    </xf>
    <xf numFmtId="0" fontId="16" fillId="0" borderId="4" xfId="0" applyFont="1" applyFill="1" applyBorder="1" applyAlignment="1">
      <alignment vertical="top" wrapText="1"/>
    </xf>
    <xf numFmtId="2" fontId="16" fillId="0" borderId="4" xfId="0" applyNumberFormat="1" applyFont="1" applyFill="1" applyBorder="1" applyAlignment="1">
      <alignment horizontal="center" vertical="top"/>
    </xf>
    <xf numFmtId="2" fontId="15" fillId="0" borderId="4" xfId="0" applyNumberFormat="1" applyFont="1" applyFill="1" applyBorder="1" applyAlignment="1">
      <alignment horizontal="center" vertical="top" wrapText="1"/>
    </xf>
    <xf numFmtId="1" fontId="15" fillId="0" borderId="4" xfId="0" applyNumberFormat="1" applyFont="1" applyFill="1" applyBorder="1" applyAlignment="1">
      <alignment horizontal="center" vertical="top" wrapText="1"/>
    </xf>
    <xf numFmtId="0" fontId="15" fillId="0" borderId="4" xfId="0" applyFont="1" applyFill="1" applyBorder="1" applyAlignment="1">
      <alignment vertical="center"/>
    </xf>
    <xf numFmtId="0" fontId="15" fillId="0" borderId="3" xfId="0" applyFont="1" applyFill="1" applyBorder="1" applyAlignment="1">
      <alignment horizontal="center" vertical="center" wrapText="1"/>
    </xf>
    <xf numFmtId="0" fontId="15" fillId="0" borderId="10" xfId="0" applyFont="1" applyFill="1" applyBorder="1" applyAlignment="1">
      <alignment vertical="top" wrapText="1"/>
    </xf>
    <xf numFmtId="0" fontId="15" fillId="0" borderId="4" xfId="0" applyFont="1" applyFill="1" applyBorder="1" applyAlignment="1">
      <alignment horizontal="left"/>
    </xf>
    <xf numFmtId="0" fontId="15" fillId="0" borderId="3" xfId="0" applyFont="1" applyFill="1" applyBorder="1" applyAlignment="1">
      <alignment horizontal="center" vertical="top" wrapText="1"/>
    </xf>
    <xf numFmtId="0" fontId="15" fillId="0" borderId="4" xfId="0" applyFont="1" applyFill="1" applyBorder="1" applyAlignment="1">
      <alignment horizontal="left" vertical="center"/>
    </xf>
    <xf numFmtId="0" fontId="15" fillId="0" borderId="10" xfId="0" applyFont="1" applyFill="1" applyBorder="1" applyAlignment="1">
      <alignment vertical="center"/>
    </xf>
    <xf numFmtId="1" fontId="15" fillId="0" borderId="4" xfId="0" applyNumberFormat="1" applyFont="1" applyFill="1" applyBorder="1" applyAlignment="1">
      <alignment horizontal="center" vertical="center" wrapText="1"/>
    </xf>
    <xf numFmtId="0" fontId="23" fillId="0" borderId="4" xfId="0" applyFont="1" applyFill="1" applyBorder="1" applyAlignment="1">
      <alignment horizontal="left" vertical="top" wrapText="1"/>
    </xf>
    <xf numFmtId="2" fontId="23" fillId="0" borderId="4" xfId="0" applyNumberFormat="1" applyFont="1" applyFill="1" applyBorder="1" applyAlignment="1">
      <alignment horizontal="center" vertical="top" wrapText="1"/>
    </xf>
    <xf numFmtId="0" fontId="23" fillId="0" borderId="4" xfId="0" applyFont="1" applyFill="1" applyBorder="1" applyAlignment="1">
      <alignment horizontal="left"/>
    </xf>
    <xf numFmtId="1" fontId="15" fillId="0" borderId="10" xfId="0" applyNumberFormat="1" applyFont="1" applyFill="1" applyBorder="1" applyAlignment="1">
      <alignment vertical="top" wrapText="1"/>
    </xf>
    <xf numFmtId="1" fontId="15" fillId="0" borderId="12" xfId="0" applyNumberFormat="1" applyFont="1" applyFill="1" applyBorder="1" applyAlignment="1">
      <alignment vertical="top" wrapText="1"/>
    </xf>
    <xf numFmtId="1" fontId="15" fillId="0" borderId="9" xfId="0" applyNumberFormat="1" applyFont="1" applyFill="1" applyBorder="1" applyAlignment="1">
      <alignment vertical="top" wrapText="1"/>
    </xf>
    <xf numFmtId="0" fontId="23" fillId="0" borderId="4" xfId="0" applyFont="1" applyFill="1" applyBorder="1" applyAlignment="1">
      <alignment horizontal="left" vertical="center" wrapText="1"/>
    </xf>
    <xf numFmtId="0" fontId="23" fillId="0" borderId="10" xfId="0" applyFont="1" applyFill="1" applyBorder="1" applyAlignment="1">
      <alignment horizontal="left"/>
    </xf>
    <xf numFmtId="0" fontId="23" fillId="0" borderId="4" xfId="0" applyFont="1" applyFill="1" applyBorder="1" applyAlignment="1">
      <alignment vertical="top"/>
    </xf>
    <xf numFmtId="0" fontId="23" fillId="0" borderId="9" xfId="0" applyFont="1" applyFill="1" applyBorder="1" applyAlignment="1">
      <alignment horizontal="center" vertical="top"/>
    </xf>
    <xf numFmtId="0" fontId="23" fillId="0" borderId="3" xfId="0" applyFont="1" applyFill="1" applyBorder="1"/>
    <xf numFmtId="0" fontId="23" fillId="0" borderId="12" xfId="0" applyFont="1" applyFill="1" applyBorder="1" applyAlignment="1">
      <alignment horizontal="center" vertical="top"/>
    </xf>
    <xf numFmtId="0" fontId="15" fillId="0" borderId="3" xfId="0" applyFont="1" applyFill="1" applyBorder="1" applyAlignment="1">
      <alignment horizontal="center"/>
    </xf>
    <xf numFmtId="0" fontId="15" fillId="0" borderId="4" xfId="0" applyFont="1" applyFill="1" applyBorder="1" applyAlignment="1">
      <alignment vertical="top"/>
    </xf>
    <xf numFmtId="0" fontId="15" fillId="0" borderId="12" xfId="0" applyFont="1" applyFill="1" applyBorder="1" applyAlignment="1">
      <alignment vertical="top"/>
    </xf>
    <xf numFmtId="10" fontId="15" fillId="0" borderId="5" xfId="0" applyNumberFormat="1" applyFont="1" applyFill="1" applyBorder="1" applyAlignment="1">
      <alignment horizontal="center" vertical="top"/>
    </xf>
    <xf numFmtId="2" fontId="15" fillId="0" borderId="4" xfId="0" applyNumberFormat="1" applyFont="1" applyFill="1" applyBorder="1" applyAlignment="1">
      <alignment horizontal="center" vertical="top"/>
    </xf>
    <xf numFmtId="0" fontId="15" fillId="0" borderId="14"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10" xfId="0" applyFont="1" applyFill="1" applyBorder="1" applyAlignment="1">
      <alignment horizontal="left" vertical="center"/>
    </xf>
    <xf numFmtId="2" fontId="15" fillId="0" borderId="4" xfId="0" applyNumberFormat="1" applyFont="1" applyFill="1" applyBorder="1" applyAlignment="1">
      <alignment vertical="center"/>
    </xf>
    <xf numFmtId="165" fontId="15" fillId="0" borderId="4" xfId="0" applyNumberFormat="1" applyFont="1" applyFill="1" applyBorder="1" applyAlignment="1">
      <alignment horizontal="center" vertical="center"/>
    </xf>
    <xf numFmtId="0" fontId="15" fillId="0" borderId="9" xfId="0" applyFont="1" applyFill="1" applyBorder="1" applyAlignment="1">
      <alignment horizontal="center" vertical="top" wrapText="1"/>
    </xf>
    <xf numFmtId="0" fontId="15" fillId="0" borderId="9" xfId="0" applyFont="1" applyFill="1" applyBorder="1" applyAlignment="1">
      <alignment horizontal="center" vertical="top"/>
    </xf>
    <xf numFmtId="2" fontId="15" fillId="0" borderId="4" xfId="0" applyNumberFormat="1" applyFont="1" applyFill="1" applyBorder="1" applyAlignment="1">
      <alignment vertical="top"/>
    </xf>
    <xf numFmtId="0" fontId="23" fillId="0" borderId="4" xfId="0" applyFont="1" applyFill="1" applyBorder="1" applyAlignment="1">
      <alignment vertical="center"/>
    </xf>
    <xf numFmtId="10" fontId="15" fillId="0" borderId="4" xfId="0" applyNumberFormat="1" applyFont="1" applyFill="1" applyBorder="1" applyAlignment="1">
      <alignment horizontal="center" vertical="center"/>
    </xf>
    <xf numFmtId="2" fontId="15" fillId="0" borderId="12" xfId="0" applyNumberFormat="1" applyFont="1" applyFill="1" applyBorder="1" applyAlignment="1">
      <alignment horizontal="center" vertical="center"/>
    </xf>
    <xf numFmtId="0" fontId="15" fillId="0" borderId="3" xfId="0" applyFont="1" applyFill="1" applyBorder="1" applyAlignment="1">
      <alignment vertical="center" wrapText="1"/>
    </xf>
    <xf numFmtId="2" fontId="15" fillId="0" borderId="4" xfId="0" applyNumberFormat="1" applyFont="1" applyFill="1" applyBorder="1" applyAlignment="1">
      <alignment vertical="center" wrapText="1"/>
    </xf>
    <xf numFmtId="0" fontId="23" fillId="0" borderId="3" xfId="0" applyFont="1" applyFill="1" applyBorder="1" applyAlignment="1">
      <alignment vertical="center"/>
    </xf>
    <xf numFmtId="0" fontId="10" fillId="0" borderId="4" xfId="0" applyFont="1" applyFill="1" applyBorder="1" applyAlignment="1">
      <alignment horizontal="left" vertical="center"/>
    </xf>
    <xf numFmtId="0" fontId="0" fillId="0" borderId="4" xfId="0" applyNumberFormat="1" applyFill="1" applyBorder="1" applyAlignment="1">
      <alignment horizontal="left" vertical="center"/>
    </xf>
    <xf numFmtId="2" fontId="0" fillId="0" borderId="4" xfId="0" applyNumberFormat="1" applyFill="1" applyBorder="1" applyAlignment="1">
      <alignment vertical="top"/>
    </xf>
    <xf numFmtId="0" fontId="0" fillId="0" borderId="3" xfId="0" applyFill="1" applyBorder="1" applyAlignment="1">
      <alignment horizontal="center" vertical="center"/>
    </xf>
    <xf numFmtId="0" fontId="0" fillId="0" borderId="10" xfId="0" applyNumberFormat="1" applyFill="1" applyBorder="1" applyAlignment="1">
      <alignment vertical="center"/>
    </xf>
    <xf numFmtId="0" fontId="0" fillId="0" borderId="12" xfId="0" applyNumberFormat="1" applyFill="1" applyBorder="1" applyAlignment="1">
      <alignment vertical="center"/>
    </xf>
    <xf numFmtId="0" fontId="0" fillId="0" borderId="9" xfId="0" applyNumberFormat="1" applyFill="1" applyBorder="1" applyAlignment="1">
      <alignment vertical="center"/>
    </xf>
    <xf numFmtId="0" fontId="0" fillId="0" borderId="4" xfId="0" applyFill="1" applyBorder="1" applyAlignment="1">
      <alignment horizontal="left" vertical="center"/>
    </xf>
    <xf numFmtId="0" fontId="0" fillId="0" borderId="4" xfId="0" applyFill="1" applyBorder="1" applyAlignment="1">
      <alignment vertical="center"/>
    </xf>
    <xf numFmtId="0" fontId="0" fillId="0" borderId="9" xfId="0" applyNumberFormat="1" applyFill="1" applyBorder="1" applyAlignment="1">
      <alignment horizontal="left"/>
    </xf>
    <xf numFmtId="0" fontId="0" fillId="0" borderId="9" xfId="0" applyFill="1" applyBorder="1" applyAlignment="1">
      <alignment horizontal="center"/>
    </xf>
    <xf numFmtId="0" fontId="12" fillId="0" borderId="3" xfId="0" applyFont="1" applyFill="1" applyBorder="1" applyAlignment="1">
      <alignment horizontal="left" vertical="center" wrapText="1"/>
    </xf>
    <xf numFmtId="0" fontId="0" fillId="0" borderId="4" xfId="0" applyNumberFormat="1" applyFill="1" applyBorder="1" applyAlignment="1">
      <alignment horizontal="left"/>
    </xf>
    <xf numFmtId="2" fontId="12" fillId="0" borderId="4" xfId="1" applyNumberFormat="1" applyFont="1" applyFill="1" applyBorder="1" applyAlignment="1">
      <alignment horizontal="center" vertical="center" wrapText="1"/>
    </xf>
    <xf numFmtId="0" fontId="0" fillId="0" borderId="9" xfId="0" applyNumberFormat="1" applyFill="1" applyBorder="1" applyAlignment="1">
      <alignment horizontal="left" vertical="center"/>
    </xf>
    <xf numFmtId="0" fontId="16" fillId="0" borderId="4" xfId="0" applyFont="1" applyFill="1" applyBorder="1" applyAlignment="1">
      <alignment vertical="center"/>
    </xf>
    <xf numFmtId="0" fontId="37" fillId="0" borderId="4" xfId="0" applyNumberFormat="1" applyFont="1" applyFill="1" applyBorder="1" applyAlignment="1">
      <alignment horizontal="left" vertical="center"/>
    </xf>
    <xf numFmtId="0" fontId="12" fillId="0" borderId="4" xfId="0" quotePrefix="1" applyFont="1" applyFill="1" applyBorder="1" applyAlignment="1">
      <alignment horizontal="center" vertical="center"/>
    </xf>
    <xf numFmtId="2" fontId="12" fillId="0" borderId="4" xfId="0" quotePrefix="1" applyNumberFormat="1" applyFont="1" applyFill="1" applyBorder="1" applyAlignment="1">
      <alignment horizontal="center" vertical="center"/>
    </xf>
    <xf numFmtId="0" fontId="12" fillId="0" borderId="3" xfId="0" applyFont="1" applyFill="1" applyBorder="1" applyAlignment="1">
      <alignment horizontal="left" vertical="center"/>
    </xf>
    <xf numFmtId="0" fontId="10" fillId="0" borderId="10" xfId="0" applyFont="1" applyFill="1" applyBorder="1" applyAlignment="1">
      <alignment horizontal="left" vertical="center"/>
    </xf>
    <xf numFmtId="0" fontId="12" fillId="0" borderId="6" xfId="0" applyFont="1" applyFill="1" applyBorder="1" applyAlignment="1">
      <alignment horizontal="right" vertical="center" wrapText="1"/>
    </xf>
    <xf numFmtId="0" fontId="10" fillId="0" borderId="4" xfId="0" applyNumberFormat="1" applyFont="1" applyFill="1" applyBorder="1" applyAlignment="1">
      <alignment horizontal="center" vertical="center"/>
    </xf>
    <xf numFmtId="0" fontId="92" fillId="0" borderId="4" xfId="0" applyNumberFormat="1" applyFont="1" applyFill="1" applyBorder="1" applyAlignment="1">
      <alignment horizontal="center" vertical="center" wrapText="1"/>
    </xf>
    <xf numFmtId="0" fontId="92" fillId="0" borderId="4" xfId="0" applyFont="1" applyFill="1" applyBorder="1" applyAlignment="1">
      <alignment horizontal="center" vertical="center"/>
    </xf>
    <xf numFmtId="2" fontId="92" fillId="0" borderId="4" xfId="0" applyNumberFormat="1" applyFont="1" applyFill="1" applyBorder="1" applyAlignment="1">
      <alignment horizontal="center" vertical="center"/>
    </xf>
    <xf numFmtId="0" fontId="92" fillId="0" borderId="4" xfId="0" quotePrefix="1" applyFont="1" applyFill="1" applyBorder="1" applyAlignment="1">
      <alignment horizontal="center" vertical="center"/>
    </xf>
    <xf numFmtId="1" fontId="12" fillId="0" borderId="4" xfId="0" quotePrefix="1" applyNumberFormat="1" applyFont="1" applyFill="1" applyBorder="1" applyAlignment="1">
      <alignment horizontal="center" vertical="center"/>
    </xf>
    <xf numFmtId="0" fontId="12" fillId="0" borderId="4" xfId="1" applyFill="1" applyBorder="1" applyAlignment="1">
      <alignment horizontal="center" vertical="center"/>
    </xf>
    <xf numFmtId="2" fontId="12" fillId="0" borderId="0" xfId="0" applyNumberFormat="1" applyFont="1" applyFill="1" applyAlignment="1">
      <alignment horizontal="center" vertical="center"/>
    </xf>
    <xf numFmtId="2" fontId="12" fillId="0" borderId="6" xfId="0" quotePrefix="1" applyNumberFormat="1" applyFont="1" applyFill="1" applyBorder="1" applyAlignment="1">
      <alignment horizontal="center" vertical="center"/>
    </xf>
    <xf numFmtId="0" fontId="16" fillId="0" borderId="4" xfId="0" quotePrefix="1" applyNumberFormat="1" applyFont="1" applyFill="1" applyBorder="1" applyAlignment="1">
      <alignment horizontal="center" vertical="center"/>
    </xf>
    <xf numFmtId="0" fontId="10" fillId="0" borderId="10" xfId="1" applyFont="1" applyFill="1" applyBorder="1" applyAlignment="1">
      <alignment vertical="center"/>
    </xf>
    <xf numFmtId="0" fontId="10" fillId="0" borderId="12" xfId="1" applyFont="1" applyFill="1" applyBorder="1" applyAlignment="1">
      <alignment vertical="center"/>
    </xf>
    <xf numFmtId="0" fontId="10" fillId="0" borderId="9" xfId="1" applyFont="1" applyFill="1" applyBorder="1" applyAlignment="1">
      <alignment vertical="center"/>
    </xf>
    <xf numFmtId="0" fontId="12" fillId="0" borderId="4" xfId="1" applyFill="1" applyBorder="1" applyAlignment="1">
      <alignment horizontal="left" vertical="center"/>
    </xf>
    <xf numFmtId="0" fontId="12" fillId="0" borderId="4" xfId="1" applyNumberFormat="1" applyFill="1" applyBorder="1" applyAlignment="1">
      <alignment horizontal="center" vertical="center"/>
    </xf>
    <xf numFmtId="2" fontId="12" fillId="0" borderId="4" xfId="1" applyNumberFormat="1" applyFill="1" applyBorder="1" applyAlignment="1">
      <alignment horizontal="center" vertical="center"/>
    </xf>
    <xf numFmtId="0" fontId="12" fillId="0" borderId="4" xfId="1" applyFont="1" applyFill="1" applyBorder="1" applyAlignment="1">
      <alignment vertical="top" wrapText="1"/>
    </xf>
    <xf numFmtId="0" fontId="12" fillId="0" borderId="4" xfId="1" applyFont="1" applyFill="1" applyBorder="1" applyAlignment="1">
      <alignment horizontal="center" vertical="center"/>
    </xf>
    <xf numFmtId="0" fontId="10" fillId="0" borderId="10" xfId="1" applyFont="1" applyFill="1" applyBorder="1" applyAlignment="1">
      <alignment horizontal="left" vertical="center"/>
    </xf>
    <xf numFmtId="0" fontId="10" fillId="0" borderId="4" xfId="1" applyNumberFormat="1" applyFont="1" applyFill="1" applyBorder="1" applyAlignment="1">
      <alignment horizontal="center" vertical="center"/>
    </xf>
    <xf numFmtId="2" fontId="10" fillId="0" borderId="4" xfId="1" applyNumberFormat="1" applyFont="1" applyFill="1" applyBorder="1" applyAlignment="1">
      <alignment horizontal="center" vertical="center"/>
    </xf>
    <xf numFmtId="0" fontId="10" fillId="0" borderId="4" xfId="1" applyFont="1" applyFill="1" applyBorder="1" applyAlignment="1">
      <alignment horizontal="left" vertical="center"/>
    </xf>
    <xf numFmtId="0" fontId="10" fillId="0" borderId="10" xfId="1" applyNumberFormat="1" applyFont="1" applyFill="1" applyBorder="1" applyAlignment="1">
      <alignment vertical="center"/>
    </xf>
    <xf numFmtId="0" fontId="10" fillId="0" borderId="12" xfId="1" applyNumberFormat="1" applyFont="1" applyFill="1" applyBorder="1" applyAlignment="1">
      <alignment vertical="center"/>
    </xf>
    <xf numFmtId="0" fontId="10" fillId="0" borderId="9" xfId="1" applyNumberFormat="1" applyFont="1" applyFill="1" applyBorder="1" applyAlignment="1">
      <alignment vertical="center"/>
    </xf>
    <xf numFmtId="0" fontId="12" fillId="0" borderId="3" xfId="1" applyNumberFormat="1" applyFill="1" applyBorder="1" applyAlignment="1">
      <alignment horizontal="center" vertical="center"/>
    </xf>
    <xf numFmtId="49" fontId="12" fillId="0" borderId="10" xfId="1" applyNumberFormat="1" applyFill="1" applyBorder="1" applyAlignment="1">
      <alignment vertical="center" wrapText="1"/>
    </xf>
    <xf numFmtId="0" fontId="12" fillId="0" borderId="4" xfId="1" applyFont="1" applyFill="1" applyBorder="1" applyAlignment="1">
      <alignment vertical="center" wrapText="1"/>
    </xf>
    <xf numFmtId="0" fontId="12" fillId="0" borderId="4" xfId="1" applyFont="1" applyFill="1" applyBorder="1" applyAlignment="1">
      <alignment horizontal="center" vertical="center" wrapText="1"/>
    </xf>
    <xf numFmtId="0" fontId="12" fillId="0" borderId="4" xfId="1" applyFill="1" applyBorder="1" applyAlignment="1">
      <alignment horizontal="left" vertical="center" wrapText="1"/>
    </xf>
    <xf numFmtId="0" fontId="12" fillId="0" borderId="4" xfId="1" applyFill="1" applyBorder="1" applyAlignment="1">
      <alignment horizontal="center" vertical="center" wrapText="1"/>
    </xf>
    <xf numFmtId="0" fontId="12" fillId="0" borderId="3" xfId="1" applyFont="1" applyFill="1" applyBorder="1" applyAlignment="1">
      <alignment horizontal="center" vertical="center"/>
    </xf>
    <xf numFmtId="0" fontId="12" fillId="0" borderId="4" xfId="1" applyFont="1" applyFill="1" applyBorder="1" applyAlignment="1">
      <alignment horizontal="left" vertical="center" wrapText="1"/>
    </xf>
    <xf numFmtId="0" fontId="12" fillId="0" borderId="10" xfId="1" applyFont="1" applyFill="1" applyBorder="1" applyAlignment="1">
      <alignment vertical="center" wrapText="1"/>
    </xf>
    <xf numFmtId="0" fontId="12" fillId="0" borderId="4" xfId="1" applyFont="1" applyFill="1" applyBorder="1" applyAlignment="1">
      <alignment horizontal="left" vertical="center"/>
    </xf>
    <xf numFmtId="0" fontId="12" fillId="0" borderId="4" xfId="1" applyFill="1" applyBorder="1" applyAlignment="1">
      <alignment vertical="center" wrapText="1"/>
    </xf>
    <xf numFmtId="0" fontId="10" fillId="0" borderId="6" xfId="1" quotePrefix="1" applyFont="1" applyFill="1" applyBorder="1" applyAlignment="1">
      <alignment horizontal="center" vertical="center"/>
    </xf>
    <xf numFmtId="0" fontId="10" fillId="0" borderId="4" xfId="1" applyNumberFormat="1" applyFont="1" applyFill="1" applyBorder="1" applyAlignment="1">
      <alignment vertical="center" wrapText="1"/>
    </xf>
    <xf numFmtId="0" fontId="12" fillId="0" borderId="4" xfId="1" quotePrefix="1" applyFont="1" applyFill="1" applyBorder="1" applyAlignment="1">
      <alignment horizontal="center" vertical="center"/>
    </xf>
    <xf numFmtId="49" fontId="12" fillId="0" borderId="4" xfId="1" applyNumberFormat="1" applyFont="1" applyFill="1" applyBorder="1" applyAlignment="1">
      <alignment horizontal="left" vertical="center" wrapText="1"/>
    </xf>
    <xf numFmtId="2" fontId="12" fillId="0" borderId="4" xfId="1" applyNumberFormat="1" applyFont="1" applyFill="1" applyBorder="1" applyAlignment="1">
      <alignment horizontal="center" vertical="center"/>
    </xf>
    <xf numFmtId="49" fontId="12" fillId="0" borderId="4" xfId="1" applyNumberFormat="1" applyFont="1" applyFill="1" applyBorder="1" applyAlignment="1">
      <alignment vertical="center" wrapText="1"/>
    </xf>
    <xf numFmtId="0" fontId="10" fillId="0" borderId="4" xfId="1" quotePrefix="1" applyFont="1" applyFill="1" applyBorder="1" applyAlignment="1">
      <alignment horizontal="center" vertical="center"/>
    </xf>
    <xf numFmtId="49" fontId="10" fillId="0" borderId="4" xfId="1" applyNumberFormat="1" applyFont="1" applyFill="1" applyBorder="1" applyAlignment="1">
      <alignment vertical="center" wrapText="1"/>
    </xf>
    <xf numFmtId="0" fontId="12" fillId="0" borderId="4" xfId="1" quotePrefix="1" applyFont="1" applyFill="1" applyBorder="1" applyAlignment="1">
      <alignment horizontal="center" vertical="top"/>
    </xf>
    <xf numFmtId="0" fontId="16" fillId="0" borderId="4" xfId="1" quotePrefix="1" applyFont="1" applyFill="1" applyBorder="1" applyAlignment="1">
      <alignment horizontal="center" vertical="top"/>
    </xf>
    <xf numFmtId="0" fontId="16" fillId="0" borderId="4" xfId="1" applyFont="1" applyFill="1" applyBorder="1" applyAlignment="1">
      <alignment horizontal="center" vertical="center"/>
    </xf>
    <xf numFmtId="0" fontId="16" fillId="0" borderId="4" xfId="1" applyFont="1" applyFill="1" applyBorder="1" applyAlignment="1">
      <alignment horizontal="left" vertical="center"/>
    </xf>
    <xf numFmtId="0" fontId="16" fillId="0" borderId="4" xfId="1" applyNumberFormat="1" applyFont="1" applyFill="1" applyBorder="1" applyAlignment="1">
      <alignment horizontal="center" vertical="center"/>
    </xf>
    <xf numFmtId="2" fontId="16" fillId="0" borderId="4" xfId="1" applyNumberFormat="1" applyFont="1" applyFill="1" applyBorder="1" applyAlignment="1">
      <alignment horizontal="center" vertical="center"/>
    </xf>
    <xf numFmtId="0" fontId="9" fillId="0" borderId="0" xfId="1" applyFont="1" applyFill="1" applyBorder="1" applyAlignment="1">
      <alignment horizontal="center" vertical="center"/>
    </xf>
    <xf numFmtId="2" fontId="12" fillId="0" borderId="0" xfId="1" applyNumberFormat="1" applyFill="1" applyBorder="1" applyAlignment="1">
      <alignment horizontal="center" vertical="center"/>
    </xf>
    <xf numFmtId="2" fontId="76" fillId="0" borderId="0" xfId="0" applyNumberFormat="1" applyFont="1" applyFill="1" applyBorder="1" applyAlignment="1">
      <alignment horizontal="center" vertical="center" wrapText="1"/>
    </xf>
    <xf numFmtId="0" fontId="0" fillId="0" borderId="7" xfId="0" applyFill="1" applyBorder="1" applyAlignment="1">
      <alignment vertical="center" wrapText="1"/>
    </xf>
    <xf numFmtId="49" fontId="12" fillId="0" borderId="4" xfId="0" applyNumberFormat="1" applyFont="1" applyFill="1" applyBorder="1" applyAlignment="1">
      <alignment horizontal="left" vertical="center" wrapText="1"/>
    </xf>
    <xf numFmtId="0" fontId="0" fillId="0" borderId="7" xfId="0" applyNumberFormat="1" applyFill="1" applyBorder="1" applyAlignment="1">
      <alignment horizontal="center" vertical="center"/>
    </xf>
    <xf numFmtId="0" fontId="0" fillId="0" borderId="9" xfId="0" applyNumberFormat="1" applyFill="1" applyBorder="1" applyAlignment="1">
      <alignment horizontal="center" vertical="center"/>
    </xf>
    <xf numFmtId="0" fontId="12" fillId="0" borderId="9" xfId="0" applyFont="1" applyFill="1" applyBorder="1" applyAlignment="1">
      <alignment horizontal="center" vertical="center"/>
    </xf>
    <xf numFmtId="0" fontId="10" fillId="0" borderId="9" xfId="0" applyNumberFormat="1" applyFont="1" applyFill="1" applyBorder="1" applyAlignment="1">
      <alignment horizontal="center" vertical="center"/>
    </xf>
    <xf numFmtId="0" fontId="0" fillId="0" borderId="4" xfId="0" applyNumberFormat="1" applyFill="1" applyBorder="1" applyAlignment="1">
      <alignment vertical="center"/>
    </xf>
    <xf numFmtId="0" fontId="0" fillId="0" borderId="4"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164" fontId="0" fillId="0" borderId="4" xfId="0" applyNumberFormat="1" applyFill="1" applyBorder="1" applyAlignment="1">
      <alignment horizontal="center" vertical="center"/>
    </xf>
    <xf numFmtId="164" fontId="0" fillId="0" borderId="4" xfId="0" applyNumberFormat="1" applyFill="1" applyBorder="1" applyAlignment="1">
      <alignment horizontal="center" vertical="center" wrapText="1"/>
    </xf>
    <xf numFmtId="0" fontId="0" fillId="0" borderId="4" xfId="0" applyFill="1" applyBorder="1" applyAlignment="1">
      <alignment horizontal="center" vertical="top" wrapText="1"/>
    </xf>
    <xf numFmtId="49" fontId="12" fillId="0" borderId="4" xfId="0" applyNumberFormat="1" applyFont="1" applyFill="1" applyBorder="1" applyAlignment="1">
      <alignment vertical="top" wrapText="1"/>
    </xf>
    <xf numFmtId="164" fontId="10" fillId="0" borderId="4"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2" fontId="16" fillId="0" borderId="4" xfId="0" applyNumberFormat="1" applyFont="1" applyFill="1" applyBorder="1" applyAlignment="1">
      <alignment horizontal="center" vertical="center" wrapText="1"/>
    </xf>
    <xf numFmtId="164" fontId="16" fillId="0" borderId="4" xfId="0" applyNumberFormat="1" applyFont="1" applyFill="1" applyBorder="1" applyAlignment="1">
      <alignment horizontal="center" vertical="center" wrapText="1"/>
    </xf>
    <xf numFmtId="0" fontId="0" fillId="0" borderId="4" xfId="0" applyFill="1" applyBorder="1" applyAlignment="1">
      <alignment horizontal="left" vertical="center" wrapText="1"/>
    </xf>
    <xf numFmtId="0" fontId="12" fillId="0" borderId="4" xfId="0" applyNumberFormat="1" applyFont="1" applyFill="1" applyBorder="1" applyAlignment="1">
      <alignment horizontal="left" vertical="center" wrapText="1"/>
    </xf>
    <xf numFmtId="0" fontId="10" fillId="0" borderId="4" xfId="0" applyNumberFormat="1" applyFont="1" applyFill="1" applyBorder="1" applyAlignment="1">
      <alignment horizontal="left"/>
    </xf>
    <xf numFmtId="164" fontId="10" fillId="0" borderId="4" xfId="0" applyNumberFormat="1" applyFont="1" applyFill="1" applyBorder="1" applyAlignment="1">
      <alignment horizontal="center"/>
    </xf>
    <xf numFmtId="164" fontId="0" fillId="0" borderId="4" xfId="0" applyNumberFormat="1" applyFill="1" applyBorder="1" applyAlignment="1">
      <alignment horizontal="center"/>
    </xf>
    <xf numFmtId="0" fontId="0" fillId="0" borderId="4" xfId="0" applyNumberFormat="1" applyFill="1" applyBorder="1" applyAlignment="1">
      <alignment horizontal="left" vertical="top" wrapText="1"/>
    </xf>
    <xf numFmtId="0" fontId="0" fillId="0" borderId="4" xfId="0" applyNumberFormat="1" applyFill="1" applyBorder="1" applyAlignment="1">
      <alignment horizontal="left" vertical="center" wrapText="1"/>
    </xf>
    <xf numFmtId="0" fontId="16" fillId="0" borderId="4" xfId="0" applyNumberFormat="1" applyFont="1" applyFill="1" applyBorder="1" applyAlignment="1">
      <alignment horizontal="left"/>
    </xf>
    <xf numFmtId="0" fontId="16" fillId="0" borderId="4" xfId="0" applyFont="1" applyFill="1" applyBorder="1"/>
    <xf numFmtId="164" fontId="16" fillId="0" borderId="4" xfId="0" applyNumberFormat="1" applyFont="1" applyFill="1" applyBorder="1" applyAlignment="1">
      <alignment horizontal="center"/>
    </xf>
    <xf numFmtId="0" fontId="14" fillId="0" borderId="0" xfId="0" applyFont="1" applyFill="1" applyBorder="1"/>
    <xf numFmtId="0" fontId="21" fillId="0" borderId="0" xfId="1" applyFont="1" applyFill="1" applyBorder="1" applyAlignment="1">
      <alignment horizontal="center" vertical="center"/>
    </xf>
    <xf numFmtId="0" fontId="23" fillId="0" borderId="4" xfId="1" applyFont="1" applyFill="1" applyBorder="1" applyAlignment="1">
      <alignment horizontal="center"/>
    </xf>
    <xf numFmtId="0" fontId="23" fillId="0" borderId="10" xfId="1" applyFont="1" applyFill="1" applyBorder="1" applyAlignment="1">
      <alignment horizontal="center"/>
    </xf>
    <xf numFmtId="0" fontId="15" fillId="0" borderId="4" xfId="1" applyFont="1" applyFill="1" applyBorder="1" applyAlignment="1">
      <alignment horizontal="left" vertical="center" wrapText="1"/>
    </xf>
    <xf numFmtId="0" fontId="15" fillId="0" borderId="4" xfId="1" applyNumberFormat="1" applyFont="1" applyFill="1" applyBorder="1" applyAlignment="1">
      <alignment horizontal="center" vertical="center"/>
    </xf>
    <xf numFmtId="2" fontId="15" fillId="0" borderId="10" xfId="1" applyNumberFormat="1" applyFont="1" applyFill="1" applyBorder="1" applyAlignment="1">
      <alignment horizontal="center" vertical="center"/>
    </xf>
    <xf numFmtId="0" fontId="12" fillId="0" borderId="4" xfId="1" applyFill="1" applyBorder="1"/>
    <xf numFmtId="49" fontId="15" fillId="0" borderId="4" xfId="1" applyNumberFormat="1" applyFont="1" applyFill="1" applyBorder="1" applyAlignment="1">
      <alignment vertical="center" wrapText="1"/>
    </xf>
    <xf numFmtId="49" fontId="15" fillId="0" borderId="4" xfId="1"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xf>
    <xf numFmtId="0" fontId="15" fillId="0" borderId="10" xfId="1" applyNumberFormat="1" applyFont="1" applyFill="1" applyBorder="1" applyAlignment="1">
      <alignment vertical="center"/>
    </xf>
    <xf numFmtId="0" fontId="15" fillId="0" borderId="12" xfId="1" applyNumberFormat="1" applyFont="1" applyFill="1" applyBorder="1" applyAlignment="1">
      <alignment vertical="center"/>
    </xf>
    <xf numFmtId="49" fontId="15" fillId="0" borderId="4" xfId="1" applyNumberFormat="1" applyFont="1" applyFill="1" applyBorder="1" applyAlignment="1">
      <alignment horizontal="left" vertical="center" wrapText="1"/>
    </xf>
    <xf numFmtId="0" fontId="15" fillId="0" borderId="4" xfId="1" applyNumberFormat="1" applyFont="1" applyFill="1" applyBorder="1" applyAlignment="1">
      <alignment horizontal="center" vertical="center" wrapText="1"/>
    </xf>
    <xf numFmtId="49" fontId="15" fillId="0" borderId="4" xfId="1" applyNumberFormat="1" applyFont="1" applyFill="1" applyBorder="1" applyAlignment="1">
      <alignment vertical="top" wrapText="1"/>
    </xf>
    <xf numFmtId="0" fontId="15" fillId="0" borderId="4" xfId="1" applyNumberFormat="1" applyFont="1" applyFill="1" applyBorder="1" applyAlignment="1">
      <alignment horizontal="center" vertical="top" wrapText="1"/>
    </xf>
    <xf numFmtId="49" fontId="15" fillId="0" borderId="4" xfId="1" applyNumberFormat="1" applyFont="1" applyFill="1" applyBorder="1" applyAlignment="1">
      <alignment horizontal="center" vertical="top" wrapText="1"/>
    </xf>
    <xf numFmtId="0" fontId="15" fillId="0" borderId="4" xfId="1" applyFont="1" applyFill="1" applyBorder="1" applyAlignment="1">
      <alignment horizontal="center" vertical="top"/>
    </xf>
    <xf numFmtId="2" fontId="15" fillId="0" borderId="4" xfId="1" applyNumberFormat="1" applyFont="1" applyFill="1" applyBorder="1" applyAlignment="1">
      <alignment horizontal="center" vertical="top"/>
    </xf>
    <xf numFmtId="2" fontId="15" fillId="0" borderId="10" xfId="1" applyNumberFormat="1" applyFont="1" applyFill="1" applyBorder="1" applyAlignment="1">
      <alignment horizontal="center" vertical="top"/>
    </xf>
    <xf numFmtId="1" fontId="15" fillId="0" borderId="4" xfId="1" applyNumberFormat="1" applyFont="1" applyFill="1" applyBorder="1" applyAlignment="1">
      <alignment horizontal="center" vertical="top"/>
    </xf>
    <xf numFmtId="0" fontId="15" fillId="0" borderId="4" xfId="1" applyFont="1" applyFill="1" applyBorder="1" applyAlignment="1">
      <alignment vertical="center"/>
    </xf>
    <xf numFmtId="0" fontId="15" fillId="0" borderId="4" xfId="1" applyFont="1" applyFill="1" applyBorder="1" applyAlignment="1">
      <alignment horizontal="left" vertical="center"/>
    </xf>
    <xf numFmtId="49" fontId="15" fillId="0" borderId="10" xfId="1" applyNumberFormat="1" applyFont="1" applyFill="1" applyBorder="1" applyAlignment="1">
      <alignment vertical="center"/>
    </xf>
    <xf numFmtId="49" fontId="15" fillId="0" borderId="12" xfId="1" applyNumberFormat="1" applyFont="1" applyFill="1" applyBorder="1" applyAlignment="1">
      <alignment vertical="center"/>
    </xf>
    <xf numFmtId="165" fontId="15" fillId="0" borderId="4" xfId="1" applyNumberFormat="1" applyFont="1" applyFill="1" applyBorder="1" applyAlignment="1">
      <alignment horizontal="center" vertical="center"/>
    </xf>
    <xf numFmtId="0" fontId="15" fillId="0" borderId="4" xfId="1" applyFont="1" applyFill="1" applyBorder="1" applyAlignment="1">
      <alignment horizontal="center"/>
    </xf>
    <xf numFmtId="0" fontId="23" fillId="0" borderId="4" xfId="1" applyNumberFormat="1" applyFont="1" applyFill="1" applyBorder="1" applyAlignment="1">
      <alignment vertical="center" wrapText="1"/>
    </xf>
    <xf numFmtId="0" fontId="23" fillId="0" borderId="4" xfId="1" applyNumberFormat="1" applyFont="1" applyFill="1" applyBorder="1" applyAlignment="1">
      <alignment horizontal="center" vertical="center"/>
    </xf>
    <xf numFmtId="2" fontId="23" fillId="0" borderId="10" xfId="1" applyNumberFormat="1" applyFont="1" applyFill="1" applyBorder="1" applyAlignment="1">
      <alignment horizontal="center" vertical="center"/>
    </xf>
    <xf numFmtId="2" fontId="23" fillId="0" borderId="4" xfId="1" applyNumberFormat="1" applyFont="1" applyFill="1" applyBorder="1" applyAlignment="1">
      <alignment horizontal="center" vertical="center"/>
    </xf>
    <xf numFmtId="0" fontId="23" fillId="0" borderId="3" xfId="1" applyFont="1" applyFill="1" applyBorder="1" applyAlignment="1">
      <alignment horizontal="center" vertical="center"/>
    </xf>
    <xf numFmtId="0" fontId="15" fillId="0" borderId="3" xfId="1" applyFont="1" applyFill="1" applyBorder="1" applyAlignment="1">
      <alignment horizontal="center" vertical="center"/>
    </xf>
    <xf numFmtId="0" fontId="15" fillId="0" borderId="4" xfId="1" applyNumberFormat="1" applyFont="1" applyFill="1" applyBorder="1" applyAlignment="1">
      <alignment vertical="center"/>
    </xf>
    <xf numFmtId="0" fontId="15" fillId="0" borderId="3" xfId="1" applyFont="1" applyFill="1" applyBorder="1" applyAlignment="1">
      <alignment horizontal="left" vertical="center" wrapText="1"/>
    </xf>
    <xf numFmtId="49" fontId="23" fillId="0" borderId="4" xfId="1" applyNumberFormat="1" applyFont="1" applyFill="1" applyBorder="1" applyAlignment="1">
      <alignment vertical="center" wrapText="1"/>
    </xf>
    <xf numFmtId="2" fontId="23" fillId="0" borderId="10" xfId="1" applyNumberFormat="1" applyFont="1" applyFill="1" applyBorder="1" applyAlignment="1">
      <alignment horizontal="center" vertical="center" wrapText="1"/>
    </xf>
    <xf numFmtId="2" fontId="15" fillId="0" borderId="10" xfId="1" applyNumberFormat="1" applyFont="1" applyFill="1" applyBorder="1" applyAlignment="1">
      <alignment horizontal="center" vertical="center" wrapText="1"/>
    </xf>
    <xf numFmtId="0" fontId="15" fillId="0" borderId="4" xfId="3" applyFont="1" applyFill="1" applyBorder="1" applyAlignment="1">
      <alignment horizontal="center" vertical="center"/>
    </xf>
    <xf numFmtId="0" fontId="15" fillId="0" borderId="4" xfId="3" applyNumberFormat="1" applyFont="1" applyFill="1" applyBorder="1" applyAlignment="1">
      <alignment horizontal="center" vertical="center"/>
    </xf>
    <xf numFmtId="165" fontId="15" fillId="0" borderId="4" xfId="3" applyNumberFormat="1" applyFont="1" applyFill="1" applyBorder="1" applyAlignment="1">
      <alignment horizontal="center" vertical="center"/>
    </xf>
    <xf numFmtId="2" fontId="15" fillId="0" borderId="4" xfId="3" applyNumberFormat="1" applyFont="1" applyFill="1" applyBorder="1" applyAlignment="1">
      <alignment horizontal="center" vertical="center"/>
    </xf>
    <xf numFmtId="0" fontId="15" fillId="0" borderId="10" xfId="3" applyNumberFormat="1" applyFont="1" applyFill="1" applyBorder="1" applyAlignment="1">
      <alignment vertical="center"/>
    </xf>
    <xf numFmtId="0" fontId="15" fillId="0" borderId="12" xfId="3" applyNumberFormat="1" applyFont="1" applyFill="1" applyBorder="1" applyAlignment="1">
      <alignment vertical="center"/>
    </xf>
    <xf numFmtId="0" fontId="15" fillId="0" borderId="9" xfId="3" applyNumberFormat="1" applyFont="1" applyFill="1" applyBorder="1" applyAlignment="1">
      <alignment vertical="center"/>
    </xf>
    <xf numFmtId="49" fontId="15" fillId="0" borderId="4" xfId="3" applyNumberFormat="1" applyFont="1" applyFill="1" applyBorder="1" applyAlignment="1">
      <alignment vertical="center" wrapText="1"/>
    </xf>
    <xf numFmtId="0" fontId="15" fillId="0" borderId="4" xfId="3" applyNumberFormat="1" applyFont="1" applyFill="1" applyBorder="1" applyAlignment="1">
      <alignment horizontal="center" vertical="center" wrapText="1"/>
    </xf>
    <xf numFmtId="0" fontId="15" fillId="0" borderId="4" xfId="3" applyFont="1" applyFill="1" applyBorder="1" applyAlignment="1">
      <alignment vertical="center"/>
    </xf>
    <xf numFmtId="49" fontId="15" fillId="0" borderId="4" xfId="3" applyNumberFormat="1" applyFont="1" applyFill="1" applyBorder="1" applyAlignment="1">
      <alignment horizontal="left" vertical="center" wrapText="1"/>
    </xf>
    <xf numFmtId="49" fontId="15" fillId="0" borderId="4" xfId="3" applyNumberFormat="1" applyFont="1" applyFill="1" applyBorder="1" applyAlignment="1">
      <alignment horizontal="center" vertical="center" wrapText="1"/>
    </xf>
    <xf numFmtId="0" fontId="23" fillId="0" borderId="4" xfId="3" applyFont="1" applyFill="1" applyBorder="1" applyAlignment="1">
      <alignment horizontal="center" vertical="top"/>
    </xf>
    <xf numFmtId="0" fontId="23" fillId="0" borderId="4" xfId="3" applyNumberFormat="1" applyFont="1" applyFill="1" applyBorder="1"/>
    <xf numFmtId="2" fontId="23" fillId="0" borderId="4" xfId="3" applyNumberFormat="1" applyFont="1" applyFill="1" applyBorder="1" applyAlignment="1">
      <alignment horizontal="center" vertical="center"/>
    </xf>
    <xf numFmtId="0" fontId="23" fillId="0" borderId="3" xfId="3" applyFont="1" applyFill="1" applyBorder="1" applyAlignment="1">
      <alignment horizontal="center" vertical="top"/>
    </xf>
    <xf numFmtId="0" fontId="23" fillId="0" borderId="4" xfId="1" applyNumberFormat="1" applyFont="1" applyFill="1" applyBorder="1" applyAlignment="1">
      <alignment vertical="top" wrapText="1"/>
    </xf>
    <xf numFmtId="0" fontId="15" fillId="0" borderId="3" xfId="3" applyFont="1" applyFill="1" applyBorder="1" applyAlignment="1">
      <alignment horizontal="center" vertical="center"/>
    </xf>
    <xf numFmtId="0" fontId="15" fillId="0" borderId="4" xfId="3" applyNumberFormat="1" applyFont="1" applyFill="1" applyBorder="1" applyAlignment="1">
      <alignment vertical="center"/>
    </xf>
    <xf numFmtId="0" fontId="15" fillId="0" borderId="4" xfId="3" applyNumberFormat="1" applyFont="1" applyFill="1" applyBorder="1"/>
    <xf numFmtId="0" fontId="15" fillId="0" borderId="4" xfId="3" applyFont="1" applyFill="1" applyBorder="1"/>
    <xf numFmtId="0" fontId="15" fillId="0" borderId="4" xfId="3" applyFont="1" applyFill="1" applyBorder="1" applyAlignment="1">
      <alignment horizontal="left"/>
    </xf>
    <xf numFmtId="0" fontId="15" fillId="0" borderId="4" xfId="3" applyNumberFormat="1" applyFont="1" applyFill="1" applyBorder="1" applyAlignment="1">
      <alignment vertical="top" wrapText="1"/>
    </xf>
    <xf numFmtId="0" fontId="15" fillId="0" borderId="4" xfId="3" applyFont="1" applyFill="1" applyBorder="1" applyAlignment="1">
      <alignment horizontal="center" vertical="top" wrapText="1"/>
    </xf>
    <xf numFmtId="0" fontId="15" fillId="0" borderId="4" xfId="3" applyFont="1" applyFill="1" applyBorder="1" applyAlignment="1">
      <alignment horizontal="left" vertical="top" wrapText="1"/>
    </xf>
    <xf numFmtId="2" fontId="15" fillId="0" borderId="4" xfId="3" applyNumberFormat="1" applyFont="1" applyFill="1" applyBorder="1" applyAlignment="1">
      <alignment vertical="top" wrapText="1"/>
    </xf>
    <xf numFmtId="2" fontId="15" fillId="0" borderId="9" xfId="1" applyNumberFormat="1" applyFont="1" applyFill="1" applyBorder="1" applyAlignment="1">
      <alignment horizontal="center" vertical="center"/>
    </xf>
    <xf numFmtId="2" fontId="23" fillId="0" borderId="4" xfId="3" applyNumberFormat="1" applyFont="1" applyFill="1" applyBorder="1" applyAlignment="1">
      <alignment horizontal="center" vertical="center" wrapText="1"/>
    </xf>
    <xf numFmtId="2" fontId="15" fillId="0" borderId="4" xfId="3" applyNumberFormat="1" applyFont="1" applyFill="1" applyBorder="1" applyAlignment="1">
      <alignment horizontal="center" vertical="center" wrapText="1"/>
    </xf>
    <xf numFmtId="0" fontId="27" fillId="0" borderId="4" xfId="3" applyFont="1" applyFill="1" applyBorder="1" applyAlignment="1">
      <alignment horizontal="center" vertical="center" wrapText="1"/>
    </xf>
    <xf numFmtId="0" fontId="27" fillId="0" borderId="4" xfId="3" applyNumberFormat="1" applyFont="1" applyFill="1" applyBorder="1" applyAlignment="1">
      <alignment vertical="center" wrapText="1"/>
    </xf>
    <xf numFmtId="0" fontId="27" fillId="0" borderId="4" xfId="3" applyFont="1" applyFill="1" applyBorder="1" applyAlignment="1">
      <alignment horizontal="left" vertical="center" wrapText="1"/>
    </xf>
    <xf numFmtId="2" fontId="27" fillId="0" borderId="4" xfId="3" applyNumberFormat="1" applyFont="1" applyFill="1" applyBorder="1" applyAlignment="1">
      <alignment vertical="center" wrapText="1"/>
    </xf>
    <xf numFmtId="2" fontId="27" fillId="0" borderId="4" xfId="3" applyNumberFormat="1" applyFont="1" applyFill="1" applyBorder="1" applyAlignment="1">
      <alignment horizontal="center" vertical="center" wrapText="1"/>
    </xf>
    <xf numFmtId="0" fontId="9" fillId="0" borderId="0" xfId="1" applyFont="1" applyFill="1" applyAlignment="1">
      <alignment horizontal="center" vertical="center"/>
    </xf>
    <xf numFmtId="0" fontId="15" fillId="0" borderId="4" xfId="4" applyFont="1" applyFill="1" applyBorder="1" applyAlignment="1">
      <alignment vertical="center" wrapText="1"/>
    </xf>
    <xf numFmtId="0" fontId="15" fillId="0" borderId="4" xfId="4" applyFont="1" applyFill="1" applyBorder="1" applyAlignment="1">
      <alignment horizontal="center" vertical="center" wrapText="1"/>
    </xf>
    <xf numFmtId="2" fontId="35" fillId="0" borderId="4" xfId="0" applyNumberFormat="1" applyFont="1" applyFill="1" applyBorder="1" applyAlignment="1">
      <alignment horizontal="center" vertical="center"/>
    </xf>
    <xf numFmtId="0" fontId="35" fillId="0" borderId="4" xfId="0" applyFont="1" applyFill="1" applyBorder="1" applyAlignment="1">
      <alignment vertical="center" wrapText="1"/>
    </xf>
    <xf numFmtId="0" fontId="35" fillId="0" borderId="4" xfId="0" applyFont="1" applyFill="1" applyBorder="1" applyAlignment="1">
      <alignment horizontal="left" vertical="center" wrapText="1"/>
    </xf>
    <xf numFmtId="0" fontId="35" fillId="0" borderId="4" xfId="0" applyFont="1" applyFill="1" applyBorder="1" applyAlignment="1">
      <alignment vertical="center"/>
    </xf>
    <xf numFmtId="0" fontId="35" fillId="0" borderId="10" xfId="0" applyFont="1" applyFill="1" applyBorder="1" applyAlignment="1">
      <alignment horizontal="center" vertical="center" wrapText="1"/>
    </xf>
    <xf numFmtId="0" fontId="35" fillId="0" borderId="7" xfId="0" applyFont="1" applyFill="1" applyBorder="1" applyAlignment="1">
      <alignment horizontal="center" vertical="center" wrapText="1"/>
    </xf>
    <xf numFmtId="49" fontId="15" fillId="0" borderId="4" xfId="0" applyNumberFormat="1" applyFont="1" applyFill="1" applyBorder="1" applyAlignment="1">
      <alignment horizontal="left" wrapText="1"/>
    </xf>
    <xf numFmtId="0" fontId="35" fillId="0" borderId="6" xfId="0" applyFont="1" applyFill="1" applyBorder="1" applyAlignment="1">
      <alignment horizontal="center" vertical="center" wrapText="1"/>
    </xf>
    <xf numFmtId="49" fontId="15" fillId="0" borderId="4" xfId="0" applyNumberFormat="1" applyFont="1" applyFill="1" applyBorder="1" applyAlignment="1">
      <alignment horizontal="left" vertical="center" wrapText="1"/>
    </xf>
    <xf numFmtId="0" fontId="34" fillId="0" borderId="4" xfId="0" applyFont="1" applyFill="1" applyBorder="1" applyAlignment="1">
      <alignment vertical="center" wrapText="1"/>
    </xf>
    <xf numFmtId="0" fontId="34" fillId="0" borderId="12" xfId="0" applyFont="1" applyFill="1" applyBorder="1" applyAlignment="1">
      <alignment vertical="center" wrapText="1"/>
    </xf>
    <xf numFmtId="2" fontId="34" fillId="0" borderId="4" xfId="0" applyNumberFormat="1" applyFont="1" applyFill="1" applyBorder="1" applyAlignment="1">
      <alignment horizontal="center" vertical="center"/>
    </xf>
    <xf numFmtId="0" fontId="35" fillId="0" borderId="4" xfId="0" applyFont="1" applyFill="1" applyBorder="1" applyAlignment="1"/>
    <xf numFmtId="0" fontId="35" fillId="0" borderId="12" xfId="0" applyFont="1" applyFill="1" applyBorder="1" applyAlignment="1">
      <alignment vertical="center"/>
    </xf>
    <xf numFmtId="164" fontId="35" fillId="0" borderId="4" xfId="0" applyNumberFormat="1" applyFont="1" applyFill="1" applyBorder="1" applyAlignment="1">
      <alignment horizontal="center" vertical="center"/>
    </xf>
    <xf numFmtId="0" fontId="35" fillId="0" borderId="12" xfId="0" applyFont="1" applyFill="1" applyBorder="1" applyAlignment="1"/>
    <xf numFmtId="2" fontId="35" fillId="0" borderId="4" xfId="0" applyNumberFormat="1" applyFont="1" applyFill="1" applyBorder="1" applyAlignment="1">
      <alignment horizontal="center"/>
    </xf>
    <xf numFmtId="1" fontId="35" fillId="0" borderId="4" xfId="0" applyNumberFormat="1" applyFont="1" applyFill="1" applyBorder="1" applyAlignment="1">
      <alignment horizontal="center" vertical="center"/>
    </xf>
    <xf numFmtId="49" fontId="15" fillId="0" borderId="12" xfId="0" applyNumberFormat="1" applyFont="1" applyFill="1" applyBorder="1" applyAlignment="1">
      <alignment horizontal="left" vertical="center" wrapText="1"/>
    </xf>
    <xf numFmtId="0" fontId="15" fillId="0" borderId="3" xfId="0" applyFont="1" applyFill="1" applyBorder="1" applyAlignment="1">
      <alignment horizontal="left" vertical="center" wrapText="1"/>
    </xf>
    <xf numFmtId="49" fontId="15" fillId="0" borderId="12" xfId="0" applyNumberFormat="1" applyFont="1" applyFill="1" applyBorder="1" applyAlignment="1">
      <alignment vertical="center" wrapText="1"/>
    </xf>
    <xf numFmtId="0" fontId="23" fillId="0" borderId="12" xfId="0" applyFont="1" applyFill="1" applyBorder="1" applyAlignment="1">
      <alignment vertical="center" wrapText="1"/>
    </xf>
    <xf numFmtId="0" fontId="32" fillId="0" borderId="0" xfId="0" applyFont="1" applyFill="1" applyBorder="1" applyAlignment="1">
      <alignment horizontal="center" vertical="center"/>
    </xf>
    <xf numFmtId="0" fontId="39" fillId="0" borderId="4" xfId="0" applyFont="1" applyFill="1" applyBorder="1" applyAlignment="1">
      <alignment horizontal="center" vertical="center"/>
    </xf>
    <xf numFmtId="164" fontId="15" fillId="0" borderId="4" xfId="0" applyNumberFormat="1" applyFont="1" applyFill="1" applyBorder="1" applyAlignment="1">
      <alignment horizontal="center" vertical="center"/>
    </xf>
    <xf numFmtId="0" fontId="17" fillId="0" borderId="4" xfId="5" applyFont="1" applyFill="1" applyBorder="1" applyAlignment="1">
      <alignment vertical="center" wrapText="1"/>
    </xf>
    <xf numFmtId="0" fontId="23" fillId="0" borderId="4" xfId="5" applyFont="1" applyFill="1" applyBorder="1" applyAlignment="1">
      <alignment vertical="center" wrapText="1"/>
    </xf>
    <xf numFmtId="0" fontId="40" fillId="0" borderId="4" xfId="0" applyFont="1" applyFill="1" applyBorder="1"/>
    <xf numFmtId="0" fontId="41" fillId="0" borderId="4" xfId="0" applyFont="1" applyFill="1" applyBorder="1"/>
    <xf numFmtId="0" fontId="15" fillId="0" borderId="4" xfId="5" applyFont="1" applyFill="1" applyBorder="1" applyAlignment="1">
      <alignment horizontal="left" vertical="center" wrapText="1"/>
    </xf>
    <xf numFmtId="1" fontId="35" fillId="0" borderId="4" xfId="0" applyNumberFormat="1" applyFont="1" applyFill="1" applyBorder="1" applyAlignment="1">
      <alignment horizontal="center" vertical="center" wrapText="1"/>
    </xf>
    <xf numFmtId="0" fontId="15" fillId="0" borderId="4" xfId="0" applyNumberFormat="1" applyFont="1" applyFill="1" applyBorder="1" applyAlignment="1">
      <alignment horizontal="left"/>
    </xf>
    <xf numFmtId="0" fontId="23" fillId="0" borderId="10" xfId="0" applyNumberFormat="1" applyFont="1" applyFill="1" applyBorder="1" applyAlignment="1">
      <alignment vertical="center" wrapText="1"/>
    </xf>
    <xf numFmtId="0" fontId="34" fillId="0" borderId="9" xfId="0" applyFont="1" applyFill="1" applyBorder="1" applyAlignment="1">
      <alignment vertical="center" wrapText="1"/>
    </xf>
    <xf numFmtId="0" fontId="35" fillId="0" borderId="9" xfId="0" applyFont="1" applyFill="1" applyBorder="1" applyAlignment="1">
      <alignment horizontal="center" vertical="center"/>
    </xf>
    <xf numFmtId="0" fontId="15" fillId="0" borderId="9" xfId="0" applyFont="1" applyFill="1" applyBorder="1" applyAlignment="1">
      <alignment vertical="center"/>
    </xf>
    <xf numFmtId="0" fontId="15" fillId="0" borderId="12" xfId="0" applyFont="1" applyFill="1" applyBorder="1" applyAlignment="1">
      <alignment vertical="center"/>
    </xf>
    <xf numFmtId="0" fontId="15" fillId="0" borderId="12" xfId="0" applyFont="1" applyFill="1" applyBorder="1" applyAlignment="1">
      <alignment horizontal="center" vertical="center"/>
    </xf>
    <xf numFmtId="2" fontId="15" fillId="0" borderId="10" xfId="0" applyNumberFormat="1" applyFont="1" applyFill="1" applyBorder="1" applyAlignment="1">
      <alignment horizontal="center" vertical="center"/>
    </xf>
    <xf numFmtId="2" fontId="15" fillId="0" borderId="10" xfId="0" applyNumberFormat="1" applyFont="1" applyFill="1" applyBorder="1" applyAlignment="1">
      <alignment horizontal="center" vertical="center" wrapText="1"/>
    </xf>
    <xf numFmtId="49" fontId="15" fillId="0" borderId="4" xfId="0" applyNumberFormat="1" applyFont="1" applyFill="1" applyBorder="1" applyAlignment="1">
      <alignment horizontal="center" vertical="top" wrapText="1"/>
    </xf>
    <xf numFmtId="2" fontId="15" fillId="0" borderId="10" xfId="0" applyNumberFormat="1" applyFont="1" applyFill="1" applyBorder="1" applyAlignment="1">
      <alignment horizontal="center" vertical="top"/>
    </xf>
    <xf numFmtId="1" fontId="15" fillId="0" borderId="4" xfId="0" applyNumberFormat="1" applyFont="1" applyFill="1" applyBorder="1" applyAlignment="1">
      <alignment horizontal="center" vertical="top"/>
    </xf>
    <xf numFmtId="49" fontId="15" fillId="0" borderId="10" xfId="0" applyNumberFormat="1" applyFont="1" applyFill="1" applyBorder="1" applyAlignment="1">
      <alignment vertical="center"/>
    </xf>
    <xf numFmtId="49" fontId="15" fillId="0" borderId="12" xfId="0" applyNumberFormat="1" applyFont="1" applyFill="1" applyBorder="1" applyAlignment="1">
      <alignment vertical="center"/>
    </xf>
    <xf numFmtId="0" fontId="15" fillId="0" borderId="2" xfId="0" applyFont="1" applyFill="1" applyBorder="1" applyAlignment="1">
      <alignment horizontal="center" vertical="center"/>
    </xf>
    <xf numFmtId="0" fontId="23" fillId="0" borderId="4" xfId="0" applyFont="1" applyFill="1" applyBorder="1" applyAlignment="1">
      <alignment horizontal="left" vertical="center"/>
    </xf>
    <xf numFmtId="1" fontId="23" fillId="0" borderId="4" xfId="0" applyNumberFormat="1" applyFont="1" applyFill="1" applyBorder="1" applyAlignment="1">
      <alignment horizontal="center" vertical="center"/>
    </xf>
    <xf numFmtId="49" fontId="15" fillId="0" borderId="3" xfId="0" applyNumberFormat="1" applyFont="1" applyFill="1" applyBorder="1" applyAlignment="1">
      <alignment horizontal="left" vertical="center" wrapText="1"/>
    </xf>
    <xf numFmtId="0" fontId="15" fillId="0" borderId="3" xfId="0" applyNumberFormat="1" applyFont="1" applyFill="1" applyBorder="1" applyAlignment="1">
      <alignment horizontal="center" vertical="center"/>
    </xf>
    <xf numFmtId="2" fontId="15" fillId="0" borderId="13" xfId="0" applyNumberFormat="1" applyFont="1" applyFill="1" applyBorder="1" applyAlignment="1">
      <alignment horizontal="center" vertical="center"/>
    </xf>
    <xf numFmtId="165" fontId="15" fillId="0" borderId="10" xfId="0" applyNumberFormat="1" applyFont="1" applyFill="1" applyBorder="1" applyAlignment="1">
      <alignment horizontal="center" vertical="center"/>
    </xf>
    <xf numFmtId="0" fontId="23" fillId="0" borderId="10" xfId="0" applyFont="1" applyFill="1" applyBorder="1" applyAlignment="1">
      <alignment horizontal="center" vertical="center"/>
    </xf>
    <xf numFmtId="2" fontId="23" fillId="0" borderId="10" xfId="0" applyNumberFormat="1" applyFont="1" applyFill="1" applyBorder="1" applyAlignment="1">
      <alignment horizontal="center" vertical="center"/>
    </xf>
    <xf numFmtId="0" fontId="15" fillId="0" borderId="4" xfId="0" applyNumberFormat="1" applyFont="1" applyFill="1" applyBorder="1" applyAlignment="1">
      <alignment vertical="center"/>
    </xf>
    <xf numFmtId="2" fontId="23" fillId="0" borderId="10" xfId="0" applyNumberFormat="1" applyFont="1" applyFill="1" applyBorder="1" applyAlignment="1">
      <alignment horizontal="center" vertical="center" wrapText="1"/>
    </xf>
    <xf numFmtId="0" fontId="0" fillId="0" borderId="7" xfId="0" applyFill="1" applyBorder="1" applyAlignment="1">
      <alignment vertical="center"/>
    </xf>
    <xf numFmtId="0" fontId="0" fillId="0" borderId="6" xfId="0" applyNumberFormat="1" applyFill="1" applyBorder="1" applyAlignment="1">
      <alignment horizontal="center" vertical="center"/>
    </xf>
    <xf numFmtId="0" fontId="0" fillId="0" borderId="6" xfId="0" applyFill="1" applyBorder="1" applyAlignment="1">
      <alignment horizontal="center" vertical="center"/>
    </xf>
    <xf numFmtId="2" fontId="10" fillId="0" borderId="12" xfId="0" applyNumberFormat="1" applyFont="1" applyFill="1" applyBorder="1" applyAlignment="1">
      <alignment horizontal="center" vertical="center"/>
    </xf>
    <xf numFmtId="0" fontId="12" fillId="0" borderId="4" xfId="0" applyNumberFormat="1" applyFont="1" applyFill="1" applyBorder="1" applyAlignment="1">
      <alignment vertical="center"/>
    </xf>
    <xf numFmtId="0" fontId="12" fillId="0" borderId="12" xfId="0" applyNumberFormat="1" applyFont="1" applyFill="1" applyBorder="1" applyAlignment="1">
      <alignment horizontal="center" vertical="center"/>
    </xf>
    <xf numFmtId="0" fontId="0" fillId="0" borderId="8" xfId="0" applyFill="1" applyBorder="1" applyAlignment="1">
      <alignment horizontal="center" vertical="center"/>
    </xf>
    <xf numFmtId="2" fontId="12" fillId="0" borderId="9" xfId="0" applyNumberFormat="1" applyFont="1" applyFill="1" applyBorder="1" applyAlignment="1">
      <alignment horizontal="center" vertical="center"/>
    </xf>
    <xf numFmtId="0" fontId="12" fillId="0" borderId="8" xfId="0" applyFont="1" applyFill="1" applyBorder="1" applyAlignment="1">
      <alignment horizontal="center" vertical="center" wrapText="1"/>
    </xf>
    <xf numFmtId="1" fontId="12" fillId="0" borderId="4" xfId="0" applyNumberFormat="1" applyFont="1" applyFill="1" applyBorder="1" applyAlignment="1">
      <alignment horizontal="center" vertical="center"/>
    </xf>
    <xf numFmtId="165" fontId="10" fillId="0" borderId="4" xfId="0" applyNumberFormat="1" applyFont="1" applyFill="1" applyBorder="1" applyAlignment="1">
      <alignment horizontal="center" vertical="center"/>
    </xf>
    <xf numFmtId="0" fontId="10" fillId="0" borderId="6" xfId="0" applyFont="1" applyFill="1" applyBorder="1" applyAlignment="1">
      <alignment vertical="center"/>
    </xf>
    <xf numFmtId="0" fontId="12" fillId="0" borderId="8" xfId="0" applyNumberFormat="1" applyFont="1" applyFill="1" applyBorder="1" applyAlignment="1">
      <alignment horizontal="center" vertical="center"/>
    </xf>
    <xf numFmtId="49" fontId="15" fillId="0" borderId="9" xfId="0" applyNumberFormat="1" applyFont="1" applyFill="1" applyBorder="1" applyAlignment="1">
      <alignment vertical="center"/>
    </xf>
    <xf numFmtId="2" fontId="23" fillId="0" borderId="12" xfId="0" applyNumberFormat="1" applyFont="1" applyFill="1" applyBorder="1" applyAlignment="1">
      <alignment horizontal="center" vertical="center"/>
    </xf>
    <xf numFmtId="49" fontId="23" fillId="0" borderId="4" xfId="0" applyNumberFormat="1" applyFont="1" applyFill="1" applyBorder="1" applyAlignment="1">
      <alignment vertical="top" wrapText="1"/>
    </xf>
    <xf numFmtId="0" fontId="9" fillId="0" borderId="0" xfId="3" applyFont="1" applyFill="1" applyBorder="1" applyAlignment="1">
      <alignment horizontal="center" vertical="center"/>
    </xf>
    <xf numFmtId="0" fontId="15" fillId="0" borderId="4" xfId="3" applyFont="1" applyFill="1" applyBorder="1" applyAlignment="1">
      <alignment horizontal="center" vertical="top"/>
    </xf>
    <xf numFmtId="0" fontId="15" fillId="0" borderId="4" xfId="3" applyFont="1" applyFill="1" applyBorder="1" applyAlignment="1">
      <alignment wrapText="1"/>
    </xf>
    <xf numFmtId="0" fontId="15" fillId="0" borderId="4" xfId="3" applyFont="1" applyFill="1" applyBorder="1" applyAlignment="1">
      <alignment vertical="top" wrapText="1"/>
    </xf>
    <xf numFmtId="0" fontId="23" fillId="0" borderId="4" xfId="3" applyNumberFormat="1" applyFont="1" applyFill="1" applyBorder="1" applyAlignment="1">
      <alignment horizontal="center" vertical="center"/>
    </xf>
    <xf numFmtId="2" fontId="71" fillId="0" borderId="9" xfId="0" applyNumberFormat="1" applyFont="1" applyFill="1" applyBorder="1" applyAlignment="1">
      <alignment horizontal="center" vertical="center"/>
    </xf>
    <xf numFmtId="0" fontId="23" fillId="0" borderId="4" xfId="3" applyFont="1" applyFill="1" applyBorder="1" applyAlignment="1">
      <alignment horizontal="center" vertical="top" wrapText="1"/>
    </xf>
    <xf numFmtId="0" fontId="23" fillId="0" borderId="4" xfId="3" applyNumberFormat="1" applyFont="1" applyFill="1" applyBorder="1" applyAlignment="1">
      <alignment horizontal="center" vertical="center" wrapText="1"/>
    </xf>
    <xf numFmtId="2" fontId="14" fillId="0" borderId="4" xfId="3" applyNumberFormat="1" applyFont="1" applyFill="1" applyBorder="1" applyAlignment="1">
      <alignment horizontal="center" vertical="center" wrapText="1"/>
    </xf>
    <xf numFmtId="0" fontId="9" fillId="0" borderId="0" xfId="3" applyFont="1" applyFill="1" applyBorder="1" applyAlignment="1">
      <alignment horizontal="center" vertical="center" wrapText="1"/>
    </xf>
    <xf numFmtId="0" fontId="35" fillId="0" borderId="4" xfId="4" applyFont="1" applyFill="1" applyBorder="1" applyAlignment="1">
      <alignment horizontal="center" vertical="center" wrapText="1"/>
    </xf>
    <xf numFmtId="0" fontId="35" fillId="0" borderId="4" xfId="4" applyFont="1" applyFill="1" applyBorder="1" applyAlignment="1">
      <alignment horizontal="left" vertical="center" wrapText="1"/>
    </xf>
    <xf numFmtId="2" fontId="15" fillId="0" borderId="4" xfId="1" applyNumberFormat="1" applyFont="1" applyFill="1" applyBorder="1" applyAlignment="1">
      <alignment horizontal="center"/>
    </xf>
    <xf numFmtId="2" fontId="35" fillId="0" borderId="4" xfId="4" applyNumberFormat="1" applyFont="1" applyFill="1" applyBorder="1" applyAlignment="1">
      <alignment horizontal="center" vertical="center" wrapText="1"/>
    </xf>
    <xf numFmtId="2" fontId="23" fillId="0" borderId="4" xfId="1" applyNumberFormat="1" applyFont="1" applyFill="1" applyBorder="1" applyAlignment="1">
      <alignment horizontal="center"/>
    </xf>
    <xf numFmtId="170" fontId="35" fillId="0" borderId="4" xfId="4" applyNumberFormat="1" applyFont="1" applyFill="1" applyBorder="1" applyAlignment="1">
      <alignment horizontal="center" vertical="center"/>
    </xf>
    <xf numFmtId="0" fontId="15" fillId="0" borderId="4" xfId="10" applyFont="1" applyFill="1" applyBorder="1" applyAlignment="1">
      <alignment horizontal="center" vertical="center"/>
    </xf>
    <xf numFmtId="2" fontId="15" fillId="0" borderId="4" xfId="10" applyNumberFormat="1" applyFont="1" applyFill="1" applyBorder="1" applyAlignment="1">
      <alignment horizontal="center" vertical="center"/>
    </xf>
    <xf numFmtId="1" fontId="15" fillId="0" borderId="4" xfId="10" applyNumberFormat="1" applyFont="1" applyFill="1" applyBorder="1" applyAlignment="1">
      <alignment horizontal="center" vertical="center" wrapText="1"/>
    </xf>
    <xf numFmtId="49" fontId="23" fillId="0" borderId="4" xfId="10" applyNumberFormat="1" applyFont="1" applyFill="1" applyBorder="1" applyAlignment="1">
      <alignment vertical="center" wrapText="1"/>
    </xf>
    <xf numFmtId="0" fontId="15" fillId="0" borderId="3" xfId="10" applyFont="1" applyFill="1" applyBorder="1" applyAlignment="1">
      <alignment horizontal="center" vertical="center"/>
    </xf>
    <xf numFmtId="0" fontId="15" fillId="0" borderId="4" xfId="10" applyFont="1" applyFill="1" applyBorder="1" applyAlignment="1">
      <alignment horizontal="center" vertical="center" wrapText="1"/>
    </xf>
    <xf numFmtId="165" fontId="15" fillId="0" borderId="4" xfId="10" applyNumberFormat="1" applyFont="1" applyFill="1" applyBorder="1" applyAlignment="1">
      <alignment horizontal="center" vertical="center"/>
    </xf>
    <xf numFmtId="0" fontId="15" fillId="0" borderId="4" xfId="10" applyNumberFormat="1" applyFont="1" applyFill="1" applyBorder="1" applyAlignment="1">
      <alignment horizontal="center" vertical="center"/>
    </xf>
    <xf numFmtId="1" fontId="15" fillId="0" borderId="4" xfId="10" applyNumberFormat="1" applyFont="1" applyFill="1" applyBorder="1" applyAlignment="1">
      <alignment horizontal="center" vertical="center"/>
    </xf>
    <xf numFmtId="49" fontId="15" fillId="0" borderId="4" xfId="10" applyNumberFormat="1" applyFont="1" applyFill="1" applyBorder="1" applyAlignment="1">
      <alignment horizontal="left" vertical="center" wrapText="1"/>
    </xf>
    <xf numFmtId="0" fontId="15" fillId="0" borderId="4" xfId="10" applyNumberFormat="1" applyFont="1" applyFill="1" applyBorder="1" applyAlignment="1">
      <alignment horizontal="center" vertical="center" wrapText="1"/>
    </xf>
    <xf numFmtId="49" fontId="15" fillId="0" borderId="4" xfId="10" applyNumberFormat="1" applyFont="1" applyFill="1" applyBorder="1" applyAlignment="1">
      <alignment horizontal="center" vertical="center" wrapText="1"/>
    </xf>
    <xf numFmtId="0" fontId="15" fillId="0" borderId="4" xfId="10" applyNumberFormat="1" applyFont="1" applyFill="1" applyBorder="1" applyAlignment="1">
      <alignment vertical="center"/>
    </xf>
    <xf numFmtId="49" fontId="15" fillId="0" borderId="4" xfId="10" applyNumberFormat="1" applyFont="1" applyFill="1" applyBorder="1" applyAlignment="1">
      <alignment vertical="center" wrapText="1"/>
    </xf>
    <xf numFmtId="0" fontId="15" fillId="0" borderId="4" xfId="10" applyFont="1" applyFill="1" applyBorder="1" applyAlignment="1">
      <alignment horizontal="left" vertical="top" wrapText="1"/>
    </xf>
    <xf numFmtId="0" fontId="15" fillId="0" borderId="4" xfId="2" applyFont="1" applyFill="1" applyBorder="1" applyAlignment="1">
      <alignment horizontal="left" vertical="top" wrapText="1"/>
    </xf>
    <xf numFmtId="0" fontId="15" fillId="0" borderId="4" xfId="10" applyFont="1" applyFill="1" applyBorder="1" applyAlignment="1">
      <alignment horizontal="left" vertical="center" wrapText="1"/>
    </xf>
    <xf numFmtId="0" fontId="15" fillId="0" borderId="4" xfId="10" quotePrefix="1" applyFont="1" applyFill="1" applyBorder="1" applyAlignment="1">
      <alignment horizontal="center" vertical="center"/>
    </xf>
    <xf numFmtId="0" fontId="23" fillId="0" borderId="4" xfId="10" applyNumberFormat="1" applyFont="1" applyFill="1" applyBorder="1" applyAlignment="1">
      <alignment vertical="center" wrapText="1"/>
    </xf>
    <xf numFmtId="0" fontId="23" fillId="0" borderId="4" xfId="10" applyNumberFormat="1" applyFont="1" applyFill="1" applyBorder="1" applyAlignment="1">
      <alignment horizontal="center" vertical="center"/>
    </xf>
    <xf numFmtId="2" fontId="23" fillId="0" borderId="4" xfId="10" applyNumberFormat="1" applyFont="1" applyFill="1" applyBorder="1" applyAlignment="1">
      <alignment horizontal="center" vertical="center"/>
    </xf>
    <xf numFmtId="2" fontId="15" fillId="0" borderId="4" xfId="10" applyNumberFormat="1" applyFont="1" applyFill="1" applyBorder="1" applyAlignment="1">
      <alignment horizontal="center" vertical="center" wrapText="1"/>
    </xf>
    <xf numFmtId="49" fontId="15" fillId="0" borderId="4" xfId="10" applyNumberFormat="1" applyFont="1" applyFill="1" applyBorder="1" applyAlignment="1">
      <alignment vertical="top" wrapText="1"/>
    </xf>
    <xf numFmtId="49" fontId="23" fillId="0" borderId="4" xfId="10" applyNumberFormat="1" applyFont="1" applyFill="1" applyBorder="1" applyAlignment="1">
      <alignment vertical="top" wrapText="1"/>
    </xf>
    <xf numFmtId="0" fontId="23" fillId="0" borderId="4" xfId="10" applyNumberFormat="1" applyFont="1" applyFill="1" applyBorder="1" applyAlignment="1">
      <alignment horizontal="center" vertical="center" wrapText="1"/>
    </xf>
    <xf numFmtId="2" fontId="23" fillId="0" borderId="4" xfId="10" applyNumberFormat="1" applyFont="1" applyFill="1" applyBorder="1" applyAlignment="1">
      <alignment horizontal="center" vertical="center" wrapText="1"/>
    </xf>
    <xf numFmtId="0" fontId="81" fillId="0" borderId="0" xfId="10" applyFill="1" applyBorder="1"/>
    <xf numFmtId="49" fontId="64" fillId="0" borderId="0" xfId="10" applyNumberFormat="1" applyFont="1" applyFill="1" applyBorder="1" applyAlignment="1">
      <alignment horizontal="left" vertical="center" wrapText="1"/>
    </xf>
    <xf numFmtId="2" fontId="15" fillId="0" borderId="0" xfId="10" applyNumberFormat="1" applyFont="1" applyFill="1" applyBorder="1" applyAlignment="1">
      <alignment horizontal="center" vertical="center"/>
    </xf>
    <xf numFmtId="49" fontId="12" fillId="0" borderId="0" xfId="11" applyNumberFormat="1" applyFont="1" applyFill="1" applyBorder="1" applyAlignment="1">
      <alignment vertical="top" wrapText="1"/>
    </xf>
    <xf numFmtId="0" fontId="10" fillId="0" borderId="0" xfId="10" applyFont="1" applyFill="1" applyBorder="1" applyAlignment="1"/>
    <xf numFmtId="0" fontId="15" fillId="0" borderId="10" xfId="1" applyFont="1" applyFill="1" applyBorder="1" applyAlignment="1">
      <alignment horizontal="center" vertical="center"/>
    </xf>
    <xf numFmtId="0" fontId="15" fillId="0" borderId="3" xfId="1" applyFont="1" applyFill="1" applyBorder="1" applyAlignment="1">
      <alignment vertical="center" wrapText="1"/>
    </xf>
    <xf numFmtId="0" fontId="15" fillId="0" borderId="10" xfId="1" applyFont="1" applyFill="1" applyBorder="1" applyAlignment="1">
      <alignment vertical="center"/>
    </xf>
    <xf numFmtId="0" fontId="15" fillId="0" borderId="12" xfId="1" applyFont="1" applyFill="1" applyBorder="1" applyAlignment="1">
      <alignment vertical="center"/>
    </xf>
    <xf numFmtId="0" fontId="15" fillId="0" borderId="9" xfId="1" applyFont="1" applyFill="1" applyBorder="1" applyAlignment="1">
      <alignment vertical="center"/>
    </xf>
    <xf numFmtId="0" fontId="15" fillId="0" borderId="4" xfId="1" quotePrefix="1" applyFont="1" applyFill="1" applyBorder="1" applyAlignment="1">
      <alignment horizontal="center" vertical="center"/>
    </xf>
    <xf numFmtId="0" fontId="15" fillId="0" borderId="3" xfId="1" applyFont="1" applyFill="1" applyBorder="1" applyAlignment="1">
      <alignment vertical="center"/>
    </xf>
    <xf numFmtId="0" fontId="15" fillId="0" borderId="3" xfId="1" applyNumberFormat="1" applyFont="1" applyFill="1" applyBorder="1" applyAlignment="1">
      <alignment horizontal="center" vertical="center"/>
    </xf>
    <xf numFmtId="0" fontId="15" fillId="0" borderId="0" xfId="1" applyFont="1" applyFill="1" applyAlignment="1">
      <alignment horizontal="center" vertical="center" wrapText="1"/>
    </xf>
    <xf numFmtId="0" fontId="15" fillId="0" borderId="9" xfId="1" applyFont="1" applyFill="1" applyBorder="1" applyAlignment="1">
      <alignment horizontal="center" vertical="center"/>
    </xf>
    <xf numFmtId="0" fontId="15" fillId="0" borderId="6" xfId="1" applyFont="1" applyFill="1" applyBorder="1" applyAlignment="1">
      <alignment vertical="center"/>
    </xf>
    <xf numFmtId="0" fontId="15" fillId="0" borderId="10" xfId="1" applyFont="1" applyFill="1" applyBorder="1" applyAlignment="1">
      <alignment horizontal="center" vertical="center" wrapText="1"/>
    </xf>
    <xf numFmtId="0" fontId="15" fillId="0" borderId="12" xfId="1" applyFont="1" applyFill="1" applyBorder="1" applyAlignment="1">
      <alignment horizontal="center" vertical="center"/>
    </xf>
    <xf numFmtId="0" fontId="15" fillId="0" borderId="12" xfId="1" applyNumberFormat="1" applyFont="1" applyFill="1" applyBorder="1" applyAlignment="1">
      <alignment horizontal="center" vertical="center"/>
    </xf>
    <xf numFmtId="49" fontId="71" fillId="0" borderId="4" xfId="1" applyNumberFormat="1" applyFont="1" applyFill="1" applyBorder="1" applyAlignment="1">
      <alignment vertical="top" wrapText="1"/>
    </xf>
    <xf numFmtId="49" fontId="70" fillId="0" borderId="4" xfId="1" applyNumberFormat="1" applyFont="1" applyFill="1" applyBorder="1" applyAlignment="1">
      <alignment vertical="top" wrapText="1"/>
    </xf>
    <xf numFmtId="49" fontId="71" fillId="0" borderId="4" xfId="1" applyNumberFormat="1" applyFont="1" applyFill="1" applyBorder="1" applyAlignment="1">
      <alignment vertical="center" wrapText="1"/>
    </xf>
    <xf numFmtId="49" fontId="70" fillId="0" borderId="4" xfId="1" applyNumberFormat="1" applyFont="1" applyFill="1" applyBorder="1" applyAlignment="1">
      <alignment vertical="center" wrapText="1"/>
    </xf>
    <xf numFmtId="2" fontId="0" fillId="0" borderId="0" xfId="0" applyNumberFormat="1" applyFill="1" applyBorder="1" applyAlignment="1">
      <alignment vertical="center" wrapText="1"/>
    </xf>
    <xf numFmtId="0" fontId="17" fillId="0" borderId="4" xfId="1" applyFont="1" applyFill="1" applyBorder="1" applyAlignment="1">
      <alignment vertical="center"/>
    </xf>
    <xf numFmtId="0" fontId="17" fillId="0" borderId="4" xfId="1" applyNumberFormat="1" applyFont="1" applyFill="1" applyBorder="1" applyAlignment="1">
      <alignment horizontal="center" vertical="center"/>
    </xf>
    <xf numFmtId="0" fontId="17" fillId="0" borderId="3" xfId="1" applyFont="1" applyFill="1" applyBorder="1" applyAlignment="1">
      <alignment vertical="center" wrapText="1"/>
    </xf>
    <xf numFmtId="0" fontId="17" fillId="0" borderId="10" xfId="1" applyFont="1" applyFill="1" applyBorder="1" applyAlignment="1">
      <alignment vertical="center"/>
    </xf>
    <xf numFmtId="0" fontId="17" fillId="0" borderId="12" xfId="1" applyFont="1" applyFill="1" applyBorder="1" applyAlignment="1">
      <alignment vertical="center"/>
    </xf>
    <xf numFmtId="0" fontId="17" fillId="0" borderId="9" xfId="1" applyFont="1" applyFill="1" applyBorder="1" applyAlignment="1">
      <alignment vertical="center"/>
    </xf>
    <xf numFmtId="0" fontId="17" fillId="0" borderId="4" xfId="1" quotePrefix="1" applyFont="1" applyFill="1" applyBorder="1" applyAlignment="1">
      <alignment horizontal="center" vertical="center"/>
    </xf>
    <xf numFmtId="1" fontId="17" fillId="0" borderId="4" xfId="1" applyNumberFormat="1" applyFont="1" applyFill="1" applyBorder="1" applyAlignment="1">
      <alignment horizontal="center" vertical="center"/>
    </xf>
    <xf numFmtId="0" fontId="17" fillId="0" borderId="10" xfId="1" applyFont="1" applyFill="1" applyBorder="1" applyAlignment="1">
      <alignment horizontal="center" vertical="center"/>
    </xf>
    <xf numFmtId="0" fontId="17" fillId="0" borderId="9" xfId="1" applyFont="1" applyFill="1" applyBorder="1" applyAlignment="1">
      <alignment horizontal="center" vertical="center"/>
    </xf>
    <xf numFmtId="0" fontId="17" fillId="0" borderId="3" xfId="1" applyFont="1" applyFill="1" applyBorder="1" applyAlignment="1">
      <alignment horizontal="center" vertical="center"/>
    </xf>
    <xf numFmtId="0" fontId="14" fillId="0" borderId="4" xfId="1" applyNumberFormat="1" applyFont="1" applyFill="1" applyBorder="1" applyAlignment="1">
      <alignment horizontal="center" vertical="center"/>
    </xf>
    <xf numFmtId="2" fontId="14" fillId="0" borderId="4" xfId="1" applyNumberFormat="1" applyFont="1" applyFill="1" applyBorder="1" applyAlignment="1">
      <alignment horizontal="center" vertical="center"/>
    </xf>
    <xf numFmtId="0" fontId="14" fillId="0" borderId="3" xfId="1" applyFont="1" applyFill="1" applyBorder="1" applyAlignment="1">
      <alignment horizontal="center" vertical="center"/>
    </xf>
    <xf numFmtId="0" fontId="17" fillId="0" borderId="4" xfId="1" applyNumberFormat="1" applyFont="1" applyFill="1" applyBorder="1" applyAlignment="1">
      <alignment vertical="center"/>
    </xf>
    <xf numFmtId="0" fontId="17" fillId="0" borderId="4" xfId="1" applyFont="1" applyFill="1" applyBorder="1" applyAlignment="1">
      <alignment vertical="center" wrapText="1"/>
    </xf>
    <xf numFmtId="49" fontId="17" fillId="0" borderId="4" xfId="1" applyNumberFormat="1" applyFont="1" applyFill="1" applyBorder="1" applyAlignment="1">
      <alignment vertical="top" wrapText="1"/>
    </xf>
    <xf numFmtId="49" fontId="14" fillId="0" borderId="4" xfId="1" applyNumberFormat="1" applyFont="1" applyFill="1" applyBorder="1" applyAlignment="1">
      <alignment vertical="top" wrapText="1"/>
    </xf>
    <xf numFmtId="0" fontId="14" fillId="0" borderId="10" xfId="1" applyFont="1" applyFill="1" applyBorder="1" applyAlignment="1">
      <alignment vertical="center"/>
    </xf>
    <xf numFmtId="0" fontId="14" fillId="0" borderId="12" xfId="1" applyFont="1" applyFill="1" applyBorder="1" applyAlignment="1">
      <alignment vertical="center"/>
    </xf>
    <xf numFmtId="0" fontId="14" fillId="0" borderId="9" xfId="1" applyFont="1" applyFill="1" applyBorder="1" applyAlignment="1">
      <alignment vertical="center"/>
    </xf>
    <xf numFmtId="0" fontId="17" fillId="0" borderId="0" xfId="1" applyFont="1" applyFill="1" applyAlignment="1">
      <alignment horizontal="center" vertical="center"/>
    </xf>
    <xf numFmtId="0" fontId="17" fillId="0" borderId="7" xfId="1" applyFont="1" applyFill="1" applyBorder="1" applyAlignment="1">
      <alignment horizontal="center" vertical="center" wrapText="1"/>
    </xf>
    <xf numFmtId="2" fontId="17" fillId="0" borderId="3" xfId="1" applyNumberFormat="1" applyFont="1" applyFill="1" applyBorder="1" applyAlignment="1">
      <alignment horizontal="center" vertical="center"/>
    </xf>
    <xf numFmtId="2" fontId="17" fillId="0" borderId="4" xfId="1" quotePrefix="1" applyNumberFormat="1" applyFont="1" applyFill="1" applyBorder="1" applyAlignment="1">
      <alignment horizontal="center" vertical="center"/>
    </xf>
    <xf numFmtId="0" fontId="17" fillId="0" borderId="15" xfId="1" applyNumberFormat="1" applyFont="1" applyFill="1" applyBorder="1" applyAlignment="1">
      <alignment horizontal="center" vertical="center"/>
    </xf>
    <xf numFmtId="0" fontId="17" fillId="0" borderId="4" xfId="1" applyFont="1" applyFill="1" applyBorder="1" applyAlignment="1">
      <alignment horizontal="left" vertical="center"/>
    </xf>
    <xf numFmtId="0" fontId="17" fillId="0" borderId="10" xfId="1" applyNumberFormat="1" applyFont="1" applyFill="1" applyBorder="1" applyAlignment="1">
      <alignment vertical="center"/>
    </xf>
    <xf numFmtId="0" fontId="17" fillId="0" borderId="12" xfId="1" applyNumberFormat="1" applyFont="1" applyFill="1" applyBorder="1" applyAlignment="1">
      <alignment vertical="center"/>
    </xf>
    <xf numFmtId="0" fontId="17" fillId="0" borderId="9" xfId="1" applyNumberFormat="1" applyFont="1" applyFill="1" applyBorder="1" applyAlignment="1">
      <alignment vertical="center"/>
    </xf>
    <xf numFmtId="0" fontId="17" fillId="0" borderId="10" xfId="1" applyNumberFormat="1" applyFont="1" applyFill="1" applyBorder="1" applyAlignment="1">
      <alignment horizontal="center" vertical="center"/>
    </xf>
    <xf numFmtId="0" fontId="17" fillId="0" borderId="3" xfId="1" applyFont="1" applyFill="1" applyBorder="1" applyAlignment="1">
      <alignment vertical="center"/>
    </xf>
    <xf numFmtId="0" fontId="14" fillId="0" borderId="4" xfId="1" applyFont="1" applyFill="1" applyBorder="1" applyAlignment="1">
      <alignment vertical="center" wrapText="1"/>
    </xf>
    <xf numFmtId="0" fontId="14" fillId="0" borderId="6" xfId="1" applyFont="1" applyFill="1" applyBorder="1" applyAlignment="1">
      <alignment vertical="center"/>
    </xf>
    <xf numFmtId="0" fontId="17" fillId="0" borderId="12" xfId="1" applyFont="1" applyFill="1" applyBorder="1" applyAlignment="1">
      <alignment horizontal="center" vertical="center"/>
    </xf>
    <xf numFmtId="0" fontId="17" fillId="0" borderId="10" xfId="1" applyNumberFormat="1" applyFont="1" applyFill="1" applyBorder="1" applyAlignment="1">
      <alignment horizontal="center" vertical="center" wrapText="1"/>
    </xf>
    <xf numFmtId="49" fontId="64" fillId="0" borderId="0" xfId="1" applyNumberFormat="1" applyFont="1" applyFill="1" applyBorder="1" applyAlignment="1">
      <alignment vertical="center" wrapText="1"/>
    </xf>
    <xf numFmtId="2" fontId="14" fillId="0" borderId="0" xfId="1" applyNumberFormat="1" applyFont="1" applyFill="1" applyBorder="1" applyAlignment="1">
      <alignment horizontal="center" vertical="center"/>
    </xf>
    <xf numFmtId="0" fontId="35" fillId="0" borderId="4" xfId="14" applyFont="1" applyFill="1" applyBorder="1" applyAlignment="1">
      <alignment horizontal="center" vertical="center"/>
    </xf>
    <xf numFmtId="0" fontId="35" fillId="0" borderId="4" xfId="14" applyFont="1" applyFill="1" applyBorder="1" applyAlignment="1">
      <alignment vertical="center" wrapText="1"/>
    </xf>
    <xf numFmtId="1" fontId="35" fillId="0" borderId="4" xfId="14" applyNumberFormat="1" applyFont="1" applyFill="1" applyBorder="1" applyAlignment="1">
      <alignment horizontal="center" vertical="center"/>
    </xf>
    <xf numFmtId="2" fontId="35" fillId="0" borderId="4" xfId="14" applyNumberFormat="1" applyFont="1" applyFill="1" applyBorder="1" applyAlignment="1">
      <alignment horizontal="center" vertical="center"/>
    </xf>
    <xf numFmtId="0" fontId="71" fillId="0" borderId="4" xfId="0" applyFont="1" applyFill="1" applyBorder="1" applyAlignment="1">
      <alignment horizontal="center" vertical="center" wrapText="1"/>
    </xf>
    <xf numFmtId="0" fontId="71" fillId="0" borderId="4" xfId="0" applyFont="1" applyFill="1" applyBorder="1" applyAlignment="1">
      <alignment horizontal="left" vertical="center" wrapText="1"/>
    </xf>
    <xf numFmtId="0" fontId="15" fillId="0" borderId="4" xfId="14" applyFont="1" applyFill="1" applyBorder="1" applyAlignment="1">
      <alignment horizontal="center" vertical="center"/>
    </xf>
    <xf numFmtId="1" fontId="15" fillId="0" borderId="4" xfId="14" applyNumberFormat="1" applyFont="1" applyFill="1" applyBorder="1" applyAlignment="1">
      <alignment horizontal="center" vertical="center"/>
    </xf>
    <xf numFmtId="2" fontId="15" fillId="0" borderId="4" xfId="14" applyNumberFormat="1" applyFont="1" applyFill="1" applyBorder="1" applyAlignment="1">
      <alignment horizontal="center" vertical="center"/>
    </xf>
    <xf numFmtId="0" fontId="35" fillId="0" borderId="4" xfId="14" applyFont="1" applyFill="1" applyBorder="1" applyAlignment="1">
      <alignment horizontal="center" vertical="top"/>
    </xf>
    <xf numFmtId="0" fontId="71" fillId="0" borderId="4" xfId="0" applyFont="1" applyFill="1" applyBorder="1" applyAlignment="1">
      <alignment horizontal="left" vertical="top" wrapText="1"/>
    </xf>
    <xf numFmtId="0" fontId="71" fillId="0" borderId="4" xfId="0" applyFont="1" applyFill="1" applyBorder="1" applyAlignment="1">
      <alignment vertical="center" wrapText="1"/>
    </xf>
    <xf numFmtId="0" fontId="71" fillId="0" borderId="4" xfId="0" applyNumberFormat="1" applyFont="1" applyFill="1" applyBorder="1" applyAlignment="1">
      <alignment horizontal="center" vertical="center" wrapText="1"/>
    </xf>
    <xf numFmtId="165" fontId="35" fillId="0" borderId="4" xfId="14" applyNumberFormat="1" applyFont="1" applyFill="1" applyBorder="1" applyAlignment="1">
      <alignment horizontal="center" vertical="center"/>
    </xf>
    <xf numFmtId="0" fontId="15" fillId="0" borderId="4" xfId="13" applyNumberFormat="1" applyFont="1" applyFill="1" applyBorder="1" applyAlignment="1">
      <alignment horizontal="center" vertical="center" wrapText="1"/>
    </xf>
    <xf numFmtId="0" fontId="15" fillId="0" borderId="4" xfId="0" applyFont="1" applyFill="1" applyBorder="1" applyAlignment="1"/>
    <xf numFmtId="0" fontId="30" fillId="0" borderId="4" xfId="0" applyFont="1" applyFill="1" applyBorder="1"/>
    <xf numFmtId="0" fontId="35" fillId="0" borderId="4" xfId="12" applyFont="1" applyFill="1" applyBorder="1" applyAlignment="1">
      <alignment horizontal="center" vertical="center" wrapText="1"/>
    </xf>
    <xf numFmtId="0" fontId="35" fillId="0" borderId="4" xfId="12" applyFont="1" applyFill="1" applyBorder="1" applyAlignment="1">
      <alignment vertical="center" wrapText="1"/>
    </xf>
    <xf numFmtId="2" fontId="35" fillId="0" borderId="4" xfId="12" applyNumberFormat="1" applyFont="1" applyFill="1" applyBorder="1" applyAlignment="1">
      <alignment horizontal="center" vertical="center" wrapText="1"/>
    </xf>
    <xf numFmtId="0" fontId="15" fillId="0" borderId="4" xfId="12" applyFont="1" applyFill="1" applyBorder="1" applyAlignment="1">
      <alignment horizontal="center" vertical="center" wrapText="1"/>
    </xf>
    <xf numFmtId="2" fontId="15" fillId="0" borderId="4" xfId="12" applyNumberFormat="1" applyFont="1" applyFill="1" applyBorder="1" applyAlignment="1">
      <alignment horizontal="center" vertical="center" wrapText="1"/>
    </xf>
    <xf numFmtId="170" fontId="35" fillId="0" borderId="9" xfId="4" applyNumberFormat="1" applyFont="1" applyFill="1" applyBorder="1" applyAlignment="1">
      <alignment horizontal="center" vertical="center"/>
    </xf>
    <xf numFmtId="0" fontId="17" fillId="0" borderId="4" xfId="1" applyFont="1" applyFill="1" applyBorder="1" applyAlignment="1">
      <alignment horizontal="left" vertical="center" wrapText="1"/>
    </xf>
    <xf numFmtId="0" fontId="17" fillId="0" borderId="4" xfId="1" applyFont="1" applyFill="1" applyBorder="1" applyAlignment="1">
      <alignment vertical="top" wrapText="1"/>
    </xf>
    <xf numFmtId="1" fontId="17" fillId="0" borderId="10" xfId="1" applyNumberFormat="1" applyFont="1" applyFill="1" applyBorder="1" applyAlignment="1">
      <alignment vertical="center" wrapText="1"/>
    </xf>
    <xf numFmtId="1" fontId="17" fillId="0" borderId="12" xfId="1" applyNumberFormat="1" applyFont="1" applyFill="1" applyBorder="1" applyAlignment="1">
      <alignment vertical="center" wrapText="1"/>
    </xf>
    <xf numFmtId="1" fontId="17" fillId="0" borderId="9" xfId="1" applyNumberFormat="1" applyFont="1" applyFill="1" applyBorder="1" applyAlignment="1">
      <alignment vertical="center" wrapText="1"/>
    </xf>
    <xf numFmtId="0" fontId="17" fillId="0" borderId="4" xfId="1" quotePrefix="1" applyFont="1" applyFill="1" applyBorder="1" applyAlignment="1">
      <alignment vertical="center"/>
    </xf>
    <xf numFmtId="0" fontId="14" fillId="0" borderId="12" xfId="1" applyFont="1" applyFill="1" applyBorder="1" applyAlignment="1">
      <alignment horizontal="center" vertical="center"/>
    </xf>
    <xf numFmtId="2" fontId="14" fillId="0" borderId="12" xfId="1" applyNumberFormat="1" applyFont="1" applyFill="1" applyBorder="1" applyAlignment="1">
      <alignment horizontal="center" vertical="center"/>
    </xf>
    <xf numFmtId="2" fontId="17" fillId="0" borderId="9" xfId="1" applyNumberFormat="1" applyFont="1" applyFill="1" applyBorder="1" applyAlignment="1">
      <alignment horizontal="center" vertical="center"/>
    </xf>
    <xf numFmtId="0" fontId="67" fillId="0" borderId="4" xfId="1" applyFont="1" applyFill="1" applyBorder="1" applyAlignment="1">
      <alignment horizontal="center" vertical="center"/>
    </xf>
    <xf numFmtId="2" fontId="23" fillId="0" borderId="4" xfId="2" applyNumberFormat="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8" fillId="0" borderId="0"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4" xfId="1" applyFont="1" applyFill="1" applyBorder="1" applyAlignment="1">
      <alignment horizontal="center" vertical="center"/>
    </xf>
    <xf numFmtId="0" fontId="14" fillId="0" borderId="4" xfId="1" applyFont="1" applyFill="1" applyBorder="1" applyAlignment="1">
      <alignment horizontal="center" vertical="center" wrapText="1"/>
    </xf>
    <xf numFmtId="0" fontId="14" fillId="0" borderId="4" xfId="1" applyFont="1" applyFill="1" applyBorder="1" applyAlignment="1">
      <alignment horizontal="center" vertical="center"/>
    </xf>
    <xf numFmtId="0" fontId="18" fillId="0" borderId="0" xfId="1" applyFont="1" applyFill="1" applyBorder="1" applyAlignment="1">
      <alignment horizontal="center" vertical="center"/>
    </xf>
    <xf numFmtId="0" fontId="14" fillId="0" borderId="3" xfId="1" applyFont="1" applyFill="1" applyBorder="1" applyAlignment="1">
      <alignment horizontal="center" vertical="center"/>
    </xf>
    <xf numFmtId="0" fontId="17" fillId="0" borderId="0" xfId="1" applyFont="1" applyFill="1" applyBorder="1" applyAlignment="1">
      <alignment horizontal="center" vertical="top"/>
    </xf>
    <xf numFmtId="0" fontId="17" fillId="0" borderId="0" xfId="1" applyFont="1" applyFill="1" applyAlignment="1">
      <alignment horizontal="center"/>
    </xf>
    <xf numFmtId="0" fontId="17" fillId="0" borderId="4" xfId="1" applyFont="1" applyFill="1" applyBorder="1" applyAlignment="1">
      <alignment horizontal="center" vertical="center" wrapText="1"/>
    </xf>
    <xf numFmtId="49" fontId="17" fillId="0" borderId="4" xfId="1" applyNumberFormat="1" applyFont="1" applyFill="1" applyBorder="1" applyAlignment="1">
      <alignment horizontal="left" vertical="center" wrapText="1"/>
    </xf>
    <xf numFmtId="0" fontId="12" fillId="0" borderId="3" xfId="1" applyFont="1" applyFill="1" applyBorder="1" applyAlignment="1">
      <alignment horizontal="center" vertical="center"/>
    </xf>
    <xf numFmtId="0" fontId="12" fillId="0" borderId="6" xfId="1" applyFont="1" applyFill="1" applyBorder="1" applyAlignment="1">
      <alignment horizontal="center" vertical="center"/>
    </xf>
    <xf numFmtId="0" fontId="15" fillId="0" borderId="3" xfId="1" applyFont="1" applyFill="1" applyBorder="1" applyAlignment="1">
      <alignment horizontal="center" vertical="center"/>
    </xf>
    <xf numFmtId="0" fontId="15" fillId="0" borderId="6" xfId="1" applyFont="1" applyFill="1" applyBorder="1" applyAlignment="1">
      <alignment horizontal="center" vertical="center"/>
    </xf>
    <xf numFmtId="0" fontId="15" fillId="0" borderId="3" xfId="1" applyFont="1" applyFill="1" applyBorder="1" applyAlignment="1">
      <alignment horizontal="center" vertical="center" wrapText="1"/>
    </xf>
    <xf numFmtId="0" fontId="15" fillId="0" borderId="4" xfId="1" applyFont="1" applyFill="1" applyBorder="1" applyAlignment="1">
      <alignment horizontal="center" vertical="center"/>
    </xf>
    <xf numFmtId="0" fontId="23" fillId="0" borderId="4" xfId="1" applyFont="1" applyFill="1" applyBorder="1" applyAlignment="1">
      <alignment horizontal="center" vertical="center" wrapText="1"/>
    </xf>
    <xf numFmtId="2" fontId="23" fillId="0" borderId="4" xfId="1" applyNumberFormat="1" applyFont="1" applyFill="1" applyBorder="1" applyAlignment="1">
      <alignment horizontal="center" vertical="center" wrapText="1"/>
    </xf>
    <xf numFmtId="0" fontId="23" fillId="0" borderId="4" xfId="1" applyFont="1" applyFill="1" applyBorder="1" applyAlignment="1">
      <alignment horizontal="center" vertical="center"/>
    </xf>
    <xf numFmtId="0" fontId="17" fillId="0" borderId="3" xfId="1" applyFont="1" applyFill="1" applyBorder="1" applyAlignment="1">
      <alignment horizontal="center" vertical="center"/>
    </xf>
    <xf numFmtId="0" fontId="17" fillId="0" borderId="6" xfId="1" applyFont="1" applyFill="1" applyBorder="1" applyAlignment="1">
      <alignment horizontal="center" vertical="center"/>
    </xf>
    <xf numFmtId="0" fontId="14" fillId="0" borderId="4" xfId="1" applyFont="1" applyFill="1" applyBorder="1" applyAlignment="1">
      <alignment horizontal="center" vertical="center" wrapText="1"/>
    </xf>
    <xf numFmtId="0" fontId="14" fillId="0" borderId="3" xfId="1" applyFont="1" applyFill="1" applyBorder="1" applyAlignment="1">
      <alignment horizontal="center" vertical="center" wrapText="1"/>
    </xf>
    <xf numFmtId="0" fontId="14" fillId="0" borderId="4" xfId="1" applyFont="1" applyFill="1" applyBorder="1" applyAlignment="1">
      <alignment horizontal="center" vertical="center"/>
    </xf>
    <xf numFmtId="0" fontId="18" fillId="0" borderId="0" xfId="1" applyFont="1" applyFill="1" applyBorder="1" applyAlignment="1">
      <alignment horizontal="center" vertical="center"/>
    </xf>
    <xf numFmtId="0" fontId="14" fillId="0" borderId="3" xfId="1" applyFont="1" applyFill="1" applyBorder="1" applyAlignment="1">
      <alignment horizontal="center" vertical="center"/>
    </xf>
    <xf numFmtId="0" fontId="73" fillId="0" borderId="0" xfId="1" applyFont="1" applyFill="1" applyAlignment="1"/>
    <xf numFmtId="0" fontId="73" fillId="0" borderId="0" xfId="1" applyFont="1" applyFill="1" applyAlignment="1">
      <alignment horizontal="center"/>
    </xf>
    <xf numFmtId="0" fontId="12" fillId="0" borderId="0" xfId="1" applyFont="1" applyFill="1" applyAlignment="1">
      <alignment horizontal="center" vertical="top"/>
    </xf>
    <xf numFmtId="0" fontId="12" fillId="0" borderId="0" xfId="1" applyFont="1" applyFill="1" applyAlignment="1">
      <alignment vertical="top" wrapText="1"/>
    </xf>
    <xf numFmtId="0" fontId="12" fillId="0" borderId="0" xfId="1" applyNumberFormat="1" applyFont="1" applyFill="1" applyAlignment="1">
      <alignment horizontal="center"/>
    </xf>
    <xf numFmtId="0" fontId="79" fillId="0" borderId="0" xfId="1" applyFont="1" applyFill="1" applyBorder="1" applyAlignment="1">
      <alignment horizontal="center" vertical="center"/>
    </xf>
    <xf numFmtId="0" fontId="10" fillId="0" borderId="0" xfId="1" applyFont="1" applyFill="1" applyAlignment="1"/>
    <xf numFmtId="0" fontId="10" fillId="0" borderId="4" xfId="1" applyFont="1" applyFill="1" applyBorder="1" applyAlignment="1">
      <alignment horizontal="center" vertical="center" wrapText="1"/>
    </xf>
    <xf numFmtId="0" fontId="10" fillId="0" borderId="4" xfId="1" applyFont="1" applyFill="1" applyBorder="1" applyAlignment="1">
      <alignment horizontal="center" vertical="center"/>
    </xf>
    <xf numFmtId="0" fontId="10" fillId="0" borderId="4" xfId="1" quotePrefix="1" applyFont="1" applyFill="1" applyBorder="1" applyAlignment="1">
      <alignment horizontal="center" vertical="center" wrapText="1"/>
    </xf>
    <xf numFmtId="49" fontId="23" fillId="0" borderId="0" xfId="1" applyNumberFormat="1" applyFont="1" applyFill="1" applyBorder="1" applyAlignment="1">
      <alignment vertical="center" wrapText="1"/>
    </xf>
    <xf numFmtId="0" fontId="12" fillId="3" borderId="0" xfId="1" applyFont="1" applyFill="1" applyBorder="1" applyAlignment="1">
      <alignment vertical="top" wrapText="1"/>
    </xf>
    <xf numFmtId="0" fontId="12" fillId="0" borderId="0" xfId="1" applyFont="1" applyFill="1" applyAlignment="1">
      <alignment vertical="center"/>
    </xf>
    <xf numFmtId="0" fontId="100" fillId="0" borderId="0" xfId="1" applyFont="1" applyFill="1"/>
    <xf numFmtId="49" fontId="23" fillId="2" borderId="0" xfId="1" applyNumberFormat="1" applyFont="1" applyFill="1" applyBorder="1" applyAlignment="1">
      <alignment vertical="center" wrapText="1"/>
    </xf>
    <xf numFmtId="2" fontId="12" fillId="0" borderId="0" xfId="1" applyNumberFormat="1" applyFont="1" applyFill="1" applyBorder="1" applyAlignment="1">
      <alignment horizontal="center" vertical="center" wrapText="1"/>
    </xf>
    <xf numFmtId="49" fontId="10" fillId="3" borderId="0" xfId="1" applyNumberFormat="1" applyFont="1" applyFill="1" applyBorder="1" applyAlignment="1">
      <alignment vertical="center" wrapText="1"/>
    </xf>
    <xf numFmtId="0" fontId="10" fillId="2" borderId="0" xfId="1" applyFont="1" applyFill="1" applyAlignment="1">
      <alignment horizontal="left" vertical="center"/>
    </xf>
    <xf numFmtId="0" fontId="12" fillId="0" borderId="0" xfId="1" applyFont="1" applyFill="1" applyAlignment="1">
      <alignment horizontal="center" vertical="center"/>
    </xf>
    <xf numFmtId="49" fontId="23" fillId="3" borderId="0" xfId="1" applyNumberFormat="1" applyFont="1" applyFill="1" applyBorder="1" applyAlignment="1">
      <alignment vertical="center" wrapText="1"/>
    </xf>
    <xf numFmtId="0" fontId="23" fillId="2" borderId="0" xfId="1" applyFont="1" applyFill="1" applyAlignment="1">
      <alignment horizontal="left" vertical="center"/>
    </xf>
    <xf numFmtId="0" fontId="10" fillId="0" borderId="0" xfId="1" applyFont="1" applyFill="1" applyBorder="1" applyAlignment="1"/>
    <xf numFmtId="0" fontId="10" fillId="0" borderId="0" xfId="1" applyFont="1" applyFill="1" applyAlignment="1">
      <alignment horizontal="center" vertical="top"/>
    </xf>
    <xf numFmtId="0" fontId="12" fillId="0" borderId="4" xfId="1" applyFont="1" applyFill="1" applyBorder="1" applyAlignment="1">
      <alignment horizontal="left" vertical="center" wrapText="1"/>
    </xf>
    <xf numFmtId="0" fontId="12" fillId="0" borderId="4" xfId="1" applyFont="1" applyFill="1" applyBorder="1" applyAlignment="1">
      <alignment horizontal="left" vertical="center"/>
    </xf>
    <xf numFmtId="0" fontId="12" fillId="0" borderId="0" xfId="1" applyFont="1" applyFill="1" applyAlignment="1"/>
    <xf numFmtId="0" fontId="51" fillId="0" borderId="0" xfId="1" applyFont="1" applyFill="1" applyAlignment="1">
      <alignment horizontal="center"/>
    </xf>
    <xf numFmtId="0" fontId="12" fillId="0" borderId="0" xfId="1" applyFont="1" applyFill="1" applyBorder="1" applyAlignment="1">
      <alignment horizontal="center" vertical="top"/>
    </xf>
    <xf numFmtId="0" fontId="12" fillId="0" borderId="0" xfId="1" applyNumberFormat="1" applyFont="1" applyFill="1" applyBorder="1" applyAlignment="1">
      <alignment horizontal="center"/>
    </xf>
    <xf numFmtId="0" fontId="12" fillId="0" borderId="0" xfId="1" applyFont="1" applyFill="1" applyBorder="1" applyAlignment="1">
      <alignment horizontal="center"/>
    </xf>
    <xf numFmtId="0" fontId="12" fillId="0" borderId="0" xfId="1" applyFont="1" applyFill="1" applyBorder="1"/>
    <xf numFmtId="0" fontId="12" fillId="0" borderId="0" xfId="1" applyNumberFormat="1" applyFont="1" applyFill="1" applyBorder="1" applyAlignment="1">
      <alignment horizontal="center" vertical="center"/>
    </xf>
    <xf numFmtId="2" fontId="12" fillId="0" borderId="0" xfId="1" applyNumberFormat="1" applyFont="1" applyFill="1" applyBorder="1" applyAlignment="1">
      <alignment horizontal="center" vertical="center"/>
    </xf>
    <xf numFmtId="0" fontId="12" fillId="0" borderId="0" xfId="1" quotePrefix="1" applyFont="1" applyFill="1" applyBorder="1" applyAlignment="1">
      <alignment horizontal="center" vertical="center"/>
    </xf>
    <xf numFmtId="2" fontId="12" fillId="0" borderId="0" xfId="1" applyNumberFormat="1" applyFont="1" applyFill="1" applyBorder="1" applyAlignment="1">
      <alignment vertical="center"/>
    </xf>
    <xf numFmtId="0" fontId="17" fillId="0" borderId="0" xfId="1" applyFont="1" applyFill="1" applyAlignment="1">
      <alignment horizontal="center" vertical="top"/>
    </xf>
    <xf numFmtId="0" fontId="17" fillId="0" borderId="0" xfId="1" applyFont="1" applyFill="1" applyAlignment="1">
      <alignment vertical="top" wrapText="1"/>
    </xf>
    <xf numFmtId="0" fontId="17" fillId="0" borderId="0" xfId="1" applyNumberFormat="1" applyFont="1" applyFill="1" applyAlignment="1">
      <alignment horizontal="center"/>
    </xf>
    <xf numFmtId="0" fontId="17" fillId="0" borderId="0" xfId="1" applyFont="1" applyFill="1" applyBorder="1" applyAlignment="1">
      <alignment vertical="top" wrapText="1"/>
    </xf>
    <xf numFmtId="0" fontId="17" fillId="0" borderId="0" xfId="1" applyNumberFormat="1" applyFont="1" applyFill="1" applyBorder="1" applyAlignment="1">
      <alignment horizontal="center"/>
    </xf>
    <xf numFmtId="0" fontId="17" fillId="0" borderId="0" xfId="1" applyFont="1" applyFill="1" applyBorder="1" applyAlignment="1">
      <alignment horizontal="center"/>
    </xf>
    <xf numFmtId="0" fontId="14" fillId="0" borderId="0" xfId="1" applyFont="1" applyFill="1" applyBorder="1"/>
    <xf numFmtId="0" fontId="14" fillId="0" borderId="4" xfId="1" quotePrefix="1" applyFont="1" applyFill="1" applyBorder="1" applyAlignment="1">
      <alignment horizontal="center" vertical="center" wrapText="1"/>
    </xf>
    <xf numFmtId="0" fontId="14" fillId="0" borderId="3" xfId="1" quotePrefix="1" applyFont="1" applyFill="1" applyBorder="1" applyAlignment="1">
      <alignment horizontal="center" vertical="center"/>
    </xf>
    <xf numFmtId="49" fontId="14" fillId="0" borderId="0" xfId="1" applyNumberFormat="1" applyFont="1" applyFill="1" applyBorder="1" applyAlignment="1">
      <alignment vertical="center" wrapText="1"/>
    </xf>
    <xf numFmtId="49" fontId="14" fillId="2" borderId="0" xfId="1" applyNumberFormat="1" applyFont="1" applyFill="1" applyBorder="1" applyAlignment="1">
      <alignment vertical="center" wrapText="1"/>
    </xf>
    <xf numFmtId="0" fontId="17" fillId="3" borderId="0" xfId="1" applyFont="1" applyFill="1" applyBorder="1" applyAlignment="1">
      <alignment vertical="top" wrapText="1"/>
    </xf>
    <xf numFmtId="49" fontId="12" fillId="0" borderId="0" xfId="1" applyNumberFormat="1" applyFont="1" applyFill="1" applyAlignment="1">
      <alignment horizontal="center" vertical="center" wrapText="1"/>
    </xf>
    <xf numFmtId="0" fontId="12" fillId="0" borderId="0" xfId="1" applyFill="1" applyAlignment="1">
      <alignment horizontal="center" vertical="center"/>
    </xf>
    <xf numFmtId="0" fontId="23" fillId="0" borderId="0" xfId="1" applyFont="1" applyFill="1"/>
    <xf numFmtId="49" fontId="14" fillId="3" borderId="0" xfId="1" applyNumberFormat="1" applyFont="1" applyFill="1" applyBorder="1" applyAlignment="1">
      <alignment vertical="center" wrapText="1"/>
    </xf>
    <xf numFmtId="0" fontId="14" fillId="2" borderId="0" xfId="1" applyFont="1" applyFill="1" applyAlignment="1">
      <alignment horizontal="left" vertical="center"/>
    </xf>
    <xf numFmtId="0" fontId="17" fillId="0" borderId="0" xfId="1" applyFont="1" applyFill="1" applyBorder="1" applyAlignment="1">
      <alignment horizontal="center" vertical="center"/>
    </xf>
    <xf numFmtId="0" fontId="17" fillId="0" borderId="0" xfId="1" applyFont="1" applyFill="1" applyBorder="1" applyAlignment="1">
      <alignment vertical="center" wrapText="1"/>
    </xf>
    <xf numFmtId="0" fontId="14" fillId="0" borderId="15" xfId="1" applyFont="1" applyFill="1" applyBorder="1" applyAlignment="1"/>
    <xf numFmtId="0" fontId="10" fillId="0" borderId="0" xfId="1" applyFont="1" applyFill="1" applyBorder="1" applyAlignment="1">
      <alignment vertical="top" wrapText="1"/>
    </xf>
    <xf numFmtId="0" fontId="17" fillId="0" borderId="0" xfId="1" applyNumberFormat="1" applyFont="1" applyFill="1" applyBorder="1" applyAlignment="1">
      <alignment horizontal="center" vertical="center"/>
    </xf>
    <xf numFmtId="2" fontId="17" fillId="0" borderId="0" xfId="1" applyNumberFormat="1" applyFont="1" applyFill="1" applyBorder="1" applyAlignment="1">
      <alignment horizontal="center" vertical="center"/>
    </xf>
    <xf numFmtId="0" fontId="17" fillId="0" borderId="0" xfId="1" quotePrefix="1" applyFont="1" applyFill="1" applyBorder="1" applyAlignment="1">
      <alignment horizontal="center" vertical="center"/>
    </xf>
    <xf numFmtId="0" fontId="10" fillId="0" borderId="0" xfId="1" applyNumberFormat="1" applyFont="1" applyFill="1" applyAlignment="1">
      <alignment horizontal="center"/>
    </xf>
    <xf numFmtId="0" fontId="18" fillId="0" borderId="0" xfId="1" applyFont="1" applyFill="1" applyBorder="1" applyAlignment="1">
      <alignment horizontal="center"/>
    </xf>
    <xf numFmtId="0" fontId="23" fillId="0" borderId="1" xfId="1" applyFont="1" applyFill="1" applyBorder="1" applyAlignment="1">
      <alignment vertical="center"/>
    </xf>
    <xf numFmtId="0" fontId="14" fillId="0" borderId="4" xfId="1" applyFont="1" applyFill="1" applyBorder="1" applyAlignment="1">
      <alignment horizontal="center"/>
    </xf>
    <xf numFmtId="0" fontId="12" fillId="0" borderId="0" xfId="1" applyNumberFormat="1" applyFill="1" applyBorder="1" applyAlignment="1">
      <alignment horizontal="center" vertical="center"/>
    </xf>
    <xf numFmtId="0" fontId="12" fillId="0" borderId="0" xfId="1" applyFill="1" applyAlignment="1">
      <alignment vertical="center"/>
    </xf>
    <xf numFmtId="0" fontId="71" fillId="3" borderId="11" xfId="1" applyFont="1" applyFill="1" applyBorder="1" applyAlignment="1">
      <alignment vertical="top" wrapText="1"/>
    </xf>
    <xf numFmtId="49" fontId="37" fillId="0" borderId="0" xfId="1" applyNumberFormat="1" applyFont="1" applyFill="1" applyBorder="1" applyAlignment="1">
      <alignment vertical="center" wrapText="1"/>
    </xf>
    <xf numFmtId="0" fontId="23" fillId="0" borderId="0" xfId="1" applyFont="1" applyFill="1" applyAlignment="1">
      <alignment horizontal="center" vertical="top"/>
    </xf>
    <xf numFmtId="0" fontId="17" fillId="0" borderId="0" xfId="1" applyFont="1" applyFill="1" applyBorder="1" applyAlignment="1">
      <alignment vertical="top"/>
    </xf>
    <xf numFmtId="0" fontId="17" fillId="0" borderId="0" xfId="1" applyFont="1" applyFill="1" applyBorder="1" applyAlignment="1">
      <alignment horizontal="left" vertical="top"/>
    </xf>
    <xf numFmtId="0" fontId="17" fillId="0" borderId="0" xfId="1" applyFont="1" applyFill="1" applyAlignment="1">
      <alignment horizontal="right"/>
    </xf>
    <xf numFmtId="0" fontId="18" fillId="0" borderId="0" xfId="1" applyFont="1" applyFill="1" applyBorder="1" applyAlignment="1">
      <alignment horizontal="center"/>
    </xf>
    <xf numFmtId="0" fontId="14" fillId="0" borderId="0" xfId="1" applyFont="1" applyFill="1" applyAlignment="1">
      <alignment horizontal="center"/>
    </xf>
    <xf numFmtId="0" fontId="17" fillId="0" borderId="1" xfId="1" applyFont="1" applyFill="1" applyBorder="1" applyAlignment="1">
      <alignment horizontal="center" vertical="top"/>
    </xf>
    <xf numFmtId="0" fontId="17" fillId="0" borderId="1" xfId="1" applyFont="1" applyFill="1" applyBorder="1" applyAlignment="1">
      <alignment vertical="top" wrapText="1"/>
    </xf>
    <xf numFmtId="0" fontId="17" fillId="0" borderId="0" xfId="1" applyNumberFormat="1" applyFont="1" applyFill="1" applyBorder="1"/>
    <xf numFmtId="0" fontId="17" fillId="0" borderId="1" xfId="1" applyFont="1" applyFill="1" applyBorder="1" applyAlignment="1">
      <alignment horizontal="right"/>
    </xf>
    <xf numFmtId="0" fontId="17" fillId="0" borderId="1" xfId="1" applyFont="1" applyFill="1" applyBorder="1"/>
    <xf numFmtId="0" fontId="23" fillId="0" borderId="3" xfId="1" applyFont="1" applyFill="1" applyBorder="1" applyAlignment="1">
      <alignment horizontal="center" vertical="center" wrapText="1"/>
    </xf>
    <xf numFmtId="0" fontId="23" fillId="0" borderId="4" xfId="1" quotePrefix="1" applyFont="1" applyFill="1" applyBorder="1" applyAlignment="1">
      <alignment horizontal="center" vertical="center" wrapText="1"/>
    </xf>
    <xf numFmtId="0" fontId="23" fillId="0" borderId="3" xfId="1" quotePrefix="1" applyFont="1" applyFill="1" applyBorder="1" applyAlignment="1">
      <alignment horizontal="center" vertical="center"/>
    </xf>
    <xf numFmtId="0" fontId="23" fillId="0" borderId="3" xfId="1" quotePrefix="1" applyFont="1" applyFill="1" applyBorder="1" applyAlignment="1">
      <alignment horizontal="center" vertical="center" wrapText="1"/>
    </xf>
    <xf numFmtId="0" fontId="15" fillId="3" borderId="0" xfId="1" applyFont="1" applyFill="1" applyBorder="1" applyAlignment="1">
      <alignment vertical="top" wrapText="1"/>
    </xf>
    <xf numFmtId="0" fontId="15" fillId="0" borderId="0" xfId="1" applyFont="1" applyFill="1" applyBorder="1" applyAlignment="1">
      <alignment vertical="center" wrapText="1"/>
    </xf>
    <xf numFmtId="0" fontId="12" fillId="0" borderId="0" xfId="1" applyFill="1" applyAlignment="1">
      <alignment horizontal="left" vertical="top"/>
    </xf>
    <xf numFmtId="0" fontId="15" fillId="0" borderId="0" xfId="1" applyFont="1" applyFill="1" applyBorder="1" applyAlignment="1">
      <alignment horizontal="left" vertical="center"/>
    </xf>
    <xf numFmtId="0" fontId="23" fillId="0" borderId="15" xfId="1" applyFont="1" applyFill="1" applyBorder="1" applyAlignment="1"/>
    <xf numFmtId="0" fontId="23" fillId="0" borderId="0" xfId="1" applyFont="1" applyFill="1" applyBorder="1" applyAlignment="1">
      <alignment horizontal="center" vertical="top"/>
    </xf>
    <xf numFmtId="0" fontId="15" fillId="0" borderId="0" xfId="1" applyFont="1" applyFill="1" applyAlignment="1">
      <alignment vertical="top" wrapText="1"/>
    </xf>
    <xf numFmtId="0" fontId="15" fillId="0" borderId="0" xfId="1" applyFont="1" applyFill="1" applyBorder="1" applyAlignment="1">
      <alignment horizontal="center"/>
    </xf>
    <xf numFmtId="0" fontId="15" fillId="0" borderId="0" xfId="1" applyFont="1" applyFill="1" applyAlignment="1">
      <alignment horizontal="center"/>
    </xf>
    <xf numFmtId="0" fontId="17" fillId="0" borderId="0" xfId="1" applyFont="1" applyFill="1" applyBorder="1" applyAlignment="1">
      <alignment horizontal="right"/>
    </xf>
    <xf numFmtId="49" fontId="70" fillId="0" borderId="0" xfId="1" applyNumberFormat="1" applyFont="1" applyFill="1" applyBorder="1" applyAlignment="1">
      <alignment vertical="center" wrapText="1"/>
    </xf>
    <xf numFmtId="0" fontId="17" fillId="0" borderId="0" xfId="1" applyFont="1" applyFill="1" applyAlignment="1">
      <alignment horizontal="left" vertical="top"/>
    </xf>
    <xf numFmtId="0" fontId="71" fillId="0" borderId="0" xfId="1" applyFont="1" applyFill="1" applyBorder="1" applyAlignment="1">
      <alignment vertical="center" wrapText="1"/>
    </xf>
    <xf numFmtId="0" fontId="14" fillId="0" borderId="0" xfId="1" applyFont="1" applyFill="1" applyBorder="1" applyAlignment="1">
      <alignment horizontal="center" vertical="center"/>
    </xf>
    <xf numFmtId="0" fontId="14" fillId="0" borderId="0" xfId="1" applyFont="1" applyFill="1" applyBorder="1" applyAlignment="1">
      <alignment vertical="center" wrapText="1"/>
    </xf>
    <xf numFmtId="0" fontId="14" fillId="0" borderId="0" xfId="1" applyNumberFormat="1" applyFont="1" applyFill="1" applyBorder="1" applyAlignment="1">
      <alignment horizontal="center" vertical="center" wrapText="1"/>
    </xf>
    <xf numFmtId="2" fontId="14" fillId="0" borderId="0" xfId="1" applyNumberFormat="1" applyFont="1" applyFill="1" applyBorder="1" applyAlignment="1">
      <alignment horizontal="center" vertical="center" wrapText="1"/>
    </xf>
    <xf numFmtId="0" fontId="14" fillId="0" borderId="0" xfId="1" applyFont="1" applyFill="1" applyBorder="1" applyAlignment="1">
      <alignment vertical="top" wrapText="1"/>
    </xf>
    <xf numFmtId="49" fontId="20" fillId="0" borderId="0" xfId="1" applyNumberFormat="1" applyFont="1" applyFill="1" applyAlignment="1">
      <alignment horizontal="center"/>
    </xf>
    <xf numFmtId="0" fontId="20" fillId="0" borderId="0" xfId="1" applyFont="1" applyFill="1" applyAlignment="1"/>
    <xf numFmtId="49" fontId="10" fillId="0" borderId="0" xfId="1" applyNumberFormat="1" applyFont="1" applyFill="1" applyAlignment="1">
      <alignment horizontal="center"/>
    </xf>
    <xf numFmtId="49" fontId="14" fillId="0" borderId="11" xfId="1" applyNumberFormat="1" applyFont="1" applyFill="1" applyBorder="1" applyAlignment="1">
      <alignment vertical="center" wrapText="1"/>
    </xf>
    <xf numFmtId="49" fontId="71" fillId="0" borderId="0" xfId="1" applyNumberFormat="1" applyFont="1" applyFill="1" applyBorder="1" applyAlignment="1">
      <alignment vertical="center" wrapText="1"/>
    </xf>
    <xf numFmtId="0" fontId="8" fillId="0" borderId="0" xfId="1" applyFont="1" applyFill="1" applyBorder="1" applyAlignment="1">
      <alignment horizontal="center" vertical="center" wrapText="1"/>
    </xf>
    <xf numFmtId="2" fontId="23" fillId="0" borderId="0" xfId="1" applyNumberFormat="1" applyFont="1" applyFill="1" applyBorder="1" applyAlignment="1">
      <alignment horizontal="left" vertical="center"/>
    </xf>
    <xf numFmtId="0" fontId="27" fillId="0" borderId="0" xfId="1" applyFont="1" applyFill="1" applyBorder="1" applyAlignment="1">
      <alignment vertical="center"/>
    </xf>
    <xf numFmtId="0" fontId="17" fillId="0" borderId="11" xfId="1" applyFont="1" applyFill="1" applyBorder="1" applyAlignment="1">
      <alignment horizontal="center" vertical="center"/>
    </xf>
    <xf numFmtId="0" fontId="27" fillId="0" borderId="0" xfId="1" applyFont="1" applyFill="1" applyBorder="1" applyAlignment="1">
      <alignment horizontal="center" vertical="center"/>
    </xf>
    <xf numFmtId="49" fontId="17" fillId="0" borderId="0" xfId="1" applyNumberFormat="1" applyFont="1" applyFill="1" applyBorder="1" applyAlignment="1">
      <alignment vertical="top" wrapText="1"/>
    </xf>
    <xf numFmtId="0" fontId="17" fillId="0" borderId="0" xfId="1" applyFont="1" applyFill="1" applyBorder="1" applyAlignment="1">
      <alignment horizontal="center" vertical="center" wrapText="1"/>
    </xf>
    <xf numFmtId="0" fontId="7" fillId="0" borderId="0" xfId="1" applyFont="1" applyFill="1" applyBorder="1" applyAlignment="1">
      <alignment vertical="top"/>
    </xf>
    <xf numFmtId="0" fontId="8" fillId="0" borderId="0" xfId="1" applyFont="1" applyFill="1" applyAlignment="1">
      <alignment vertical="top"/>
    </xf>
    <xf numFmtId="0" fontId="8" fillId="0" borderId="0" xfId="1" applyFont="1" applyFill="1" applyBorder="1" applyAlignment="1">
      <alignment horizontal="center" vertical="top"/>
    </xf>
    <xf numFmtId="0" fontId="14" fillId="0" borderId="0" xfId="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0" fontId="76" fillId="0" borderId="11" xfId="1" applyFont="1" applyFill="1" applyBorder="1" applyAlignment="1">
      <alignment vertical="center" wrapText="1"/>
    </xf>
    <xf numFmtId="0" fontId="76" fillId="0" borderId="0" xfId="1" applyFont="1" applyFill="1" applyBorder="1" applyAlignment="1">
      <alignment vertical="center" wrapText="1"/>
    </xf>
    <xf numFmtId="0" fontId="12" fillId="3" borderId="0" xfId="1" applyFont="1" applyFill="1" applyAlignment="1">
      <alignment vertical="top" wrapText="1"/>
    </xf>
    <xf numFmtId="0" fontId="10" fillId="2" borderId="0" xfId="1" applyFont="1" applyFill="1" applyBorder="1" applyAlignment="1">
      <alignment vertical="center" wrapText="1"/>
    </xf>
    <xf numFmtId="0" fontId="7" fillId="0" borderId="0" xfId="1" applyFont="1" applyFill="1" applyBorder="1" applyAlignment="1"/>
    <xf numFmtId="0" fontId="8" fillId="0" borderId="0" xfId="1" applyFont="1" applyFill="1" applyBorder="1" applyAlignment="1">
      <alignment horizontal="center"/>
    </xf>
    <xf numFmtId="0" fontId="18" fillId="0" borderId="0" xfId="1" applyFont="1" applyFill="1" applyBorder="1" applyAlignment="1">
      <alignment vertical="center" wrapText="1"/>
    </xf>
    <xf numFmtId="0" fontId="9" fillId="0" borderId="0" xfId="1" applyFont="1" applyFill="1" applyBorder="1" applyAlignment="1">
      <alignment horizontal="center" vertical="center" wrapText="1"/>
    </xf>
    <xf numFmtId="0" fontId="37" fillId="0" borderId="0" xfId="1" applyFont="1" applyFill="1" applyBorder="1" applyAlignment="1">
      <alignment horizontal="center" vertical="center" wrapText="1"/>
    </xf>
    <xf numFmtId="2" fontId="23" fillId="0" borderId="1" xfId="1" applyNumberFormat="1" applyFont="1" applyFill="1" applyBorder="1" applyAlignment="1">
      <alignment wrapText="1"/>
    </xf>
    <xf numFmtId="0" fontId="23" fillId="0" borderId="3" xfId="1" applyFont="1" applyFill="1" applyBorder="1" applyAlignment="1">
      <alignment horizontal="center" vertical="center"/>
    </xf>
    <xf numFmtId="2" fontId="15" fillId="0" borderId="0" xfId="1" applyNumberFormat="1" applyFont="1" applyFill="1" applyBorder="1" applyAlignment="1" applyProtection="1">
      <alignment vertical="center"/>
    </xf>
    <xf numFmtId="0" fontId="12" fillId="0" borderId="0" xfId="1" applyFont="1" applyFill="1" applyBorder="1" applyAlignment="1">
      <alignment horizontal="center" vertical="top" wrapText="1"/>
    </xf>
    <xf numFmtId="0" fontId="15" fillId="0" borderId="0" xfId="1" applyFont="1" applyFill="1" applyBorder="1" applyAlignment="1">
      <alignment horizontal="left" vertical="top" wrapText="1"/>
    </xf>
    <xf numFmtId="0" fontId="12" fillId="0" borderId="0" xfId="1" applyFont="1" applyFill="1" applyBorder="1" applyAlignment="1">
      <alignment horizontal="left" vertical="top" wrapText="1"/>
    </xf>
    <xf numFmtId="0" fontId="12" fillId="0" borderId="0" xfId="1" applyFill="1" applyBorder="1" applyAlignment="1">
      <alignment horizontal="center" vertical="center" wrapText="1"/>
    </xf>
    <xf numFmtId="2" fontId="15" fillId="0" borderId="0" xfId="17" applyNumberFormat="1" applyFont="1" applyFill="1" applyBorder="1" applyAlignment="1">
      <alignment horizontal="center" vertical="center"/>
    </xf>
    <xf numFmtId="0" fontId="15" fillId="0" borderId="0" xfId="1" applyFont="1" applyFill="1" applyBorder="1"/>
    <xf numFmtId="0" fontId="23" fillId="2" borderId="0" xfId="1" applyFont="1" applyFill="1" applyBorder="1" applyAlignment="1">
      <alignment vertical="center" wrapText="1"/>
    </xf>
    <xf numFmtId="0" fontId="12" fillId="0" borderId="0" xfId="1" applyFont="1" applyFill="1" applyBorder="1" applyAlignment="1"/>
    <xf numFmtId="0" fontId="12" fillId="0" borderId="0" xfId="1" applyFill="1" applyBorder="1" applyAlignment="1">
      <alignment horizontal="center" vertical="center"/>
    </xf>
    <xf numFmtId="0" fontId="37" fillId="0" borderId="11" xfId="1" applyFont="1" applyFill="1" applyBorder="1" applyAlignment="1">
      <alignment vertical="center" wrapText="1"/>
    </xf>
    <xf numFmtId="0" fontId="37" fillId="0" borderId="0" xfId="1" applyFont="1" applyFill="1" applyBorder="1" applyAlignment="1">
      <alignment vertical="center" wrapText="1"/>
    </xf>
    <xf numFmtId="0" fontId="51" fillId="0" borderId="0" xfId="1" applyFont="1" applyFill="1"/>
    <xf numFmtId="0" fontId="67" fillId="0" borderId="0" xfId="1" applyFont="1" applyFill="1" applyAlignment="1">
      <alignment vertical="top"/>
    </xf>
    <xf numFmtId="49" fontId="18" fillId="0" borderId="0" xfId="1" applyNumberFormat="1" applyFont="1" applyFill="1" applyAlignment="1">
      <alignment vertical="center" wrapText="1"/>
    </xf>
    <xf numFmtId="0" fontId="17" fillId="0" borderId="0" xfId="1" applyFont="1" applyFill="1" applyBorder="1" applyAlignment="1">
      <alignment horizontal="center" vertical="top" wrapText="1"/>
    </xf>
    <xf numFmtId="0" fontId="17" fillId="0" borderId="0" xfId="1" quotePrefix="1" applyFont="1" applyFill="1" applyBorder="1" applyAlignment="1">
      <alignment horizontal="center" vertical="center" wrapText="1"/>
    </xf>
    <xf numFmtId="0" fontId="13" fillId="0" borderId="0" xfId="1" applyFont="1" applyFill="1" applyBorder="1" applyAlignment="1">
      <alignment horizontal="left" vertical="top" wrapText="1"/>
    </xf>
    <xf numFmtId="0" fontId="23" fillId="2" borderId="0" xfId="1" applyFont="1" applyFill="1" applyBorder="1" applyAlignment="1">
      <alignment vertical="center"/>
    </xf>
    <xf numFmtId="0" fontId="23" fillId="0" borderId="0" xfId="1" applyFont="1" applyFill="1" applyAlignment="1">
      <alignment horizontal="center"/>
    </xf>
    <xf numFmtId="0" fontId="15" fillId="0" borderId="0" xfId="1" applyFont="1" applyFill="1" applyBorder="1" applyAlignment="1">
      <alignment horizontal="left" vertical="center" wrapText="1"/>
    </xf>
    <xf numFmtId="0" fontId="3" fillId="0" borderId="0" xfId="17" applyFill="1" applyBorder="1"/>
    <xf numFmtId="0" fontId="7" fillId="0" borderId="0" xfId="17" applyFont="1" applyFill="1" applyBorder="1" applyAlignment="1"/>
    <xf numFmtId="0" fontId="8" fillId="0" borderId="0" xfId="17" applyFont="1" applyFill="1" applyBorder="1" applyAlignment="1"/>
    <xf numFmtId="0" fontId="3" fillId="0" borderId="0" xfId="17" applyFill="1"/>
    <xf numFmtId="0" fontId="8" fillId="0" borderId="0" xfId="17" applyFont="1" applyFill="1" applyBorder="1" applyAlignment="1">
      <alignment horizontal="center"/>
    </xf>
    <xf numFmtId="0" fontId="14" fillId="0" borderId="0" xfId="17" applyFont="1" applyFill="1" applyBorder="1" applyAlignment="1">
      <alignment vertical="center" wrapText="1"/>
    </xf>
    <xf numFmtId="0" fontId="14" fillId="0" borderId="0" xfId="17" applyFont="1" applyFill="1" applyBorder="1" applyAlignment="1">
      <alignment horizontal="center" vertical="center" wrapText="1"/>
    </xf>
    <xf numFmtId="0" fontId="14" fillId="0" borderId="0" xfId="17" applyFont="1" applyFill="1" applyAlignment="1">
      <alignment horizontal="center"/>
    </xf>
    <xf numFmtId="0" fontId="23" fillId="0" borderId="0" xfId="17" applyFont="1" applyFill="1" applyBorder="1" applyAlignment="1">
      <alignment horizontal="center"/>
    </xf>
    <xf numFmtId="2" fontId="23" fillId="0" borderId="1" xfId="17" applyNumberFormat="1" applyFont="1" applyFill="1" applyBorder="1" applyAlignment="1">
      <alignment wrapText="1"/>
    </xf>
    <xf numFmtId="0" fontId="23" fillId="0" borderId="4" xfId="17" applyFont="1" applyFill="1" applyBorder="1" applyAlignment="1">
      <alignment horizontal="center" vertical="center" wrapText="1"/>
    </xf>
    <xf numFmtId="0" fontId="23" fillId="0" borderId="4" xfId="17" applyFont="1" applyFill="1" applyBorder="1" applyAlignment="1">
      <alignment horizontal="center" vertical="center"/>
    </xf>
    <xf numFmtId="0" fontId="23" fillId="0" borderId="4" xfId="17" applyFont="1" applyFill="1" applyBorder="1" applyAlignment="1">
      <alignment horizontal="center"/>
    </xf>
    <xf numFmtId="0" fontId="35" fillId="0" borderId="0" xfId="17" applyFont="1" applyFill="1" applyAlignment="1">
      <alignment vertical="center"/>
    </xf>
    <xf numFmtId="0" fontId="3" fillId="0" borderId="0" xfId="17" applyFill="1" applyAlignment="1">
      <alignment horizontal="center"/>
    </xf>
    <xf numFmtId="0" fontId="3" fillId="0" borderId="0" xfId="17" applyFill="1" applyAlignment="1">
      <alignment horizontal="center" vertical="center"/>
    </xf>
    <xf numFmtId="2" fontId="3" fillId="0" borderId="0" xfId="17" applyNumberFormat="1" applyFill="1"/>
    <xf numFmtId="0" fontId="109" fillId="0" borderId="0" xfId="17" applyFont="1" applyFill="1"/>
    <xf numFmtId="0" fontId="15" fillId="0" borderId="0" xfId="17" applyFont="1" applyFill="1"/>
    <xf numFmtId="0" fontId="15" fillId="0" borderId="0" xfId="17" applyFont="1" applyFill="1" applyBorder="1" applyAlignment="1">
      <alignment horizontal="center" vertical="center" wrapText="1"/>
    </xf>
    <xf numFmtId="0" fontId="15" fillId="0" borderId="0" xfId="17" applyFont="1" applyFill="1" applyBorder="1" applyAlignment="1">
      <alignment vertical="center" wrapText="1"/>
    </xf>
    <xf numFmtId="0" fontId="15" fillId="0" borderId="0" xfId="17" applyFont="1" applyFill="1" applyBorder="1" applyAlignment="1">
      <alignment horizontal="center" vertical="top" wrapText="1"/>
    </xf>
    <xf numFmtId="2" fontId="15" fillId="0" borderId="0" xfId="17" applyNumberFormat="1" applyFont="1" applyFill="1" applyBorder="1" applyAlignment="1">
      <alignment horizontal="left" vertical="center" wrapText="1"/>
    </xf>
    <xf numFmtId="2" fontId="23" fillId="0" borderId="0" xfId="17" applyNumberFormat="1" applyFont="1" applyFill="1" applyAlignment="1">
      <alignment horizontal="center"/>
    </xf>
    <xf numFmtId="0" fontId="14" fillId="0" borderId="9" xfId="1" applyFont="1" applyFill="1" applyBorder="1" applyAlignment="1">
      <alignment horizontal="center" vertical="center"/>
    </xf>
    <xf numFmtId="0" fontId="14" fillId="0" borderId="4" xfId="1" quotePrefix="1" applyFont="1" applyFill="1" applyBorder="1" applyAlignment="1">
      <alignment horizontal="center" vertical="top"/>
    </xf>
    <xf numFmtId="0" fontId="14" fillId="0" borderId="4" xfId="1" quotePrefix="1" applyFont="1" applyFill="1" applyBorder="1" applyAlignment="1">
      <alignment horizontal="center" vertical="top" wrapText="1"/>
    </xf>
    <xf numFmtId="0" fontId="110" fillId="0" borderId="0" xfId="1" applyFont="1" applyFill="1" applyBorder="1" applyAlignment="1">
      <alignment vertical="top" wrapText="1"/>
    </xf>
    <xf numFmtId="0" fontId="110" fillId="0" borderId="0" xfId="1" applyNumberFormat="1" applyFont="1" applyFill="1" applyBorder="1" applyAlignment="1">
      <alignment horizontal="center" vertical="center"/>
    </xf>
    <xf numFmtId="0" fontId="110" fillId="0" borderId="0" xfId="1" applyFont="1" applyFill="1" applyBorder="1" applyAlignment="1">
      <alignment horizontal="center" vertical="center"/>
    </xf>
    <xf numFmtId="2" fontId="110" fillId="0" borderId="0" xfId="1" applyNumberFormat="1" applyFont="1" applyFill="1" applyBorder="1" applyAlignment="1">
      <alignment horizontal="center" vertical="center"/>
    </xf>
    <xf numFmtId="0" fontId="17" fillId="0" borderId="0" xfId="1" applyNumberFormat="1" applyFont="1" applyFill="1" applyBorder="1" applyAlignment="1">
      <alignment horizontal="left" vertical="center"/>
    </xf>
    <xf numFmtId="49" fontId="17" fillId="0" borderId="0" xfId="1" applyNumberFormat="1" applyFont="1" applyFill="1" applyBorder="1" applyAlignment="1">
      <alignment horizontal="left" vertical="center"/>
    </xf>
    <xf numFmtId="0" fontId="50" fillId="0" borderId="0" xfId="1" applyFont="1" applyFill="1" applyBorder="1" applyAlignment="1">
      <alignment vertical="top" wrapText="1"/>
    </xf>
    <xf numFmtId="172" fontId="50" fillId="0" borderId="0" xfId="1" applyNumberFormat="1" applyFont="1" applyFill="1" applyBorder="1" applyAlignment="1">
      <alignment horizontal="center" vertical="top"/>
    </xf>
    <xf numFmtId="0" fontId="17" fillId="0" borderId="4" xfId="1" applyFont="1" applyFill="1" applyBorder="1" applyAlignment="1">
      <alignment horizontal="left" vertical="top" wrapText="1"/>
    </xf>
    <xf numFmtId="0" fontId="9" fillId="0" borderId="0" xfId="1" applyFont="1" applyFill="1" applyBorder="1" applyAlignment="1">
      <alignment horizontal="center" vertical="center" wrapText="1"/>
    </xf>
    <xf numFmtId="0" fontId="23" fillId="0" borderId="11" xfId="1" applyFont="1" applyFill="1" applyBorder="1" applyAlignment="1">
      <alignment vertical="center" wrapText="1"/>
    </xf>
    <xf numFmtId="0" fontId="10" fillId="0" borderId="0" xfId="1" applyFont="1" applyFill="1" applyAlignment="1">
      <alignment vertical="center"/>
    </xf>
    <xf numFmtId="0" fontId="23" fillId="0" borderId="6" xfId="1" applyFont="1" applyFill="1" applyBorder="1" applyAlignment="1">
      <alignment horizontal="center" vertical="center" wrapText="1"/>
    </xf>
    <xf numFmtId="0" fontId="12" fillId="0" borderId="11" xfId="1" applyFont="1" applyFill="1" applyBorder="1" applyAlignment="1"/>
    <xf numFmtId="49" fontId="23" fillId="0" borderId="11" xfId="1" applyNumberFormat="1" applyFont="1" applyFill="1" applyBorder="1" applyAlignment="1">
      <alignment vertical="center" wrapText="1"/>
    </xf>
    <xf numFmtId="0" fontId="15" fillId="0" borderId="0" xfId="1" applyFont="1" applyFill="1" applyAlignment="1">
      <alignment vertical="center" wrapText="1"/>
    </xf>
    <xf numFmtId="2" fontId="16" fillId="0" borderId="0" xfId="1" applyNumberFormat="1" applyFont="1" applyFill="1" applyBorder="1" applyAlignment="1">
      <alignment horizontal="left" vertical="center"/>
    </xf>
    <xf numFmtId="49" fontId="17" fillId="0" borderId="0" xfId="1" applyNumberFormat="1" applyFont="1" applyFill="1" applyBorder="1" applyAlignment="1">
      <alignment wrapText="1"/>
    </xf>
    <xf numFmtId="0" fontId="14" fillId="0" borderId="0" xfId="1" applyFont="1" applyFill="1" applyAlignment="1">
      <alignment vertical="top" wrapText="1"/>
    </xf>
    <xf numFmtId="2" fontId="12" fillId="0" borderId="0" xfId="1" applyNumberFormat="1" applyFill="1" applyBorder="1" applyAlignment="1">
      <alignment horizontal="center" vertical="center" wrapText="1"/>
    </xf>
    <xf numFmtId="49" fontId="10" fillId="0" borderId="11" xfId="1" applyNumberFormat="1" applyFont="1" applyFill="1" applyBorder="1" applyAlignment="1">
      <alignment vertical="center" wrapText="1"/>
    </xf>
    <xf numFmtId="0" fontId="12" fillId="0" borderId="0" xfId="1" applyFill="1" applyAlignment="1">
      <alignment vertical="center" wrapText="1"/>
    </xf>
    <xf numFmtId="49" fontId="12" fillId="0" borderId="11" xfId="1" applyNumberFormat="1" applyFont="1" applyFill="1" applyBorder="1" applyAlignment="1">
      <alignment vertical="center" wrapText="1"/>
    </xf>
    <xf numFmtId="0" fontId="112" fillId="0" borderId="0" xfId="1" applyFont="1" applyFill="1" applyBorder="1" applyAlignment="1">
      <alignment horizontal="center"/>
    </xf>
    <xf numFmtId="0" fontId="23" fillId="0" borderId="3" xfId="1" applyNumberFormat="1" applyFont="1" applyFill="1" applyBorder="1" applyAlignment="1">
      <alignment horizontal="center" vertical="center" wrapText="1"/>
    </xf>
    <xf numFmtId="0" fontId="13" fillId="0" borderId="11" xfId="1" applyFont="1" applyFill="1" applyBorder="1" applyAlignment="1">
      <alignment vertical="center" wrapText="1"/>
    </xf>
    <xf numFmtId="0" fontId="13" fillId="0" borderId="0" xfId="1" applyFont="1" applyFill="1" applyBorder="1" applyAlignment="1">
      <alignment vertical="center" wrapText="1"/>
    </xf>
    <xf numFmtId="2" fontId="15" fillId="0" borderId="0" xfId="1" applyNumberFormat="1" applyFont="1" applyFill="1" applyBorder="1" applyAlignment="1">
      <alignment horizontal="center" vertical="top" wrapText="1"/>
    </xf>
    <xf numFmtId="0" fontId="12" fillId="0" borderId="0" xfId="1" applyFont="1" applyFill="1" applyBorder="1" applyAlignment="1">
      <alignment horizontal="left" vertical="center" wrapText="1"/>
    </xf>
    <xf numFmtId="0" fontId="3" fillId="0" borderId="0" xfId="17"/>
    <xf numFmtId="0" fontId="113" fillId="0" borderId="0" xfId="17" applyFont="1" applyAlignment="1">
      <alignment vertical="top"/>
    </xf>
    <xf numFmtId="0" fontId="3" fillId="0" borderId="0" xfId="17" applyAlignment="1">
      <alignment horizontal="center" vertical="center"/>
    </xf>
    <xf numFmtId="2" fontId="3" fillId="0" borderId="0" xfId="17" applyNumberFormat="1"/>
    <xf numFmtId="0" fontId="15" fillId="0" borderId="4" xfId="17" applyFont="1" applyFill="1" applyBorder="1" applyAlignment="1">
      <alignment horizontal="center" vertical="center" wrapText="1"/>
    </xf>
    <xf numFmtId="0" fontId="15" fillId="0" borderId="4" xfId="17" applyFont="1" applyFill="1" applyBorder="1" applyAlignment="1">
      <alignment horizontal="left" vertical="center" wrapText="1"/>
    </xf>
    <xf numFmtId="0" fontId="50" fillId="0" borderId="0" xfId="1" applyNumberFormat="1" applyFont="1" applyFill="1" applyBorder="1" applyAlignment="1">
      <alignment horizontal="center" vertical="top"/>
    </xf>
    <xf numFmtId="0" fontId="12" fillId="0" borderId="0" xfId="1" applyFill="1" applyBorder="1" applyAlignment="1">
      <alignment horizontal="center" vertical="top" wrapText="1"/>
    </xf>
    <xf numFmtId="0" fontId="12" fillId="0" borderId="0" xfId="1" applyFill="1" applyBorder="1" applyAlignment="1">
      <alignment vertical="top" wrapText="1"/>
    </xf>
    <xf numFmtId="0" fontId="17" fillId="0" borderId="0"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9" fillId="0" borderId="0" xfId="1" applyFont="1" applyFill="1" applyBorder="1" applyAlignment="1">
      <alignment horizontal="center" vertical="center" wrapText="1"/>
    </xf>
    <xf numFmtId="0" fontId="17" fillId="0" borderId="0" xfId="1" applyFont="1" applyFill="1" applyAlignment="1">
      <alignment horizontal="center"/>
    </xf>
    <xf numFmtId="1" fontId="12" fillId="0" borderId="4" xfId="1" applyNumberFormat="1" applyFill="1" applyBorder="1" applyAlignment="1">
      <alignment horizontal="center" vertical="center" wrapText="1"/>
    </xf>
    <xf numFmtId="49" fontId="12" fillId="0" borderId="4" xfId="1" applyNumberFormat="1" applyFont="1" applyFill="1" applyBorder="1" applyAlignment="1">
      <alignment horizontal="center" vertical="center" wrapText="1"/>
    </xf>
    <xf numFmtId="2" fontId="44" fillId="0" borderId="4" xfId="1" applyNumberFormat="1" applyFont="1" applyFill="1" applyBorder="1" applyAlignment="1">
      <alignment horizontal="center" vertical="center" wrapText="1"/>
    </xf>
    <xf numFmtId="2" fontId="12" fillId="0" borderId="4" xfId="1" applyNumberFormat="1" applyFill="1" applyBorder="1" applyAlignment="1">
      <alignment horizontal="center" vertical="center" wrapText="1"/>
    </xf>
    <xf numFmtId="0" fontId="12" fillId="0" borderId="4" xfId="1" applyFill="1" applyBorder="1" applyAlignment="1">
      <alignment vertical="top" wrapText="1"/>
    </xf>
    <xf numFmtId="0" fontId="12" fillId="0" borderId="4" xfId="1" applyNumberFormat="1" applyFont="1" applyFill="1" applyBorder="1" applyAlignment="1">
      <alignment horizontal="center" vertical="center" wrapText="1"/>
    </xf>
    <xf numFmtId="1" fontId="12" fillId="0" borderId="4" xfId="1" applyNumberFormat="1" applyFill="1" applyBorder="1" applyAlignment="1">
      <alignment horizontal="left" vertical="center" wrapText="1"/>
    </xf>
    <xf numFmtId="0" fontId="12" fillId="0" borderId="3" xfId="1" applyFill="1" applyBorder="1" applyAlignment="1">
      <alignment horizontal="center" vertical="center" wrapText="1"/>
    </xf>
    <xf numFmtId="0" fontId="12" fillId="0" borderId="4" xfId="1" applyFill="1" applyBorder="1" applyAlignment="1">
      <alignment horizontal="center" vertical="top" wrapText="1"/>
    </xf>
    <xf numFmtId="1" fontId="12" fillId="0" borderId="10" xfId="1" applyNumberFormat="1" applyFill="1" applyBorder="1" applyAlignment="1">
      <alignment vertical="center" wrapText="1"/>
    </xf>
    <xf numFmtId="1" fontId="12" fillId="0" borderId="12" xfId="1" applyNumberFormat="1" applyFill="1" applyBorder="1" applyAlignment="1">
      <alignment vertical="center" wrapText="1"/>
    </xf>
    <xf numFmtId="1" fontId="12" fillId="0" borderId="9" xfId="1" applyNumberFormat="1" applyFill="1" applyBorder="1" applyAlignment="1">
      <alignment vertical="center" wrapText="1"/>
    </xf>
    <xf numFmtId="2" fontId="10" fillId="0" borderId="4" xfId="1" applyNumberFormat="1" applyFont="1" applyFill="1" applyBorder="1" applyAlignment="1">
      <alignment horizontal="center" vertical="center" wrapText="1"/>
    </xf>
    <xf numFmtId="0" fontId="10" fillId="0" borderId="3" xfId="1" applyFont="1" applyFill="1" applyBorder="1" applyAlignment="1">
      <alignment horizontal="center" vertical="center" wrapText="1"/>
    </xf>
    <xf numFmtId="1" fontId="12" fillId="0" borderId="4" xfId="1" applyNumberFormat="1" applyFill="1" applyBorder="1" applyAlignment="1">
      <alignment vertical="center" wrapText="1"/>
    </xf>
    <xf numFmtId="164" fontId="12" fillId="0" borderId="4" xfId="1" applyNumberFormat="1" applyFill="1" applyBorder="1" applyAlignment="1">
      <alignment horizontal="center" vertical="center" wrapText="1"/>
    </xf>
    <xf numFmtId="1" fontId="10" fillId="0" borderId="4" xfId="1" applyNumberFormat="1" applyFont="1" applyFill="1" applyBorder="1" applyAlignment="1">
      <alignment horizontal="center" vertical="center" wrapText="1"/>
    </xf>
    <xf numFmtId="0" fontId="10" fillId="0" borderId="4" xfId="1" applyFont="1" applyFill="1" applyBorder="1" applyAlignment="1">
      <alignment vertical="center" wrapText="1"/>
    </xf>
    <xf numFmtId="2" fontId="76" fillId="0" borderId="0" xfId="1" applyNumberFormat="1" applyFont="1" applyFill="1" applyBorder="1" applyAlignment="1">
      <alignment horizontal="center" vertical="center" wrapText="1"/>
    </xf>
    <xf numFmtId="171" fontId="15" fillId="0" borderId="0" xfId="1" applyNumberFormat="1" applyFont="1" applyFill="1" applyBorder="1" applyAlignment="1">
      <alignment horizontal="center" vertical="center"/>
    </xf>
    <xf numFmtId="0" fontId="15" fillId="0" borderId="4" xfId="1" applyFont="1" applyFill="1" applyBorder="1" applyAlignment="1">
      <alignment horizontal="center" vertical="top" wrapText="1"/>
    </xf>
    <xf numFmtId="0" fontId="15" fillId="0" borderId="3" xfId="1" applyNumberFormat="1" applyFont="1" applyFill="1" applyBorder="1" applyAlignment="1">
      <alignment horizontal="center" vertical="center" wrapText="1"/>
    </xf>
    <xf numFmtId="0" fontId="15" fillId="0" borderId="4" xfId="1" applyFont="1" applyFill="1" applyBorder="1" applyAlignment="1">
      <alignment horizontal="left" vertical="top" wrapText="1"/>
    </xf>
    <xf numFmtId="0" fontId="15" fillId="0" borderId="3" xfId="1" applyNumberFormat="1" applyFont="1" applyFill="1" applyBorder="1" applyAlignment="1">
      <alignment horizontal="center" vertical="top" wrapText="1"/>
    </xf>
    <xf numFmtId="0" fontId="15" fillId="0" borderId="6" xfId="1" applyNumberFormat="1" applyFont="1" applyFill="1" applyBorder="1" applyAlignment="1">
      <alignment horizontal="center" vertical="center"/>
    </xf>
    <xf numFmtId="0" fontId="15" fillId="0" borderId="4" xfId="1" applyFont="1" applyFill="1" applyBorder="1" applyAlignment="1">
      <alignment vertical="top" wrapText="1"/>
    </xf>
    <xf numFmtId="0" fontId="15" fillId="0" borderId="3" xfId="1" applyNumberFormat="1" applyFont="1" applyFill="1" applyBorder="1" applyAlignment="1">
      <alignment vertical="top" wrapText="1"/>
    </xf>
    <xf numFmtId="2" fontId="15" fillId="0" borderId="4" xfId="1" applyNumberFormat="1" applyFont="1" applyFill="1" applyBorder="1" applyAlignment="1">
      <alignment horizontal="center" vertical="top" wrapText="1"/>
    </xf>
    <xf numFmtId="0" fontId="23" fillId="0" borderId="4" xfId="1" applyNumberFormat="1" applyFont="1" applyFill="1" applyBorder="1" applyAlignment="1">
      <alignment horizontal="left" vertical="top" wrapText="1"/>
    </xf>
    <xf numFmtId="0" fontId="23" fillId="0" borderId="4" xfId="1" applyFont="1" applyFill="1" applyBorder="1" applyAlignment="1">
      <alignment vertical="top" wrapText="1"/>
    </xf>
    <xf numFmtId="2" fontId="23" fillId="0" borderId="4" xfId="1" applyNumberFormat="1" applyFont="1" applyFill="1" applyBorder="1" applyAlignment="1">
      <alignment horizontal="center" vertical="top" wrapText="1"/>
    </xf>
    <xf numFmtId="0" fontId="23" fillId="0" borderId="12" xfId="1" applyFont="1" applyFill="1" applyBorder="1" applyAlignment="1">
      <alignment vertical="top" wrapText="1"/>
    </xf>
    <xf numFmtId="0" fontId="23" fillId="0" borderId="12" xfId="1" applyFont="1" applyFill="1" applyBorder="1" applyAlignment="1">
      <alignment horizontal="center" vertical="top" wrapText="1"/>
    </xf>
    <xf numFmtId="0" fontId="15" fillId="0" borderId="4" xfId="1" applyFont="1" applyFill="1" applyBorder="1" applyAlignment="1"/>
    <xf numFmtId="0" fontId="15" fillId="0" borderId="12" xfId="1" applyFont="1" applyFill="1" applyBorder="1" applyAlignment="1"/>
    <xf numFmtId="0" fontId="15" fillId="0" borderId="12" xfId="1" applyFont="1" applyFill="1" applyBorder="1" applyAlignment="1">
      <alignment horizontal="center"/>
    </xf>
    <xf numFmtId="10" fontId="15" fillId="0" borderId="4" xfId="1" applyNumberFormat="1" applyFont="1" applyFill="1" applyBorder="1" applyAlignment="1">
      <alignment horizontal="right" vertical="center" wrapText="1"/>
    </xf>
    <xf numFmtId="2" fontId="15" fillId="0" borderId="4" xfId="17" applyNumberFormat="1" applyFont="1" applyFill="1" applyBorder="1" applyAlignment="1">
      <alignment horizontal="center" vertical="center"/>
    </xf>
    <xf numFmtId="0" fontId="15" fillId="0" borderId="4" xfId="1" applyFont="1" applyFill="1" applyBorder="1" applyAlignment="1">
      <alignment horizontal="left" wrapText="1"/>
    </xf>
    <xf numFmtId="0" fontId="15" fillId="0" borderId="4" xfId="1" applyFont="1" applyFill="1" applyBorder="1" applyAlignment="1">
      <alignment horizontal="center" wrapText="1"/>
    </xf>
    <xf numFmtId="0" fontId="15" fillId="0" borderId="4" xfId="2" applyFont="1" applyFill="1" applyBorder="1" applyAlignment="1">
      <alignment horizontal="center" vertical="center" wrapText="1"/>
    </xf>
    <xf numFmtId="9" fontId="12" fillId="0" borderId="4" xfId="1" applyNumberFormat="1" applyFont="1" applyFill="1" applyBorder="1" applyAlignment="1">
      <alignment horizontal="center" vertical="center" wrapText="1"/>
    </xf>
    <xf numFmtId="9" fontId="15" fillId="0" borderId="4" xfId="1" applyNumberFormat="1" applyFont="1" applyFill="1" applyBorder="1" applyAlignment="1">
      <alignment horizontal="center" vertical="center" wrapText="1"/>
    </xf>
    <xf numFmtId="0" fontId="23" fillId="0" borderId="10" xfId="1" applyFont="1" applyFill="1" applyBorder="1" applyAlignment="1">
      <alignment horizontal="center" vertical="top" wrapText="1"/>
    </xf>
    <xf numFmtId="0" fontId="9" fillId="0" borderId="0" xfId="17" applyFont="1" applyFill="1" applyBorder="1" applyAlignment="1">
      <alignment horizontal="center"/>
    </xf>
    <xf numFmtId="49" fontId="15" fillId="0" borderId="4" xfId="17" applyNumberFormat="1" applyFont="1" applyFill="1" applyBorder="1" applyAlignment="1">
      <alignment vertical="top" wrapText="1"/>
    </xf>
    <xf numFmtId="0" fontId="15" fillId="0" borderId="4" xfId="17" applyNumberFormat="1" applyFont="1" applyFill="1" applyBorder="1" applyAlignment="1">
      <alignment horizontal="center" vertical="center" wrapText="1"/>
    </xf>
    <xf numFmtId="2" fontId="15" fillId="0" borderId="4" xfId="17" applyNumberFormat="1" applyFont="1" applyFill="1" applyBorder="1" applyAlignment="1">
      <alignment horizontal="center" vertical="center" wrapText="1"/>
    </xf>
    <xf numFmtId="0" fontId="15" fillId="0" borderId="4" xfId="17" applyFont="1" applyFill="1" applyBorder="1" applyAlignment="1">
      <alignment horizontal="left" vertical="top" wrapText="1"/>
    </xf>
    <xf numFmtId="0" fontId="108" fillId="0" borderId="0" xfId="17" applyFont="1" applyFill="1" applyAlignment="1">
      <alignment horizontal="center" vertical="center"/>
    </xf>
    <xf numFmtId="0" fontId="15" fillId="0" borderId="3" xfId="17" applyNumberFormat="1" applyFont="1" applyFill="1" applyBorder="1" applyAlignment="1">
      <alignment horizontal="center" vertical="center" wrapText="1"/>
    </xf>
    <xf numFmtId="0" fontId="15" fillId="0" borderId="3" xfId="17" applyFont="1" applyFill="1" applyBorder="1" applyAlignment="1">
      <alignment horizontal="center" vertical="center" wrapText="1"/>
    </xf>
    <xf numFmtId="0" fontId="15" fillId="0" borderId="4" xfId="17" applyFont="1" applyFill="1" applyBorder="1" applyAlignment="1">
      <alignment vertical="center" wrapText="1"/>
    </xf>
    <xf numFmtId="0" fontId="15" fillId="0" borderId="4" xfId="17" applyFont="1" applyFill="1" applyBorder="1" applyAlignment="1">
      <alignment vertical="top" wrapText="1"/>
    </xf>
    <xf numFmtId="0" fontId="15" fillId="0" borderId="6" xfId="17" applyNumberFormat="1" applyFont="1" applyFill="1" applyBorder="1" applyAlignment="1">
      <alignment horizontal="center" vertical="center"/>
    </xf>
    <xf numFmtId="0" fontId="15" fillId="0" borderId="4" xfId="17" applyFont="1" applyFill="1" applyBorder="1" applyAlignment="1">
      <alignment horizontal="center" vertical="center"/>
    </xf>
    <xf numFmtId="0" fontId="13" fillId="0" borderId="4" xfId="17" applyFont="1" applyFill="1" applyBorder="1" applyAlignment="1">
      <alignment horizontal="center" vertical="top" wrapText="1"/>
    </xf>
    <xf numFmtId="0" fontId="15" fillId="0" borderId="4" xfId="17" applyFont="1" applyFill="1" applyBorder="1" applyAlignment="1">
      <alignment horizontal="center" vertical="top" wrapText="1"/>
    </xf>
    <xf numFmtId="0" fontId="15" fillId="0" borderId="3" xfId="17" applyNumberFormat="1" applyFont="1" applyFill="1" applyBorder="1" applyAlignment="1">
      <alignment vertical="top" wrapText="1"/>
    </xf>
    <xf numFmtId="2" fontId="15" fillId="0" borderId="4" xfId="17" applyNumberFormat="1" applyFont="1" applyFill="1" applyBorder="1" applyAlignment="1">
      <alignment horizontal="center" vertical="top" wrapText="1"/>
    </xf>
    <xf numFmtId="0" fontId="23" fillId="0" borderId="4" xfId="17" applyNumberFormat="1" applyFont="1" applyFill="1" applyBorder="1" applyAlignment="1">
      <alignment horizontal="left" vertical="top" wrapText="1"/>
    </xf>
    <xf numFmtId="0" fontId="23" fillId="0" borderId="4" xfId="17" applyFont="1" applyFill="1" applyBorder="1" applyAlignment="1">
      <alignment vertical="top" wrapText="1"/>
    </xf>
    <xf numFmtId="0" fontId="23" fillId="0" borderId="4" xfId="17" applyFont="1" applyFill="1" applyBorder="1" applyAlignment="1">
      <alignment horizontal="center" vertical="top" wrapText="1"/>
    </xf>
    <xf numFmtId="2" fontId="23" fillId="0" borderId="4" xfId="17" applyNumberFormat="1" applyFont="1" applyFill="1" applyBorder="1" applyAlignment="1">
      <alignment horizontal="center" vertical="top" wrapText="1"/>
    </xf>
    <xf numFmtId="0" fontId="23" fillId="0" borderId="12" xfId="17" applyFont="1" applyFill="1" applyBorder="1" applyAlignment="1">
      <alignment vertical="top" wrapText="1"/>
    </xf>
    <xf numFmtId="0" fontId="23" fillId="0" borderId="12" xfId="17" applyFont="1" applyFill="1" applyBorder="1" applyAlignment="1">
      <alignment horizontal="center" vertical="top" wrapText="1"/>
    </xf>
    <xf numFmtId="0" fontId="15" fillId="0" borderId="4" xfId="17" applyFont="1" applyFill="1" applyBorder="1" applyAlignment="1"/>
    <xf numFmtId="0" fontId="15" fillId="0" borderId="12" xfId="17" applyFont="1" applyFill="1" applyBorder="1" applyAlignment="1"/>
    <xf numFmtId="0" fontId="15" fillId="0" borderId="12" xfId="17" applyFont="1" applyFill="1" applyBorder="1" applyAlignment="1">
      <alignment horizontal="center"/>
    </xf>
    <xf numFmtId="10" fontId="15" fillId="0" borderId="4" xfId="17" applyNumberFormat="1" applyFont="1" applyFill="1" applyBorder="1" applyAlignment="1">
      <alignment horizontal="right" vertical="center" wrapText="1"/>
    </xf>
    <xf numFmtId="2" fontId="23" fillId="0" borderId="4" xfId="17" applyNumberFormat="1" applyFont="1" applyFill="1" applyBorder="1" applyAlignment="1">
      <alignment horizontal="center" vertical="center"/>
    </xf>
    <xf numFmtId="0" fontId="15" fillId="0" borderId="4" xfId="17" applyFont="1" applyFill="1" applyBorder="1" applyAlignment="1">
      <alignment horizontal="left" wrapText="1"/>
    </xf>
    <xf numFmtId="0" fontId="15" fillId="0" borderId="4" xfId="17" applyFont="1" applyFill="1" applyBorder="1" applyAlignment="1">
      <alignment horizontal="center" wrapText="1"/>
    </xf>
    <xf numFmtId="9" fontId="15" fillId="0" borderId="4" xfId="17" applyNumberFormat="1" applyFont="1" applyFill="1" applyBorder="1" applyAlignment="1">
      <alignment horizontal="center" vertical="center" wrapText="1"/>
    </xf>
    <xf numFmtId="0" fontId="12" fillId="0" borderId="10" xfId="1" applyNumberFormat="1" applyFont="1" applyFill="1" applyBorder="1" applyAlignment="1"/>
    <xf numFmtId="0" fontId="12" fillId="0" borderId="12" xfId="1" applyNumberFormat="1" applyFont="1" applyFill="1" applyBorder="1" applyAlignment="1"/>
    <xf numFmtId="0" fontId="12" fillId="0" borderId="9" xfId="1" applyNumberFormat="1" applyFont="1" applyFill="1" applyBorder="1" applyAlignment="1"/>
    <xf numFmtId="0" fontId="12" fillId="0" borderId="4" xfId="1" applyNumberFormat="1" applyFont="1" applyFill="1" applyBorder="1" applyAlignment="1"/>
    <xf numFmtId="0" fontId="12" fillId="0" borderId="10" xfId="1" applyNumberFormat="1" applyFont="1" applyFill="1" applyBorder="1" applyAlignment="1">
      <alignment horizontal="center" vertical="center"/>
    </xf>
    <xf numFmtId="2" fontId="12" fillId="0" borderId="4" xfId="1" applyNumberFormat="1" applyFont="1" applyFill="1" applyBorder="1" applyAlignment="1">
      <alignment vertical="center"/>
    </xf>
    <xf numFmtId="1" fontId="12" fillId="0" borderId="4" xfId="1" applyNumberFormat="1" applyFont="1" applyFill="1" applyBorder="1" applyAlignment="1">
      <alignment horizontal="center" vertical="center"/>
    </xf>
    <xf numFmtId="165" fontId="12" fillId="0" borderId="4" xfId="1" quotePrefix="1" applyNumberFormat="1" applyFont="1" applyFill="1" applyBorder="1" applyAlignment="1">
      <alignment horizontal="center" vertical="center"/>
    </xf>
    <xf numFmtId="2" fontId="12" fillId="0" borderId="4" xfId="1" quotePrefix="1" applyNumberFormat="1" applyFont="1" applyFill="1" applyBorder="1" applyAlignment="1">
      <alignment horizontal="center" vertical="center"/>
    </xf>
    <xf numFmtId="0" fontId="12" fillId="0" borderId="4" xfId="1" applyFont="1" applyFill="1" applyBorder="1" applyAlignment="1">
      <alignment horizontal="center" vertical="top"/>
    </xf>
    <xf numFmtId="0" fontId="12" fillId="0" borderId="4" xfId="1" applyNumberFormat="1" applyFont="1" applyFill="1" applyBorder="1" applyAlignment="1">
      <alignment horizontal="center" vertical="center"/>
    </xf>
    <xf numFmtId="0" fontId="12" fillId="0" borderId="3" xfId="1" applyFont="1" applyFill="1" applyBorder="1" applyAlignment="1">
      <alignment horizontal="center" vertical="top"/>
    </xf>
    <xf numFmtId="0" fontId="12" fillId="0" borderId="3" xfId="1" applyFont="1" applyFill="1" applyBorder="1" applyAlignment="1">
      <alignment vertical="center" wrapText="1"/>
    </xf>
    <xf numFmtId="0" fontId="12" fillId="0" borderId="13" xfId="1" applyNumberFormat="1" applyFont="1" applyFill="1" applyBorder="1" applyAlignment="1">
      <alignment horizontal="center" vertical="center"/>
    </xf>
    <xf numFmtId="49" fontId="12" fillId="0" borderId="10" xfId="1" applyNumberFormat="1" applyFont="1" applyFill="1" applyBorder="1" applyAlignment="1">
      <alignment horizontal="center" vertical="center"/>
    </xf>
    <xf numFmtId="0" fontId="10" fillId="0" borderId="4" xfId="1" applyFont="1" applyFill="1" applyBorder="1" applyAlignment="1">
      <alignment vertical="top" wrapText="1"/>
    </xf>
    <xf numFmtId="21" fontId="12" fillId="0" borderId="4" xfId="1" applyNumberFormat="1" applyFont="1" applyFill="1" applyBorder="1" applyAlignment="1">
      <alignment horizontal="center" vertical="center"/>
    </xf>
    <xf numFmtId="0" fontId="12" fillId="0" borderId="10" xfId="1" applyNumberFormat="1" applyFont="1" applyFill="1" applyBorder="1" applyAlignment="1">
      <alignment vertical="center"/>
    </xf>
    <xf numFmtId="0" fontId="12" fillId="0" borderId="12" xfId="1" applyNumberFormat="1" applyFont="1" applyFill="1" applyBorder="1" applyAlignment="1">
      <alignment vertical="center"/>
    </xf>
    <xf numFmtId="0" fontId="12" fillId="0" borderId="9" xfId="1" applyNumberFormat="1" applyFont="1" applyFill="1" applyBorder="1" applyAlignment="1">
      <alignment vertical="center"/>
    </xf>
    <xf numFmtId="1" fontId="12" fillId="0" borderId="4" xfId="1" applyNumberFormat="1" applyFont="1" applyFill="1" applyBorder="1" applyAlignment="1">
      <alignment vertical="center"/>
    </xf>
    <xf numFmtId="0" fontId="12" fillId="0" borderId="4" xfId="1" applyNumberFormat="1" applyFont="1" applyFill="1" applyBorder="1" applyAlignment="1">
      <alignment vertical="center"/>
    </xf>
    <xf numFmtId="0" fontId="12" fillId="0" borderId="3" xfId="1" quotePrefix="1" applyFont="1" applyFill="1" applyBorder="1" applyAlignment="1">
      <alignment horizontal="center" vertical="center"/>
    </xf>
    <xf numFmtId="2" fontId="12" fillId="0" borderId="3" xfId="1" applyNumberFormat="1" applyFill="1" applyBorder="1" applyAlignment="1">
      <alignment horizontal="center" vertical="center"/>
    </xf>
    <xf numFmtId="2" fontId="12" fillId="0" borderId="3" xfId="1" applyNumberFormat="1" applyFont="1" applyFill="1" applyBorder="1" applyAlignment="1">
      <alignment horizontal="center" vertical="center"/>
    </xf>
    <xf numFmtId="1" fontId="12" fillId="0" borderId="3" xfId="1" applyNumberFormat="1" applyFont="1" applyFill="1" applyBorder="1" applyAlignment="1">
      <alignment horizontal="center" vertical="center"/>
    </xf>
    <xf numFmtId="0" fontId="12" fillId="0" borderId="10" xfId="1" applyFont="1" applyFill="1" applyBorder="1" applyAlignment="1">
      <alignment horizontal="left" vertical="center" wrapText="1"/>
    </xf>
    <xf numFmtId="0" fontId="12" fillId="0" borderId="14" xfId="1" applyNumberFormat="1" applyFont="1" applyFill="1" applyBorder="1" applyAlignment="1">
      <alignment horizontal="center" vertical="center"/>
    </xf>
    <xf numFmtId="2" fontId="12" fillId="0" borderId="6" xfId="1" applyNumberFormat="1" applyFont="1" applyFill="1" applyBorder="1" applyAlignment="1">
      <alignment horizontal="center" vertical="center"/>
    </xf>
    <xf numFmtId="2" fontId="12" fillId="0" borderId="6" xfId="1" applyNumberFormat="1" applyFill="1" applyBorder="1" applyAlignment="1">
      <alignment horizontal="center" vertical="center"/>
    </xf>
    <xf numFmtId="0" fontId="12" fillId="0" borderId="6" xfId="1" quotePrefix="1" applyFont="1" applyFill="1" applyBorder="1" applyAlignment="1">
      <alignment horizontal="center" vertical="center"/>
    </xf>
    <xf numFmtId="2" fontId="12" fillId="0" borderId="6" xfId="1" applyNumberFormat="1" applyFont="1" applyFill="1" applyBorder="1" applyAlignment="1">
      <alignment vertical="center"/>
    </xf>
    <xf numFmtId="0" fontId="10" fillId="0" borderId="4" xfId="1" applyFont="1" applyFill="1" applyBorder="1" applyAlignment="1">
      <alignment horizontal="center" vertical="top"/>
    </xf>
    <xf numFmtId="0" fontId="10" fillId="0" borderId="10" xfId="1" applyNumberFormat="1" applyFont="1" applyFill="1" applyBorder="1" applyAlignment="1">
      <alignment horizontal="center" vertical="center"/>
    </xf>
    <xf numFmtId="2" fontId="10" fillId="0" borderId="4" xfId="1" applyNumberFormat="1" applyFont="1" applyFill="1" applyBorder="1" applyAlignment="1">
      <alignment vertical="center"/>
    </xf>
    <xf numFmtId="0" fontId="10" fillId="0" borderId="3" xfId="1" applyFont="1" applyFill="1" applyBorder="1" applyAlignment="1">
      <alignment horizontal="center" vertical="top"/>
    </xf>
    <xf numFmtId="2" fontId="10" fillId="0" borderId="15" xfId="1" applyNumberFormat="1" applyFont="1" applyFill="1" applyBorder="1" applyAlignment="1">
      <alignment horizontal="center" vertical="center"/>
    </xf>
    <xf numFmtId="0" fontId="12" fillId="0" borderId="15" xfId="1" applyNumberFormat="1" applyFont="1" applyFill="1" applyBorder="1" applyAlignment="1">
      <alignment horizontal="center" vertical="center"/>
    </xf>
    <xf numFmtId="164" fontId="12" fillId="0" borderId="4" xfId="1" applyNumberFormat="1" applyFont="1" applyFill="1" applyBorder="1" applyAlignment="1">
      <alignment horizontal="center" vertical="center"/>
    </xf>
    <xf numFmtId="0" fontId="12" fillId="0" borderId="4" xfId="1" applyNumberFormat="1" applyFill="1" applyBorder="1" applyAlignment="1">
      <alignment horizontal="center" vertical="center" wrapText="1"/>
    </xf>
    <xf numFmtId="0" fontId="12" fillId="0" borderId="10" xfId="1" applyFill="1" applyBorder="1" applyAlignment="1">
      <alignment horizontal="center" vertical="center" wrapText="1"/>
    </xf>
    <xf numFmtId="165" fontId="12" fillId="0" borderId="4" xfId="1" applyNumberFormat="1" applyFont="1" applyFill="1" applyBorder="1" applyAlignment="1">
      <alignment horizontal="center" vertical="center"/>
    </xf>
    <xf numFmtId="0" fontId="12" fillId="0" borderId="10" xfId="1" applyNumberFormat="1" applyFont="1" applyFill="1" applyBorder="1" applyAlignment="1">
      <alignment horizontal="center" vertical="center" wrapText="1"/>
    </xf>
    <xf numFmtId="1" fontId="12" fillId="0" borderId="4" xfId="1" applyNumberFormat="1" applyFont="1" applyFill="1" applyBorder="1" applyAlignment="1">
      <alignment horizontal="center" vertical="center" wrapText="1"/>
    </xf>
    <xf numFmtId="0" fontId="12" fillId="0" borderId="4" xfId="10" applyFont="1" applyFill="1" applyBorder="1" applyAlignment="1">
      <alignment vertical="center" wrapText="1"/>
    </xf>
    <xf numFmtId="2" fontId="12" fillId="0" borderId="9" xfId="1" applyNumberFormat="1" applyFont="1" applyFill="1" applyBorder="1" applyAlignment="1">
      <alignment horizontal="center" vertical="center"/>
    </xf>
    <xf numFmtId="49" fontId="12" fillId="0" borderId="4" xfId="1" applyNumberFormat="1" applyFont="1" applyFill="1" applyBorder="1" applyAlignment="1">
      <alignment vertical="top" wrapText="1"/>
    </xf>
    <xf numFmtId="0" fontId="12" fillId="0" borderId="4" xfId="1" applyFont="1" applyFill="1" applyBorder="1" applyAlignment="1" applyProtection="1">
      <alignment horizontal="center" vertical="center"/>
    </xf>
    <xf numFmtId="0" fontId="12" fillId="0" borderId="3" xfId="1" applyFont="1" applyFill="1" applyBorder="1" applyAlignment="1">
      <alignment horizontal="left" vertical="center" wrapText="1"/>
    </xf>
    <xf numFmtId="49" fontId="10" fillId="0" borderId="4" xfId="1" applyNumberFormat="1" applyFont="1" applyFill="1" applyBorder="1" applyAlignment="1">
      <alignment vertical="top" wrapText="1"/>
    </xf>
    <xf numFmtId="0" fontId="10" fillId="0" borderId="10" xfId="1" applyNumberFormat="1" applyFont="1" applyFill="1" applyBorder="1" applyAlignment="1">
      <alignment horizontal="center" vertical="center" wrapText="1"/>
    </xf>
    <xf numFmtId="2" fontId="12" fillId="6" borderId="0" xfId="1" applyNumberFormat="1" applyFont="1" applyFill="1" applyBorder="1" applyAlignment="1">
      <alignment horizontal="center" vertical="center" wrapText="1"/>
    </xf>
    <xf numFmtId="49" fontId="10" fillId="2" borderId="0" xfId="1" applyNumberFormat="1" applyFont="1" applyFill="1" applyBorder="1" applyAlignment="1">
      <alignment vertical="center" wrapText="1"/>
    </xf>
    <xf numFmtId="0" fontId="17" fillId="0" borderId="10" xfId="1" applyFont="1" applyFill="1" applyBorder="1" applyAlignment="1">
      <alignment vertical="center" wrapText="1"/>
    </xf>
    <xf numFmtId="0" fontId="17" fillId="0" borderId="10" xfId="1" applyNumberFormat="1" applyFont="1" applyFill="1" applyBorder="1" applyAlignment="1"/>
    <xf numFmtId="0" fontId="17" fillId="0" borderId="12" xfId="1" applyNumberFormat="1" applyFont="1" applyFill="1" applyBorder="1" applyAlignment="1"/>
    <xf numFmtId="0" fontId="17" fillId="0" borderId="9" xfId="1" applyNumberFormat="1" applyFont="1" applyFill="1" applyBorder="1" applyAlignment="1"/>
    <xf numFmtId="0" fontId="17" fillId="0" borderId="14" xfId="1" applyNumberFormat="1" applyFont="1" applyFill="1" applyBorder="1" applyAlignment="1">
      <alignment horizontal="center" vertical="center"/>
    </xf>
    <xf numFmtId="2" fontId="17" fillId="0" borderId="6" xfId="1" applyNumberFormat="1" applyFont="1" applyFill="1" applyBorder="1" applyAlignment="1">
      <alignment horizontal="center" vertical="center"/>
    </xf>
    <xf numFmtId="165" fontId="17" fillId="0" borderId="4" xfId="1" quotePrefix="1" applyNumberFormat="1" applyFont="1" applyFill="1" applyBorder="1" applyAlignment="1">
      <alignment horizontal="center" vertical="center"/>
    </xf>
    <xf numFmtId="0" fontId="17" fillId="0" borderId="13" xfId="1" applyNumberFormat="1" applyFont="1" applyFill="1" applyBorder="1" applyAlignment="1">
      <alignment horizontal="center" vertical="center"/>
    </xf>
    <xf numFmtId="49" fontId="17" fillId="0" borderId="10" xfId="1" applyNumberFormat="1" applyFont="1" applyFill="1" applyBorder="1" applyAlignment="1">
      <alignment horizontal="center" vertical="center"/>
    </xf>
    <xf numFmtId="21" fontId="17" fillId="0" borderId="4" xfId="1" applyNumberFormat="1" applyFont="1" applyFill="1" applyBorder="1" applyAlignment="1">
      <alignment horizontal="center" vertical="center"/>
    </xf>
    <xf numFmtId="49" fontId="101" fillId="0" borderId="4" xfId="1" applyNumberFormat="1" applyFont="1" applyFill="1" applyBorder="1" applyAlignment="1">
      <alignment horizontal="left" vertical="center" wrapText="1"/>
    </xf>
    <xf numFmtId="0" fontId="17" fillId="0" borderId="3" xfId="1" quotePrefix="1" applyFont="1" applyFill="1" applyBorder="1" applyAlignment="1">
      <alignment horizontal="center" vertical="center"/>
    </xf>
    <xf numFmtId="1" fontId="17" fillId="0" borderId="3" xfId="1" applyNumberFormat="1" applyFont="1" applyFill="1" applyBorder="1" applyAlignment="1">
      <alignment horizontal="center" vertical="center"/>
    </xf>
    <xf numFmtId="0" fontId="17" fillId="0" borderId="10" xfId="1" applyFont="1" applyFill="1" applyBorder="1" applyAlignment="1">
      <alignment horizontal="left" vertical="center" wrapText="1"/>
    </xf>
    <xf numFmtId="0" fontId="17" fillId="0" borderId="6" xfId="1" quotePrefix="1" applyFont="1" applyFill="1" applyBorder="1" applyAlignment="1">
      <alignment horizontal="center" vertical="center"/>
    </xf>
    <xf numFmtId="0" fontId="14" fillId="0" borderId="10" xfId="1" applyNumberFormat="1" applyFont="1" applyFill="1" applyBorder="1" applyAlignment="1">
      <alignment horizontal="center" vertical="center"/>
    </xf>
    <xf numFmtId="0" fontId="17" fillId="0" borderId="12" xfId="1" applyNumberFormat="1" applyFont="1" applyFill="1" applyBorder="1" applyAlignment="1">
      <alignment horizontal="center" vertical="center"/>
    </xf>
    <xf numFmtId="0" fontId="17" fillId="0" borderId="10" xfId="1" applyFont="1" applyFill="1" applyBorder="1" applyAlignment="1">
      <alignment horizontal="center" vertical="center" wrapText="1"/>
    </xf>
    <xf numFmtId="0" fontId="17" fillId="0" borderId="4" xfId="10" applyFont="1" applyFill="1" applyBorder="1" applyAlignment="1">
      <alignment vertical="center" wrapText="1"/>
    </xf>
    <xf numFmtId="0" fontId="17" fillId="0" borderId="13" xfId="1" applyNumberFormat="1" applyFont="1" applyFill="1" applyBorder="1" applyAlignment="1">
      <alignment horizontal="center" vertical="center" wrapText="1"/>
    </xf>
    <xf numFmtId="2" fontId="17" fillId="0" borderId="2" xfId="1" applyNumberFormat="1" applyFont="1" applyFill="1" applyBorder="1" applyAlignment="1">
      <alignment horizontal="center" vertical="center"/>
    </xf>
    <xf numFmtId="49" fontId="17" fillId="0" borderId="10" xfId="1" applyNumberFormat="1" applyFont="1" applyFill="1" applyBorder="1" applyAlignment="1">
      <alignment vertical="center" wrapText="1"/>
    </xf>
    <xf numFmtId="2" fontId="17" fillId="0" borderId="12" xfId="1" applyNumberFormat="1" applyFont="1" applyFill="1" applyBorder="1" applyAlignment="1">
      <alignment horizontal="center" vertical="center"/>
    </xf>
    <xf numFmtId="0" fontId="17" fillId="0" borderId="4" xfId="1" applyFont="1" applyFill="1" applyBorder="1" applyAlignment="1" applyProtection="1">
      <alignment horizontal="center" vertical="center"/>
    </xf>
    <xf numFmtId="0" fontId="17" fillId="0" borderId="14" xfId="1" applyNumberFormat="1" applyFont="1" applyFill="1" applyBorder="1" applyAlignment="1">
      <alignment horizontal="center" vertical="center" wrapText="1"/>
    </xf>
    <xf numFmtId="2" fontId="17" fillId="0" borderId="5" xfId="1" applyNumberFormat="1" applyFont="1" applyFill="1" applyBorder="1" applyAlignment="1">
      <alignment horizontal="center" vertical="center"/>
    </xf>
    <xf numFmtId="0" fontId="15" fillId="0" borderId="10" xfId="1" applyFont="1" applyFill="1" applyBorder="1" applyAlignment="1">
      <alignment vertical="center" wrapText="1"/>
    </xf>
    <xf numFmtId="0" fontId="15" fillId="0" borderId="14" xfId="1" applyNumberFormat="1" applyFont="1" applyFill="1" applyBorder="1" applyAlignment="1">
      <alignment horizontal="center" vertical="center"/>
    </xf>
    <xf numFmtId="2" fontId="15" fillId="0" borderId="6" xfId="1" applyNumberFormat="1" applyFont="1" applyFill="1" applyBorder="1" applyAlignment="1">
      <alignment horizontal="center" vertical="center"/>
    </xf>
    <xf numFmtId="0" fontId="15" fillId="0" borderId="10" xfId="1" applyNumberFormat="1" applyFont="1" applyFill="1" applyBorder="1" applyAlignment="1">
      <alignment horizontal="center" vertical="center"/>
    </xf>
    <xf numFmtId="2" fontId="15" fillId="0" borderId="4" xfId="1" quotePrefix="1" applyNumberFormat="1" applyFont="1" applyFill="1" applyBorder="1" applyAlignment="1">
      <alignment horizontal="center" vertical="center"/>
    </xf>
    <xf numFmtId="0" fontId="15" fillId="0" borderId="13" xfId="1" applyNumberFormat="1" applyFont="1" applyFill="1" applyBorder="1" applyAlignment="1">
      <alignment horizontal="center" vertical="center"/>
    </xf>
    <xf numFmtId="2" fontId="15" fillId="0" borderId="3" xfId="1" applyNumberFormat="1" applyFont="1" applyFill="1" applyBorder="1" applyAlignment="1">
      <alignment horizontal="center" vertical="center"/>
    </xf>
    <xf numFmtId="1" fontId="15" fillId="0" borderId="3" xfId="1" applyNumberFormat="1" applyFont="1" applyFill="1" applyBorder="1" applyAlignment="1">
      <alignment horizontal="center" vertical="center"/>
    </xf>
    <xf numFmtId="2" fontId="15" fillId="0" borderId="12" xfId="1" applyNumberFormat="1" applyFont="1" applyFill="1" applyBorder="1" applyAlignment="1">
      <alignment horizontal="center" vertical="center"/>
    </xf>
    <xf numFmtId="1" fontId="15" fillId="0" borderId="6" xfId="1" applyNumberFormat="1" applyFont="1" applyFill="1" applyBorder="1" applyAlignment="1">
      <alignment horizontal="center" vertical="center"/>
    </xf>
    <xf numFmtId="1" fontId="23" fillId="0" borderId="4" xfId="1" applyNumberFormat="1" applyFont="1" applyFill="1" applyBorder="1" applyAlignment="1">
      <alignment horizontal="center" vertical="center"/>
    </xf>
    <xf numFmtId="0" fontId="15" fillId="0" borderId="3" xfId="1" quotePrefix="1" applyFont="1" applyFill="1" applyBorder="1" applyAlignment="1">
      <alignment horizontal="center" vertical="center"/>
    </xf>
    <xf numFmtId="0" fontId="15" fillId="0" borderId="10" xfId="1" applyFont="1" applyFill="1" applyBorder="1" applyAlignment="1">
      <alignment horizontal="left" vertical="center" wrapText="1"/>
    </xf>
    <xf numFmtId="0" fontId="15" fillId="0" borderId="9" xfId="1" applyNumberFormat="1" applyFont="1" applyFill="1" applyBorder="1" applyAlignment="1">
      <alignment vertical="center"/>
    </xf>
    <xf numFmtId="0" fontId="15" fillId="0" borderId="6" xfId="1" quotePrefix="1" applyFont="1" applyFill="1" applyBorder="1" applyAlignment="1">
      <alignment horizontal="center" vertical="center"/>
    </xf>
    <xf numFmtId="0" fontId="23" fillId="0" borderId="10" xfId="1" applyNumberFormat="1" applyFont="1" applyFill="1" applyBorder="1" applyAlignment="1">
      <alignment horizontal="center" vertical="center"/>
    </xf>
    <xf numFmtId="2" fontId="23" fillId="0" borderId="12" xfId="1" applyNumberFormat="1" applyFont="1" applyFill="1" applyBorder="1" applyAlignment="1">
      <alignment horizontal="center" vertical="center"/>
    </xf>
    <xf numFmtId="0" fontId="15" fillId="0" borderId="10" xfId="1" applyNumberFormat="1" applyFont="1" applyFill="1" applyBorder="1" applyAlignment="1">
      <alignment horizontal="center" vertical="center" wrapText="1"/>
    </xf>
    <xf numFmtId="0" fontId="15" fillId="0" borderId="13" xfId="1" applyNumberFormat="1" applyFont="1" applyFill="1" applyBorder="1" applyAlignment="1">
      <alignment horizontal="center" vertical="center" wrapText="1"/>
    </xf>
    <xf numFmtId="2" fontId="15" fillId="0" borderId="2" xfId="1" applyNumberFormat="1" applyFont="1" applyFill="1" applyBorder="1" applyAlignment="1">
      <alignment horizontal="center" vertical="center"/>
    </xf>
    <xf numFmtId="49" fontId="15" fillId="0" borderId="10" xfId="1" applyNumberFormat="1" applyFont="1" applyFill="1" applyBorder="1" applyAlignment="1">
      <alignment vertical="top" wrapText="1"/>
    </xf>
    <xf numFmtId="0" fontId="15" fillId="0" borderId="4" xfId="1" applyFont="1" applyFill="1" applyBorder="1" applyAlignment="1" applyProtection="1">
      <alignment horizontal="center" vertical="center"/>
    </xf>
    <xf numFmtId="0" fontId="15" fillId="0" borderId="14" xfId="1" applyNumberFormat="1" applyFont="1" applyFill="1" applyBorder="1" applyAlignment="1">
      <alignment horizontal="center" vertical="center" wrapText="1"/>
    </xf>
    <xf numFmtId="2" fontId="15" fillId="0" borderId="5" xfId="1" applyNumberFormat="1" applyFont="1" applyFill="1" applyBorder="1" applyAlignment="1">
      <alignment horizontal="center" vertical="center"/>
    </xf>
    <xf numFmtId="49" fontId="23" fillId="0" borderId="4" xfId="1" applyNumberFormat="1" applyFont="1" applyFill="1" applyBorder="1" applyAlignment="1">
      <alignment vertical="top" wrapText="1"/>
    </xf>
    <xf numFmtId="0" fontId="23" fillId="0" borderId="10" xfId="1" applyNumberFormat="1" applyFont="1" applyFill="1" applyBorder="1" applyAlignment="1">
      <alignment horizontal="center" vertical="center" wrapText="1"/>
    </xf>
    <xf numFmtId="1" fontId="17" fillId="0" borderId="6" xfId="1" applyNumberFormat="1" applyFont="1" applyFill="1" applyBorder="1" applyAlignment="1">
      <alignment horizontal="center" vertical="center"/>
    </xf>
    <xf numFmtId="1" fontId="14" fillId="0" borderId="4" xfId="1" applyNumberFormat="1" applyFont="1" applyFill="1" applyBorder="1" applyAlignment="1">
      <alignment horizontal="center" vertical="center"/>
    </xf>
    <xf numFmtId="165" fontId="17" fillId="0" borderId="4" xfId="1" applyNumberFormat="1" applyFont="1" applyFill="1" applyBorder="1" applyAlignment="1">
      <alignment horizontal="center" vertical="center"/>
    </xf>
    <xf numFmtId="0" fontId="71" fillId="0" borderId="4" xfId="1" applyFont="1" applyFill="1" applyBorder="1" applyAlignment="1">
      <alignment horizontal="center" vertical="center"/>
    </xf>
    <xf numFmtId="0" fontId="71" fillId="0" borderId="4" xfId="1" applyNumberFormat="1" applyFont="1" applyFill="1" applyBorder="1" applyAlignment="1">
      <alignment horizontal="center" vertical="center"/>
    </xf>
    <xf numFmtId="49" fontId="71" fillId="0" borderId="4" xfId="1" applyNumberFormat="1" applyFont="1" applyFill="1" applyBorder="1" applyAlignment="1">
      <alignment horizontal="center" vertical="center" wrapText="1"/>
    </xf>
    <xf numFmtId="2" fontId="71" fillId="0" borderId="4" xfId="1" applyNumberFormat="1" applyFont="1" applyFill="1" applyBorder="1" applyAlignment="1">
      <alignment horizontal="center" vertical="center"/>
    </xf>
    <xf numFmtId="1" fontId="71" fillId="0" borderId="4" xfId="1" applyNumberFormat="1" applyFont="1" applyFill="1" applyBorder="1" applyAlignment="1">
      <alignment horizontal="center" vertical="center"/>
    </xf>
    <xf numFmtId="2" fontId="72" fillId="0" borderId="4" xfId="1" applyNumberFormat="1" applyFont="1" applyFill="1" applyBorder="1" applyAlignment="1">
      <alignment horizontal="center" vertical="center" wrapText="1"/>
    </xf>
    <xf numFmtId="0" fontId="71" fillId="0" borderId="4" xfId="1" applyFont="1" applyFill="1" applyBorder="1" applyAlignment="1">
      <alignment vertical="center" wrapText="1"/>
    </xf>
    <xf numFmtId="0" fontId="71" fillId="0" borderId="4" xfId="1" applyNumberFormat="1" applyFont="1" applyFill="1" applyBorder="1" applyAlignment="1">
      <alignment horizontal="center" vertical="center" wrapText="1"/>
    </xf>
    <xf numFmtId="0" fontId="71" fillId="0" borderId="4" xfId="1" applyFont="1" applyFill="1" applyBorder="1" applyAlignment="1">
      <alignment horizontal="left" vertical="center" wrapText="1"/>
    </xf>
    <xf numFmtId="0" fontId="71" fillId="0" borderId="4" xfId="1" quotePrefix="1" applyFont="1" applyFill="1" applyBorder="1" applyAlignment="1">
      <alignment horizontal="center" vertical="center"/>
    </xf>
    <xf numFmtId="0" fontId="71" fillId="0" borderId="4" xfId="1" applyFont="1" applyFill="1" applyBorder="1" applyAlignment="1">
      <alignment horizontal="center" vertical="center" wrapText="1"/>
    </xf>
    <xf numFmtId="0" fontId="71" fillId="0" borderId="4" xfId="1" applyFont="1" applyFill="1" applyBorder="1" applyAlignment="1">
      <alignment vertical="center"/>
    </xf>
    <xf numFmtId="0" fontId="71" fillId="0" borderId="10" xfId="1" applyNumberFormat="1" applyFont="1" applyFill="1" applyBorder="1" applyAlignment="1">
      <alignment vertical="center"/>
    </xf>
    <xf numFmtId="0" fontId="71" fillId="0" borderId="12" xfId="1" applyNumberFormat="1" applyFont="1" applyFill="1" applyBorder="1" applyAlignment="1">
      <alignment vertical="center"/>
    </xf>
    <xf numFmtId="2" fontId="71" fillId="0" borderId="4" xfId="1" applyNumberFormat="1" applyFont="1" applyFill="1" applyBorder="1" applyAlignment="1">
      <alignment horizontal="center" vertical="center" wrapText="1"/>
    </xf>
    <xf numFmtId="1" fontId="71" fillId="0" borderId="4" xfId="1" applyNumberFormat="1" applyFont="1" applyFill="1" applyBorder="1" applyAlignment="1">
      <alignment vertical="center"/>
    </xf>
    <xf numFmtId="165" fontId="71" fillId="0" borderId="4" xfId="1" applyNumberFormat="1" applyFont="1" applyFill="1" applyBorder="1" applyAlignment="1">
      <alignment horizontal="center" vertical="center"/>
    </xf>
    <xf numFmtId="0" fontId="71" fillId="0" borderId="4" xfId="1" applyFont="1" applyFill="1" applyBorder="1" applyAlignment="1">
      <alignment horizontal="left" vertical="center"/>
    </xf>
    <xf numFmtId="49" fontId="71" fillId="0" borderId="4" xfId="1" applyNumberFormat="1" applyFont="1" applyFill="1" applyBorder="1" applyAlignment="1">
      <alignment horizontal="left" vertical="center" wrapText="1"/>
    </xf>
    <xf numFmtId="0" fontId="70" fillId="0" borderId="4" xfId="1" applyFont="1" applyFill="1" applyBorder="1" applyAlignment="1">
      <alignment horizontal="center" vertical="center"/>
    </xf>
    <xf numFmtId="0" fontId="70" fillId="0" borderId="4" xfId="1" applyNumberFormat="1" applyFont="1" applyFill="1" applyBorder="1" applyAlignment="1">
      <alignment vertical="center" wrapText="1"/>
    </xf>
    <xf numFmtId="2" fontId="70" fillId="0" borderId="4" xfId="1" applyNumberFormat="1" applyFont="1" applyFill="1" applyBorder="1" applyAlignment="1">
      <alignment horizontal="center" vertical="center"/>
    </xf>
    <xf numFmtId="0" fontId="71" fillId="0" borderId="4" xfId="1" applyNumberFormat="1" applyFont="1" applyFill="1" applyBorder="1" applyAlignment="1">
      <alignment vertical="center"/>
    </xf>
    <xf numFmtId="0" fontId="71" fillId="0" borderId="4" xfId="1" applyFont="1" applyFill="1" applyBorder="1" applyAlignment="1">
      <alignment horizontal="center"/>
    </xf>
    <xf numFmtId="0" fontId="71" fillId="0" borderId="3" xfId="1" applyFont="1" applyFill="1" applyBorder="1" applyAlignment="1">
      <alignment horizontal="left" vertical="center" wrapText="1"/>
    </xf>
    <xf numFmtId="0" fontId="71" fillId="0" borderId="0" xfId="1" applyFont="1" applyFill="1"/>
    <xf numFmtId="165" fontId="71" fillId="0" borderId="7" xfId="1" applyNumberFormat="1" applyFont="1" applyFill="1" applyBorder="1" applyAlignment="1">
      <alignment horizontal="center" vertical="center"/>
    </xf>
    <xf numFmtId="2" fontId="71" fillId="0" borderId="0" xfId="1" applyNumberFormat="1" applyFont="1" applyFill="1" applyAlignment="1">
      <alignment horizontal="center" vertical="center"/>
    </xf>
    <xf numFmtId="165" fontId="71" fillId="0" borderId="4" xfId="1" applyNumberFormat="1" applyFont="1" applyFill="1" applyBorder="1" applyAlignment="1">
      <alignment horizontal="center" vertical="center" wrapText="1"/>
    </xf>
    <xf numFmtId="2" fontId="71" fillId="0" borderId="9" xfId="1" applyNumberFormat="1" applyFont="1" applyFill="1" applyBorder="1" applyAlignment="1">
      <alignment horizontal="center" vertical="center"/>
    </xf>
    <xf numFmtId="0" fontId="71" fillId="0" borderId="9" xfId="1" applyFont="1" applyFill="1" applyBorder="1" applyAlignment="1">
      <alignment horizontal="center" vertical="center"/>
    </xf>
    <xf numFmtId="0" fontId="70" fillId="0" borderId="4" xfId="1" applyFont="1" applyFill="1" applyBorder="1" applyAlignment="1">
      <alignment horizontal="center" vertical="center" wrapText="1"/>
    </xf>
    <xf numFmtId="2" fontId="70" fillId="0" borderId="4" xfId="1" applyNumberFormat="1" applyFont="1" applyFill="1" applyBorder="1" applyAlignment="1">
      <alignment horizontal="center" vertical="center" wrapText="1"/>
    </xf>
    <xf numFmtId="0" fontId="70" fillId="0" borderId="4" xfId="1" applyNumberFormat="1" applyFont="1" applyFill="1" applyBorder="1" applyAlignment="1">
      <alignment horizontal="center" vertical="center" wrapText="1"/>
    </xf>
    <xf numFmtId="49" fontId="14" fillId="0" borderId="4" xfId="1" applyNumberFormat="1" applyFont="1" applyFill="1" applyBorder="1" applyAlignment="1">
      <alignment horizontal="center"/>
    </xf>
    <xf numFmtId="49" fontId="17" fillId="0" borderId="4" xfId="1" applyNumberFormat="1" applyFont="1" applyFill="1" applyBorder="1"/>
    <xf numFmtId="49" fontId="17" fillId="0" borderId="4" xfId="1" applyNumberFormat="1" applyFont="1" applyFill="1" applyBorder="1" applyAlignment="1">
      <alignment horizontal="left"/>
    </xf>
    <xf numFmtId="0" fontId="17" fillId="0" borderId="4" xfId="1" applyFont="1" applyFill="1" applyBorder="1" applyAlignment="1">
      <alignment horizontal="left"/>
    </xf>
    <xf numFmtId="49" fontId="17" fillId="0" borderId="4" xfId="1" applyNumberFormat="1" applyFont="1" applyFill="1" applyBorder="1" applyAlignment="1">
      <alignment horizontal="left" vertical="top"/>
    </xf>
    <xf numFmtId="49" fontId="66" fillId="0" borderId="4" xfId="1" applyNumberFormat="1" applyFont="1" applyFill="1" applyBorder="1" applyAlignment="1">
      <alignment horizontal="right" wrapText="1"/>
    </xf>
    <xf numFmtId="1" fontId="17" fillId="0" borderId="4" xfId="1" applyNumberFormat="1" applyFont="1" applyFill="1" applyBorder="1" applyAlignment="1">
      <alignment horizontal="left"/>
    </xf>
    <xf numFmtId="49" fontId="14" fillId="0" borderId="4" xfId="1" applyNumberFormat="1" applyFont="1" applyFill="1" applyBorder="1" applyAlignment="1">
      <alignment horizontal="left" vertical="top"/>
    </xf>
    <xf numFmtId="0" fontId="17" fillId="0" borderId="3" xfId="1" applyFont="1" applyFill="1" applyBorder="1" applyAlignment="1">
      <alignment horizontal="center" vertical="center" wrapText="1"/>
    </xf>
    <xf numFmtId="164" fontId="17" fillId="0" borderId="4" xfId="1" applyNumberFormat="1" applyFont="1" applyFill="1" applyBorder="1" applyAlignment="1">
      <alignment horizontal="center" vertical="center"/>
    </xf>
    <xf numFmtId="10" fontId="17" fillId="0" borderId="6" xfId="1" applyNumberFormat="1" applyFont="1" applyFill="1" applyBorder="1" applyAlignment="1">
      <alignment horizontal="right" vertical="center" wrapText="1"/>
    </xf>
    <xf numFmtId="0" fontId="17" fillId="0" borderId="12" xfId="1" applyFont="1" applyFill="1" applyBorder="1" applyAlignment="1">
      <alignment horizontal="center" vertical="center" wrapText="1"/>
    </xf>
    <xf numFmtId="0" fontId="17" fillId="0" borderId="9" xfId="1" applyNumberFormat="1" applyFont="1" applyFill="1" applyBorder="1" applyAlignment="1">
      <alignment vertical="center" wrapText="1"/>
    </xf>
    <xf numFmtId="0" fontId="17" fillId="0" borderId="9" xfId="1" applyFont="1" applyFill="1" applyBorder="1" applyAlignment="1">
      <alignment vertical="center" wrapText="1"/>
    </xf>
    <xf numFmtId="49" fontId="101" fillId="0" borderId="9" xfId="1" applyNumberFormat="1" applyFont="1" applyFill="1" applyBorder="1" applyAlignment="1">
      <alignment horizontal="left" vertical="center" wrapText="1"/>
    </xf>
    <xf numFmtId="0" fontId="17" fillId="0" borderId="13" xfId="1" applyFont="1" applyFill="1" applyBorder="1" applyAlignment="1">
      <alignment horizontal="center" vertical="center" wrapText="1"/>
    </xf>
    <xf numFmtId="2" fontId="14" fillId="0" borderId="3" xfId="1" applyNumberFormat="1" applyFont="1" applyFill="1" applyBorder="1" applyAlignment="1">
      <alignment horizontal="center" vertical="center"/>
    </xf>
    <xf numFmtId="49" fontId="17" fillId="0" borderId="4" xfId="1" applyNumberFormat="1" applyFont="1" applyFill="1" applyBorder="1" applyAlignment="1">
      <alignment horizontal="left" vertical="center"/>
    </xf>
    <xf numFmtId="0" fontId="17" fillId="0" borderId="4" xfId="10" applyFont="1" applyFill="1" applyBorder="1" applyAlignment="1">
      <alignment vertical="center"/>
    </xf>
    <xf numFmtId="0" fontId="15" fillId="0" borderId="4" xfId="1" quotePrefix="1" applyFont="1" applyFill="1" applyBorder="1" applyAlignment="1">
      <alignment horizontal="center" vertical="center" wrapText="1"/>
    </xf>
    <xf numFmtId="0" fontId="15" fillId="0" borderId="4" xfId="1" applyNumberFormat="1" applyFont="1" applyFill="1" applyBorder="1" applyAlignment="1">
      <alignment vertical="top" wrapText="1"/>
    </xf>
    <xf numFmtId="0" fontId="15" fillId="0" borderId="10" xfId="1" applyFont="1" applyFill="1" applyBorder="1" applyAlignment="1"/>
    <xf numFmtId="49" fontId="15" fillId="0" borderId="10" xfId="1" applyNumberFormat="1" applyFont="1" applyFill="1" applyBorder="1" applyAlignment="1">
      <alignment horizontal="center" vertical="center"/>
    </xf>
    <xf numFmtId="0" fontId="15" fillId="0" borderId="12" xfId="1" applyFont="1" applyFill="1" applyBorder="1" applyAlignment="1">
      <alignment vertical="center" wrapText="1"/>
    </xf>
    <xf numFmtId="0" fontId="15" fillId="0" borderId="9" xfId="1" applyFont="1" applyFill="1" applyBorder="1" applyAlignment="1">
      <alignment vertical="center" wrapText="1"/>
    </xf>
    <xf numFmtId="0" fontId="15" fillId="0" borderId="8" xfId="1" applyNumberFormat="1" applyFont="1" applyFill="1" applyBorder="1" applyAlignment="1">
      <alignment horizontal="center" vertical="center"/>
    </xf>
    <xf numFmtId="2" fontId="15" fillId="0" borderId="9" xfId="1" applyNumberFormat="1" applyFont="1" applyFill="1" applyBorder="1" applyAlignment="1">
      <alignment horizontal="center" vertical="center" wrapText="1"/>
    </xf>
    <xf numFmtId="0" fontId="12" fillId="0" borderId="10" xfId="1" applyFill="1" applyBorder="1" applyAlignment="1">
      <alignment vertical="center" wrapText="1"/>
    </xf>
    <xf numFmtId="0" fontId="12" fillId="0" borderId="12" xfId="1" applyFill="1" applyBorder="1" applyAlignment="1">
      <alignment vertical="center" wrapText="1"/>
    </xf>
    <xf numFmtId="0" fontId="12" fillId="0" borderId="9" xfId="1" applyFill="1" applyBorder="1" applyAlignment="1">
      <alignment vertical="center" wrapText="1"/>
    </xf>
    <xf numFmtId="0" fontId="12" fillId="0" borderId="3" xfId="1" applyFont="1" applyFill="1" applyBorder="1" applyAlignment="1">
      <alignment horizontal="center" vertical="center" wrapText="1"/>
    </xf>
    <xf numFmtId="0" fontId="12" fillId="0" borderId="10" xfId="1" applyFont="1" applyFill="1" applyBorder="1" applyAlignment="1">
      <alignment horizontal="center" vertical="center" wrapText="1"/>
    </xf>
    <xf numFmtId="0" fontId="12" fillId="0" borderId="8" xfId="1" applyNumberFormat="1" applyFont="1" applyFill="1" applyBorder="1" applyAlignment="1">
      <alignment horizontal="center" vertical="center"/>
    </xf>
    <xf numFmtId="0" fontId="12" fillId="0" borderId="9" xfId="1" applyFill="1" applyBorder="1" applyAlignment="1">
      <alignment horizontal="center" vertical="center" wrapText="1"/>
    </xf>
    <xf numFmtId="0" fontId="10" fillId="0" borderId="9" xfId="1" applyFont="1" applyFill="1" applyBorder="1" applyAlignment="1">
      <alignment horizontal="center" vertical="center" wrapText="1"/>
    </xf>
    <xf numFmtId="0" fontId="12" fillId="0" borderId="12" xfId="1" applyFill="1" applyBorder="1" applyAlignment="1">
      <alignment horizontal="center" vertical="center" wrapText="1"/>
    </xf>
    <xf numFmtId="0" fontId="10" fillId="0" borderId="12" xfId="1" applyFont="1" applyFill="1" applyBorder="1" applyAlignment="1">
      <alignment vertical="center" wrapText="1"/>
    </xf>
    <xf numFmtId="165" fontId="12" fillId="0" borderId="4" xfId="1" applyNumberFormat="1" applyFill="1" applyBorder="1" applyAlignment="1">
      <alignment horizontal="center" vertical="center" wrapText="1"/>
    </xf>
    <xf numFmtId="2" fontId="12" fillId="0" borderId="9" xfId="1" applyNumberFormat="1" applyFill="1" applyBorder="1" applyAlignment="1">
      <alignment horizontal="center" vertical="center" wrapText="1"/>
    </xf>
    <xf numFmtId="2" fontId="16" fillId="0" borderId="4" xfId="1" applyNumberFormat="1" applyFont="1" applyFill="1" applyBorder="1" applyAlignment="1">
      <alignment horizontal="center" vertical="center" wrapText="1"/>
    </xf>
    <xf numFmtId="0" fontId="9" fillId="0" borderId="0" xfId="17" applyFont="1" applyFill="1" applyBorder="1" applyAlignment="1">
      <alignment horizontal="center" vertical="center"/>
    </xf>
    <xf numFmtId="0" fontId="15" fillId="0" borderId="12" xfId="1" applyFont="1" applyFill="1" applyBorder="1" applyAlignment="1">
      <alignment horizontal="center" vertical="center" wrapText="1"/>
    </xf>
    <xf numFmtId="2" fontId="15" fillId="0" borderId="4" xfId="1" applyNumberFormat="1" applyFont="1" applyFill="1" applyBorder="1" applyAlignment="1">
      <alignment vertical="top"/>
    </xf>
    <xf numFmtId="164" fontId="15" fillId="0" borderId="4" xfId="1" applyNumberFormat="1" applyFont="1" applyFill="1" applyBorder="1" applyAlignment="1">
      <alignment horizontal="center" vertical="center"/>
    </xf>
    <xf numFmtId="2" fontId="15" fillId="0" borderId="6" xfId="1" applyNumberFormat="1" applyFont="1" applyFill="1" applyBorder="1" applyAlignment="1">
      <alignment horizontal="center" vertical="center" wrapText="1"/>
    </xf>
    <xf numFmtId="2" fontId="15" fillId="0" borderId="6" xfId="1" applyNumberFormat="1" applyFont="1" applyFill="1" applyBorder="1" applyAlignment="1">
      <alignment horizontal="center" vertical="top" wrapText="1"/>
    </xf>
    <xf numFmtId="0" fontId="7" fillId="0" borderId="0" xfId="1" applyFont="1" applyFill="1" applyBorder="1" applyAlignment="1">
      <alignment horizontal="left"/>
    </xf>
    <xf numFmtId="2" fontId="23" fillId="0" borderId="0" xfId="2" applyNumberFormat="1" applyFont="1" applyFill="1" applyBorder="1" applyAlignment="1">
      <alignment vertical="center" wrapText="1"/>
    </xf>
    <xf numFmtId="2" fontId="23" fillId="0" borderId="0" xfId="1" applyNumberFormat="1" applyFont="1" applyFill="1" applyBorder="1" applyAlignment="1">
      <alignment vertical="center" wrapText="1"/>
    </xf>
    <xf numFmtId="0" fontId="37" fillId="0" borderId="4" xfId="1" applyFont="1" applyFill="1" applyBorder="1" applyAlignment="1">
      <alignment horizontal="center" vertical="center" wrapText="1"/>
    </xf>
    <xf numFmtId="2" fontId="15" fillId="0" borderId="0" xfId="18" applyNumberFormat="1" applyFont="1" applyFill="1" applyBorder="1" applyAlignment="1">
      <alignment horizontal="center" vertical="center"/>
    </xf>
    <xf numFmtId="0" fontId="114" fillId="0" borderId="0" xfId="1" applyFont="1" applyFill="1" applyAlignment="1">
      <alignment horizontal="right" vertical="center"/>
    </xf>
    <xf numFmtId="2" fontId="23" fillId="0" borderId="0" xfId="1" applyNumberFormat="1" applyFont="1" applyFill="1" applyBorder="1" applyAlignment="1">
      <alignment horizontal="center"/>
    </xf>
    <xf numFmtId="0" fontId="9" fillId="6" borderId="0" xfId="1" applyFont="1" applyFill="1" applyBorder="1" applyAlignment="1">
      <alignment horizontal="center"/>
    </xf>
    <xf numFmtId="0" fontId="12" fillId="6" borderId="4" xfId="1" applyFill="1" applyBorder="1" applyAlignment="1">
      <alignment horizontal="center" vertical="center"/>
    </xf>
    <xf numFmtId="49" fontId="12" fillId="6" borderId="4" xfId="1" applyNumberFormat="1" applyFont="1" applyFill="1" applyBorder="1" applyAlignment="1">
      <alignment vertical="center" wrapText="1"/>
    </xf>
    <xf numFmtId="0" fontId="12" fillId="6" borderId="4" xfId="1" applyNumberFormat="1" applyFont="1" applyFill="1" applyBorder="1" applyAlignment="1">
      <alignment horizontal="center" vertical="center" wrapText="1"/>
    </xf>
    <xf numFmtId="49" fontId="12" fillId="6" borderId="4" xfId="1" applyNumberFormat="1" applyFont="1" applyFill="1" applyBorder="1" applyAlignment="1">
      <alignment horizontal="center" vertical="center" wrapText="1"/>
    </xf>
    <xf numFmtId="2" fontId="12" fillId="6" borderId="4" xfId="1" applyNumberFormat="1" applyFill="1" applyBorder="1" applyAlignment="1">
      <alignment horizontal="center" vertical="center"/>
    </xf>
    <xf numFmtId="1" fontId="12" fillId="6" borderId="4" xfId="1" applyNumberFormat="1" applyFill="1" applyBorder="1" applyAlignment="1">
      <alignment horizontal="center" vertical="center"/>
    </xf>
    <xf numFmtId="0" fontId="12" fillId="6" borderId="4" xfId="1" applyFill="1" applyBorder="1" applyAlignment="1">
      <alignment horizontal="left" vertical="center"/>
    </xf>
    <xf numFmtId="0" fontId="12" fillId="6" borderId="4" xfId="1" applyFill="1" applyBorder="1" applyAlignment="1">
      <alignment horizontal="left" vertical="center" wrapText="1"/>
    </xf>
    <xf numFmtId="0" fontId="12" fillId="6" borderId="4" xfId="1" applyFill="1" applyBorder="1" applyAlignment="1">
      <alignment vertical="center"/>
    </xf>
    <xf numFmtId="0" fontId="12" fillId="6" borderId="4" xfId="1" applyFont="1" applyFill="1" applyBorder="1" applyAlignment="1">
      <alignment vertical="center" wrapText="1"/>
    </xf>
    <xf numFmtId="0" fontId="12" fillId="6" borderId="4" xfId="1" applyFont="1" applyFill="1" applyBorder="1" applyAlignment="1">
      <alignment horizontal="center" vertical="center"/>
    </xf>
    <xf numFmtId="0" fontId="12" fillId="6" borderId="0" xfId="1" applyFill="1" applyAlignment="1">
      <alignment horizontal="center" vertical="center"/>
    </xf>
    <xf numFmtId="0" fontId="12" fillId="6" borderId="4" xfId="1" applyFill="1" applyBorder="1" applyAlignment="1">
      <alignment horizontal="center"/>
    </xf>
    <xf numFmtId="49" fontId="12" fillId="6" borderId="4" xfId="1" applyNumberFormat="1" applyFont="1" applyFill="1" applyBorder="1" applyAlignment="1">
      <alignment horizontal="left" vertical="center" wrapText="1"/>
    </xf>
    <xf numFmtId="0" fontId="12" fillId="6" borderId="4" xfId="1" applyFont="1" applyFill="1" applyBorder="1" applyAlignment="1">
      <alignment horizontal="left" vertical="center" wrapText="1"/>
    </xf>
    <xf numFmtId="0" fontId="12" fillId="6" borderId="4" xfId="1" applyFont="1" applyFill="1" applyBorder="1" applyAlignment="1">
      <alignment horizontal="center" vertical="center" wrapText="1"/>
    </xf>
    <xf numFmtId="0" fontId="10" fillId="6" borderId="4" xfId="1" applyFont="1" applyFill="1" applyBorder="1" applyAlignment="1">
      <alignment horizontal="center" vertical="center"/>
    </xf>
    <xf numFmtId="0" fontId="10" fillId="6" borderId="4" xfId="1" applyNumberFormat="1" applyFont="1" applyFill="1" applyBorder="1" applyAlignment="1">
      <alignment vertical="center" wrapText="1"/>
    </xf>
    <xf numFmtId="0" fontId="10" fillId="6" borderId="4" xfId="1" applyFont="1" applyFill="1" applyBorder="1" applyAlignment="1">
      <alignment horizontal="center"/>
    </xf>
    <xf numFmtId="2" fontId="10" fillId="6" borderId="4" xfId="1" applyNumberFormat="1" applyFont="1" applyFill="1" applyBorder="1" applyAlignment="1">
      <alignment horizontal="center" vertical="center"/>
    </xf>
    <xf numFmtId="2" fontId="12" fillId="6" borderId="4" xfId="1" applyNumberFormat="1" applyFont="1" applyFill="1" applyBorder="1" applyAlignment="1">
      <alignment horizontal="center" vertical="center"/>
    </xf>
    <xf numFmtId="0" fontId="12" fillId="6" borderId="3" xfId="1" applyFont="1" applyFill="1" applyBorder="1" applyAlignment="1">
      <alignment horizontal="left" vertical="center" wrapText="1"/>
    </xf>
    <xf numFmtId="2" fontId="12" fillId="6" borderId="4" xfId="1" applyNumberFormat="1" applyFont="1" applyFill="1" applyBorder="1" applyAlignment="1">
      <alignment horizontal="center" vertical="center" wrapText="1"/>
    </xf>
    <xf numFmtId="10" fontId="12" fillId="6" borderId="4" xfId="1" applyNumberFormat="1" applyFont="1" applyFill="1" applyBorder="1" applyAlignment="1">
      <alignment horizontal="right" vertical="center" wrapText="1"/>
    </xf>
    <xf numFmtId="2" fontId="12" fillId="6" borderId="4" xfId="18" applyNumberFormat="1" applyFont="1" applyFill="1" applyBorder="1" applyAlignment="1">
      <alignment horizontal="center" vertical="center"/>
    </xf>
    <xf numFmtId="49" fontId="10" fillId="6" borderId="4" xfId="1" applyNumberFormat="1" applyFont="1" applyFill="1" applyBorder="1" applyAlignment="1">
      <alignment vertical="center" wrapText="1"/>
    </xf>
    <xf numFmtId="2" fontId="23" fillId="6" borderId="4" xfId="1" applyNumberFormat="1" applyFont="1" applyFill="1" applyBorder="1" applyAlignment="1">
      <alignment horizontal="center" vertical="center"/>
    </xf>
    <xf numFmtId="0" fontId="12" fillId="6" borderId="4" xfId="1" applyFill="1" applyBorder="1"/>
    <xf numFmtId="2" fontId="15" fillId="6" borderId="4" xfId="1" applyNumberFormat="1" applyFont="1" applyFill="1" applyBorder="1" applyAlignment="1">
      <alignment horizontal="center" vertical="center"/>
    </xf>
    <xf numFmtId="0" fontId="71" fillId="0" borderId="3" xfId="1" applyFont="1" applyFill="1" applyBorder="1" applyAlignment="1">
      <alignment horizontal="center" vertical="center" wrapText="1"/>
    </xf>
    <xf numFmtId="0" fontId="71" fillId="0" borderId="6" xfId="1" applyFont="1" applyFill="1" applyBorder="1" applyAlignment="1">
      <alignment horizontal="center" vertical="center" wrapText="1"/>
    </xf>
    <xf numFmtId="0" fontId="15" fillId="3" borderId="0" xfId="1" applyFont="1" applyFill="1" applyAlignment="1">
      <alignment vertical="top" wrapText="1"/>
    </xf>
    <xf numFmtId="0" fontId="76" fillId="0" borderId="0" xfId="1" applyFont="1" applyFill="1" applyBorder="1" applyAlignment="1">
      <alignment vertical="top" wrapText="1"/>
    </xf>
    <xf numFmtId="0" fontId="12" fillId="2" borderId="0" xfId="1" applyFont="1" applyFill="1" applyAlignment="1">
      <alignment vertical="center"/>
    </xf>
    <xf numFmtId="0" fontId="15" fillId="0" borderId="0" xfId="1" applyNumberFormat="1" applyFont="1" applyFill="1" applyBorder="1" applyAlignment="1">
      <alignment horizontal="center" vertical="top" wrapText="1"/>
    </xf>
    <xf numFmtId="0" fontId="12" fillId="2" borderId="0" xfId="1" applyFill="1" applyAlignment="1">
      <alignment vertical="center"/>
    </xf>
    <xf numFmtId="0" fontId="14" fillId="0" borderId="0" xfId="1" applyFont="1" applyFill="1" applyBorder="1" applyAlignment="1">
      <alignment horizontal="left" vertical="center" wrapText="1"/>
    </xf>
    <xf numFmtId="0" fontId="17" fillId="0" borderId="0" xfId="1" applyNumberFormat="1" applyFont="1" applyFill="1" applyBorder="1" applyAlignment="1">
      <alignment vertical="center" wrapText="1"/>
    </xf>
    <xf numFmtId="0" fontId="17" fillId="0" borderId="0" xfId="1" applyFont="1" applyFill="1" applyBorder="1" applyAlignment="1"/>
    <xf numFmtId="0" fontId="12" fillId="0" borderId="0" xfId="1" applyFill="1" applyBorder="1" applyAlignment="1">
      <alignment horizontal="left" vertical="top"/>
    </xf>
    <xf numFmtId="49" fontId="15" fillId="6" borderId="4" xfId="1" applyNumberFormat="1" applyFont="1" applyFill="1" applyBorder="1" applyAlignment="1">
      <alignment vertical="center" wrapText="1"/>
    </xf>
    <xf numFmtId="0" fontId="15" fillId="6" borderId="4" xfId="1" applyNumberFormat="1" applyFont="1" applyFill="1" applyBorder="1" applyAlignment="1">
      <alignment horizontal="center" vertical="center" wrapText="1"/>
    </xf>
    <xf numFmtId="49" fontId="15" fillId="6" borderId="4" xfId="1" applyNumberFormat="1" applyFont="1" applyFill="1" applyBorder="1" applyAlignment="1">
      <alignment horizontal="center" vertical="center" wrapText="1"/>
    </xf>
    <xf numFmtId="0" fontId="15" fillId="6" borderId="6" xfId="1" applyFont="1" applyFill="1" applyBorder="1" applyAlignment="1">
      <alignment horizontal="center" vertical="center" wrapText="1"/>
    </xf>
    <xf numFmtId="2" fontId="15" fillId="6" borderId="6" xfId="1" applyNumberFormat="1" applyFont="1" applyFill="1" applyBorder="1" applyAlignment="1">
      <alignment horizontal="center" vertical="center" wrapText="1"/>
    </xf>
    <xf numFmtId="0" fontId="15" fillId="6" borderId="4" xfId="1" applyFont="1" applyFill="1" applyBorder="1" applyAlignment="1">
      <alignment horizontal="center" vertical="center" wrapText="1"/>
    </xf>
    <xf numFmtId="0" fontId="15" fillId="6" borderId="3" xfId="1" applyNumberFormat="1" applyFont="1" applyFill="1" applyBorder="1" applyAlignment="1">
      <alignment horizontal="center" vertical="center" wrapText="1"/>
    </xf>
    <xf numFmtId="2" fontId="15" fillId="6" borderId="4" xfId="1" applyNumberFormat="1" applyFont="1" applyFill="1" applyBorder="1" applyAlignment="1">
      <alignment horizontal="center" vertical="center" wrapText="1"/>
    </xf>
    <xf numFmtId="2" fontId="35" fillId="6" borderId="4" xfId="1" applyNumberFormat="1" applyFont="1" applyFill="1" applyBorder="1" applyAlignment="1">
      <alignment horizontal="center" vertical="center" wrapText="1"/>
    </xf>
    <xf numFmtId="0" fontId="15" fillId="6" borderId="6" xfId="1" applyFont="1" applyFill="1" applyBorder="1" applyAlignment="1">
      <alignment vertical="center" wrapText="1"/>
    </xf>
    <xf numFmtId="0" fontId="15" fillId="6" borderId="4" xfId="1" applyFont="1" applyFill="1" applyBorder="1" applyAlignment="1">
      <alignment horizontal="left" vertical="center" wrapText="1"/>
    </xf>
    <xf numFmtId="0" fontId="15" fillId="6" borderId="4" xfId="1" applyFont="1" applyFill="1" applyBorder="1" applyAlignment="1">
      <alignment horizontal="center" vertical="top" wrapText="1"/>
    </xf>
    <xf numFmtId="0" fontId="15" fillId="6" borderId="3" xfId="1" applyFont="1" applyFill="1" applyBorder="1" applyAlignment="1">
      <alignment horizontal="center" vertical="top" wrapText="1"/>
    </xf>
    <xf numFmtId="0" fontId="15" fillId="6" borderId="4" xfId="1" applyFont="1" applyFill="1" applyBorder="1" applyAlignment="1">
      <alignment vertical="center" wrapText="1"/>
    </xf>
    <xf numFmtId="0" fontId="15" fillId="6" borderId="10" xfId="1" applyFont="1" applyFill="1" applyBorder="1" applyAlignment="1">
      <alignment horizontal="center" vertical="center" wrapText="1"/>
    </xf>
    <xf numFmtId="1" fontId="15" fillId="6" borderId="4" xfId="1" applyNumberFormat="1" applyFont="1" applyFill="1" applyBorder="1" applyAlignment="1">
      <alignment horizontal="center" vertical="center" wrapText="1"/>
    </xf>
    <xf numFmtId="0" fontId="15" fillId="6" borderId="7" xfId="1" applyFont="1" applyFill="1" applyBorder="1" applyAlignment="1">
      <alignment horizontal="center" vertical="top" wrapText="1"/>
    </xf>
    <xf numFmtId="165" fontId="15" fillId="6" borderId="4" xfId="1" applyNumberFormat="1" applyFont="1" applyFill="1" applyBorder="1" applyAlignment="1">
      <alignment horizontal="center" vertical="center" wrapText="1"/>
    </xf>
    <xf numFmtId="0" fontId="15" fillId="6" borderId="6" xfId="1" applyFont="1" applyFill="1" applyBorder="1" applyAlignment="1">
      <alignment horizontal="center" vertical="top" wrapText="1"/>
    </xf>
    <xf numFmtId="0" fontId="15" fillId="6" borderId="3" xfId="1" applyFont="1" applyFill="1" applyBorder="1" applyAlignment="1">
      <alignment horizontal="center" vertical="center" wrapText="1"/>
    </xf>
    <xf numFmtId="0" fontId="15" fillId="6" borderId="3" xfId="1" applyFont="1" applyFill="1" applyBorder="1" applyAlignment="1">
      <alignment vertical="top" wrapText="1"/>
    </xf>
    <xf numFmtId="1" fontId="15" fillId="6" borderId="3" xfId="1" applyNumberFormat="1" applyFont="1" applyFill="1" applyBorder="1" applyAlignment="1">
      <alignment horizontal="center" vertical="center" wrapText="1"/>
    </xf>
    <xf numFmtId="2" fontId="15" fillId="6" borderId="3" xfId="1" applyNumberFormat="1" applyFont="1" applyFill="1" applyBorder="1" applyAlignment="1">
      <alignment horizontal="center" vertical="center" wrapText="1"/>
    </xf>
    <xf numFmtId="0" fontId="15" fillId="6" borderId="4" xfId="1" applyFont="1" applyFill="1" applyBorder="1" applyAlignment="1">
      <alignment vertical="top" wrapText="1"/>
    </xf>
    <xf numFmtId="0" fontId="15" fillId="6" borderId="4" xfId="1" applyNumberFormat="1" applyFont="1" applyFill="1" applyBorder="1" applyAlignment="1">
      <alignment horizontal="center" vertical="top"/>
    </xf>
    <xf numFmtId="0" fontId="15" fillId="6" borderId="4" xfId="1" applyFont="1" applyFill="1" applyBorder="1" applyAlignment="1">
      <alignment horizontal="center" vertical="top"/>
    </xf>
    <xf numFmtId="2" fontId="15" fillId="6" borderId="3" xfId="1" applyNumberFormat="1" applyFont="1" applyFill="1" applyBorder="1" applyAlignment="1">
      <alignment horizontal="center" vertical="top" wrapText="1"/>
    </xf>
    <xf numFmtId="0" fontId="15" fillId="6" borderId="4" xfId="1" applyFont="1" applyFill="1" applyBorder="1" applyAlignment="1">
      <alignment horizontal="center" vertical="center"/>
    </xf>
    <xf numFmtId="2" fontId="15" fillId="6" borderId="4" xfId="1" applyNumberFormat="1" applyFont="1" applyFill="1" applyBorder="1" applyAlignment="1">
      <alignment horizontal="center" vertical="top" wrapText="1"/>
    </xf>
    <xf numFmtId="2" fontId="15" fillId="6" borderId="4" xfId="1" applyNumberFormat="1" applyFont="1" applyFill="1" applyBorder="1" applyAlignment="1">
      <alignment horizontal="center" vertical="top"/>
    </xf>
    <xf numFmtId="0" fontId="15" fillId="6" borderId="4" xfId="2" applyFont="1" applyFill="1" applyBorder="1" applyAlignment="1">
      <alignment vertical="top" wrapText="1"/>
    </xf>
    <xf numFmtId="0" fontId="15" fillId="6" borderId="4" xfId="1" applyNumberFormat="1" applyFont="1" applyFill="1" applyBorder="1" applyAlignment="1">
      <alignment horizontal="center" vertical="center"/>
    </xf>
    <xf numFmtId="0" fontId="15" fillId="6" borderId="4" xfId="1" applyNumberFormat="1" applyFont="1" applyFill="1" applyBorder="1" applyAlignment="1">
      <alignment horizontal="center" vertical="top" wrapText="1"/>
    </xf>
    <xf numFmtId="0" fontId="15" fillId="6" borderId="4" xfId="1" applyFont="1" applyFill="1" applyBorder="1" applyAlignment="1">
      <alignment vertical="center"/>
    </xf>
    <xf numFmtId="0" fontId="23" fillId="6" borderId="3" xfId="1" applyFont="1" applyFill="1" applyBorder="1" applyAlignment="1">
      <alignment horizontal="center" vertical="center" wrapText="1"/>
    </xf>
    <xf numFmtId="0" fontId="23" fillId="6" borderId="4" xfId="1" applyNumberFormat="1" applyFont="1" applyFill="1" applyBorder="1" applyAlignment="1">
      <alignment vertical="center" wrapText="1"/>
    </xf>
    <xf numFmtId="0" fontId="23" fillId="6" borderId="3" xfId="1" applyNumberFormat="1" applyFont="1" applyFill="1" applyBorder="1" applyAlignment="1">
      <alignment vertical="center" wrapText="1"/>
    </xf>
    <xf numFmtId="0" fontId="23" fillId="6" borderId="3" xfId="1" applyFont="1" applyFill="1" applyBorder="1" applyAlignment="1">
      <alignment vertical="center" wrapText="1"/>
    </xf>
    <xf numFmtId="2" fontId="23" fillId="6" borderId="3" xfId="1" applyNumberFormat="1" applyFont="1" applyFill="1" applyBorder="1" applyAlignment="1">
      <alignment horizontal="center" vertical="center" wrapText="1"/>
    </xf>
    <xf numFmtId="0" fontId="23" fillId="6" borderId="4" xfId="1" applyFont="1" applyFill="1" applyBorder="1" applyAlignment="1">
      <alignment vertical="center" wrapText="1"/>
    </xf>
    <xf numFmtId="0" fontId="23" fillId="6" borderId="4" xfId="1" applyFont="1" applyFill="1" applyBorder="1" applyAlignment="1">
      <alignment horizontal="center" vertical="center" wrapText="1"/>
    </xf>
    <xf numFmtId="0" fontId="23" fillId="6" borderId="15" xfId="1" applyFont="1" applyFill="1" applyBorder="1" applyAlignment="1">
      <alignment horizontal="center" vertical="center" wrapText="1"/>
    </xf>
    <xf numFmtId="0" fontId="15" fillId="6" borderId="12" xfId="1" applyNumberFormat="1" applyFont="1" applyFill="1" applyBorder="1" applyAlignment="1">
      <alignment horizontal="center" vertical="center" wrapText="1"/>
    </xf>
    <xf numFmtId="0" fontId="15" fillId="6" borderId="3" xfId="1" applyFont="1" applyFill="1" applyBorder="1" applyAlignment="1">
      <alignment horizontal="left" vertical="center" wrapText="1"/>
    </xf>
    <xf numFmtId="0" fontId="15" fillId="6" borderId="4" xfId="1" applyNumberFormat="1" applyFont="1" applyFill="1" applyBorder="1" applyAlignment="1">
      <alignment vertical="center" wrapText="1"/>
    </xf>
    <xf numFmtId="0" fontId="15" fillId="6" borderId="3" xfId="1" applyNumberFormat="1" applyFont="1" applyFill="1" applyBorder="1" applyAlignment="1">
      <alignment vertical="center" wrapText="1"/>
    </xf>
    <xf numFmtId="0" fontId="15" fillId="6" borderId="3" xfId="1" applyFont="1" applyFill="1" applyBorder="1" applyAlignment="1">
      <alignment vertical="center" wrapText="1"/>
    </xf>
    <xf numFmtId="2" fontId="15" fillId="6" borderId="3" xfId="1" applyNumberFormat="1" applyFont="1" applyFill="1" applyBorder="1" applyAlignment="1">
      <alignment horizontal="center" vertical="center"/>
    </xf>
    <xf numFmtId="0" fontId="15" fillId="6" borderId="4" xfId="1" applyFont="1" applyFill="1" applyBorder="1" applyAlignment="1" applyProtection="1">
      <alignment horizontal="center" vertical="center"/>
    </xf>
    <xf numFmtId="0" fontId="23" fillId="6" borderId="3" xfId="1" applyFont="1" applyFill="1" applyBorder="1" applyAlignment="1">
      <alignment horizontal="center" vertical="top" wrapText="1"/>
    </xf>
    <xf numFmtId="49" fontId="23" fillId="6" borderId="4" xfId="1" applyNumberFormat="1" applyFont="1" applyFill="1" applyBorder="1" applyAlignment="1">
      <alignment vertical="center" wrapText="1"/>
    </xf>
    <xf numFmtId="2" fontId="23" fillId="6" borderId="4" xfId="1" applyNumberFormat="1" applyFont="1" applyFill="1" applyBorder="1" applyAlignment="1">
      <alignment horizontal="center" vertical="center" wrapText="1"/>
    </xf>
    <xf numFmtId="0" fontId="9" fillId="6" borderId="0" xfId="1" applyFont="1" applyFill="1" applyBorder="1" applyAlignment="1">
      <alignment horizontal="center" vertical="center"/>
    </xf>
    <xf numFmtId="0" fontId="12" fillId="6" borderId="3" xfId="1" applyFill="1" applyBorder="1" applyAlignment="1">
      <alignment horizontal="center" vertical="center"/>
    </xf>
    <xf numFmtId="0" fontId="12" fillId="6" borderId="4" xfId="1" applyFill="1" applyBorder="1" applyAlignment="1">
      <alignment horizontal="center" vertical="top"/>
    </xf>
    <xf numFmtId="0" fontId="12" fillId="6" borderId="4" xfId="1" applyFont="1" applyFill="1" applyBorder="1" applyAlignment="1">
      <alignment horizontal="left" vertical="top" wrapText="1"/>
    </xf>
    <xf numFmtId="49" fontId="12" fillId="6" borderId="4" xfId="1" applyNumberFormat="1" applyFont="1" applyFill="1" applyBorder="1" applyAlignment="1">
      <alignment vertical="top" wrapText="1"/>
    </xf>
    <xf numFmtId="0" fontId="10" fillId="6" borderId="4" xfId="1" applyFont="1" applyFill="1" applyBorder="1" applyAlignment="1">
      <alignment horizontal="center" vertical="top"/>
    </xf>
    <xf numFmtId="49" fontId="10" fillId="6" borderId="4" xfId="1" applyNumberFormat="1" applyFont="1" applyFill="1" applyBorder="1" applyAlignment="1">
      <alignment vertical="top" wrapText="1"/>
    </xf>
    <xf numFmtId="0" fontId="12" fillId="6" borderId="4" xfId="1" applyFont="1" applyFill="1" applyBorder="1" applyAlignment="1">
      <alignment horizontal="center" vertical="top"/>
    </xf>
    <xf numFmtId="0" fontId="8" fillId="0" borderId="0" xfId="1" applyFont="1" applyFill="1" applyBorder="1" applyAlignment="1">
      <alignment horizontal="center"/>
    </xf>
    <xf numFmtId="0" fontId="23" fillId="0" borderId="3" xfId="1" applyFont="1" applyFill="1" applyBorder="1" applyAlignment="1">
      <alignment horizontal="center" vertical="center"/>
    </xf>
    <xf numFmtId="0" fontId="23" fillId="0" borderId="4" xfId="1" applyFont="1" applyFill="1" applyBorder="1" applyAlignment="1">
      <alignment horizontal="center" vertical="center" wrapText="1"/>
    </xf>
    <xf numFmtId="0" fontId="15" fillId="0" borderId="3" xfId="1" applyFont="1" applyFill="1" applyBorder="1" applyAlignment="1">
      <alignment horizontal="center" vertical="center"/>
    </xf>
    <xf numFmtId="0" fontId="15" fillId="0" borderId="6" xfId="1" applyFont="1" applyFill="1" applyBorder="1" applyAlignment="1">
      <alignment horizontal="center" vertical="center"/>
    </xf>
    <xf numFmtId="0" fontId="15" fillId="0" borderId="6" xfId="1" applyFont="1" applyFill="1" applyBorder="1" applyAlignment="1">
      <alignment horizontal="center" vertical="center" wrapText="1"/>
    </xf>
    <xf numFmtId="0" fontId="15" fillId="0" borderId="4" xfId="1" applyFont="1" applyFill="1" applyBorder="1" applyAlignment="1">
      <alignment horizontal="center" vertical="center"/>
    </xf>
    <xf numFmtId="0" fontId="23" fillId="0" borderId="10" xfId="1" applyFont="1" applyFill="1" applyBorder="1" applyAlignment="1">
      <alignment horizontal="center" vertical="center" wrapText="1"/>
    </xf>
    <xf numFmtId="2" fontId="23" fillId="0" borderId="4" xfId="1" applyNumberFormat="1" applyFont="1" applyFill="1" applyBorder="1" applyAlignment="1">
      <alignment horizontal="center" vertical="center" wrapText="1"/>
    </xf>
    <xf numFmtId="0" fontId="23" fillId="0" borderId="4" xfId="1" applyFont="1" applyFill="1" applyBorder="1" applyAlignment="1">
      <alignment horizontal="center" vertical="center"/>
    </xf>
    <xf numFmtId="0" fontId="9" fillId="0" borderId="0" xfId="1" applyFont="1" applyFill="1" applyBorder="1" applyAlignment="1">
      <alignment horizontal="center" vertical="center" wrapText="1"/>
    </xf>
    <xf numFmtId="0" fontId="23" fillId="0" borderId="4" xfId="1" applyNumberFormat="1" applyFont="1" applyFill="1" applyBorder="1" applyAlignment="1">
      <alignment horizontal="center" vertical="center" wrapText="1"/>
    </xf>
    <xf numFmtId="0" fontId="17" fillId="0" borderId="0" xfId="1" applyFont="1" applyFill="1" applyAlignment="1">
      <alignment horizontal="center"/>
    </xf>
    <xf numFmtId="0" fontId="8" fillId="0" borderId="1" xfId="1" applyFont="1" applyFill="1" applyBorder="1" applyAlignment="1">
      <alignment vertical="center" wrapText="1"/>
    </xf>
    <xf numFmtId="0" fontId="37" fillId="0" borderId="4" xfId="1" applyFont="1" applyFill="1" applyBorder="1" applyAlignment="1">
      <alignment horizontal="center"/>
    </xf>
    <xf numFmtId="0" fontId="37" fillId="0" borderId="10" xfId="1" applyFont="1" applyFill="1" applyBorder="1" applyAlignment="1">
      <alignment horizontal="center"/>
    </xf>
    <xf numFmtId="0" fontId="12" fillId="0" borderId="0" xfId="1" applyFill="1" applyAlignment="1">
      <alignment horizontal="right"/>
    </xf>
    <xf numFmtId="0" fontId="15" fillId="0" borderId="0" xfId="1" applyFont="1" applyFill="1" applyAlignment="1"/>
    <xf numFmtId="0" fontId="12" fillId="2" borderId="0" xfId="0" applyFont="1" applyFill="1" applyAlignment="1">
      <alignment vertical="center"/>
    </xf>
    <xf numFmtId="0" fontId="12" fillId="2" borderId="0" xfId="2" applyFont="1" applyFill="1" applyAlignment="1">
      <alignment horizontal="left" vertical="top" wrapText="1"/>
    </xf>
    <xf numFmtId="0" fontId="23" fillId="2" borderId="0" xfId="0" applyFont="1" applyFill="1" applyAlignment="1">
      <alignment horizontal="left" vertical="center"/>
    </xf>
    <xf numFmtId="0" fontId="15" fillId="0" borderId="0" xfId="1" applyNumberFormat="1" applyFont="1" applyFill="1"/>
    <xf numFmtId="0" fontId="23" fillId="0" borderId="4" xfId="1" applyFont="1" applyFill="1" applyBorder="1" applyAlignment="1">
      <alignment horizontal="center" vertical="top"/>
    </xf>
    <xf numFmtId="49" fontId="15" fillId="0" borderId="4" xfId="1" applyNumberFormat="1" applyFont="1" applyFill="1" applyBorder="1" applyAlignment="1">
      <alignment vertical="center"/>
    </xf>
    <xf numFmtId="0" fontId="23" fillId="0" borderId="4" xfId="1" applyFont="1" applyFill="1" applyBorder="1" applyAlignment="1">
      <alignment horizontal="left" vertical="center" wrapText="1"/>
    </xf>
    <xf numFmtId="0" fontId="71" fillId="0" borderId="10" xfId="1" applyFont="1" applyFill="1" applyBorder="1" applyAlignment="1">
      <alignment horizontal="center" vertical="center" wrapText="1"/>
    </xf>
    <xf numFmtId="0" fontId="23" fillId="0" borderId="4" xfId="1" applyFont="1" applyFill="1" applyBorder="1" applyAlignment="1">
      <alignment horizontal="left" vertical="center"/>
    </xf>
    <xf numFmtId="49" fontId="15" fillId="0" borderId="3" xfId="1" applyNumberFormat="1" applyFont="1" applyFill="1" applyBorder="1" applyAlignment="1">
      <alignment horizontal="left" vertical="center" wrapText="1"/>
    </xf>
    <xf numFmtId="0" fontId="15" fillId="0" borderId="6" xfId="1" applyFont="1" applyFill="1" applyBorder="1" applyAlignment="1">
      <alignment horizontal="center" vertical="top"/>
    </xf>
    <xf numFmtId="0" fontId="15" fillId="0" borderId="4" xfId="1" applyNumberFormat="1" applyFont="1" applyFill="1" applyBorder="1" applyAlignment="1">
      <alignment horizontal="center" vertical="top"/>
    </xf>
    <xf numFmtId="0" fontId="15" fillId="0" borderId="10" xfId="1" applyFont="1" applyFill="1" applyBorder="1" applyAlignment="1">
      <alignment horizontal="center" vertical="top"/>
    </xf>
    <xf numFmtId="2" fontId="15" fillId="0" borderId="14" xfId="1" applyNumberFormat="1" applyFont="1" applyFill="1" applyBorder="1" applyAlignment="1">
      <alignment horizontal="center" vertical="top"/>
    </xf>
    <xf numFmtId="2" fontId="15" fillId="0" borderId="14" xfId="1" applyNumberFormat="1" applyFont="1" applyFill="1" applyBorder="1" applyAlignment="1">
      <alignment horizontal="center" vertical="center"/>
    </xf>
    <xf numFmtId="0" fontId="23" fillId="0" borderId="10" xfId="1" applyFont="1" applyFill="1" applyBorder="1" applyAlignment="1">
      <alignment horizontal="center" vertical="center"/>
    </xf>
    <xf numFmtId="0" fontId="12" fillId="0" borderId="0" xfId="1"/>
    <xf numFmtId="0" fontId="9" fillId="0" borderId="0" xfId="1" applyFont="1" applyFill="1" applyBorder="1" applyAlignment="1">
      <alignment vertical="center" wrapText="1"/>
    </xf>
    <xf numFmtId="0" fontId="18" fillId="0" borderId="0" xfId="1" applyFont="1" applyFill="1" applyBorder="1" applyAlignment="1"/>
    <xf numFmtId="0" fontId="23" fillId="6" borderId="6" xfId="1" applyFont="1" applyFill="1" applyBorder="1" applyAlignment="1">
      <alignment horizontal="center" vertical="center" wrapText="1"/>
    </xf>
    <xf numFmtId="0" fontId="15" fillId="3" borderId="0" xfId="1" applyFont="1" applyFill="1" applyBorder="1" applyAlignment="1">
      <alignment horizontal="center" vertical="center"/>
    </xf>
    <xf numFmtId="0" fontId="53" fillId="0" borderId="0" xfId="1" applyFont="1" applyFill="1" applyBorder="1" applyAlignment="1">
      <alignment vertical="top" wrapText="1"/>
    </xf>
    <xf numFmtId="0" fontId="53" fillId="0" borderId="0" xfId="1" applyFont="1" applyFill="1" applyBorder="1" applyAlignment="1">
      <alignment horizontal="center" vertical="top" wrapText="1"/>
    </xf>
    <xf numFmtId="0" fontId="67" fillId="0" borderId="0" xfId="1" applyFont="1" applyFill="1" applyAlignment="1">
      <alignment horizontal="left"/>
    </xf>
    <xf numFmtId="0" fontId="15" fillId="0" borderId="0" xfId="1" applyFont="1" applyFill="1" applyAlignment="1">
      <alignment horizontal="left" vertical="center"/>
    </xf>
    <xf numFmtId="165" fontId="15" fillId="0" borderId="4" xfId="1" applyNumberFormat="1" applyFont="1" applyFill="1" applyBorder="1" applyAlignment="1">
      <alignment horizontal="center" vertical="center" wrapText="1"/>
    </xf>
    <xf numFmtId="0" fontId="15" fillId="0" borderId="10" xfId="1" applyNumberFormat="1" applyFont="1" applyFill="1" applyBorder="1" applyAlignment="1">
      <alignment horizontal="left" vertical="center"/>
    </xf>
    <xf numFmtId="164" fontId="15" fillId="0" borderId="4" xfId="1" applyNumberFormat="1" applyFont="1" applyFill="1" applyBorder="1" applyAlignment="1">
      <alignment horizontal="center" vertical="center" wrapText="1"/>
    </xf>
    <xf numFmtId="0" fontId="23" fillId="0" borderId="4" xfId="1" applyFont="1" applyFill="1" applyBorder="1" applyAlignment="1">
      <alignment vertical="center" wrapText="1"/>
    </xf>
    <xf numFmtId="0" fontId="71" fillId="0" borderId="0" xfId="1" applyFont="1" applyFill="1" applyAlignment="1">
      <alignment horizontal="center"/>
    </xf>
    <xf numFmtId="0" fontId="7" fillId="0" borderId="0" xfId="1" applyFont="1" applyFill="1" applyBorder="1" applyAlignment="1">
      <alignment vertical="center" wrapText="1"/>
    </xf>
    <xf numFmtId="0" fontId="8" fillId="0" borderId="0" xfId="1" applyFont="1" applyFill="1" applyBorder="1" applyAlignment="1">
      <alignment vertical="top" wrapText="1"/>
    </xf>
    <xf numFmtId="0" fontId="8" fillId="0" borderId="0" xfId="1" applyFont="1" applyFill="1" applyAlignment="1">
      <alignment vertical="top" wrapText="1"/>
    </xf>
    <xf numFmtId="0" fontId="8" fillId="0" borderId="0" xfId="1" applyFont="1" applyFill="1" applyAlignment="1">
      <alignment horizontal="center" vertical="top" wrapText="1"/>
    </xf>
    <xf numFmtId="0" fontId="70" fillId="0" borderId="0" xfId="1" applyFont="1" applyFill="1" applyBorder="1" applyAlignment="1">
      <alignment horizontal="center" vertical="center" wrapText="1"/>
    </xf>
    <xf numFmtId="0" fontId="70" fillId="0" borderId="0" xfId="1" applyFont="1" applyFill="1" applyBorder="1" applyAlignment="1">
      <alignment vertical="center" wrapText="1"/>
    </xf>
    <xf numFmtId="0" fontId="70" fillId="0" borderId="4" xfId="1" quotePrefix="1" applyFont="1" applyFill="1" applyBorder="1" applyAlignment="1">
      <alignment horizontal="center" vertical="top" wrapText="1"/>
    </xf>
    <xf numFmtId="0" fontId="70" fillId="0" borderId="4" xfId="1" quotePrefix="1" applyNumberFormat="1" applyFont="1" applyFill="1" applyBorder="1" applyAlignment="1">
      <alignment horizontal="center" vertical="top" wrapText="1"/>
    </xf>
    <xf numFmtId="2" fontId="15" fillId="0" borderId="11" xfId="1" applyNumberFormat="1" applyFont="1" applyFill="1" applyBorder="1" applyAlignment="1" applyProtection="1">
      <alignment horizontal="center" vertical="center"/>
    </xf>
    <xf numFmtId="0" fontId="12" fillId="0" borderId="0" xfId="1" applyFont="1" applyFill="1" applyAlignment="1">
      <alignment vertical="center" wrapText="1"/>
    </xf>
    <xf numFmtId="0" fontId="71" fillId="0" borderId="0" xfId="1" applyFont="1" applyFill="1" applyAlignment="1">
      <alignment vertical="center"/>
    </xf>
    <xf numFmtId="0" fontId="71" fillId="0" borderId="0" xfId="1" applyFont="1" applyFill="1" applyAlignment="1">
      <alignment vertical="center" wrapText="1"/>
    </xf>
    <xf numFmtId="49" fontId="13" fillId="0" borderId="11" xfId="1" applyNumberFormat="1" applyFont="1" applyFill="1" applyBorder="1" applyAlignment="1">
      <alignment vertical="center" wrapText="1"/>
    </xf>
    <xf numFmtId="49" fontId="71" fillId="0" borderId="11" xfId="1" applyNumberFormat="1" applyFont="1" applyFill="1" applyBorder="1" applyAlignment="1">
      <alignment vertical="center" wrapText="1"/>
    </xf>
    <xf numFmtId="0" fontId="71" fillId="0" borderId="11" xfId="1" applyFont="1" applyFill="1" applyBorder="1" applyAlignment="1">
      <alignment vertical="center"/>
    </xf>
    <xf numFmtId="0" fontId="71" fillId="0" borderId="11" xfId="1" applyFont="1" applyFill="1" applyBorder="1" applyAlignment="1">
      <alignment vertical="center" wrapText="1"/>
    </xf>
    <xf numFmtId="0" fontId="71" fillId="0" borderId="0" xfId="1" applyFont="1" applyFill="1" applyBorder="1" applyAlignment="1">
      <alignment horizontal="center" vertical="center" wrapText="1"/>
    </xf>
    <xf numFmtId="0" fontId="71" fillId="0" borderId="0" xfId="1" applyNumberFormat="1" applyFont="1" applyFill="1" applyBorder="1" applyAlignment="1">
      <alignment horizontal="center" vertical="center" wrapText="1"/>
    </xf>
    <xf numFmtId="2" fontId="71" fillId="0" borderId="0" xfId="1" applyNumberFormat="1" applyFont="1" applyFill="1" applyBorder="1" applyAlignment="1">
      <alignment horizontal="center" vertical="center" wrapText="1"/>
    </xf>
    <xf numFmtId="0" fontId="71" fillId="0" borderId="0" xfId="1" applyFont="1" applyFill="1" applyBorder="1" applyAlignment="1">
      <alignment horizontal="center" vertical="center"/>
    </xf>
    <xf numFmtId="0" fontId="70" fillId="0" borderId="0" xfId="1" applyFont="1" applyFill="1" applyAlignment="1">
      <alignment horizontal="center" vertical="top" wrapText="1"/>
    </xf>
    <xf numFmtId="0" fontId="71" fillId="0" borderId="0" xfId="1" applyFont="1" applyFill="1" applyBorder="1" applyAlignment="1">
      <alignment vertical="top" wrapText="1"/>
    </xf>
    <xf numFmtId="0" fontId="71" fillId="0" borderId="0" xfId="1" applyFont="1" applyFill="1" applyAlignment="1">
      <alignment vertical="top" wrapText="1"/>
    </xf>
    <xf numFmtId="0" fontId="71" fillId="0" borderId="10" xfId="1" applyFont="1" applyFill="1" applyBorder="1" applyAlignment="1">
      <alignment horizontal="center" vertical="center"/>
    </xf>
    <xf numFmtId="0" fontId="71" fillId="0" borderId="4" xfId="1" quotePrefix="1" applyFont="1" applyFill="1" applyBorder="1" applyAlignment="1">
      <alignment horizontal="center" vertical="center" wrapText="1"/>
    </xf>
    <xf numFmtId="2" fontId="71" fillId="0" borderId="4" xfId="1" quotePrefix="1" applyNumberFormat="1" applyFont="1" applyFill="1" applyBorder="1" applyAlignment="1">
      <alignment horizontal="center" vertical="center" wrapText="1"/>
    </xf>
    <xf numFmtId="0" fontId="71" fillId="0" borderId="4" xfId="1" applyFont="1" applyFill="1" applyBorder="1" applyAlignment="1">
      <alignment horizontal="left" vertical="top" wrapText="1"/>
    </xf>
    <xf numFmtId="0" fontId="71" fillId="0" borderId="3" xfId="1" applyFont="1" applyFill="1" applyBorder="1" applyAlignment="1">
      <alignment vertical="center" wrapText="1"/>
    </xf>
    <xf numFmtId="0" fontId="71" fillId="0" borderId="6" xfId="1" applyFont="1" applyFill="1" applyBorder="1" applyAlignment="1">
      <alignment vertical="center" wrapText="1"/>
    </xf>
    <xf numFmtId="0" fontId="71" fillId="0" borderId="15" xfId="1" applyNumberFormat="1" applyFont="1" applyFill="1" applyBorder="1" applyAlignment="1">
      <alignment horizontal="center" vertical="center" wrapText="1"/>
    </xf>
    <xf numFmtId="0" fontId="71" fillId="0" borderId="10" xfId="1" applyNumberFormat="1" applyFont="1" applyFill="1" applyBorder="1" applyAlignment="1">
      <alignment horizontal="center" vertical="center" wrapText="1"/>
    </xf>
    <xf numFmtId="2" fontId="15" fillId="0" borderId="4" xfId="1" quotePrefix="1" applyNumberFormat="1" applyFont="1" applyFill="1" applyBorder="1" applyAlignment="1">
      <alignment horizontal="center" vertical="center" wrapText="1"/>
    </xf>
    <xf numFmtId="0" fontId="15" fillId="0" borderId="15" xfId="1" applyNumberFormat="1" applyFont="1" applyFill="1" applyBorder="1" applyAlignment="1">
      <alignment horizontal="center" vertical="center" wrapText="1"/>
    </xf>
    <xf numFmtId="0" fontId="71" fillId="0" borderId="12" xfId="1" applyFont="1" applyFill="1" applyBorder="1" applyAlignment="1">
      <alignment horizontal="center" vertical="center" wrapText="1"/>
    </xf>
    <xf numFmtId="0" fontId="71" fillId="0" borderId="4" xfId="1" applyNumberFormat="1" applyFont="1" applyFill="1" applyBorder="1" applyAlignment="1">
      <alignment vertical="center" wrapText="1"/>
    </xf>
    <xf numFmtId="0" fontId="71" fillId="0" borderId="12" xfId="1" applyNumberFormat="1" applyFont="1" applyFill="1" applyBorder="1" applyAlignment="1">
      <alignment vertical="center" wrapText="1"/>
    </xf>
    <xf numFmtId="10" fontId="71" fillId="0" borderId="14" xfId="1" applyNumberFormat="1" applyFont="1" applyFill="1" applyBorder="1" applyAlignment="1">
      <alignment horizontal="right" vertical="center" wrapText="1"/>
    </xf>
    <xf numFmtId="1" fontId="71" fillId="0" borderId="4" xfId="1" applyNumberFormat="1" applyFont="1" applyFill="1" applyBorder="1" applyAlignment="1">
      <alignment horizontal="center" vertical="center" wrapText="1"/>
    </xf>
    <xf numFmtId="2" fontId="71" fillId="0" borderId="3" xfId="1" applyNumberFormat="1" applyFont="1" applyFill="1" applyBorder="1" applyAlignment="1">
      <alignment horizontal="center" vertical="center" wrapText="1"/>
    </xf>
    <xf numFmtId="2" fontId="70" fillId="0" borderId="3" xfId="1" applyNumberFormat="1" applyFont="1" applyFill="1" applyBorder="1" applyAlignment="1">
      <alignment horizontal="center" vertical="center" wrapText="1"/>
    </xf>
    <xf numFmtId="0" fontId="8" fillId="0" borderId="0" xfId="1" applyFont="1" applyFill="1" applyAlignment="1" applyProtection="1"/>
    <xf numFmtId="0" fontId="7" fillId="0" borderId="0" xfId="1" applyFont="1" applyFill="1" applyBorder="1" applyAlignment="1">
      <alignment vertical="top" wrapText="1"/>
    </xf>
    <xf numFmtId="0" fontId="115" fillId="0" borderId="0" xfId="1" applyFont="1" applyFill="1" applyAlignment="1" applyProtection="1"/>
    <xf numFmtId="0" fontId="14" fillId="0" borderId="0" xfId="1" applyFont="1" applyFill="1" applyAlignment="1" applyProtection="1">
      <alignment vertical="center" wrapText="1"/>
    </xf>
    <xf numFmtId="0" fontId="97" fillId="0" borderId="0" xfId="1" applyFont="1" applyFill="1"/>
    <xf numFmtId="0" fontId="97" fillId="0" borderId="0" xfId="1" applyFont="1" applyFill="1" applyAlignment="1">
      <alignment wrapText="1"/>
    </xf>
    <xf numFmtId="0" fontId="115" fillId="0" borderId="0" xfId="1" applyFont="1" applyFill="1"/>
    <xf numFmtId="0" fontId="23" fillId="0" borderId="4" xfId="1" applyFont="1" applyFill="1" applyBorder="1" applyAlignment="1" applyProtection="1">
      <alignment horizontal="center" vertical="center" wrapText="1"/>
    </xf>
    <xf numFmtId="0" fontId="23" fillId="0" borderId="0" xfId="1" applyFont="1" applyFill="1" applyBorder="1" applyAlignment="1" applyProtection="1">
      <alignment horizontal="center" vertical="center" wrapText="1"/>
    </xf>
    <xf numFmtId="0" fontId="15" fillId="0" borderId="4" xfId="1" applyFont="1" applyFill="1" applyBorder="1" applyAlignment="1" applyProtection="1">
      <alignment horizontal="center" vertical="center" wrapText="1"/>
    </xf>
    <xf numFmtId="0" fontId="15" fillId="0" borderId="10" xfId="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2" fontId="15" fillId="0" borderId="11" xfId="1" applyNumberFormat="1" applyFont="1" applyFill="1" applyBorder="1" applyAlignment="1" applyProtection="1">
      <alignment vertical="center"/>
    </xf>
    <xf numFmtId="2" fontId="15" fillId="0" borderId="0" xfId="1" applyNumberFormat="1" applyFont="1" applyFill="1" applyBorder="1" applyAlignment="1" applyProtection="1">
      <alignment horizontal="center" vertical="center"/>
    </xf>
    <xf numFmtId="2" fontId="15" fillId="0" borderId="0" xfId="1" applyNumberFormat="1" applyFont="1" applyFill="1" applyBorder="1" applyAlignment="1" applyProtection="1">
      <alignment horizontal="center" vertical="center" wrapText="1"/>
    </xf>
    <xf numFmtId="0" fontId="71" fillId="0" borderId="0" xfId="1" applyNumberFormat="1" applyFont="1" applyFill="1" applyBorder="1" applyAlignment="1">
      <alignment vertical="center" wrapText="1"/>
    </xf>
    <xf numFmtId="2" fontId="70" fillId="0" borderId="0" xfId="1" applyNumberFormat="1" applyFont="1" applyFill="1" applyBorder="1" applyAlignment="1">
      <alignment horizontal="left" vertical="center"/>
    </xf>
    <xf numFmtId="0" fontId="14" fillId="0" borderId="0" xfId="1" applyFont="1" applyFill="1" applyBorder="1" applyAlignment="1" applyProtection="1">
      <alignment horizontal="center" vertical="center"/>
    </xf>
    <xf numFmtId="0" fontId="15" fillId="0" borderId="0" xfId="1" applyFont="1" applyFill="1" applyAlignment="1">
      <alignment wrapText="1"/>
    </xf>
    <xf numFmtId="0" fontId="15" fillId="0" borderId="4" xfId="1" applyFont="1" applyFill="1" applyBorder="1" applyAlignment="1" applyProtection="1">
      <alignment horizontal="left" vertical="center" wrapText="1"/>
    </xf>
    <xf numFmtId="1" fontId="71" fillId="0" borderId="4" xfId="1" applyNumberFormat="1" applyFont="1" applyFill="1" applyBorder="1" applyAlignment="1" applyProtection="1">
      <alignment horizontal="center" vertical="center"/>
    </xf>
    <xf numFmtId="2" fontId="71" fillId="0" borderId="4" xfId="1" applyNumberFormat="1" applyFont="1" applyFill="1" applyBorder="1" applyAlignment="1" applyProtection="1">
      <alignment horizontal="center" vertical="center"/>
    </xf>
    <xf numFmtId="0" fontId="15" fillId="0" borderId="4" xfId="5" applyFont="1" applyFill="1" applyBorder="1" applyAlignment="1" applyProtection="1">
      <alignment horizontal="center" vertical="center" wrapText="1"/>
    </xf>
    <xf numFmtId="1" fontId="71" fillId="0" borderId="4" xfId="1" applyNumberFormat="1" applyFont="1" applyFill="1" applyBorder="1" applyAlignment="1" applyProtection="1">
      <alignment horizontal="center" vertical="center" wrapText="1"/>
    </xf>
    <xf numFmtId="0" fontId="71" fillId="0" borderId="6" xfId="1" applyFont="1" applyFill="1" applyBorder="1" applyAlignment="1">
      <alignment horizontal="left" vertical="center" wrapText="1"/>
    </xf>
    <xf numFmtId="0" fontId="15" fillId="0" borderId="3" xfId="1" applyFont="1" applyFill="1" applyBorder="1" applyAlignment="1" applyProtection="1">
      <alignment horizontal="center" vertical="center"/>
    </xf>
    <xf numFmtId="165" fontId="71" fillId="0" borderId="4" xfId="1" applyNumberFormat="1" applyFont="1" applyFill="1" applyBorder="1" applyAlignment="1" applyProtection="1">
      <alignment horizontal="center" vertical="center"/>
    </xf>
    <xf numFmtId="0" fontId="15" fillId="0" borderId="10" xfId="1" applyNumberFormat="1" applyFont="1" applyFill="1" applyBorder="1" applyAlignment="1">
      <alignment vertical="center" wrapText="1"/>
    </xf>
    <xf numFmtId="0" fontId="15" fillId="0" borderId="12" xfId="1" applyNumberFormat="1" applyFont="1" applyFill="1" applyBorder="1" applyAlignment="1">
      <alignment vertical="center" wrapText="1"/>
    </xf>
    <xf numFmtId="0" fontId="71" fillId="0" borderId="9" xfId="1" applyNumberFormat="1" applyFont="1" applyFill="1" applyBorder="1" applyAlignment="1">
      <alignment vertical="center" wrapText="1"/>
    </xf>
    <xf numFmtId="0" fontId="23" fillId="0" borderId="4" xfId="1" applyFont="1" applyFill="1" applyBorder="1" applyAlignment="1" applyProtection="1">
      <alignment horizontal="center" vertical="center"/>
    </xf>
    <xf numFmtId="0" fontId="23" fillId="0" borderId="4" xfId="1" applyFont="1" applyFill="1" applyBorder="1" applyAlignment="1" applyProtection="1">
      <alignment horizontal="left" vertical="center" wrapText="1"/>
    </xf>
    <xf numFmtId="2" fontId="15" fillId="0" borderId="10" xfId="1" applyNumberFormat="1" applyFont="1" applyFill="1" applyBorder="1" applyAlignment="1" applyProtection="1">
      <alignment horizontal="center" vertical="center"/>
    </xf>
    <xf numFmtId="2" fontId="15" fillId="0" borderId="4" xfId="1" applyNumberFormat="1" applyFont="1" applyFill="1" applyBorder="1" applyAlignment="1" applyProtection="1">
      <alignment horizontal="center" vertical="center"/>
    </xf>
    <xf numFmtId="2" fontId="70" fillId="0" borderId="4" xfId="1" applyNumberFormat="1" applyFont="1" applyFill="1" applyBorder="1" applyAlignment="1" applyProtection="1">
      <alignment horizontal="center" vertical="center"/>
    </xf>
    <xf numFmtId="0" fontId="71" fillId="0" borderId="4" xfId="1" applyFont="1" applyFill="1" applyBorder="1" applyAlignment="1" applyProtection="1">
      <alignment horizontal="center" vertical="center"/>
    </xf>
    <xf numFmtId="0" fontId="71" fillId="0" borderId="4" xfId="1" applyFont="1" applyFill="1" applyBorder="1" applyAlignment="1" applyProtection="1">
      <alignment horizontal="left" vertical="center" wrapText="1"/>
    </xf>
    <xf numFmtId="10" fontId="71" fillId="0" borderId="4" xfId="1" applyNumberFormat="1" applyFont="1" applyFill="1" applyBorder="1" applyAlignment="1">
      <alignment horizontal="center" vertical="center"/>
    </xf>
    <xf numFmtId="0" fontId="71" fillId="0" borderId="10" xfId="1" applyFont="1" applyFill="1" applyBorder="1" applyAlignment="1" applyProtection="1">
      <alignment horizontal="center" vertical="center"/>
    </xf>
    <xf numFmtId="0" fontId="17" fillId="0" borderId="4" xfId="1" applyFont="1" applyFill="1" applyBorder="1" applyAlignment="1">
      <alignment horizontal="center" vertical="center" wrapText="1"/>
    </xf>
    <xf numFmtId="49" fontId="14" fillId="0" borderId="0" xfId="1" applyNumberFormat="1" applyFont="1" applyFill="1" applyBorder="1" applyAlignment="1">
      <alignment horizontal="left" vertical="center" wrapText="1"/>
    </xf>
    <xf numFmtId="0" fontId="23" fillId="0" borderId="3"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15" fillId="0" borderId="3" xfId="1" applyFont="1" applyFill="1" applyBorder="1" applyAlignment="1">
      <alignment horizontal="center" vertical="center"/>
    </xf>
    <xf numFmtId="0" fontId="15" fillId="0" borderId="6" xfId="1" applyFont="1" applyFill="1" applyBorder="1" applyAlignment="1">
      <alignment horizontal="center" vertical="center"/>
    </xf>
    <xf numFmtId="0" fontId="15" fillId="0" borderId="3" xfId="1" applyFont="1" applyFill="1" applyBorder="1" applyAlignment="1">
      <alignment horizontal="center" vertical="center" wrapText="1"/>
    </xf>
    <xf numFmtId="0" fontId="15" fillId="0" borderId="4" xfId="1" applyFont="1" applyFill="1" applyBorder="1" applyAlignment="1">
      <alignment horizontal="center" vertical="center"/>
    </xf>
    <xf numFmtId="0" fontId="23" fillId="0" borderId="10" xfId="1" applyFont="1" applyFill="1" applyBorder="1" applyAlignment="1">
      <alignment horizontal="center" vertical="center" wrapText="1"/>
    </xf>
    <xf numFmtId="0" fontId="23" fillId="0" borderId="9" xfId="1" applyFont="1" applyFill="1" applyBorder="1" applyAlignment="1">
      <alignment horizontal="center" vertical="center" wrapText="1"/>
    </xf>
    <xf numFmtId="2" fontId="23" fillId="0" borderId="4" xfId="1" applyNumberFormat="1" applyFont="1" applyFill="1" applyBorder="1" applyAlignment="1">
      <alignment horizontal="center" vertical="center" wrapText="1"/>
    </xf>
    <xf numFmtId="0" fontId="23" fillId="0" borderId="3" xfId="3" applyFont="1" applyFill="1" applyBorder="1" applyAlignment="1">
      <alignment horizontal="center" vertical="center"/>
    </xf>
    <xf numFmtId="0" fontId="14" fillId="0" borderId="4" xfId="1" applyFont="1" applyFill="1" applyBorder="1" applyAlignment="1">
      <alignment horizontal="center" vertical="center"/>
    </xf>
    <xf numFmtId="0" fontId="17" fillId="0" borderId="3" xfId="1" applyFont="1" applyFill="1" applyBorder="1" applyAlignment="1">
      <alignment horizontal="center" vertical="center"/>
    </xf>
    <xf numFmtId="0" fontId="23" fillId="0" borderId="4" xfId="1" applyFont="1" applyFill="1" applyBorder="1" applyAlignment="1">
      <alignment horizontal="center" vertical="center"/>
    </xf>
    <xf numFmtId="0" fontId="14" fillId="0" borderId="3" xfId="1" applyFont="1" applyFill="1" applyBorder="1" applyAlignment="1">
      <alignment horizontal="center" vertical="center"/>
    </xf>
    <xf numFmtId="0" fontId="9" fillId="0" borderId="0" xfId="1" applyFont="1" applyFill="1" applyBorder="1" applyAlignment="1">
      <alignment horizontal="center" vertical="center" wrapText="1"/>
    </xf>
    <xf numFmtId="0" fontId="23" fillId="0" borderId="4" xfId="1" applyFont="1" applyFill="1" applyBorder="1" applyAlignment="1">
      <alignment horizontal="center" vertical="top" wrapText="1"/>
    </xf>
    <xf numFmtId="0" fontId="15" fillId="0" borderId="4" xfId="1" applyFont="1" applyFill="1" applyBorder="1" applyAlignment="1">
      <alignment horizontal="center" vertical="top" wrapText="1"/>
    </xf>
    <xf numFmtId="0" fontId="15" fillId="0" borderId="4" xfId="1" applyFont="1" applyFill="1" applyBorder="1" applyAlignment="1">
      <alignment horizontal="center" vertical="center" wrapText="1"/>
    </xf>
    <xf numFmtId="0" fontId="15" fillId="2" borderId="0" xfId="1" applyFont="1" applyFill="1" applyBorder="1" applyAlignment="1">
      <alignment horizontal="left" vertical="center" wrapText="1"/>
    </xf>
    <xf numFmtId="0" fontId="8" fillId="0" borderId="0" xfId="1" applyFont="1" applyFill="1" applyBorder="1" applyAlignment="1">
      <alignment horizontal="center" vertical="center" wrapText="1"/>
    </xf>
    <xf numFmtId="0" fontId="17" fillId="0" borderId="0" xfId="1" applyFont="1" applyFill="1" applyAlignment="1">
      <alignment horizontal="center"/>
    </xf>
    <xf numFmtId="2" fontId="17" fillId="2" borderId="0" xfId="1" applyNumberFormat="1" applyFont="1" applyFill="1" applyBorder="1" applyAlignment="1">
      <alignment horizontal="center" vertical="center" wrapText="1"/>
    </xf>
    <xf numFmtId="0" fontId="12" fillId="0" borderId="0" xfId="1" applyFont="1" applyFill="1" applyBorder="1" applyAlignment="1">
      <alignment horizontal="center" wrapText="1"/>
    </xf>
    <xf numFmtId="0" fontId="34" fillId="0" borderId="0" xfId="1" applyFont="1" applyFill="1" applyBorder="1" applyAlignment="1">
      <alignment horizontal="center" vertical="center" wrapText="1"/>
    </xf>
    <xf numFmtId="0" fontId="34" fillId="0" borderId="0" xfId="1" applyFont="1" applyFill="1" applyBorder="1" applyAlignment="1">
      <alignment horizontal="center" wrapText="1"/>
    </xf>
    <xf numFmtId="0" fontId="23" fillId="0" borderId="0" xfId="1" applyFont="1" applyFill="1" applyAlignment="1">
      <alignment vertical="center" wrapText="1"/>
    </xf>
    <xf numFmtId="0" fontId="10" fillId="3" borderId="0" xfId="1" applyFont="1" applyFill="1" applyAlignment="1">
      <alignment vertical="top"/>
    </xf>
    <xf numFmtId="0" fontId="23" fillId="0" borderId="0" xfId="1" applyFont="1" applyFill="1" applyBorder="1" applyAlignment="1">
      <alignment horizontal="center" vertical="top" wrapText="1"/>
    </xf>
    <xf numFmtId="0" fontId="12" fillId="0" borderId="0" xfId="1" applyFont="1" applyFill="1" applyAlignment="1">
      <alignment horizontal="center" wrapText="1"/>
    </xf>
    <xf numFmtId="0" fontId="12" fillId="0" borderId="0" xfId="1" applyFont="1" applyFill="1" applyAlignment="1">
      <alignment wrapText="1"/>
    </xf>
    <xf numFmtId="0" fontId="117" fillId="0" borderId="0" xfId="3" applyFont="1" applyFill="1" applyBorder="1" applyAlignment="1">
      <alignment horizontal="center"/>
    </xf>
    <xf numFmtId="0" fontId="8" fillId="0" borderId="0" xfId="3" applyFont="1" applyFill="1" applyBorder="1" applyAlignment="1">
      <alignment horizontal="center"/>
    </xf>
    <xf numFmtId="49" fontId="23" fillId="0" borderId="0" xfId="1" applyNumberFormat="1" applyFont="1" applyFill="1" applyBorder="1" applyAlignment="1">
      <alignment horizontal="left" vertical="center"/>
    </xf>
    <xf numFmtId="0" fontId="23" fillId="0" borderId="0" xfId="1" applyFont="1" applyFill="1" applyAlignment="1">
      <alignment horizontal="center" vertical="center" wrapText="1"/>
    </xf>
    <xf numFmtId="0" fontId="23" fillId="0" borderId="0" xfId="1" applyFont="1" applyFill="1" applyBorder="1" applyAlignment="1">
      <alignment vertical="center"/>
    </xf>
    <xf numFmtId="0" fontId="23" fillId="0" borderId="0" xfId="1" applyFont="1" applyFill="1" applyBorder="1" applyAlignment="1">
      <alignment horizontal="center" vertical="center"/>
    </xf>
    <xf numFmtId="0" fontId="8" fillId="0" borderId="0" xfId="1" applyFont="1" applyFill="1" applyAlignment="1">
      <alignment horizontal="center" vertical="center" wrapText="1"/>
    </xf>
    <xf numFmtId="0" fontId="15" fillId="0" borderId="9" xfId="1" applyFont="1" applyFill="1" applyBorder="1" applyAlignment="1">
      <alignment horizontal="left" vertical="center" wrapText="1"/>
    </xf>
    <xf numFmtId="0" fontId="15" fillId="0" borderId="12" xfId="1" applyFont="1" applyFill="1" applyBorder="1" applyAlignment="1">
      <alignment horizontal="left" vertical="center" wrapText="1"/>
    </xf>
    <xf numFmtId="0" fontId="15" fillId="0" borderId="9" xfId="19" applyFont="1" applyFill="1" applyBorder="1" applyAlignment="1">
      <alignment horizontal="left" vertical="center" wrapText="1"/>
    </xf>
    <xf numFmtId="0" fontId="15" fillId="0" borderId="9" xfId="1" applyFont="1" applyFill="1" applyBorder="1" applyAlignment="1">
      <alignment horizontal="center" vertical="center" wrapText="1"/>
    </xf>
    <xf numFmtId="2" fontId="23" fillId="0" borderId="4" xfId="1" applyNumberFormat="1" applyFont="1" applyFill="1" applyBorder="1" applyAlignment="1">
      <alignment horizontal="center" wrapText="1"/>
    </xf>
    <xf numFmtId="0" fontId="12" fillId="0" borderId="4" xfId="1" applyFont="1" applyFill="1" applyBorder="1" applyAlignment="1">
      <alignment horizontal="center" wrapText="1"/>
    </xf>
    <xf numFmtId="0" fontId="12" fillId="0" borderId="4" xfId="1" applyFont="1" applyFill="1" applyBorder="1" applyAlignment="1">
      <alignment wrapText="1"/>
    </xf>
    <xf numFmtId="0" fontId="15" fillId="0" borderId="11" xfId="1" applyFont="1" applyFill="1" applyBorder="1" applyAlignment="1">
      <alignment vertical="top" wrapText="1"/>
    </xf>
    <xf numFmtId="0" fontId="15" fillId="0" borderId="4" xfId="19" applyNumberFormat="1" applyFont="1" applyFill="1" applyBorder="1" applyAlignment="1">
      <alignment horizontal="center" vertical="center" wrapText="1"/>
    </xf>
    <xf numFmtId="0" fontId="23" fillId="0" borderId="9" xfId="1" applyFont="1" applyFill="1" applyBorder="1" applyAlignment="1">
      <alignment vertical="center" wrapText="1"/>
    </xf>
    <xf numFmtId="49" fontId="15" fillId="0" borderId="9" xfId="1" applyNumberFormat="1" applyFont="1" applyFill="1" applyBorder="1" applyAlignment="1">
      <alignment horizontal="center" vertical="center" wrapText="1"/>
    </xf>
    <xf numFmtId="4" fontId="15" fillId="0" borderId="4" xfId="1" applyNumberFormat="1" applyFont="1" applyFill="1" applyBorder="1" applyAlignment="1">
      <alignment horizontal="center" vertical="center" wrapText="1"/>
    </xf>
    <xf numFmtId="0" fontId="23" fillId="0" borderId="4" xfId="1" applyFont="1" applyFill="1" applyBorder="1" applyAlignment="1">
      <alignment vertical="center"/>
    </xf>
    <xf numFmtId="49" fontId="17" fillId="0" borderId="4" xfId="1" applyNumberFormat="1" applyFont="1" applyFill="1" applyBorder="1" applyAlignment="1">
      <alignment vertical="center"/>
    </xf>
    <xf numFmtId="49" fontId="15" fillId="0" borderId="4" xfId="1" applyNumberFormat="1" applyFont="1" applyFill="1" applyBorder="1" applyAlignment="1">
      <alignment horizontal="center" vertical="center"/>
    </xf>
    <xf numFmtId="0" fontId="15" fillId="0" borderId="9" xfId="1" applyFont="1" applyFill="1" applyBorder="1" applyAlignment="1">
      <alignment vertical="top" wrapText="1"/>
    </xf>
    <xf numFmtId="0" fontId="12" fillId="0" borderId="4" xfId="1" applyFont="1" applyFill="1" applyBorder="1" applyAlignment="1">
      <alignment vertical="center"/>
    </xf>
    <xf numFmtId="0" fontId="15" fillId="0" borderId="9" xfId="1" applyFont="1" applyFill="1" applyBorder="1" applyAlignment="1">
      <alignment horizontal="left" vertical="center"/>
    </xf>
    <xf numFmtId="0" fontId="23" fillId="0" borderId="3" xfId="1" applyFont="1" applyFill="1" applyBorder="1" applyAlignment="1">
      <alignment vertical="center"/>
    </xf>
    <xf numFmtId="2" fontId="23" fillId="0" borderId="7" xfId="1" applyNumberFormat="1" applyFont="1" applyFill="1" applyBorder="1" applyAlignment="1">
      <alignment horizontal="center" vertical="center"/>
    </xf>
    <xf numFmtId="0" fontId="23" fillId="0" borderId="4" xfId="1" applyFont="1" applyFill="1" applyBorder="1" applyAlignment="1">
      <alignment horizontal="center" vertical="center" wrapText="1"/>
    </xf>
    <xf numFmtId="0" fontId="15" fillId="0" borderId="4" xfId="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8" fillId="0" borderId="0" xfId="0" applyFont="1" applyFill="1" applyBorder="1" applyAlignment="1">
      <alignment horizontal="center" vertical="center" wrapText="1"/>
    </xf>
    <xf numFmtId="2" fontId="14" fillId="0" borderId="4" xfId="0" applyNumberFormat="1" applyFont="1" applyFill="1" applyBorder="1" applyAlignment="1">
      <alignment horizontal="center" vertical="center" wrapText="1"/>
    </xf>
    <xf numFmtId="0" fontId="14" fillId="0" borderId="3" xfId="0" applyFont="1" applyFill="1" applyBorder="1" applyAlignment="1">
      <alignment horizontal="center" vertical="center" wrapText="1"/>
    </xf>
    <xf numFmtId="0" fontId="70" fillId="0" borderId="4" xfId="0" applyFont="1" applyFill="1" applyBorder="1" applyAlignment="1">
      <alignment horizontal="center" vertical="center"/>
    </xf>
    <xf numFmtId="0" fontId="70" fillId="0" borderId="4" xfId="0" applyFont="1" applyFill="1" applyBorder="1" applyAlignment="1">
      <alignment horizontal="center" vertical="center" wrapText="1"/>
    </xf>
    <xf numFmtId="0" fontId="17" fillId="0" borderId="4" xfId="0" applyFont="1" applyFill="1" applyBorder="1" applyAlignment="1">
      <alignment horizontal="left" vertical="top" wrapText="1"/>
    </xf>
    <xf numFmtId="0" fontId="0" fillId="0" borderId="0" xfId="0" applyFill="1" applyAlignment="1">
      <alignment horizontal="center"/>
    </xf>
    <xf numFmtId="0" fontId="71" fillId="0" borderId="0" xfId="0" applyFont="1" applyFill="1" applyAlignment="1">
      <alignment horizontal="center"/>
    </xf>
    <xf numFmtId="0" fontId="8" fillId="0" borderId="0" xfId="0" applyFont="1" applyFill="1" applyAlignment="1">
      <alignment vertical="top" wrapText="1"/>
    </xf>
    <xf numFmtId="0" fontId="118" fillId="0" borderId="0" xfId="0" applyFont="1" applyFill="1" applyAlignment="1">
      <alignment vertical="top" wrapText="1"/>
    </xf>
    <xf numFmtId="0" fontId="71" fillId="0" borderId="0" xfId="0" applyFont="1" applyFill="1"/>
    <xf numFmtId="0" fontId="8" fillId="0" borderId="0" xfId="0" applyFont="1" applyFill="1" applyAlignment="1">
      <alignment horizontal="center" vertical="top" wrapText="1"/>
    </xf>
    <xf numFmtId="0" fontId="14" fillId="0" borderId="0" xfId="0" applyFont="1" applyFill="1" applyAlignment="1">
      <alignment vertical="top" wrapText="1"/>
    </xf>
    <xf numFmtId="0" fontId="70" fillId="0" borderId="0" xfId="0" applyFont="1" applyFill="1" applyAlignment="1">
      <alignment vertical="top" wrapText="1"/>
    </xf>
    <xf numFmtId="0" fontId="70" fillId="0" borderId="0" xfId="0" applyFont="1" applyFill="1" applyBorder="1" applyAlignment="1">
      <alignment horizontal="center" vertical="top" wrapText="1"/>
    </xf>
    <xf numFmtId="0" fontId="70" fillId="0" borderId="0" xfId="0" applyFont="1" applyFill="1" applyBorder="1" applyAlignment="1">
      <alignment vertical="top" wrapText="1"/>
    </xf>
    <xf numFmtId="0" fontId="70" fillId="0" borderId="0" xfId="0" applyFont="1" applyFill="1" applyBorder="1" applyAlignment="1">
      <alignment horizontal="center" vertical="center" wrapText="1"/>
    </xf>
    <xf numFmtId="0" fontId="70" fillId="0" borderId="0" xfId="0" applyFont="1" applyFill="1" applyBorder="1" applyAlignment="1">
      <alignment vertical="center" wrapText="1"/>
    </xf>
    <xf numFmtId="0" fontId="71" fillId="0" borderId="0" xfId="0" applyFont="1" applyFill="1" applyBorder="1"/>
    <xf numFmtId="0" fontId="70" fillId="0" borderId="4" xfId="0" quotePrefix="1" applyFont="1" applyFill="1" applyBorder="1" applyAlignment="1">
      <alignment horizontal="center" vertical="top" wrapText="1"/>
    </xf>
    <xf numFmtId="0" fontId="70" fillId="0" borderId="4" xfId="0" quotePrefix="1" applyNumberFormat="1" applyFont="1" applyFill="1" applyBorder="1" applyAlignment="1">
      <alignment horizontal="center" vertical="top" wrapText="1"/>
    </xf>
    <xf numFmtId="0" fontId="71" fillId="0" borderId="0" xfId="0" applyFont="1" applyFill="1" applyBorder="1" applyAlignment="1">
      <alignment horizontal="center" vertical="center" wrapText="1"/>
    </xf>
    <xf numFmtId="0" fontId="119" fillId="0" borderId="0" xfId="0" applyFont="1" applyFill="1" applyBorder="1" applyAlignment="1">
      <alignment horizontal="center" vertical="center" wrapText="1"/>
    </xf>
    <xf numFmtId="0" fontId="71" fillId="0" borderId="0" xfId="0" applyFont="1" applyFill="1" applyAlignment="1">
      <alignment vertical="center" wrapText="1"/>
    </xf>
    <xf numFmtId="0" fontId="17" fillId="3" borderId="11" xfId="0" applyFont="1" applyFill="1" applyBorder="1" applyAlignment="1">
      <alignment vertical="top" wrapText="1"/>
    </xf>
    <xf numFmtId="0" fontId="71" fillId="0" borderId="0" xfId="0" applyFont="1" applyFill="1" applyAlignment="1">
      <alignment vertical="center"/>
    </xf>
    <xf numFmtId="49" fontId="71" fillId="0" borderId="0" xfId="0" applyNumberFormat="1" applyFont="1" applyFill="1" applyBorder="1" applyAlignment="1">
      <alignment vertical="center" wrapText="1"/>
    </xf>
    <xf numFmtId="2" fontId="70" fillId="0" borderId="0" xfId="0" applyNumberFormat="1" applyFont="1" applyFill="1" applyBorder="1" applyAlignment="1">
      <alignment horizontal="left" vertical="center"/>
    </xf>
    <xf numFmtId="0" fontId="71" fillId="0" borderId="0" xfId="0" applyFont="1" applyFill="1" applyBorder="1" applyAlignment="1">
      <alignment horizontal="right" vertical="top" wrapText="1"/>
    </xf>
    <xf numFmtId="2" fontId="71" fillId="0" borderId="0" xfId="0" applyNumberFormat="1" applyFont="1" applyFill="1" applyBorder="1" applyAlignment="1">
      <alignment horizontal="right" vertical="top" wrapText="1"/>
    </xf>
    <xf numFmtId="0" fontId="71" fillId="0" borderId="0" xfId="0" applyFont="1" applyFill="1" applyAlignment="1">
      <alignment horizontal="center" vertical="top" wrapText="1"/>
    </xf>
    <xf numFmtId="0" fontId="71" fillId="0" borderId="0" xfId="0" applyFont="1" applyFill="1" applyAlignment="1">
      <alignment vertical="top" wrapText="1"/>
    </xf>
    <xf numFmtId="0" fontId="71" fillId="0" borderId="0" xfId="0" applyNumberFormat="1" applyFont="1" applyFill="1" applyAlignment="1">
      <alignment vertical="top" wrapText="1"/>
    </xf>
    <xf numFmtId="2" fontId="71" fillId="0" borderId="0" xfId="0" applyNumberFormat="1" applyFont="1" applyFill="1" applyAlignment="1">
      <alignment vertical="top" wrapText="1"/>
    </xf>
    <xf numFmtId="0" fontId="70" fillId="0" borderId="0" xfId="0" applyFont="1" applyFill="1" applyAlignment="1">
      <alignment horizontal="center" vertical="top" wrapText="1"/>
    </xf>
    <xf numFmtId="0" fontId="17" fillId="0" borderId="0" xfId="0" applyFont="1" applyFill="1" applyAlignment="1">
      <alignment horizontal="center" vertical="top" wrapText="1"/>
    </xf>
    <xf numFmtId="0" fontId="67" fillId="0" borderId="0" xfId="0" applyFont="1" applyFill="1" applyAlignment="1">
      <alignment horizontal="center"/>
    </xf>
    <xf numFmtId="2" fontId="71" fillId="0" borderId="0" xfId="0" applyNumberFormat="1" applyFont="1" applyFill="1" applyAlignment="1">
      <alignment horizontal="center" vertical="top" wrapText="1"/>
    </xf>
    <xf numFmtId="0" fontId="71" fillId="0" borderId="0" xfId="0" applyFont="1" applyFill="1" applyBorder="1" applyAlignment="1">
      <alignment horizontal="left" vertical="top" wrapText="1"/>
    </xf>
    <xf numFmtId="2" fontId="71" fillId="0" borderId="0" xfId="0" applyNumberFormat="1" applyFont="1" applyFill="1" applyBorder="1" applyAlignment="1">
      <alignment vertical="top" wrapText="1"/>
    </xf>
    <xf numFmtId="2" fontId="71" fillId="0" borderId="0" xfId="0" applyNumberFormat="1" applyFont="1" applyFill="1" applyBorder="1" applyAlignment="1">
      <alignment horizontal="center" vertical="top" wrapText="1"/>
    </xf>
    <xf numFmtId="0" fontId="13" fillId="0" borderId="0" xfId="0" applyFont="1" applyFill="1" applyAlignment="1">
      <alignment vertical="center" wrapText="1"/>
    </xf>
    <xf numFmtId="0" fontId="120" fillId="0" borderId="0" xfId="0" applyFont="1" applyFill="1" applyAlignment="1">
      <alignment vertical="center"/>
    </xf>
    <xf numFmtId="0" fontId="71" fillId="3" borderId="11" xfId="0" applyFont="1" applyFill="1" applyBorder="1" applyAlignment="1">
      <alignment vertical="top" wrapText="1"/>
    </xf>
    <xf numFmtId="2" fontId="71" fillId="0" borderId="0" xfId="0" applyNumberFormat="1" applyFont="1" applyFill="1" applyBorder="1" applyAlignment="1">
      <alignment horizontal="center" vertical="center"/>
    </xf>
    <xf numFmtId="0" fontId="84" fillId="0" borderId="0" xfId="0" applyFont="1" applyFill="1" applyAlignment="1"/>
    <xf numFmtId="0" fontId="71" fillId="0" borderId="0" xfId="0" applyNumberFormat="1" applyFont="1" applyFill="1" applyBorder="1" applyAlignment="1">
      <alignment horizontal="center" vertical="center" wrapText="1"/>
    </xf>
    <xf numFmtId="0" fontId="17" fillId="0" borderId="15" xfId="0" applyNumberFormat="1" applyFont="1" applyFill="1" applyBorder="1" applyAlignment="1">
      <alignment horizontal="center" vertical="center" wrapText="1"/>
    </xf>
    <xf numFmtId="0" fontId="17" fillId="0" borderId="10" xfId="0" applyNumberFormat="1" applyFont="1" applyFill="1" applyBorder="1" applyAlignment="1">
      <alignment horizontal="center" vertical="center" wrapText="1"/>
    </xf>
    <xf numFmtId="2" fontId="14" fillId="0" borderId="4" xfId="0" quotePrefix="1"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10" fontId="17" fillId="0" borderId="14" xfId="0" applyNumberFormat="1" applyFont="1" applyFill="1" applyBorder="1" applyAlignment="1">
      <alignment horizontal="right" vertical="center" wrapText="1"/>
    </xf>
    <xf numFmtId="2" fontId="17" fillId="0" borderId="9" xfId="0" applyNumberFormat="1" applyFont="1" applyFill="1" applyBorder="1" applyAlignment="1">
      <alignment horizontal="center" vertical="center"/>
    </xf>
    <xf numFmtId="49" fontId="14" fillId="0" borderId="4" xfId="0" applyNumberFormat="1" applyFont="1" applyFill="1" applyBorder="1" applyAlignment="1">
      <alignment vertical="top" wrapText="1"/>
    </xf>
    <xf numFmtId="0" fontId="14" fillId="0" borderId="10" xfId="0" applyNumberFormat="1" applyFont="1" applyFill="1" applyBorder="1" applyAlignment="1">
      <alignment horizontal="center" vertical="center" wrapText="1"/>
    </xf>
    <xf numFmtId="2" fontId="71" fillId="0" borderId="4" xfId="0" applyNumberFormat="1" applyFont="1" applyFill="1" applyBorder="1" applyAlignment="1">
      <alignment horizontal="center" vertical="center"/>
    </xf>
    <xf numFmtId="0" fontId="71" fillId="0" borderId="4" xfId="0" quotePrefix="1" applyFont="1" applyFill="1" applyBorder="1" applyAlignment="1">
      <alignment horizontal="center" vertical="center" wrapText="1"/>
    </xf>
    <xf numFmtId="2" fontId="71" fillId="0" borderId="4" xfId="0" quotePrefix="1" applyNumberFormat="1" applyFont="1" applyFill="1" applyBorder="1" applyAlignment="1">
      <alignment horizontal="center" vertical="center" wrapText="1"/>
    </xf>
    <xf numFmtId="1" fontId="71" fillId="0" borderId="4" xfId="0" quotePrefix="1" applyNumberFormat="1" applyFont="1" applyFill="1" applyBorder="1" applyAlignment="1">
      <alignment horizontal="center" vertical="center" wrapText="1"/>
    </xf>
    <xf numFmtId="0" fontId="71" fillId="0" borderId="4" xfId="0" applyFont="1" applyFill="1" applyBorder="1" applyAlignment="1">
      <alignment vertical="center"/>
    </xf>
    <xf numFmtId="0" fontId="71" fillId="0" borderId="4" xfId="0" applyNumberFormat="1" applyFont="1" applyFill="1" applyBorder="1" applyAlignment="1">
      <alignment horizontal="center" vertical="center"/>
    </xf>
    <xf numFmtId="0" fontId="71" fillId="0" borderId="10" xfId="0" applyFont="1" applyFill="1" applyBorder="1" applyAlignment="1">
      <alignment horizontal="center" vertical="center"/>
    </xf>
    <xf numFmtId="0" fontId="71" fillId="0" borderId="4" xfId="0" applyFont="1" applyFill="1" applyBorder="1" applyAlignment="1">
      <alignment horizontal="center" vertical="center"/>
    </xf>
    <xf numFmtId="0" fontId="71" fillId="0" borderId="6" xfId="0" applyFont="1" applyFill="1" applyBorder="1" applyAlignment="1">
      <alignment horizontal="left" vertical="center" wrapText="1"/>
    </xf>
    <xf numFmtId="0" fontId="71" fillId="0" borderId="10" xfId="0" applyFont="1" applyFill="1" applyBorder="1" applyAlignment="1">
      <alignment vertical="top"/>
    </xf>
    <xf numFmtId="0" fontId="71" fillId="0" borderId="12" xfId="0" applyFont="1" applyFill="1" applyBorder="1" applyAlignment="1">
      <alignment vertical="top"/>
    </xf>
    <xf numFmtId="0" fontId="71" fillId="0" borderId="9" xfId="0" applyFont="1" applyFill="1" applyBorder="1" applyAlignment="1">
      <alignment vertical="top"/>
    </xf>
    <xf numFmtId="0" fontId="71" fillId="0" borderId="6" xfId="0" applyFont="1" applyFill="1" applyBorder="1" applyAlignment="1">
      <alignment vertical="center" wrapText="1"/>
    </xf>
    <xf numFmtId="0" fontId="71" fillId="0" borderId="15" xfId="0" applyNumberFormat="1" applyFont="1" applyFill="1" applyBorder="1" applyAlignment="1">
      <alignment horizontal="center" vertical="center" wrapText="1"/>
    </xf>
    <xf numFmtId="0" fontId="71" fillId="0" borderId="10" xfId="0" applyNumberFormat="1" applyFont="1" applyFill="1" applyBorder="1" applyAlignment="1">
      <alignment horizontal="center" vertical="center" wrapText="1"/>
    </xf>
    <xf numFmtId="0" fontId="71" fillId="0" borderId="3" xfId="0" applyFont="1" applyFill="1" applyBorder="1" applyAlignment="1">
      <alignment horizontal="center" vertical="center" wrapText="1"/>
    </xf>
    <xf numFmtId="1" fontId="71" fillId="0" borderId="4" xfId="0" applyNumberFormat="1" applyFont="1" applyFill="1" applyBorder="1" applyAlignment="1">
      <alignment horizontal="center" vertical="center" wrapText="1"/>
    </xf>
    <xf numFmtId="2" fontId="70" fillId="0" borderId="4" xfId="0" quotePrefix="1" applyNumberFormat="1" applyFont="1" applyFill="1" applyBorder="1" applyAlignment="1">
      <alignment horizontal="center" vertical="center" wrapText="1"/>
    </xf>
    <xf numFmtId="49" fontId="71" fillId="0" borderId="4" xfId="0" applyNumberFormat="1" applyFont="1" applyFill="1" applyBorder="1" applyAlignment="1">
      <alignment horizontal="left" vertical="center" wrapText="1"/>
    </xf>
    <xf numFmtId="0" fontId="71" fillId="0" borderId="12" xfId="0" applyNumberFormat="1" applyFont="1" applyFill="1" applyBorder="1" applyAlignment="1">
      <alignment horizontal="center" vertical="center" wrapText="1"/>
    </xf>
    <xf numFmtId="0" fontId="71" fillId="0" borderId="3" xfId="0" applyFont="1" applyFill="1" applyBorder="1" applyAlignment="1">
      <alignment vertical="center" wrapText="1"/>
    </xf>
    <xf numFmtId="0" fontId="70" fillId="0" borderId="4" xfId="0" applyNumberFormat="1" applyFont="1" applyFill="1" applyBorder="1" applyAlignment="1">
      <alignment vertical="center" wrapText="1"/>
    </xf>
    <xf numFmtId="49" fontId="71" fillId="0" borderId="4" xfId="0" applyNumberFormat="1" applyFont="1" applyFill="1" applyBorder="1" applyAlignment="1">
      <alignment vertical="center" wrapText="1"/>
    </xf>
    <xf numFmtId="0" fontId="71" fillId="0" borderId="4" xfId="0" applyNumberFormat="1" applyFont="1" applyFill="1" applyBorder="1" applyAlignment="1">
      <alignment vertical="center" wrapText="1"/>
    </xf>
    <xf numFmtId="0" fontId="71" fillId="0" borderId="6" xfId="0" applyFont="1" applyFill="1" applyBorder="1" applyAlignment="1">
      <alignment horizontal="center" vertical="center" wrapText="1"/>
    </xf>
    <xf numFmtId="10" fontId="71" fillId="0" borderId="14" xfId="0" applyNumberFormat="1" applyFont="1" applyFill="1" applyBorder="1" applyAlignment="1">
      <alignment horizontal="right" vertical="center" wrapText="1"/>
    </xf>
    <xf numFmtId="49" fontId="71" fillId="0" borderId="4" xfId="0" applyNumberFormat="1" applyFont="1" applyFill="1" applyBorder="1" applyAlignment="1">
      <alignment horizontal="center" vertical="center" wrapText="1"/>
    </xf>
    <xf numFmtId="2" fontId="71" fillId="0" borderId="3" xfId="0" applyNumberFormat="1" applyFont="1" applyFill="1" applyBorder="1" applyAlignment="1">
      <alignment horizontal="center" vertical="center" wrapText="1"/>
    </xf>
    <xf numFmtId="49" fontId="71" fillId="0" borderId="4" xfId="0" applyNumberFormat="1" applyFont="1" applyFill="1" applyBorder="1" applyAlignment="1">
      <alignment vertical="top" wrapText="1"/>
    </xf>
    <xf numFmtId="49" fontId="70" fillId="0" borderId="4" xfId="0" applyNumberFormat="1" applyFont="1" applyFill="1" applyBorder="1" applyAlignment="1">
      <alignment vertical="top" wrapText="1"/>
    </xf>
    <xf numFmtId="49" fontId="70" fillId="0" borderId="4" xfId="0" applyNumberFormat="1" applyFont="1" applyFill="1" applyBorder="1" applyAlignment="1">
      <alignment vertical="center" wrapText="1"/>
    </xf>
    <xf numFmtId="0" fontId="70" fillId="0" borderId="1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5" fillId="0" borderId="7" xfId="0" applyFont="1" applyFill="1" applyBorder="1" applyAlignment="1">
      <alignment horizontal="center" vertical="center"/>
    </xf>
    <xf numFmtId="0" fontId="15" fillId="0" borderId="10" xfId="0" applyFont="1" applyFill="1" applyBorder="1" applyAlignment="1">
      <alignment horizontal="left" vertical="center" wrapText="1"/>
    </xf>
    <xf numFmtId="0" fontId="23" fillId="0" borderId="4" xfId="0" applyNumberFormat="1" applyFont="1" applyFill="1" applyBorder="1" applyAlignment="1">
      <alignment horizontal="center" vertical="center" wrapText="1"/>
    </xf>
    <xf numFmtId="0" fontId="23" fillId="0" borderId="4" xfId="0" applyFont="1" applyFill="1" applyBorder="1" applyAlignment="1">
      <alignment horizontal="center" vertical="center"/>
    </xf>
    <xf numFmtId="0" fontId="23" fillId="0" borderId="3"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0" fillId="0" borderId="0" xfId="0" applyFill="1" applyAlignment="1">
      <alignment horizontal="center"/>
    </xf>
    <xf numFmtId="2" fontId="23" fillId="0" borderId="4" xfId="0" applyNumberFormat="1" applyFont="1" applyFill="1" applyBorder="1" applyAlignment="1">
      <alignment horizontal="center" vertical="center" wrapText="1"/>
    </xf>
    <xf numFmtId="0" fontId="18" fillId="0" borderId="0" xfId="0" applyFont="1" applyFill="1" applyBorder="1" applyAlignment="1">
      <alignment vertical="center" wrapText="1"/>
    </xf>
    <xf numFmtId="0" fontId="14" fillId="0" borderId="0" xfId="0" applyFont="1" applyFill="1" applyAlignment="1">
      <alignment horizontal="center" vertical="top" wrapText="1"/>
    </xf>
    <xf numFmtId="1" fontId="23" fillId="0" borderId="9" xfId="0" applyNumberFormat="1" applyFont="1" applyFill="1" applyBorder="1" applyAlignment="1">
      <alignment horizontal="center" vertical="center" wrapText="1"/>
    </xf>
    <xf numFmtId="0" fontId="23" fillId="0" borderId="4" xfId="0" quotePrefix="1" applyFont="1" applyFill="1" applyBorder="1" applyAlignment="1">
      <alignment horizontal="center" vertical="top" wrapText="1"/>
    </xf>
    <xf numFmtId="0" fontId="23" fillId="0" borderId="3" xfId="0" quotePrefix="1" applyFont="1" applyFill="1" applyBorder="1" applyAlignment="1">
      <alignment horizontal="center" vertical="top" wrapText="1"/>
    </xf>
    <xf numFmtId="49" fontId="70" fillId="0" borderId="11" xfId="0" applyNumberFormat="1" applyFont="1" applyFill="1" applyBorder="1" applyAlignment="1">
      <alignment vertical="center" wrapText="1"/>
    </xf>
    <xf numFmtId="0" fontId="12" fillId="0" borderId="0" xfId="0" applyFont="1" applyFill="1" applyAlignment="1"/>
    <xf numFmtId="49" fontId="71" fillId="0" borderId="0" xfId="0" applyNumberFormat="1" applyFont="1" applyFill="1" applyAlignment="1">
      <alignment horizontal="left" vertical="center" wrapText="1"/>
    </xf>
    <xf numFmtId="0" fontId="12" fillId="0" borderId="0" xfId="0" applyFont="1" applyFill="1" applyAlignment="1">
      <alignment horizontal="center" vertical="top" wrapText="1"/>
    </xf>
    <xf numFmtId="0" fontId="12" fillId="0" borderId="0" xfId="0" applyNumberFormat="1" applyFont="1" applyFill="1" applyAlignment="1">
      <alignment vertical="top" wrapText="1"/>
    </xf>
    <xf numFmtId="2" fontId="0" fillId="0" borderId="0" xfId="0" applyNumberFormat="1" applyFill="1" applyAlignment="1">
      <alignment vertical="top" wrapText="1"/>
    </xf>
    <xf numFmtId="0" fontId="10" fillId="0" borderId="0" xfId="0" applyFont="1" applyFill="1" applyAlignment="1">
      <alignment horizontal="center" vertical="top" wrapText="1"/>
    </xf>
    <xf numFmtId="0" fontId="14" fillId="0" borderId="0" xfId="0" applyFont="1" applyFill="1" applyBorder="1" applyAlignment="1">
      <alignment vertical="top" wrapText="1"/>
    </xf>
    <xf numFmtId="1" fontId="23" fillId="0" borderId="10" xfId="0" applyNumberFormat="1" applyFont="1" applyFill="1" applyBorder="1" applyAlignment="1">
      <alignment horizontal="center" vertical="center" wrapText="1"/>
    </xf>
    <xf numFmtId="0" fontId="14" fillId="0" borderId="0" xfId="0" quotePrefix="1" applyFont="1" applyFill="1" applyBorder="1" applyAlignment="1">
      <alignment horizontal="center" vertical="top" wrapText="1"/>
    </xf>
    <xf numFmtId="0" fontId="12" fillId="0" borderId="0" xfId="0" applyFont="1" applyFill="1" applyBorder="1" applyAlignment="1"/>
    <xf numFmtId="0" fontId="121" fillId="0" borderId="11" xfId="0" applyFont="1" applyFill="1" applyBorder="1" applyAlignment="1">
      <alignment vertical="center" wrapText="1"/>
    </xf>
    <xf numFmtId="0" fontId="8" fillId="0" borderId="0" xfId="0" applyFont="1" applyFill="1" applyBorder="1" applyAlignment="1">
      <alignment horizontal="center" vertical="top" wrapText="1"/>
    </xf>
    <xf numFmtId="0" fontId="23" fillId="0" borderId="0" xfId="0" quotePrefix="1" applyFont="1" applyFill="1" applyBorder="1" applyAlignment="1">
      <alignment horizontal="center" vertical="top" wrapText="1"/>
    </xf>
    <xf numFmtId="0" fontId="23" fillId="0" borderId="0" xfId="0" applyNumberFormat="1" applyFont="1" applyFill="1" applyBorder="1" applyAlignment="1">
      <alignment horizontal="center" vertical="center" wrapText="1"/>
    </xf>
    <xf numFmtId="2" fontId="23"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5" fillId="0" borderId="0" xfId="0" applyFont="1" applyFill="1" applyAlignment="1">
      <alignment horizontal="center" vertical="top"/>
    </xf>
    <xf numFmtId="0" fontId="15" fillId="0" borderId="0" xfId="0" applyNumberFormat="1" applyFont="1" applyFill="1" applyAlignment="1">
      <alignment vertical="top" wrapText="1"/>
    </xf>
    <xf numFmtId="0" fontId="15" fillId="0" borderId="0" xfId="0" applyFont="1" applyFill="1" applyAlignment="1">
      <alignment vertical="top" wrapText="1"/>
    </xf>
    <xf numFmtId="2" fontId="15" fillId="0" borderId="0" xfId="0" applyNumberFormat="1" applyFont="1" applyFill="1"/>
    <xf numFmtId="0" fontId="15" fillId="0" borderId="4" xfId="0" quotePrefix="1" applyFont="1" applyFill="1" applyBorder="1" applyAlignment="1">
      <alignment horizontal="center" vertical="top" wrapText="1"/>
    </xf>
    <xf numFmtId="0" fontId="23" fillId="0" borderId="10" xfId="0" quotePrefix="1" applyFont="1" applyFill="1" applyBorder="1" applyAlignment="1">
      <alignment horizontal="center" vertical="top" wrapText="1"/>
    </xf>
    <xf numFmtId="0" fontId="23" fillId="0" borderId="12" xfId="0" quotePrefix="1" applyFont="1" applyFill="1" applyBorder="1" applyAlignment="1">
      <alignment horizontal="center" vertical="top" wrapText="1"/>
    </xf>
    <xf numFmtId="0" fontId="23" fillId="0" borderId="9" xfId="0" quotePrefix="1" applyFont="1" applyFill="1" applyBorder="1" applyAlignment="1">
      <alignment horizontal="center" vertical="top" wrapText="1"/>
    </xf>
    <xf numFmtId="0" fontId="15" fillId="0" borderId="14" xfId="0" applyNumberFormat="1" applyFont="1" applyFill="1" applyBorder="1" applyAlignment="1">
      <alignment horizontal="center" vertical="center"/>
    </xf>
    <xf numFmtId="0" fontId="15" fillId="0" borderId="6" xfId="0" quotePrefix="1" applyFont="1" applyFill="1" applyBorder="1" applyAlignment="1">
      <alignment horizontal="center" vertical="center" wrapText="1"/>
    </xf>
    <xf numFmtId="2" fontId="15" fillId="0" borderId="6" xfId="0" quotePrefix="1" applyNumberFormat="1" applyFont="1" applyFill="1" applyBorder="1" applyAlignment="1">
      <alignment horizontal="center" vertical="center" wrapText="1"/>
    </xf>
    <xf numFmtId="0" fontId="15" fillId="0" borderId="10" xfId="0" applyNumberFormat="1" applyFont="1" applyFill="1" applyBorder="1" applyAlignment="1">
      <alignment horizontal="center" vertical="center"/>
    </xf>
    <xf numFmtId="2" fontId="15" fillId="0" borderId="4" xfId="0" quotePrefix="1" applyNumberFormat="1" applyFont="1" applyFill="1" applyBorder="1" applyAlignment="1">
      <alignment horizontal="center" vertical="center" wrapText="1"/>
    </xf>
    <xf numFmtId="0" fontId="15" fillId="0" borderId="6" xfId="0" applyFont="1" applyFill="1" applyBorder="1" applyAlignment="1">
      <alignment vertical="center" wrapText="1"/>
    </xf>
    <xf numFmtId="0" fontId="15" fillId="0" borderId="15" xfId="0" applyNumberFormat="1"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0" xfId="0" applyNumberFormat="1"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3" xfId="0" applyNumberFormat="1" applyFont="1" applyFill="1" applyBorder="1" applyAlignment="1">
      <alignment horizontal="center" vertical="center" wrapText="1"/>
    </xf>
    <xf numFmtId="49" fontId="15" fillId="0" borderId="15" xfId="0" applyNumberFormat="1" applyFont="1" applyFill="1" applyBorder="1" applyAlignment="1">
      <alignment horizontal="center" vertical="center" wrapText="1"/>
    </xf>
    <xf numFmtId="0" fontId="23" fillId="0" borderId="4" xfId="0" quotePrefix="1" applyFont="1" applyFill="1" applyBorder="1" applyAlignment="1">
      <alignment horizontal="center" vertical="center" wrapText="1"/>
    </xf>
    <xf numFmtId="0" fontId="35" fillId="0" borderId="4" xfId="14"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23" fillId="0" borderId="10" xfId="0" applyNumberFormat="1" applyFont="1" applyFill="1" applyBorder="1" applyAlignment="1">
      <alignment horizontal="center" vertical="center" wrapText="1"/>
    </xf>
    <xf numFmtId="2" fontId="15" fillId="0" borderId="6" xfId="0" applyNumberFormat="1" applyFont="1" applyFill="1" applyBorder="1" applyAlignment="1">
      <alignment horizontal="center" vertical="center" wrapText="1"/>
    </xf>
    <xf numFmtId="2" fontId="23" fillId="0" borderId="12" xfId="0" applyNumberFormat="1" applyFont="1" applyFill="1" applyBorder="1" applyAlignment="1">
      <alignment horizontal="center" vertical="center" wrapText="1"/>
    </xf>
    <xf numFmtId="0" fontId="15" fillId="0" borderId="4" xfId="0" applyNumberFormat="1" applyFont="1" applyFill="1" applyBorder="1" applyAlignment="1">
      <alignment vertical="center" wrapText="1"/>
    </xf>
    <xf numFmtId="0" fontId="15" fillId="0" borderId="12" xfId="0" applyNumberFormat="1" applyFont="1" applyFill="1" applyBorder="1" applyAlignment="1">
      <alignment vertical="center" wrapText="1"/>
    </xf>
    <xf numFmtId="0" fontId="18" fillId="0" borderId="0" xfId="0" applyFont="1" applyFill="1" applyBorder="1" applyAlignment="1">
      <alignment vertical="top" wrapText="1"/>
    </xf>
    <xf numFmtId="0" fontId="9" fillId="0" borderId="0" xfId="0" applyFont="1" applyFill="1" applyBorder="1" applyAlignment="1">
      <alignment horizontal="center" vertical="top" wrapText="1"/>
    </xf>
    <xf numFmtId="0" fontId="15" fillId="0" borderId="10" xfId="0" applyFont="1" applyFill="1" applyBorder="1" applyAlignment="1">
      <alignment horizontal="center" vertical="center"/>
    </xf>
    <xf numFmtId="49" fontId="15" fillId="0" borderId="7" xfId="0" applyNumberFormat="1" applyFont="1" applyFill="1" applyBorder="1" applyAlignment="1">
      <alignment horizontal="left" vertical="center" wrapText="1"/>
    </xf>
    <xf numFmtId="0" fontId="15" fillId="0" borderId="10" xfId="0" applyNumberFormat="1" applyFont="1" applyFill="1" applyBorder="1" applyAlignment="1">
      <alignment vertical="center" wrapText="1"/>
    </xf>
    <xf numFmtId="0" fontId="9" fillId="0" borderId="0" xfId="0" applyFont="1" applyFill="1" applyBorder="1" applyAlignment="1">
      <alignment vertical="top" wrapText="1"/>
    </xf>
    <xf numFmtId="0" fontId="7" fillId="0" borderId="0" xfId="0" applyFont="1" applyFill="1" applyBorder="1" applyAlignment="1">
      <alignment vertical="top" wrapText="1"/>
    </xf>
    <xf numFmtId="0" fontId="15" fillId="0" borderId="0" xfId="0" applyFont="1" applyFill="1" applyBorder="1" applyAlignment="1">
      <alignment horizontal="center" vertical="center" wrapText="1"/>
    </xf>
    <xf numFmtId="0" fontId="23" fillId="0" borderId="4" xfId="1"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10" fillId="0" borderId="4" xfId="0" applyFont="1" applyFill="1" applyBorder="1" applyAlignment="1">
      <alignment horizontal="center" vertical="center" wrapText="1"/>
    </xf>
    <xf numFmtId="0" fontId="0" fillId="0" borderId="4" xfId="0"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4" xfId="0" applyFont="1" applyFill="1" applyBorder="1" applyAlignment="1">
      <alignment horizontal="center"/>
    </xf>
    <xf numFmtId="0" fontId="9" fillId="0" borderId="0" xfId="0" applyFont="1" applyFill="1" applyBorder="1" applyAlignment="1">
      <alignment horizontal="center" vertical="center"/>
    </xf>
    <xf numFmtId="0" fontId="15" fillId="0" borderId="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xf>
    <xf numFmtId="0" fontId="15" fillId="0" borderId="3" xfId="1" applyFont="1" applyFill="1" applyBorder="1" applyAlignment="1">
      <alignment horizontal="center" vertical="center"/>
    </xf>
    <xf numFmtId="0" fontId="15" fillId="0" borderId="6" xfId="1" applyFont="1" applyFill="1" applyBorder="1" applyAlignment="1">
      <alignment horizontal="center" vertical="center"/>
    </xf>
    <xf numFmtId="0" fontId="15" fillId="0" borderId="3" xfId="1" applyFont="1" applyFill="1" applyBorder="1" applyAlignment="1">
      <alignment horizontal="center" vertical="center" wrapText="1"/>
    </xf>
    <xf numFmtId="0" fontId="15" fillId="0" borderId="6" xfId="1" applyFont="1" applyFill="1" applyBorder="1" applyAlignment="1">
      <alignment horizontal="center" vertical="center" wrapText="1"/>
    </xf>
    <xf numFmtId="0" fontId="15" fillId="0" borderId="4" xfId="1" applyFont="1" applyFill="1" applyBorder="1" applyAlignment="1">
      <alignment horizontal="center" vertical="center"/>
    </xf>
    <xf numFmtId="2" fontId="23" fillId="0" borderId="4" xfId="0" applyNumberFormat="1"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4" xfId="1" applyFont="1" applyFill="1" applyBorder="1" applyAlignment="1">
      <alignment horizontal="center" vertical="center"/>
    </xf>
    <xf numFmtId="0" fontId="15" fillId="0" borderId="4" xfId="1" applyFont="1" applyFill="1" applyBorder="1" applyAlignment="1">
      <alignment horizontal="center" vertical="center" wrapText="1"/>
    </xf>
    <xf numFmtId="0" fontId="15" fillId="0" borderId="4" xfId="0" applyFont="1" applyFill="1" applyBorder="1" applyAlignment="1">
      <alignment horizontal="center" vertical="center" wrapText="1"/>
    </xf>
    <xf numFmtId="0" fontId="9" fillId="0" borderId="0" xfId="1" applyFont="1" applyFill="1" applyBorder="1" applyAlignment="1">
      <alignment horizontal="center" vertical="center"/>
    </xf>
    <xf numFmtId="0" fontId="15" fillId="0" borderId="4" xfId="1" applyFont="1" applyFill="1" applyBorder="1" applyAlignment="1">
      <alignment vertical="center"/>
    </xf>
    <xf numFmtId="0" fontId="12" fillId="0" borderId="0" xfId="1" applyFill="1" applyAlignment="1">
      <alignment horizontal="left" vertical="center"/>
    </xf>
    <xf numFmtId="0" fontId="50" fillId="0" borderId="0" xfId="1" applyNumberFormat="1" applyFont="1" applyFill="1" applyBorder="1" applyAlignment="1">
      <alignment horizontal="center" vertical="top" wrapText="1"/>
    </xf>
    <xf numFmtId="2" fontId="23" fillId="0" borderId="0" xfId="1" applyNumberFormat="1" applyFont="1" applyFill="1" applyBorder="1" applyAlignment="1">
      <alignment horizontal="center" vertical="center"/>
    </xf>
    <xf numFmtId="0" fontId="122" fillId="0" borderId="0" xfId="20" applyFont="1" applyFill="1" applyAlignment="1">
      <alignment vertical="center"/>
    </xf>
    <xf numFmtId="0" fontId="23" fillId="0" borderId="4" xfId="0" quotePrefix="1" applyFont="1" applyFill="1" applyBorder="1" applyAlignment="1">
      <alignment horizontal="center"/>
    </xf>
    <xf numFmtId="0" fontId="123" fillId="0" borderId="0" xfId="0" applyFont="1" applyFill="1" applyAlignment="1">
      <alignment vertical="center"/>
    </xf>
    <xf numFmtId="49" fontId="12" fillId="0" borderId="11"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0" fillId="0" borderId="11" xfId="0" applyFont="1" applyFill="1" applyBorder="1" applyAlignment="1">
      <alignment horizontal="center" vertical="center" wrapText="1"/>
    </xf>
    <xf numFmtId="49" fontId="0" fillId="0" borderId="0" xfId="0" applyNumberFormat="1" applyFill="1" applyBorder="1" applyAlignment="1">
      <alignment horizontal="center" vertical="center"/>
    </xf>
    <xf numFmtId="0" fontId="16" fillId="2" borderId="0" xfId="0" applyFont="1" applyFill="1" applyAlignment="1">
      <alignment horizontal="left" vertical="center"/>
    </xf>
    <xf numFmtId="0" fontId="0" fillId="0" borderId="0" xfId="0" applyFill="1" applyBorder="1" applyAlignment="1">
      <alignment horizontal="center" vertical="center" wrapText="1"/>
    </xf>
    <xf numFmtId="0" fontId="0" fillId="0" borderId="0" xfId="0" applyFill="1" applyAlignment="1">
      <alignment horizontal="center" vertical="top" wrapText="1"/>
    </xf>
    <xf numFmtId="0" fontId="0" fillId="0" borderId="0" xfId="0" applyFill="1" applyBorder="1" applyAlignment="1">
      <alignment horizontal="center" vertical="top" wrapText="1"/>
    </xf>
    <xf numFmtId="0" fontId="67" fillId="0" borderId="0" xfId="0" applyFont="1" applyFill="1" applyBorder="1" applyAlignment="1">
      <alignment vertical="center" wrapText="1"/>
    </xf>
    <xf numFmtId="2" fontId="23" fillId="0" borderId="0" xfId="0" applyNumberFormat="1" applyFont="1" applyFill="1" applyBorder="1" applyAlignment="1">
      <alignment horizontal="center" vertical="top" wrapText="1"/>
    </xf>
    <xf numFmtId="0" fontId="15" fillId="0" borderId="0" xfId="0" applyFont="1" applyFill="1" applyAlignment="1">
      <alignment horizontal="center" vertical="center" wrapText="1"/>
    </xf>
    <xf numFmtId="0" fontId="12" fillId="0" borderId="0" xfId="0" applyFont="1" applyFill="1" applyBorder="1" applyAlignment="1">
      <alignment horizontal="center"/>
    </xf>
    <xf numFmtId="49" fontId="15" fillId="0" borderId="4" xfId="0" applyNumberFormat="1" applyFont="1" applyFill="1" applyBorder="1" applyAlignment="1">
      <alignment horizontal="center" vertical="center"/>
    </xf>
    <xf numFmtId="0" fontId="15" fillId="0" borderId="7" xfId="0" applyFont="1" applyFill="1" applyBorder="1" applyAlignment="1">
      <alignment vertical="center" wrapText="1"/>
    </xf>
    <xf numFmtId="0" fontId="15" fillId="0" borderId="7" xfId="0" applyNumberFormat="1" applyFont="1" applyFill="1" applyBorder="1" applyAlignment="1">
      <alignment horizontal="center" vertical="center"/>
    </xf>
    <xf numFmtId="0" fontId="37" fillId="0" borderId="4" xfId="0" applyFont="1" applyFill="1" applyBorder="1" applyAlignment="1">
      <alignment horizontal="center" vertical="center" wrapText="1"/>
    </xf>
    <xf numFmtId="0" fontId="37" fillId="0" borderId="4" xfId="0" applyFont="1" applyFill="1" applyBorder="1" applyAlignment="1">
      <alignment vertical="center" wrapText="1"/>
    </xf>
    <xf numFmtId="2" fontId="37" fillId="0" borderId="4" xfId="0" applyNumberFormat="1" applyFont="1" applyFill="1" applyBorder="1" applyAlignment="1">
      <alignment horizontal="center" vertical="center" wrapText="1"/>
    </xf>
    <xf numFmtId="0" fontId="37" fillId="0" borderId="10" xfId="0" applyFont="1" applyFill="1" applyBorder="1" applyAlignment="1">
      <alignment horizontal="center" vertical="center"/>
    </xf>
    <xf numFmtId="0" fontId="37" fillId="0" borderId="0" xfId="0" applyFont="1" applyFill="1" applyAlignment="1">
      <alignment horizontal="center" vertical="center"/>
    </xf>
    <xf numFmtId="0" fontId="37" fillId="0" borderId="4" xfId="0" applyNumberFormat="1" applyFont="1" applyFill="1" applyBorder="1" applyAlignment="1">
      <alignment horizontal="center" vertical="center" wrapText="1"/>
    </xf>
    <xf numFmtId="0" fontId="37" fillId="0" borderId="10" xfId="0" applyFont="1" applyFill="1" applyBorder="1" applyAlignment="1">
      <alignment vertical="center"/>
    </xf>
    <xf numFmtId="0" fontId="37" fillId="0" borderId="12" xfId="0" applyFont="1" applyFill="1" applyBorder="1" applyAlignment="1">
      <alignment vertical="center"/>
    </xf>
    <xf numFmtId="49" fontId="37" fillId="0" borderId="10" xfId="0" applyNumberFormat="1" applyFont="1" applyFill="1" applyBorder="1" applyAlignment="1">
      <alignment horizontal="center" vertical="center" wrapText="1"/>
    </xf>
    <xf numFmtId="0" fontId="37" fillId="0" borderId="15" xfId="0" applyNumberFormat="1"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4" xfId="0" applyFont="1" applyFill="1" applyBorder="1" applyAlignment="1">
      <alignment vertical="center" wrapText="1"/>
    </xf>
    <xf numFmtId="0" fontId="37" fillId="0" borderId="10" xfId="0" applyFont="1" applyFill="1" applyBorder="1" applyAlignment="1">
      <alignment vertical="center" wrapText="1"/>
    </xf>
    <xf numFmtId="0" fontId="37" fillId="0" borderId="9"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9" xfId="0" applyFont="1" applyFill="1" applyBorder="1" applyAlignment="1">
      <alignment vertical="center"/>
    </xf>
    <xf numFmtId="2" fontId="15" fillId="0" borderId="0" xfId="0" applyNumberFormat="1" applyFont="1" applyFill="1" applyAlignment="1">
      <alignment horizontal="center" vertical="center"/>
    </xf>
    <xf numFmtId="2" fontId="15" fillId="0" borderId="3" xfId="0" applyNumberFormat="1" applyFont="1" applyFill="1" applyBorder="1" applyAlignment="1">
      <alignment horizontal="center" vertical="center" wrapText="1"/>
    </xf>
    <xf numFmtId="49" fontId="15" fillId="0" borderId="3" xfId="1" applyNumberFormat="1" applyFont="1" applyFill="1" applyBorder="1" applyAlignment="1">
      <alignment horizontal="center" vertical="center" wrapText="1"/>
    </xf>
    <xf numFmtId="0" fontId="23" fillId="0" borderId="10" xfId="1" applyFont="1" applyFill="1" applyBorder="1" applyAlignment="1">
      <alignment vertical="center" wrapText="1"/>
    </xf>
    <xf numFmtId="1" fontId="15" fillId="0" borderId="12" xfId="1" applyNumberFormat="1" applyFont="1" applyFill="1" applyBorder="1" applyAlignment="1">
      <alignment horizontal="center" vertical="center"/>
    </xf>
    <xf numFmtId="0" fontId="15" fillId="0" borderId="4" xfId="1" applyFont="1" applyFill="1" applyBorder="1" applyAlignment="1">
      <alignment horizontal="justify" vertical="center" wrapText="1"/>
    </xf>
    <xf numFmtId="0" fontId="15" fillId="0" borderId="4" xfId="1" applyFont="1" applyFill="1" applyBorder="1" applyAlignment="1">
      <alignment horizontal="justify" vertical="top" wrapText="1"/>
    </xf>
    <xf numFmtId="0" fontId="15" fillId="0" borderId="3" xfId="1" applyFont="1" applyFill="1" applyBorder="1" applyAlignment="1">
      <alignment horizontal="justify" vertical="center" wrapText="1"/>
    </xf>
    <xf numFmtId="0" fontId="15" fillId="0" borderId="10" xfId="1" applyFont="1" applyFill="1" applyBorder="1" applyAlignment="1">
      <alignment horizontal="justify" vertical="center" wrapText="1"/>
    </xf>
    <xf numFmtId="10" fontId="15" fillId="0" borderId="4" xfId="1" applyNumberFormat="1" applyFont="1" applyFill="1" applyBorder="1" applyAlignment="1">
      <alignment horizontal="center" vertical="center" wrapText="1"/>
    </xf>
    <xf numFmtId="2" fontId="15" fillId="0" borderId="4" xfId="20" applyNumberFormat="1" applyFont="1" applyFill="1" applyBorder="1" applyAlignment="1">
      <alignment horizontal="center" vertical="center"/>
    </xf>
    <xf numFmtId="0" fontId="15" fillId="0" borderId="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23" fillId="0" borderId="4" xfId="1" applyFont="1" applyFill="1" applyBorder="1" applyAlignment="1">
      <alignment horizontal="center" vertical="center" wrapText="1"/>
    </xf>
    <xf numFmtId="0" fontId="15" fillId="0" borderId="3" xfId="0" applyFont="1" applyFill="1" applyBorder="1" applyAlignment="1">
      <alignment horizontal="center" vertical="top" wrapText="1"/>
    </xf>
    <xf numFmtId="0" fontId="15" fillId="0" borderId="3" xfId="0" applyFont="1" applyFill="1" applyBorder="1" applyAlignment="1">
      <alignment horizontal="center" vertical="center"/>
    </xf>
    <xf numFmtId="0" fontId="15" fillId="0" borderId="6" xfId="0" applyFont="1" applyFill="1" applyBorder="1" applyAlignment="1">
      <alignment horizontal="center" vertical="center"/>
    </xf>
    <xf numFmtId="0" fontId="23" fillId="0" borderId="3" xfId="0" applyFont="1" applyFill="1" applyBorder="1" applyAlignment="1">
      <alignment horizontal="center" vertical="center"/>
    </xf>
    <xf numFmtId="0" fontId="15" fillId="0" borderId="10" xfId="0" applyFont="1" applyFill="1" applyBorder="1" applyAlignment="1">
      <alignment horizontal="left" vertical="center" wrapText="1"/>
    </xf>
    <xf numFmtId="0" fontId="23" fillId="0" borderId="4" xfId="0" applyFont="1" applyFill="1" applyBorder="1" applyAlignment="1">
      <alignment horizontal="center" vertical="center"/>
    </xf>
    <xf numFmtId="0" fontId="23" fillId="0" borderId="3"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xf>
    <xf numFmtId="0" fontId="15" fillId="0" borderId="3" xfId="1" applyFont="1" applyFill="1" applyBorder="1" applyAlignment="1">
      <alignment horizontal="center" vertical="center" wrapText="1"/>
    </xf>
    <xf numFmtId="2" fontId="23" fillId="0" borderId="4" xfId="1" applyNumberFormat="1" applyFont="1" applyFill="1" applyBorder="1" applyAlignment="1">
      <alignment horizontal="center" vertical="center" wrapText="1"/>
    </xf>
    <xf numFmtId="2" fontId="23" fillId="0" borderId="4" xfId="0" applyNumberFormat="1" applyFont="1" applyFill="1" applyBorder="1" applyAlignment="1">
      <alignment horizontal="center" vertical="center" wrapText="1"/>
    </xf>
    <xf numFmtId="0" fontId="23" fillId="0" borderId="4" xfId="0" applyFont="1" applyFill="1" applyBorder="1" applyAlignment="1">
      <alignment horizontal="center" vertical="top" wrapText="1"/>
    </xf>
    <xf numFmtId="0" fontId="23" fillId="0" borderId="4" xfId="1" applyFont="1" applyFill="1" applyBorder="1" applyAlignment="1">
      <alignment horizontal="center" vertical="center"/>
    </xf>
    <xf numFmtId="0" fontId="23" fillId="0" borderId="4" xfId="1" applyFont="1" applyFill="1" applyBorder="1" applyAlignment="1">
      <alignment horizontal="center" vertical="top" wrapText="1"/>
    </xf>
    <xf numFmtId="0" fontId="15" fillId="0" borderId="4" xfId="1" applyFont="1" applyFill="1" applyBorder="1" applyAlignment="1">
      <alignment horizontal="center" vertical="top" wrapText="1"/>
    </xf>
    <xf numFmtId="0" fontId="15" fillId="0" borderId="4" xfId="1" applyFont="1" applyFill="1" applyBorder="1" applyAlignment="1">
      <alignment horizontal="center" vertical="center" wrapText="1"/>
    </xf>
    <xf numFmtId="0" fontId="23" fillId="0"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30" fillId="0" borderId="0" xfId="0" applyFont="1" applyFill="1" applyAlignment="1">
      <alignment horizontal="center" wrapText="1"/>
    </xf>
    <xf numFmtId="0" fontId="30" fillId="0" borderId="0" xfId="0" applyFont="1" applyFill="1" applyAlignment="1">
      <alignment wrapText="1"/>
    </xf>
    <xf numFmtId="0" fontId="98" fillId="0" borderId="0" xfId="0" applyFont="1" applyFill="1" applyAlignment="1">
      <alignment horizontal="center" vertical="top" wrapText="1"/>
    </xf>
    <xf numFmtId="0" fontId="98" fillId="0" borderId="0" xfId="0" applyFont="1" applyFill="1" applyAlignment="1">
      <alignment vertical="top" wrapText="1"/>
    </xf>
    <xf numFmtId="0" fontId="98" fillId="0" borderId="0" xfId="0" applyFont="1" applyFill="1" applyAlignment="1">
      <alignment horizontal="right" wrapText="1"/>
    </xf>
    <xf numFmtId="0" fontId="98" fillId="0" borderId="0" xfId="0" applyFont="1" applyFill="1" applyAlignment="1">
      <alignment wrapText="1"/>
    </xf>
    <xf numFmtId="0" fontId="23" fillId="0" borderId="0" xfId="0" applyFont="1" applyFill="1" applyAlignment="1">
      <alignment vertical="center" wrapText="1"/>
    </xf>
    <xf numFmtId="0" fontId="23" fillId="0" borderId="0" xfId="0" applyFont="1" applyFill="1" applyAlignment="1">
      <alignment horizontal="center" wrapText="1"/>
    </xf>
    <xf numFmtId="0" fontId="23" fillId="0" borderId="0" xfId="0" applyFont="1" applyFill="1" applyAlignment="1">
      <alignment wrapText="1"/>
    </xf>
    <xf numFmtId="0" fontId="98" fillId="0" borderId="1" xfId="0" applyFont="1" applyFill="1" applyBorder="1" applyAlignment="1">
      <alignment horizontal="center" vertical="top" wrapText="1"/>
    </xf>
    <xf numFmtId="0" fontId="98" fillId="0" borderId="1" xfId="0" applyFont="1" applyFill="1" applyBorder="1" applyAlignment="1">
      <alignment vertical="top" wrapText="1"/>
    </xf>
    <xf numFmtId="0" fontId="98" fillId="0" borderId="1" xfId="0" applyFont="1" applyFill="1" applyBorder="1" applyAlignment="1">
      <alignment horizontal="right" wrapText="1"/>
    </xf>
    <xf numFmtId="0" fontId="98" fillId="0" borderId="1" xfId="0" applyFont="1" applyFill="1" applyBorder="1" applyAlignment="1">
      <alignment wrapText="1"/>
    </xf>
    <xf numFmtId="0" fontId="23" fillId="0" borderId="3" xfId="0" quotePrefix="1" applyFont="1" applyFill="1" applyBorder="1" applyAlignment="1">
      <alignment horizontal="center" vertical="center"/>
    </xf>
    <xf numFmtId="49" fontId="14" fillId="3" borderId="0" xfId="0" applyNumberFormat="1" applyFont="1" applyFill="1" applyBorder="1" applyAlignment="1">
      <alignment vertical="center" wrapText="1"/>
    </xf>
    <xf numFmtId="0" fontId="15" fillId="3" borderId="0" xfId="0" applyFont="1" applyFill="1" applyBorder="1" applyAlignment="1">
      <alignment vertical="top" wrapText="1"/>
    </xf>
    <xf numFmtId="49" fontId="14" fillId="2" borderId="0" xfId="0" applyNumberFormat="1" applyFont="1" applyFill="1" applyBorder="1" applyAlignment="1">
      <alignment vertical="center" wrapText="1"/>
    </xf>
    <xf numFmtId="0" fontId="14" fillId="2" borderId="0" xfId="0" applyFont="1" applyFill="1" applyAlignment="1">
      <alignment horizontal="left" vertical="center"/>
    </xf>
    <xf numFmtId="0" fontId="15" fillId="0" borderId="0" xfId="0" applyNumberFormat="1" applyFont="1" applyFill="1" applyBorder="1" applyAlignment="1">
      <alignment horizontal="center" vertical="center"/>
    </xf>
    <xf numFmtId="0" fontId="15" fillId="0" borderId="0" xfId="0" quotePrefix="1" applyFont="1" applyFill="1" applyBorder="1" applyAlignment="1">
      <alignment horizontal="center" vertical="center" wrapText="1"/>
    </xf>
    <xf numFmtId="0" fontId="8" fillId="0" borderId="0" xfId="0" applyFont="1" applyFill="1" applyAlignment="1">
      <alignment horizontal="center" vertical="center" wrapText="1"/>
    </xf>
    <xf numFmtId="0" fontId="23" fillId="0" borderId="0" xfId="0" applyFont="1" applyFill="1" applyBorder="1" applyAlignment="1">
      <alignment wrapText="1"/>
    </xf>
    <xf numFmtId="0" fontId="15" fillId="0" borderId="0" xfId="0" applyFont="1" applyFill="1" applyAlignment="1">
      <alignment horizontal="center" wrapText="1"/>
    </xf>
    <xf numFmtId="0" fontId="15" fillId="0" borderId="0" xfId="0" applyFont="1" applyFill="1" applyAlignment="1">
      <alignment wrapText="1"/>
    </xf>
    <xf numFmtId="0" fontId="16" fillId="0" borderId="3" xfId="0"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6" fillId="0" borderId="3" xfId="0" applyFont="1" applyFill="1" applyBorder="1" applyAlignment="1">
      <alignment horizontal="center" vertical="center"/>
    </xf>
    <xf numFmtId="0" fontId="12" fillId="0" borderId="0" xfId="0" applyFont="1" applyFill="1" applyAlignment="1">
      <alignment horizontal="left" vertical="top"/>
    </xf>
    <xf numFmtId="0" fontId="10" fillId="2" borderId="0" xfId="0" applyFont="1" applyFill="1" applyAlignment="1">
      <alignment horizontal="left" vertical="center"/>
    </xf>
    <xf numFmtId="0" fontId="10" fillId="0" borderId="0" xfId="0" applyFont="1" applyFill="1" applyBorder="1" applyAlignment="1">
      <alignment vertical="center"/>
    </xf>
    <xf numFmtId="0" fontId="37" fillId="0" borderId="11" xfId="0" applyFont="1" applyFill="1" applyBorder="1" applyAlignment="1">
      <alignment vertical="center" wrapText="1"/>
    </xf>
    <xf numFmtId="0" fontId="15" fillId="6" borderId="0" xfId="0" applyFont="1" applyFill="1" applyAlignment="1">
      <alignment horizontal="center" vertical="center" wrapText="1"/>
    </xf>
    <xf numFmtId="0" fontId="15" fillId="6" borderId="0" xfId="0" applyFont="1" applyFill="1" applyAlignment="1">
      <alignment vertical="center" wrapText="1"/>
    </xf>
    <xf numFmtId="0" fontId="15" fillId="0" borderId="3" xfId="0" applyFont="1" applyFill="1" applyBorder="1" applyAlignment="1">
      <alignment vertical="top" wrapText="1"/>
    </xf>
    <xf numFmtId="21" fontId="15" fillId="0" borderId="4" xfId="0" applyNumberFormat="1" applyFont="1" applyFill="1" applyBorder="1" applyAlignment="1">
      <alignment horizontal="center" vertical="center" wrapText="1"/>
    </xf>
    <xf numFmtId="2" fontId="15" fillId="0" borderId="3"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wrapText="1"/>
    </xf>
    <xf numFmtId="0" fontId="23" fillId="0" borderId="10" xfId="0" applyFont="1" applyFill="1" applyBorder="1" applyAlignment="1">
      <alignment vertical="center" wrapText="1"/>
    </xf>
    <xf numFmtId="2" fontId="15" fillId="0" borderId="12" xfId="0" applyNumberFormat="1" applyFont="1" applyFill="1" applyBorder="1" applyAlignment="1">
      <alignment horizontal="center" vertical="center" wrapText="1"/>
    </xf>
    <xf numFmtId="0" fontId="23" fillId="0" borderId="9" xfId="0" applyFont="1" applyFill="1" applyBorder="1" applyAlignment="1">
      <alignment vertical="center" wrapText="1"/>
    </xf>
    <xf numFmtId="1" fontId="15" fillId="0" borderId="6" xfId="0" applyNumberFormat="1" applyFont="1" applyFill="1" applyBorder="1" applyAlignment="1">
      <alignment horizontal="center" vertical="center" wrapText="1"/>
    </xf>
    <xf numFmtId="49" fontId="15" fillId="0" borderId="4" xfId="0" applyNumberFormat="1" applyFont="1" applyFill="1" applyBorder="1" applyAlignment="1">
      <alignment horizontal="left" vertical="top" wrapText="1"/>
    </xf>
    <xf numFmtId="0" fontId="15" fillId="0" borderId="3" xfId="0" quotePrefix="1" applyFont="1" applyFill="1" applyBorder="1" applyAlignment="1">
      <alignment horizontal="center" vertical="center" wrapText="1"/>
    </xf>
    <xf numFmtId="0" fontId="15" fillId="0" borderId="10" xfId="0" applyFont="1" applyFill="1" applyBorder="1" applyAlignment="1">
      <alignment horizontal="center" vertical="top" wrapText="1"/>
    </xf>
    <xf numFmtId="0" fontId="15" fillId="0" borderId="10" xfId="0" applyFont="1" applyFill="1" applyBorder="1" applyAlignment="1">
      <alignment horizontal="left" vertical="top" wrapText="1"/>
    </xf>
    <xf numFmtId="165" fontId="15" fillId="0" borderId="4" xfId="0" applyNumberFormat="1" applyFont="1" applyFill="1" applyBorder="1" applyAlignment="1">
      <alignment horizontal="center" vertical="center" wrapText="1"/>
    </xf>
    <xf numFmtId="0" fontId="9" fillId="0" borderId="0" xfId="0" applyFont="1" applyFill="1" applyBorder="1" applyAlignment="1">
      <alignment horizontal="center" wrapText="1"/>
    </xf>
    <xf numFmtId="0" fontId="15" fillId="0" borderId="10" xfId="0" applyFont="1" applyFill="1" applyBorder="1" applyAlignment="1">
      <alignment wrapText="1"/>
    </xf>
    <xf numFmtId="49" fontId="14" fillId="0" borderId="12" xfId="0" applyNumberFormat="1" applyFont="1" applyFill="1" applyBorder="1" applyAlignment="1">
      <alignment vertical="center" wrapText="1"/>
    </xf>
    <xf numFmtId="49" fontId="14" fillId="0" borderId="9" xfId="0" applyNumberFormat="1" applyFont="1" applyFill="1" applyBorder="1" applyAlignment="1">
      <alignment vertical="center" wrapText="1"/>
    </xf>
    <xf numFmtId="0" fontId="15" fillId="0" borderId="6" xfId="0" applyFont="1" applyFill="1" applyBorder="1" applyAlignment="1">
      <alignment wrapText="1"/>
    </xf>
    <xf numFmtId="0" fontId="15" fillId="0" borderId="3" xfId="0" applyFont="1" applyFill="1" applyBorder="1" applyAlignment="1">
      <alignment wrapText="1"/>
    </xf>
    <xf numFmtId="0" fontId="91" fillId="3" borderId="0" xfId="1" applyFont="1" applyFill="1" applyAlignment="1">
      <alignment vertical="center"/>
    </xf>
    <xf numFmtId="0" fontId="15" fillId="0" borderId="12" xfId="1" applyFont="1" applyFill="1" applyBorder="1" applyAlignment="1">
      <alignment horizontal="center" vertical="top" wrapText="1"/>
    </xf>
    <xf numFmtId="1" fontId="15" fillId="0" borderId="4" xfId="1" applyNumberFormat="1" applyFont="1" applyFill="1" applyBorder="1" applyAlignment="1">
      <alignment horizontal="center" vertical="top" wrapText="1"/>
    </xf>
    <xf numFmtId="2" fontId="125" fillId="0" borderId="4" xfId="1" applyNumberFormat="1" applyFont="1" applyFill="1" applyBorder="1" applyAlignment="1">
      <alignment horizontal="center" vertical="top" wrapText="1"/>
    </xf>
    <xf numFmtId="0" fontId="48" fillId="0" borderId="4" xfId="0" applyFont="1" applyFill="1" applyBorder="1" applyAlignment="1">
      <alignment horizontal="center" vertical="center" wrapText="1"/>
    </xf>
    <xf numFmtId="0" fontId="18" fillId="0" borderId="0" xfId="0" applyFont="1" applyFill="1" applyAlignment="1">
      <alignment horizontal="center" vertical="center"/>
    </xf>
    <xf numFmtId="0" fontId="10" fillId="0" borderId="1" xfId="0" applyFont="1" applyFill="1" applyBorder="1" applyAlignment="1">
      <alignment horizontal="center" vertical="center"/>
    </xf>
    <xf numFmtId="49" fontId="7" fillId="0" borderId="0" xfId="1" applyNumberFormat="1" applyFont="1" applyFill="1" applyBorder="1" applyAlignment="1">
      <alignment horizontal="center" wrapText="1"/>
    </xf>
    <xf numFmtId="49" fontId="28" fillId="0" borderId="0" xfId="1" applyNumberFormat="1" applyFont="1" applyFill="1" applyBorder="1" applyAlignment="1">
      <alignment horizontal="center" vertical="center" wrapText="1"/>
    </xf>
    <xf numFmtId="49" fontId="14" fillId="0" borderId="4" xfId="1" applyNumberFormat="1" applyFont="1" applyFill="1" applyBorder="1" applyAlignment="1">
      <alignment horizontal="center" vertical="center" wrapText="1"/>
    </xf>
    <xf numFmtId="0" fontId="14" fillId="0" borderId="4" xfId="1" applyNumberFormat="1" applyFont="1" applyFill="1" applyBorder="1" applyAlignment="1">
      <alignment horizontal="center" vertical="center" wrapText="1"/>
    </xf>
    <xf numFmtId="0" fontId="17" fillId="0" borderId="4" xfId="1" applyFont="1" applyFill="1" applyBorder="1" applyAlignment="1">
      <alignment horizontal="center" vertical="center" wrapText="1"/>
    </xf>
    <xf numFmtId="2" fontId="14" fillId="0" borderId="4" xfId="1" applyNumberFormat="1" applyFont="1" applyFill="1" applyBorder="1" applyAlignment="1">
      <alignment horizontal="justify" vertical="center" wrapText="1"/>
    </xf>
    <xf numFmtId="49" fontId="17" fillId="0" borderId="4" xfId="1" applyNumberFormat="1" applyFont="1" applyFill="1" applyBorder="1" applyAlignment="1">
      <alignment horizontal="left" vertical="center" wrapText="1"/>
    </xf>
    <xf numFmtId="2" fontId="14" fillId="0" borderId="10" xfId="1" applyNumberFormat="1" applyFont="1" applyFill="1" applyBorder="1" applyAlignment="1">
      <alignment horizontal="center" vertical="center" wrapText="1"/>
    </xf>
    <xf numFmtId="2" fontId="14" fillId="0" borderId="12" xfId="1" applyNumberFormat="1" applyFont="1" applyFill="1" applyBorder="1" applyAlignment="1">
      <alignment horizontal="center" vertical="center" wrapText="1"/>
    </xf>
    <xf numFmtId="2" fontId="14" fillId="0" borderId="9" xfId="1" applyNumberFormat="1" applyFont="1" applyFill="1" applyBorder="1" applyAlignment="1">
      <alignment horizontal="center" vertical="center" wrapText="1"/>
    </xf>
    <xf numFmtId="0" fontId="17" fillId="0" borderId="3" xfId="1" applyNumberFormat="1" applyFont="1" applyFill="1" applyBorder="1" applyAlignment="1">
      <alignment horizontal="center" vertical="center" wrapText="1"/>
    </xf>
    <xf numFmtId="0" fontId="17" fillId="0" borderId="7" xfId="1" applyNumberFormat="1" applyFont="1" applyFill="1" applyBorder="1" applyAlignment="1">
      <alignment horizontal="center" vertical="center" wrapText="1"/>
    </xf>
    <xf numFmtId="0" fontId="17" fillId="0" borderId="3" xfId="1" applyNumberFormat="1" applyFont="1" applyFill="1" applyBorder="1" applyAlignment="1">
      <alignment horizontal="center" vertical="top" wrapText="1"/>
    </xf>
    <xf numFmtId="49" fontId="17" fillId="0" borderId="7" xfId="1" applyNumberFormat="1" applyFont="1" applyFill="1" applyBorder="1" applyAlignment="1">
      <alignment horizontal="center" vertical="top" wrapText="1"/>
    </xf>
    <xf numFmtId="49" fontId="17" fillId="0" borderId="6" xfId="1" applyNumberFormat="1" applyFont="1" applyFill="1" applyBorder="1" applyAlignment="1">
      <alignment horizontal="center" vertical="top" wrapText="1"/>
    </xf>
    <xf numFmtId="49" fontId="14" fillId="0" borderId="0" xfId="1" applyNumberFormat="1" applyFont="1" applyFill="1" applyBorder="1" applyAlignment="1">
      <alignment horizontal="left" vertical="center" wrapText="1"/>
    </xf>
    <xf numFmtId="0" fontId="15" fillId="0" borderId="0" xfId="0" applyFont="1" applyFill="1" applyBorder="1" applyAlignment="1">
      <alignment horizontal="center" vertical="center" wrapText="1"/>
    </xf>
    <xf numFmtId="0" fontId="17" fillId="0" borderId="3"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17" fillId="0" borderId="4" xfId="0" applyFont="1" applyFill="1" applyBorder="1" applyAlignment="1" applyProtection="1">
      <alignment horizontal="center" vertical="center"/>
    </xf>
    <xf numFmtId="0" fontId="17" fillId="0" borderId="7" xfId="0" applyFont="1" applyFill="1" applyBorder="1" applyAlignment="1" applyProtection="1">
      <alignment horizontal="center" vertical="center"/>
    </xf>
    <xf numFmtId="0" fontId="7" fillId="0" borderId="0" xfId="0" applyFont="1" applyFill="1" applyBorder="1" applyAlignment="1">
      <alignment horizontal="center"/>
    </xf>
    <xf numFmtId="0" fontId="18" fillId="0" borderId="0" xfId="0" applyFont="1" applyFill="1" applyBorder="1" applyAlignment="1" applyProtection="1">
      <alignment horizontal="center" vertical="center"/>
    </xf>
    <xf numFmtId="49" fontId="14" fillId="0" borderId="3" xfId="0" applyNumberFormat="1"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49" fontId="14" fillId="0" borderId="4"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4" xfId="0" applyFont="1" applyFill="1" applyBorder="1" applyAlignment="1" applyProtection="1">
      <alignment horizontal="center" vertical="center" wrapText="1"/>
    </xf>
    <xf numFmtId="0" fontId="17" fillId="0" borderId="3"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2" fontId="14" fillId="0" borderId="10" xfId="0" applyNumberFormat="1" applyFont="1" applyFill="1" applyBorder="1" applyAlignment="1">
      <alignment horizontal="center" vertical="center" wrapText="1"/>
    </xf>
    <xf numFmtId="2" fontId="14" fillId="0" borderId="12" xfId="0" applyNumberFormat="1" applyFont="1" applyFill="1" applyBorder="1" applyAlignment="1">
      <alignment horizontal="center" vertical="center" wrapText="1"/>
    </xf>
    <xf numFmtId="2" fontId="14" fillId="0" borderId="9" xfId="0" applyNumberFormat="1" applyFont="1" applyFill="1" applyBorder="1" applyAlignment="1">
      <alignment horizontal="center" vertical="center" wrapText="1"/>
    </xf>
    <xf numFmtId="49" fontId="17" fillId="0" borderId="4" xfId="0" applyNumberFormat="1" applyFont="1" applyFill="1" applyBorder="1" applyAlignment="1">
      <alignment horizontal="left" vertical="top" wrapText="1"/>
    </xf>
    <xf numFmtId="2" fontId="14" fillId="0" borderId="4" xfId="0" applyNumberFormat="1" applyFont="1" applyFill="1" applyBorder="1" applyAlignment="1">
      <alignment horizontal="center" vertical="center" wrapText="1"/>
    </xf>
    <xf numFmtId="0" fontId="17" fillId="0" borderId="3" xfId="0" applyNumberFormat="1" applyFont="1" applyFill="1" applyBorder="1" applyAlignment="1">
      <alignment horizontal="center" vertical="center" wrapText="1"/>
    </xf>
    <xf numFmtId="0" fontId="17" fillId="0" borderId="7" xfId="0" applyNumberFormat="1" applyFont="1" applyFill="1" applyBorder="1" applyAlignment="1">
      <alignment horizontal="center" vertical="center" wrapText="1"/>
    </xf>
    <xf numFmtId="49" fontId="17" fillId="0" borderId="7" xfId="0" applyNumberFormat="1" applyFont="1" applyFill="1" applyBorder="1" applyAlignment="1">
      <alignment horizontal="center" vertical="center" wrapText="1"/>
    </xf>
    <xf numFmtId="49" fontId="17" fillId="0" borderId="6" xfId="0" applyNumberFormat="1" applyFont="1" applyFill="1" applyBorder="1" applyAlignment="1">
      <alignment horizontal="center" vertical="center" wrapText="1"/>
    </xf>
    <xf numFmtId="49" fontId="14" fillId="0" borderId="0" xfId="0" applyNumberFormat="1" applyFont="1" applyFill="1" applyAlignment="1">
      <alignment horizontal="left" wrapText="1"/>
    </xf>
    <xf numFmtId="49" fontId="7" fillId="0" borderId="0"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wrapText="1"/>
    </xf>
    <xf numFmtId="49" fontId="7" fillId="0" borderId="0" xfId="2" applyNumberFormat="1" applyFont="1" applyFill="1" applyBorder="1" applyAlignment="1">
      <alignment horizontal="center" wrapText="1"/>
    </xf>
    <xf numFmtId="0" fontId="9" fillId="0" borderId="0" xfId="0" applyFont="1" applyFill="1" applyBorder="1" applyAlignment="1">
      <alignment horizontal="center" vertical="center" wrapText="1"/>
    </xf>
    <xf numFmtId="0" fontId="15" fillId="0" borderId="4" xfId="0" applyFont="1" applyFill="1" applyBorder="1" applyAlignment="1">
      <alignment horizontal="center" vertical="top"/>
    </xf>
    <xf numFmtId="49" fontId="9" fillId="0" borderId="0" xfId="0" applyNumberFormat="1" applyFont="1" applyFill="1" applyBorder="1" applyAlignment="1">
      <alignment horizontal="center" wrapText="1"/>
    </xf>
    <xf numFmtId="0" fontId="15" fillId="0" borderId="3" xfId="2" applyNumberFormat="1" applyFont="1" applyFill="1" applyBorder="1" applyAlignment="1">
      <alignment horizontal="center" vertical="top" wrapText="1"/>
    </xf>
    <xf numFmtId="0" fontId="15" fillId="0" borderId="7" xfId="2" applyNumberFormat="1" applyFont="1" applyFill="1" applyBorder="1" applyAlignment="1">
      <alignment horizontal="center" vertical="top" wrapText="1"/>
    </xf>
    <xf numFmtId="49" fontId="15" fillId="0" borderId="7" xfId="2" applyNumberFormat="1" applyFont="1" applyFill="1" applyBorder="1" applyAlignment="1">
      <alignment horizontal="center" vertical="top" wrapText="1"/>
    </xf>
    <xf numFmtId="49" fontId="15" fillId="0" borderId="6" xfId="2" applyNumberFormat="1" applyFont="1" applyFill="1" applyBorder="1" applyAlignment="1">
      <alignment horizontal="center" vertical="top" wrapText="1"/>
    </xf>
    <xf numFmtId="49" fontId="9" fillId="0" borderId="0" xfId="2" applyNumberFormat="1" applyFont="1" applyFill="1" applyBorder="1" applyAlignment="1">
      <alignment horizontal="center" vertical="center" wrapText="1"/>
    </xf>
    <xf numFmtId="49" fontId="18" fillId="0" borderId="0" xfId="2" applyNumberFormat="1" applyFont="1" applyFill="1" applyBorder="1" applyAlignment="1">
      <alignment horizontal="center" vertical="center" wrapText="1"/>
    </xf>
    <xf numFmtId="49" fontId="70" fillId="0" borderId="4" xfId="2" applyNumberFormat="1" applyFont="1" applyFill="1" applyBorder="1" applyAlignment="1">
      <alignment horizontal="center" vertical="center" wrapText="1"/>
    </xf>
    <xf numFmtId="0" fontId="70" fillId="0" borderId="3" xfId="2" applyNumberFormat="1" applyFont="1" applyFill="1" applyBorder="1" applyAlignment="1">
      <alignment horizontal="center" vertical="center" wrapText="1"/>
    </xf>
    <xf numFmtId="0" fontId="71" fillId="0" borderId="6" xfId="2" applyFont="1" applyFill="1" applyBorder="1" applyAlignment="1">
      <alignment horizontal="center" vertical="center" wrapText="1"/>
    </xf>
    <xf numFmtId="2" fontId="70" fillId="0" borderId="4" xfId="2" applyNumberFormat="1" applyFont="1" applyFill="1" applyBorder="1" applyAlignment="1">
      <alignment horizontal="center" vertical="center" wrapText="1"/>
    </xf>
    <xf numFmtId="0" fontId="12" fillId="0" borderId="3" xfId="1" applyFill="1" applyBorder="1" applyAlignment="1">
      <alignment horizontal="center" vertical="center" wrapText="1"/>
    </xf>
    <xf numFmtId="0" fontId="12" fillId="0" borderId="7" xfId="1" applyFill="1" applyBorder="1" applyAlignment="1">
      <alignment horizontal="center" vertical="center" wrapText="1"/>
    </xf>
    <xf numFmtId="0" fontId="12" fillId="0" borderId="6" xfId="1" applyFill="1" applyBorder="1" applyAlignment="1">
      <alignment horizontal="center" vertical="center" wrapText="1"/>
    </xf>
    <xf numFmtId="0" fontId="12" fillId="0" borderId="3" xfId="1" applyFill="1" applyBorder="1" applyAlignment="1">
      <alignment horizontal="center" vertical="top" wrapText="1"/>
    </xf>
    <xf numFmtId="0" fontId="12" fillId="0" borderId="7" xfId="1" applyFill="1" applyBorder="1" applyAlignment="1">
      <alignment horizontal="center" vertical="top" wrapText="1"/>
    </xf>
    <xf numFmtId="0" fontId="12" fillId="0" borderId="6" xfId="1" applyFill="1" applyBorder="1" applyAlignment="1">
      <alignment horizontal="center" vertical="top" wrapText="1"/>
    </xf>
    <xf numFmtId="0" fontId="7" fillId="0" borderId="0" xfId="1" applyFont="1" applyFill="1" applyBorder="1" applyAlignment="1">
      <alignment horizontal="right" vertical="top"/>
    </xf>
    <xf numFmtId="0" fontId="18" fillId="0" borderId="0" xfId="1" applyFont="1" applyFill="1" applyBorder="1" applyAlignment="1">
      <alignment horizontal="center" vertical="center" wrapText="1"/>
    </xf>
    <xf numFmtId="0" fontId="9" fillId="0" borderId="0" xfId="1" applyFont="1" applyFill="1" applyBorder="1" applyAlignment="1">
      <alignment horizontal="center" vertical="top"/>
    </xf>
    <xf numFmtId="0" fontId="23" fillId="0" borderId="3" xfId="1" applyFont="1" applyFill="1" applyBorder="1" applyAlignment="1">
      <alignment horizontal="center" vertical="center" wrapText="1"/>
    </xf>
    <xf numFmtId="0" fontId="23" fillId="0" borderId="6" xfId="1" applyFont="1" applyFill="1" applyBorder="1" applyAlignment="1">
      <alignment horizontal="center" vertical="center" wrapText="1"/>
    </xf>
    <xf numFmtId="2" fontId="23" fillId="0" borderId="4" xfId="2" applyNumberFormat="1" applyFont="1" applyFill="1" applyBorder="1" applyAlignment="1">
      <alignment horizontal="center" vertical="center" wrapText="1"/>
    </xf>
    <xf numFmtId="0" fontId="17" fillId="0" borderId="3" xfId="0" applyFont="1" applyFill="1" applyBorder="1" applyAlignment="1">
      <alignment horizontal="center" vertical="top" wrapText="1"/>
    </xf>
    <xf numFmtId="0" fontId="17" fillId="0" borderId="7" xfId="0" applyFont="1" applyFill="1" applyBorder="1" applyAlignment="1">
      <alignment horizontal="center" vertical="top" wrapText="1"/>
    </xf>
    <xf numFmtId="0" fontId="17" fillId="0" borderId="6" xfId="0" applyFont="1" applyFill="1" applyBorder="1" applyAlignment="1">
      <alignment horizontal="center" vertical="top" wrapText="1"/>
    </xf>
    <xf numFmtId="0" fontId="7" fillId="0" borderId="0" xfId="0" applyFont="1" applyFill="1" applyBorder="1" applyAlignment="1">
      <alignment horizontal="center" vertical="top"/>
    </xf>
    <xf numFmtId="0" fontId="18" fillId="0" borderId="0" xfId="0" applyFont="1" applyFill="1" applyBorder="1" applyAlignment="1">
      <alignment horizontal="center" vertical="top"/>
    </xf>
    <xf numFmtId="0" fontId="14" fillId="0" borderId="3"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5" fillId="0" borderId="0" xfId="1" applyFont="1" applyFill="1" applyBorder="1" applyAlignment="1">
      <alignment horizontal="left" vertical="center" wrapText="1"/>
    </xf>
    <xf numFmtId="0" fontId="17" fillId="0" borderId="0" xfId="1" applyFont="1" applyFill="1" applyBorder="1" applyAlignment="1">
      <alignment horizontal="center" vertical="center" wrapText="1"/>
    </xf>
    <xf numFmtId="0" fontId="8" fillId="0" borderId="0" xfId="1" applyFont="1" applyFill="1" applyBorder="1" applyAlignment="1">
      <alignment horizontal="center"/>
    </xf>
    <xf numFmtId="0" fontId="23" fillId="0" borderId="3" xfId="1" applyFont="1" applyFill="1" applyBorder="1" applyAlignment="1">
      <alignment horizontal="center" vertical="center"/>
    </xf>
    <xf numFmtId="0" fontId="23" fillId="0" borderId="6" xfId="1" applyFont="1" applyFill="1" applyBorder="1" applyAlignment="1">
      <alignment horizontal="center" vertical="center"/>
    </xf>
    <xf numFmtId="0" fontId="23" fillId="0" borderId="3" xfId="1" applyNumberFormat="1" applyFont="1" applyFill="1" applyBorder="1" applyAlignment="1">
      <alignment horizontal="center" vertical="center" wrapText="1"/>
    </xf>
    <xf numFmtId="0" fontId="23" fillId="0" borderId="6" xfId="1" applyNumberFormat="1" applyFont="1" applyFill="1" applyBorder="1" applyAlignment="1">
      <alignment horizontal="center" vertical="center" wrapText="1"/>
    </xf>
    <xf numFmtId="0" fontId="12" fillId="0" borderId="0" xfId="1" applyFill="1" applyAlignment="1">
      <alignment horizontal="left" vertical="center" wrapText="1"/>
    </xf>
    <xf numFmtId="0" fontId="7" fillId="0" borderId="0" xfId="1" applyFont="1" applyFill="1" applyBorder="1" applyAlignment="1">
      <alignment horizontal="center"/>
    </xf>
    <xf numFmtId="0" fontId="7" fillId="0" borderId="0" xfId="1" applyFont="1" applyFill="1" applyBorder="1" applyAlignment="1">
      <alignment horizontal="left"/>
    </xf>
    <xf numFmtId="0" fontId="23" fillId="0" borderId="4" xfId="1" applyFont="1" applyFill="1" applyBorder="1" applyAlignment="1">
      <alignment horizontal="center" vertical="center" wrapText="1"/>
    </xf>
    <xf numFmtId="0" fontId="15" fillId="6" borderId="4" xfId="1" applyFont="1" applyFill="1" applyBorder="1" applyAlignment="1">
      <alignment horizontal="center" vertical="top" wrapText="1"/>
    </xf>
    <xf numFmtId="0" fontId="15" fillId="6" borderId="3" xfId="1" applyFont="1" applyFill="1" applyBorder="1" applyAlignment="1">
      <alignment horizontal="center" vertical="top" wrapText="1"/>
    </xf>
    <xf numFmtId="0" fontId="15" fillId="6" borderId="7" xfId="1" applyFont="1" applyFill="1" applyBorder="1" applyAlignment="1">
      <alignment horizontal="center" vertical="top" wrapText="1"/>
    </xf>
    <xf numFmtId="0" fontId="15" fillId="6" borderId="6" xfId="1" applyFont="1" applyFill="1" applyBorder="1" applyAlignment="1">
      <alignment horizontal="center" vertical="top" wrapText="1"/>
    </xf>
    <xf numFmtId="0" fontId="17" fillId="0" borderId="0" xfId="1" applyFont="1" applyFill="1" applyBorder="1" applyAlignment="1">
      <alignment horizontal="left" vertical="top" wrapText="1"/>
    </xf>
    <xf numFmtId="0" fontId="9" fillId="6" borderId="0" xfId="1" applyFont="1" applyFill="1" applyBorder="1" applyAlignment="1">
      <alignment horizontal="center" vertical="center" wrapText="1"/>
    </xf>
    <xf numFmtId="0" fontId="14" fillId="0" borderId="4"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23" fillId="0" borderId="3" xfId="17" applyFont="1" applyFill="1" applyBorder="1" applyAlignment="1">
      <alignment horizontal="center" vertical="center" wrapText="1"/>
    </xf>
    <xf numFmtId="0" fontId="23" fillId="0" borderId="6" xfId="17" applyFont="1" applyFill="1" applyBorder="1" applyAlignment="1">
      <alignment horizontal="center" vertical="center" wrapText="1"/>
    </xf>
    <xf numFmtId="0" fontId="23" fillId="0" borderId="3" xfId="17" applyFont="1" applyFill="1" applyBorder="1" applyAlignment="1">
      <alignment horizontal="center" vertical="center"/>
    </xf>
    <xf numFmtId="0" fontId="23" fillId="0" borderId="6" xfId="17" applyFont="1" applyFill="1" applyBorder="1" applyAlignment="1">
      <alignment horizontal="center" vertical="center"/>
    </xf>
    <xf numFmtId="0" fontId="23" fillId="0" borderId="3" xfId="17" applyNumberFormat="1" applyFont="1" applyFill="1" applyBorder="1" applyAlignment="1">
      <alignment horizontal="center" vertical="center" wrapText="1"/>
    </xf>
    <xf numFmtId="0" fontId="23" fillId="0" borderId="6" xfId="17" applyNumberFormat="1" applyFont="1" applyFill="1" applyBorder="1" applyAlignment="1">
      <alignment horizontal="center" vertical="center" wrapText="1"/>
    </xf>
    <xf numFmtId="0" fontId="15" fillId="0" borderId="0" xfId="17" applyFont="1" applyFill="1" applyBorder="1" applyAlignment="1">
      <alignment horizontal="left" vertical="top" wrapText="1"/>
    </xf>
    <xf numFmtId="0" fontId="15" fillId="0" borderId="0" xfId="17" applyFont="1" applyFill="1" applyBorder="1" applyAlignment="1">
      <alignment horizontal="left" vertical="center"/>
    </xf>
    <xf numFmtId="0" fontId="15" fillId="0" borderId="0" xfId="17" applyFont="1" applyFill="1" applyBorder="1" applyAlignment="1">
      <alignment horizontal="left" vertical="center" wrapText="1"/>
    </xf>
    <xf numFmtId="0" fontId="8" fillId="0" borderId="0" xfId="17" applyFont="1" applyFill="1" applyBorder="1" applyAlignment="1">
      <alignment horizontal="center"/>
    </xf>
    <xf numFmtId="0" fontId="18" fillId="0" borderId="0" xfId="17" applyFont="1" applyFill="1" applyBorder="1" applyAlignment="1">
      <alignment horizontal="center" vertical="center" wrapText="1"/>
    </xf>
    <xf numFmtId="0" fontId="70" fillId="0" borderId="3"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6" xfId="0" applyFont="1" applyFill="1" applyBorder="1" applyAlignment="1">
      <alignment horizontal="center" vertical="center" wrapText="1"/>
    </xf>
    <xf numFmtId="0" fontId="70" fillId="0" borderId="13" xfId="0" applyFont="1" applyFill="1" applyBorder="1" applyAlignment="1">
      <alignment horizontal="center" vertical="center" wrapText="1"/>
    </xf>
    <xf numFmtId="0" fontId="70" fillId="0" borderId="2" xfId="0" applyFont="1" applyFill="1" applyBorder="1" applyAlignment="1">
      <alignment horizontal="center" vertical="center" wrapText="1"/>
    </xf>
    <xf numFmtId="0" fontId="70" fillId="0" borderId="11" xfId="0" applyFont="1" applyFill="1" applyBorder="1" applyAlignment="1">
      <alignment horizontal="center" vertical="center" wrapText="1"/>
    </xf>
    <xf numFmtId="0" fontId="70" fillId="0" borderId="8" xfId="0" applyFont="1" applyFill="1" applyBorder="1" applyAlignment="1">
      <alignment horizontal="center" vertical="center" wrapText="1"/>
    </xf>
    <xf numFmtId="0" fontId="70" fillId="0" borderId="14"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4" xfId="0" applyNumberFormat="1" applyFont="1" applyFill="1" applyBorder="1" applyAlignment="1">
      <alignment horizontal="center" vertical="center" wrapText="1"/>
    </xf>
    <xf numFmtId="0" fontId="70" fillId="0" borderId="4" xfId="0" applyFont="1" applyFill="1" applyBorder="1" applyAlignment="1">
      <alignment horizontal="center" vertical="center"/>
    </xf>
    <xf numFmtId="0" fontId="70" fillId="0" borderId="4" xfId="0" applyFont="1" applyFill="1" applyBorder="1" applyAlignment="1">
      <alignment horizontal="center" vertical="center" wrapText="1"/>
    </xf>
    <xf numFmtId="0" fontId="70" fillId="0" borderId="10" xfId="0" applyFont="1" applyFill="1" applyBorder="1" applyAlignment="1">
      <alignment horizontal="center" vertical="top" wrapText="1"/>
    </xf>
    <xf numFmtId="0" fontId="70" fillId="0" borderId="9" xfId="0" applyFont="1" applyFill="1" applyBorder="1" applyAlignment="1">
      <alignment horizontal="center" vertical="top" wrapText="1"/>
    </xf>
    <xf numFmtId="0" fontId="23" fillId="0" borderId="3" xfId="0" applyFont="1" applyFill="1" applyBorder="1" applyAlignment="1">
      <alignment horizontal="center" vertical="top"/>
    </xf>
    <xf numFmtId="0" fontId="23" fillId="0" borderId="7" xfId="0" applyFont="1" applyFill="1" applyBorder="1" applyAlignment="1">
      <alignment horizontal="center" vertical="top"/>
    </xf>
    <xf numFmtId="0" fontId="23" fillId="0" borderId="6" xfId="0" applyFont="1" applyFill="1" applyBorder="1" applyAlignment="1">
      <alignment horizontal="center" vertical="top"/>
    </xf>
    <xf numFmtId="0" fontId="15" fillId="0" borderId="3" xfId="0" applyFont="1" applyFill="1" applyBorder="1" applyAlignment="1">
      <alignment horizontal="center" vertical="top"/>
    </xf>
    <xf numFmtId="0" fontId="15" fillId="0" borderId="7" xfId="0" applyFont="1" applyFill="1" applyBorder="1" applyAlignment="1">
      <alignment horizontal="center" vertical="top"/>
    </xf>
    <xf numFmtId="0" fontId="15" fillId="0" borderId="6" xfId="0" applyFont="1" applyFill="1" applyBorder="1" applyAlignment="1">
      <alignment horizontal="center" vertical="top"/>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6" xfId="0" applyFont="1" applyFill="1" applyBorder="1" applyAlignment="1">
      <alignment horizontal="center" vertical="center"/>
    </xf>
    <xf numFmtId="0" fontId="17" fillId="0" borderId="4" xfId="0" applyFont="1" applyFill="1" applyBorder="1" applyAlignment="1">
      <alignment horizontal="left" vertical="top" wrapText="1"/>
    </xf>
    <xf numFmtId="0" fontId="12" fillId="0" borderId="0" xfId="0" applyFont="1" applyFill="1" applyBorder="1" applyAlignment="1">
      <alignment horizontal="left" vertical="center" wrapText="1"/>
    </xf>
    <xf numFmtId="0" fontId="15" fillId="0" borderId="3" xfId="0" applyFont="1" applyFill="1" applyBorder="1" applyAlignment="1">
      <alignment horizontal="center" vertical="top" wrapText="1"/>
    </xf>
    <xf numFmtId="0" fontId="15" fillId="0" borderId="7" xfId="0" applyFont="1" applyFill="1" applyBorder="1" applyAlignment="1">
      <alignment horizontal="center" vertical="top" wrapText="1"/>
    </xf>
    <xf numFmtId="0" fontId="15" fillId="0" borderId="6" xfId="0" applyFont="1" applyFill="1" applyBorder="1" applyAlignment="1">
      <alignment horizontal="center" vertical="top" wrapText="1"/>
    </xf>
    <xf numFmtId="0" fontId="23" fillId="0" borderId="3" xfId="0" applyFont="1" applyFill="1" applyBorder="1" applyAlignment="1">
      <alignment horizontal="center" vertical="center"/>
    </xf>
    <xf numFmtId="0" fontId="23" fillId="0" borderId="6"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7" xfId="0" applyFont="1" applyFill="1" applyBorder="1" applyAlignment="1">
      <alignment horizontal="center" vertical="center"/>
    </xf>
    <xf numFmtId="0" fontId="37" fillId="0" borderId="6" xfId="0" applyFont="1" applyFill="1" applyBorder="1" applyAlignment="1">
      <alignment horizontal="center" vertical="center"/>
    </xf>
    <xf numFmtId="0" fontId="15" fillId="0" borderId="10" xfId="0" applyFont="1" applyFill="1" applyBorder="1" applyAlignment="1">
      <alignment horizontal="left" vertical="center" wrapText="1"/>
    </xf>
    <xf numFmtId="0" fontId="15" fillId="0" borderId="12"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7" fillId="0" borderId="0" xfId="0" applyFont="1" applyFill="1" applyBorder="1" applyAlignment="1">
      <alignment horizontal="left"/>
    </xf>
    <xf numFmtId="0" fontId="23" fillId="0" borderId="0" xfId="0" applyFont="1" applyFill="1" applyBorder="1" applyAlignment="1">
      <alignment horizontal="left"/>
    </xf>
    <xf numFmtId="0" fontId="23" fillId="0" borderId="0" xfId="0" applyFont="1" applyFill="1" applyBorder="1" applyAlignment="1">
      <alignment horizontal="left" vertical="center"/>
    </xf>
    <xf numFmtId="0" fontId="23" fillId="0" borderId="4" xfId="0" applyNumberFormat="1" applyFont="1" applyFill="1" applyBorder="1" applyAlignment="1">
      <alignment horizontal="center" vertical="center" wrapText="1"/>
    </xf>
    <xf numFmtId="0" fontId="23" fillId="0" borderId="4" xfId="0" applyFont="1" applyFill="1" applyBorder="1" applyAlignment="1">
      <alignment horizontal="center" vertical="center"/>
    </xf>
    <xf numFmtId="0" fontId="89" fillId="0" borderId="0" xfId="0" applyFont="1" applyFill="1" applyBorder="1"/>
    <xf numFmtId="0" fontId="79" fillId="0" borderId="0" xfId="0" applyFont="1" applyFill="1" applyBorder="1" applyAlignment="1">
      <alignment horizontal="center"/>
    </xf>
    <xf numFmtId="0" fontId="10" fillId="0" borderId="4"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0" fillId="0" borderId="4" xfId="0" applyFill="1" applyBorder="1" applyAlignment="1">
      <alignment horizontal="center" vertical="center" wrapText="1"/>
    </xf>
    <xf numFmtId="0" fontId="10" fillId="0" borderId="10" xfId="0" applyFont="1" applyFill="1" applyBorder="1" applyAlignment="1">
      <alignment horizontal="center" wrapText="1"/>
    </xf>
    <xf numFmtId="0" fontId="10" fillId="0" borderId="9" xfId="0" applyFont="1" applyFill="1" applyBorder="1" applyAlignment="1">
      <alignment horizontal="center" wrapText="1"/>
    </xf>
    <xf numFmtId="0" fontId="0" fillId="0" borderId="4" xfId="0" applyFill="1" applyBorder="1" applyAlignment="1">
      <alignment horizontal="right" vertical="top"/>
    </xf>
    <xf numFmtId="0" fontId="0" fillId="0" borderId="3" xfId="0" applyFill="1" applyBorder="1" applyAlignment="1">
      <alignment horizontal="center" vertical="top"/>
    </xf>
    <xf numFmtId="0" fontId="0" fillId="0" borderId="7" xfId="0" applyFill="1" applyBorder="1" applyAlignment="1">
      <alignment horizontal="center" vertical="top"/>
    </xf>
    <xf numFmtId="0" fontId="0" fillId="0" borderId="6" xfId="0" applyFill="1" applyBorder="1" applyAlignment="1">
      <alignment horizontal="center" vertical="top"/>
    </xf>
    <xf numFmtId="0" fontId="0" fillId="0" borderId="4" xfId="0" applyFill="1" applyBorder="1" applyAlignment="1">
      <alignment horizontal="left" vertical="top" wrapText="1"/>
    </xf>
    <xf numFmtId="0" fontId="10" fillId="0" borderId="3" xfId="0" applyFont="1" applyFill="1" applyBorder="1" applyAlignment="1">
      <alignment horizontal="center" vertical="top"/>
    </xf>
    <xf numFmtId="0" fontId="10" fillId="0" borderId="7" xfId="0" applyFont="1" applyFill="1" applyBorder="1" applyAlignment="1">
      <alignment horizontal="center" vertical="top"/>
    </xf>
    <xf numFmtId="0" fontId="10" fillId="0" borderId="6" xfId="0" applyFont="1" applyFill="1" applyBorder="1" applyAlignment="1">
      <alignment horizontal="center" vertical="top"/>
    </xf>
    <xf numFmtId="0" fontId="12" fillId="0" borderId="3" xfId="0" applyFont="1" applyFill="1" applyBorder="1" applyAlignment="1">
      <alignment horizontal="right" vertical="top" wrapText="1"/>
    </xf>
    <xf numFmtId="0" fontId="12" fillId="0" borderId="7" xfId="0" applyFont="1" applyFill="1" applyBorder="1" applyAlignment="1">
      <alignment horizontal="right" vertical="top" wrapText="1"/>
    </xf>
    <xf numFmtId="0" fontId="12" fillId="0" borderId="6" xfId="0" applyFont="1" applyFill="1" applyBorder="1" applyAlignment="1">
      <alignment horizontal="right" vertical="top" wrapText="1"/>
    </xf>
    <xf numFmtId="0" fontId="12" fillId="0" borderId="3" xfId="0" applyFont="1" applyFill="1" applyBorder="1" applyAlignment="1">
      <alignment horizontal="right" vertical="top"/>
    </xf>
    <xf numFmtId="0" fontId="0" fillId="0" borderId="7" xfId="0" applyFill="1" applyBorder="1" applyAlignment="1">
      <alignment horizontal="right" vertical="top"/>
    </xf>
    <xf numFmtId="0" fontId="0" fillId="0" borderId="6" xfId="0" applyFill="1" applyBorder="1" applyAlignment="1">
      <alignment horizontal="right" vertical="top"/>
    </xf>
    <xf numFmtId="0" fontId="0" fillId="0" borderId="3" xfId="0" applyFill="1" applyBorder="1" applyAlignment="1">
      <alignment horizontal="right" vertical="top"/>
    </xf>
    <xf numFmtId="0" fontId="0" fillId="0" borderId="3" xfId="0" applyFill="1" applyBorder="1" applyAlignment="1">
      <alignment horizontal="center"/>
    </xf>
    <xf numFmtId="0" fontId="0" fillId="0" borderId="7" xfId="0" applyFill="1" applyBorder="1" applyAlignment="1">
      <alignment horizontal="center"/>
    </xf>
    <xf numFmtId="0" fontId="0" fillId="0" borderId="6" xfId="0" applyFill="1" applyBorder="1" applyAlignment="1">
      <alignment horizontal="center"/>
    </xf>
    <xf numFmtId="0" fontId="12" fillId="0" borderId="3" xfId="0" applyFont="1" applyFill="1" applyBorder="1" applyAlignment="1">
      <alignment horizontal="center" vertical="top"/>
    </xf>
    <xf numFmtId="0" fontId="12" fillId="0" borderId="7" xfId="0" applyFont="1" applyFill="1" applyBorder="1" applyAlignment="1">
      <alignment horizontal="center" vertical="top"/>
    </xf>
    <xf numFmtId="0" fontId="12" fillId="0" borderId="6" xfId="0" applyFont="1" applyFill="1" applyBorder="1" applyAlignment="1">
      <alignment horizontal="center" vertical="top"/>
    </xf>
    <xf numFmtId="0" fontId="23" fillId="0" borderId="0" xfId="0" applyFont="1" applyFill="1" applyBorder="1" applyAlignment="1">
      <alignment horizontal="center" vertical="top"/>
    </xf>
    <xf numFmtId="0" fontId="10" fillId="0" borderId="10" xfId="0" applyFont="1" applyFill="1" applyBorder="1" applyAlignment="1">
      <alignment horizontal="center"/>
    </xf>
    <xf numFmtId="0" fontId="10" fillId="0" borderId="9" xfId="0" applyFont="1" applyFill="1" applyBorder="1" applyAlignment="1">
      <alignment horizontal="center"/>
    </xf>
    <xf numFmtId="0" fontId="8" fillId="0" borderId="0" xfId="0" applyFont="1" applyFill="1" applyBorder="1" applyAlignment="1">
      <alignment horizontal="left"/>
    </xf>
    <xf numFmtId="0" fontId="10" fillId="0" borderId="0" xfId="0" applyFont="1" applyFill="1" applyBorder="1" applyAlignment="1">
      <alignment horizontal="left"/>
    </xf>
    <xf numFmtId="0" fontId="9" fillId="0" borderId="0" xfId="0" applyFont="1" applyFill="1" applyBorder="1" applyAlignment="1">
      <alignment horizontal="center"/>
    </xf>
    <xf numFmtId="0" fontId="23" fillId="0" borderId="3"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3"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3" xfId="0" applyNumberFormat="1" applyFont="1" applyFill="1" applyBorder="1" applyAlignment="1">
      <alignment horizontal="center" vertical="center" wrapText="1"/>
    </xf>
    <xf numFmtId="0" fontId="15" fillId="0" borderId="6" xfId="0" applyFont="1" applyFill="1" applyBorder="1" applyAlignment="1">
      <alignment horizontal="center" vertical="center" wrapText="1"/>
    </xf>
    <xf numFmtId="0" fontId="10" fillId="0" borderId="6" xfId="0" applyFont="1" applyFill="1" applyBorder="1" applyAlignment="1">
      <alignment horizontal="center" vertical="center"/>
    </xf>
    <xf numFmtId="0" fontId="23" fillId="0" borderId="4" xfId="0" applyFont="1" applyFill="1" applyBorder="1" applyAlignment="1">
      <alignment horizontal="center"/>
    </xf>
    <xf numFmtId="0" fontId="18" fillId="0" borderId="0" xfId="0" applyFont="1" applyFill="1" applyBorder="1" applyAlignment="1">
      <alignment horizontal="center"/>
    </xf>
    <xf numFmtId="0" fontId="9" fillId="0" borderId="0" xfId="0" applyFont="1" applyFill="1" applyBorder="1" applyAlignment="1">
      <alignment horizontal="center" vertical="center"/>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6" xfId="0" applyFill="1" applyBorder="1" applyAlignment="1">
      <alignment horizontal="center" vertical="center"/>
    </xf>
    <xf numFmtId="0" fontId="10" fillId="0" borderId="10" xfId="0" applyFont="1" applyFill="1" applyBorder="1" applyAlignment="1">
      <alignment horizontal="center" vertical="center"/>
    </xf>
    <xf numFmtId="0" fontId="10" fillId="0" borderId="9"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4" xfId="0" applyFont="1" applyFill="1" applyBorder="1" applyAlignment="1">
      <alignment horizontal="left" vertical="center"/>
    </xf>
    <xf numFmtId="0" fontId="10" fillId="0" borderId="3"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3" xfId="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0" fontId="12" fillId="0" borderId="10" xfId="1" applyFill="1" applyBorder="1" applyAlignment="1">
      <alignment horizontal="left" vertical="top"/>
    </xf>
    <xf numFmtId="0" fontId="12" fillId="0" borderId="9" xfId="1" applyFill="1" applyBorder="1" applyAlignment="1">
      <alignment horizontal="left" vertical="top"/>
    </xf>
    <xf numFmtId="0" fontId="9" fillId="0" borderId="0" xfId="1" applyFont="1" applyFill="1" applyBorder="1" applyAlignment="1">
      <alignment horizontal="center"/>
    </xf>
    <xf numFmtId="0" fontId="10" fillId="0" borderId="10"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10" xfId="1" applyFont="1" applyFill="1" applyBorder="1" applyAlignment="1">
      <alignment horizontal="center"/>
    </xf>
    <xf numFmtId="0" fontId="10" fillId="0" borderId="9" xfId="1" applyFont="1" applyFill="1" applyBorder="1" applyAlignment="1">
      <alignment horizontal="center"/>
    </xf>
    <xf numFmtId="0" fontId="12" fillId="0" borderId="3" xfId="1" quotePrefix="1" applyFont="1" applyFill="1" applyBorder="1" applyAlignment="1">
      <alignment horizontal="center" vertical="top"/>
    </xf>
    <xf numFmtId="0" fontId="12" fillId="0" borderId="7" xfId="1" quotePrefix="1" applyFont="1" applyFill="1" applyBorder="1" applyAlignment="1">
      <alignment horizontal="center" vertical="top"/>
    </xf>
    <xf numFmtId="0" fontId="12" fillId="0" borderId="6" xfId="1" quotePrefix="1" applyFont="1" applyFill="1" applyBorder="1" applyAlignment="1">
      <alignment horizontal="center" vertical="top"/>
    </xf>
    <xf numFmtId="0" fontId="12" fillId="0" borderId="3" xfId="1" applyFont="1" applyFill="1" applyBorder="1" applyAlignment="1">
      <alignment horizontal="center" vertical="center"/>
    </xf>
    <xf numFmtId="0" fontId="12" fillId="0" borderId="6" xfId="1" applyFont="1" applyFill="1" applyBorder="1" applyAlignment="1">
      <alignment horizontal="center" vertical="center"/>
    </xf>
    <xf numFmtId="0" fontId="12" fillId="0" borderId="7" xfId="1" applyFont="1" applyFill="1" applyBorder="1" applyAlignment="1">
      <alignment horizontal="center" vertical="center"/>
    </xf>
    <xf numFmtId="0" fontId="0" fillId="0" borderId="0" xfId="0" applyFill="1" applyAlignment="1">
      <alignment horizontal="center"/>
    </xf>
    <xf numFmtId="0" fontId="0" fillId="0" borderId="0" xfId="0" applyFill="1" applyBorder="1" applyAlignment="1">
      <alignment horizontal="center"/>
    </xf>
    <xf numFmtId="49" fontId="10" fillId="0" borderId="2"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0" fontId="0" fillId="0" borderId="2" xfId="0" applyFill="1" applyBorder="1" applyAlignment="1">
      <alignment horizontal="center" vertical="top"/>
    </xf>
    <xf numFmtId="0" fontId="0" fillId="0" borderId="8" xfId="0" applyFill="1" applyBorder="1" applyAlignment="1">
      <alignment horizontal="center" vertical="top"/>
    </xf>
    <xf numFmtId="0" fontId="0" fillId="0" borderId="5" xfId="0" applyFill="1" applyBorder="1" applyAlignment="1">
      <alignment horizontal="center" vertical="top"/>
    </xf>
    <xf numFmtId="0" fontId="0" fillId="0" borderId="2" xfId="0" applyFill="1" applyBorder="1" applyAlignment="1">
      <alignment horizontal="center" vertical="center"/>
    </xf>
    <xf numFmtId="0" fontId="0" fillId="0" borderId="5" xfId="0" applyFill="1" applyBorder="1" applyAlignment="1">
      <alignment horizontal="center" vertical="center"/>
    </xf>
    <xf numFmtId="0" fontId="12" fillId="2" borderId="11" xfId="0" applyFont="1" applyFill="1" applyBorder="1" applyAlignment="1">
      <alignment horizontal="left" vertical="top" wrapText="1"/>
    </xf>
    <xf numFmtId="0" fontId="12" fillId="2" borderId="0" xfId="0" applyFont="1" applyFill="1" applyAlignment="1">
      <alignment horizontal="left" vertical="top" wrapText="1"/>
    </xf>
    <xf numFmtId="0" fontId="12" fillId="2" borderId="0" xfId="0" applyFont="1" applyFill="1" applyBorder="1" applyAlignment="1">
      <alignment horizontal="left" vertical="top" wrapText="1"/>
    </xf>
    <xf numFmtId="0" fontId="15" fillId="0" borderId="3" xfId="1" applyFont="1" applyFill="1" applyBorder="1" applyAlignment="1">
      <alignment horizontal="center" vertical="center"/>
    </xf>
    <xf numFmtId="0" fontId="15" fillId="0" borderId="7" xfId="1" applyFont="1" applyFill="1" applyBorder="1" applyAlignment="1">
      <alignment horizontal="center" vertical="center"/>
    </xf>
    <xf numFmtId="0" fontId="15" fillId="0" borderId="6" xfId="1" applyFont="1" applyFill="1" applyBorder="1" applyAlignment="1">
      <alignment horizontal="center" vertical="center"/>
    </xf>
    <xf numFmtId="0" fontId="15" fillId="0" borderId="3" xfId="1" applyFont="1" applyFill="1" applyBorder="1" applyAlignment="1">
      <alignment horizontal="center" vertical="center" wrapText="1"/>
    </xf>
    <xf numFmtId="0" fontId="15" fillId="0" borderId="7" xfId="1" applyFont="1" applyFill="1" applyBorder="1" applyAlignment="1">
      <alignment horizontal="center" vertical="center" wrapText="1"/>
    </xf>
    <xf numFmtId="0" fontId="15" fillId="0" borderId="6" xfId="1" applyFont="1" applyFill="1" applyBorder="1" applyAlignment="1">
      <alignment horizontal="center" vertical="center" wrapText="1"/>
    </xf>
    <xf numFmtId="0" fontId="15" fillId="0" borderId="4" xfId="1" applyFont="1" applyFill="1" applyBorder="1" applyAlignment="1">
      <alignment horizontal="center" vertical="center"/>
    </xf>
    <xf numFmtId="0" fontId="23" fillId="0" borderId="10" xfId="1" applyFont="1" applyFill="1" applyBorder="1" applyAlignment="1">
      <alignment horizontal="center" vertical="center" wrapText="1"/>
    </xf>
    <xf numFmtId="49" fontId="23" fillId="0" borderId="3" xfId="1" applyNumberFormat="1" applyFont="1" applyFill="1" applyBorder="1" applyAlignment="1">
      <alignment horizontal="center" vertical="center" wrapText="1"/>
    </xf>
    <xf numFmtId="49" fontId="23" fillId="0" borderId="7" xfId="1" applyNumberFormat="1" applyFont="1" applyFill="1" applyBorder="1" applyAlignment="1">
      <alignment horizontal="center" vertical="center" wrapText="1"/>
    </xf>
    <xf numFmtId="0" fontId="23" fillId="0" borderId="9" xfId="1" applyFont="1" applyFill="1" applyBorder="1" applyAlignment="1">
      <alignment horizontal="center" vertical="center" wrapText="1"/>
    </xf>
    <xf numFmtId="0" fontId="23" fillId="0" borderId="12" xfId="1" applyFont="1" applyFill="1" applyBorder="1" applyAlignment="1">
      <alignment horizontal="center" vertical="center" wrapText="1"/>
    </xf>
    <xf numFmtId="2" fontId="23" fillId="0" borderId="4" xfId="1" applyNumberFormat="1" applyFont="1" applyFill="1" applyBorder="1" applyAlignment="1">
      <alignment horizontal="center" vertical="center" wrapText="1"/>
    </xf>
    <xf numFmtId="0" fontId="15" fillId="0" borderId="3" xfId="3" applyFont="1" applyFill="1" applyBorder="1" applyAlignment="1">
      <alignment horizontal="center" vertical="top"/>
    </xf>
    <xf numFmtId="0" fontId="15" fillId="0" borderId="6" xfId="3" applyFont="1" applyFill="1" applyBorder="1" applyAlignment="1">
      <alignment horizontal="center" vertical="top"/>
    </xf>
    <xf numFmtId="0" fontId="15" fillId="0" borderId="3" xfId="3" applyFont="1" applyFill="1" applyBorder="1" applyAlignment="1">
      <alignment horizontal="center" vertical="top" wrapText="1"/>
    </xf>
    <xf numFmtId="0" fontId="15" fillId="0" borderId="7" xfId="3" applyFont="1" applyFill="1" applyBorder="1" applyAlignment="1">
      <alignment horizontal="center" vertical="top" wrapText="1"/>
    </xf>
    <xf numFmtId="0" fontId="15" fillId="0" borderId="6" xfId="3" applyFont="1" applyFill="1" applyBorder="1" applyAlignment="1">
      <alignment horizontal="center" vertical="top" wrapText="1"/>
    </xf>
    <xf numFmtId="0" fontId="7" fillId="0" borderId="0" xfId="1" applyFont="1" applyFill="1" applyBorder="1" applyAlignment="1">
      <alignment horizontal="right" vertical="center"/>
    </xf>
    <xf numFmtId="0" fontId="9" fillId="0" borderId="0" xfId="3" applyFont="1" applyFill="1" applyBorder="1" applyAlignment="1">
      <alignment horizontal="right"/>
    </xf>
    <xf numFmtId="0" fontId="23" fillId="0" borderId="4" xfId="3" applyFont="1" applyFill="1" applyBorder="1" applyAlignment="1">
      <alignment horizontal="center" vertical="center" wrapText="1"/>
    </xf>
    <xf numFmtId="0" fontId="23" fillId="0" borderId="10" xfId="3" applyFont="1" applyFill="1" applyBorder="1" applyAlignment="1">
      <alignment horizontal="center" vertical="center" wrapText="1"/>
    </xf>
    <xf numFmtId="49" fontId="23" fillId="0" borderId="3" xfId="3" applyNumberFormat="1" applyFont="1" applyFill="1" applyBorder="1" applyAlignment="1">
      <alignment horizontal="center" vertical="center" wrapText="1"/>
    </xf>
    <xf numFmtId="49" fontId="23" fillId="0" borderId="6" xfId="3" applyNumberFormat="1" applyFont="1" applyFill="1" applyBorder="1" applyAlignment="1">
      <alignment horizontal="center" vertical="center" wrapText="1"/>
    </xf>
    <xf numFmtId="0" fontId="23" fillId="0" borderId="9" xfId="3" applyFont="1" applyFill="1" applyBorder="1" applyAlignment="1">
      <alignment horizontal="center" vertical="center" wrapText="1"/>
    </xf>
    <xf numFmtId="0" fontId="23" fillId="0" borderId="12" xfId="3" applyFont="1" applyFill="1" applyBorder="1" applyAlignment="1">
      <alignment horizontal="center" vertical="center" wrapText="1"/>
    </xf>
    <xf numFmtId="0" fontId="27" fillId="0" borderId="0" xfId="3" applyFont="1" applyFill="1" applyBorder="1" applyAlignment="1">
      <alignment horizontal="center" vertical="center"/>
    </xf>
    <xf numFmtId="0" fontId="34" fillId="0" borderId="4"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29" fillId="0" borderId="0" xfId="0" applyFont="1" applyFill="1" applyBorder="1" applyAlignment="1">
      <alignment horizontal="center" vertical="center"/>
    </xf>
    <xf numFmtId="0" fontId="32" fillId="0" borderId="0"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23" fillId="0" borderId="3" xfId="3" applyFont="1" applyFill="1" applyBorder="1" applyAlignment="1">
      <alignment horizontal="center" vertical="center" wrapText="1"/>
    </xf>
    <xf numFmtId="0" fontId="23" fillId="0" borderId="7" xfId="3" applyFont="1" applyFill="1" applyBorder="1" applyAlignment="1">
      <alignment horizontal="center" vertical="center" wrapText="1"/>
    </xf>
    <xf numFmtId="0" fontId="23" fillId="0" borderId="6" xfId="3" applyFont="1" applyFill="1" applyBorder="1" applyAlignment="1">
      <alignment horizontal="center" vertical="center" wrapText="1"/>
    </xf>
    <xf numFmtId="49" fontId="23" fillId="0" borderId="7" xfId="3" applyNumberFormat="1" applyFont="1" applyFill="1" applyBorder="1" applyAlignment="1">
      <alignment horizontal="center" vertical="center" wrapText="1"/>
    </xf>
    <xf numFmtId="0" fontId="23" fillId="0" borderId="3" xfId="3" applyFont="1" applyFill="1" applyBorder="1" applyAlignment="1">
      <alignment horizontal="center" vertical="center"/>
    </xf>
    <xf numFmtId="0" fontId="23" fillId="0" borderId="7" xfId="3" applyFont="1" applyFill="1" applyBorder="1" applyAlignment="1">
      <alignment horizontal="center" vertical="center"/>
    </xf>
    <xf numFmtId="0" fontId="23" fillId="0" borderId="6" xfId="3" applyFont="1" applyFill="1" applyBorder="1" applyAlignment="1">
      <alignment horizontal="center" vertical="center"/>
    </xf>
    <xf numFmtId="0" fontId="7" fillId="0" borderId="0" xfId="0" applyFont="1" applyFill="1" applyBorder="1" applyAlignment="1">
      <alignment horizontal="center" vertical="center"/>
    </xf>
    <xf numFmtId="0" fontId="32" fillId="0" borderId="0" xfId="0" applyFont="1" applyFill="1" applyBorder="1" applyAlignment="1">
      <alignment horizontal="center"/>
    </xf>
    <xf numFmtId="0" fontId="42" fillId="0" borderId="0" xfId="0" applyFont="1" applyFill="1" applyBorder="1" applyAlignment="1">
      <alignment horizontal="center" vertical="center" wrapText="1"/>
    </xf>
    <xf numFmtId="0" fontId="23" fillId="0" borderId="4" xfId="0" applyFont="1" applyFill="1" applyBorder="1" applyAlignment="1">
      <alignment horizontal="center" vertical="top" wrapText="1"/>
    </xf>
    <xf numFmtId="49" fontId="23" fillId="0" borderId="3" xfId="0" applyNumberFormat="1" applyFont="1" applyFill="1" applyBorder="1" applyAlignment="1">
      <alignment horizontal="center" vertical="top" wrapText="1"/>
    </xf>
    <xf numFmtId="49" fontId="23" fillId="0" borderId="6" xfId="0" applyNumberFormat="1" applyFont="1" applyFill="1" applyBorder="1" applyAlignment="1">
      <alignment horizontal="center" vertical="top" wrapText="1"/>
    </xf>
    <xf numFmtId="0" fontId="23" fillId="0" borderId="10"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9" xfId="0" applyFont="1" applyFill="1" applyBorder="1" applyAlignment="1">
      <alignment horizontal="center" vertical="center" wrapText="1"/>
    </xf>
    <xf numFmtId="2" fontId="23" fillId="0" borderId="4" xfId="0" applyNumberFormat="1" applyFont="1" applyFill="1" applyBorder="1" applyAlignment="1">
      <alignment horizontal="center" vertical="center" wrapText="1"/>
    </xf>
    <xf numFmtId="0" fontId="15" fillId="0" borderId="4" xfId="0" applyFont="1" applyFill="1" applyBorder="1" applyAlignment="1">
      <alignment horizontal="left" vertical="top"/>
    </xf>
    <xf numFmtId="49" fontId="10" fillId="0" borderId="4" xfId="0" applyNumberFormat="1" applyFont="1" applyFill="1" applyBorder="1" applyAlignment="1">
      <alignment horizontal="center" vertical="center" wrapText="1"/>
    </xf>
    <xf numFmtId="0" fontId="0" fillId="0" borderId="8" xfId="0" applyFill="1" applyBorder="1" applyAlignment="1">
      <alignment horizontal="center" vertical="center"/>
    </xf>
    <xf numFmtId="0" fontId="12" fillId="0" borderId="0" xfId="0" applyFont="1" applyFill="1" applyBorder="1" applyAlignment="1">
      <alignment horizontal="left"/>
    </xf>
    <xf numFmtId="0" fontId="0" fillId="0" borderId="0" xfId="0" applyFill="1" applyBorder="1" applyAlignment="1">
      <alignment horizontal="left" vertical="top"/>
    </xf>
    <xf numFmtId="0" fontId="12" fillId="0" borderId="3" xfId="1" applyFont="1" applyFill="1" applyBorder="1" applyAlignment="1">
      <alignment horizontal="center" vertical="top"/>
    </xf>
    <xf numFmtId="0" fontId="12" fillId="0" borderId="7" xfId="1" applyFont="1" applyFill="1" applyBorder="1" applyAlignment="1">
      <alignment horizontal="center" vertical="top"/>
    </xf>
    <xf numFmtId="0" fontId="7" fillId="0" borderId="0" xfId="1" applyFont="1" applyFill="1" applyBorder="1" applyAlignment="1">
      <alignment horizontal="center" vertical="center"/>
    </xf>
    <xf numFmtId="0" fontId="10" fillId="0" borderId="4" xfId="1" applyFont="1" applyFill="1" applyBorder="1" applyAlignment="1">
      <alignment horizontal="center" vertical="center" wrapText="1"/>
    </xf>
    <xf numFmtId="49" fontId="10" fillId="0" borderId="4" xfId="1" applyNumberFormat="1" applyFont="1" applyFill="1" applyBorder="1" applyAlignment="1">
      <alignment horizontal="center" vertical="center" wrapText="1"/>
    </xf>
    <xf numFmtId="0" fontId="10" fillId="0" borderId="4" xfId="1" applyFont="1" applyFill="1" applyBorder="1" applyAlignment="1">
      <alignment horizontal="center" vertical="center"/>
    </xf>
    <xf numFmtId="0" fontId="12" fillId="0" borderId="6" xfId="1" applyFont="1" applyFill="1" applyBorder="1" applyAlignment="1">
      <alignment horizontal="center" vertical="top"/>
    </xf>
    <xf numFmtId="0" fontId="12" fillId="0" borderId="4" xfId="1" applyFont="1" applyFill="1" applyBorder="1" applyAlignment="1">
      <alignment horizontal="left" vertical="center" wrapText="1"/>
    </xf>
    <xf numFmtId="0" fontId="12" fillId="0" borderId="4" xfId="1" applyFont="1" applyFill="1" applyBorder="1" applyAlignment="1">
      <alignment horizontal="left" vertical="center"/>
    </xf>
    <xf numFmtId="0" fontId="12" fillId="0" borderId="0" xfId="1" applyFont="1" applyFill="1" applyAlignment="1">
      <alignment horizontal="left" vertical="top" wrapText="1"/>
    </xf>
    <xf numFmtId="0" fontId="18" fillId="0" borderId="0" xfId="1" applyFont="1" applyFill="1" applyBorder="1" applyAlignment="1">
      <alignment horizontal="center" vertical="center"/>
    </xf>
    <xf numFmtId="0" fontId="28" fillId="0" borderId="0" xfId="1" applyFont="1" applyFill="1" applyBorder="1" applyAlignment="1">
      <alignment horizontal="center" vertical="center" wrapText="1"/>
    </xf>
    <xf numFmtId="0" fontId="14" fillId="0" borderId="4" xfId="1" applyFont="1" applyFill="1" applyBorder="1" applyAlignment="1">
      <alignment horizontal="center" vertical="center"/>
    </xf>
    <xf numFmtId="0" fontId="17" fillId="0" borderId="3" xfId="1" applyFont="1" applyFill="1" applyBorder="1" applyAlignment="1">
      <alignment horizontal="center" vertical="center"/>
    </xf>
    <xf numFmtId="0" fontId="17" fillId="0" borderId="7" xfId="1" applyFont="1" applyFill="1" applyBorder="1" applyAlignment="1">
      <alignment horizontal="center" vertical="center"/>
    </xf>
    <xf numFmtId="0" fontId="17" fillId="0" borderId="6" xfId="1" applyFont="1" applyFill="1" applyBorder="1" applyAlignment="1">
      <alignment horizontal="center" vertical="center"/>
    </xf>
    <xf numFmtId="0" fontId="17" fillId="0" borderId="0" xfId="1" applyFont="1" applyFill="1" applyBorder="1" applyAlignment="1">
      <alignment horizontal="left" vertical="center" wrapText="1"/>
    </xf>
    <xf numFmtId="0" fontId="17" fillId="0" borderId="0" xfId="1" applyFont="1" applyFill="1" applyBorder="1" applyAlignment="1">
      <alignment horizontal="center" vertical="center"/>
    </xf>
    <xf numFmtId="0" fontId="17" fillId="0" borderId="0" xfId="1" applyFont="1" applyFill="1" applyAlignment="1">
      <alignment horizontal="left" vertical="top" wrapText="1"/>
    </xf>
    <xf numFmtId="0" fontId="18" fillId="0" borderId="0" xfId="1" applyFont="1" applyFill="1" applyBorder="1" applyAlignment="1">
      <alignment horizontal="left"/>
    </xf>
    <xf numFmtId="49" fontId="23" fillId="0" borderId="6" xfId="1" applyNumberFormat="1" applyFont="1" applyFill="1" applyBorder="1" applyAlignment="1">
      <alignment horizontal="center" vertical="center" wrapText="1"/>
    </xf>
    <xf numFmtId="0" fontId="23" fillId="0" borderId="9" xfId="1" applyFont="1" applyFill="1" applyBorder="1" applyAlignment="1">
      <alignment horizontal="center" vertical="center"/>
    </xf>
    <xf numFmtId="0" fontId="23" fillId="0" borderId="4" xfId="1" applyFont="1" applyFill="1" applyBorder="1" applyAlignment="1">
      <alignment horizontal="center" vertical="center"/>
    </xf>
    <xf numFmtId="0" fontId="15" fillId="0" borderId="0" xfId="1" applyFont="1" applyFill="1" applyBorder="1" applyAlignment="1">
      <alignment horizontal="left" vertical="top" wrapText="1"/>
    </xf>
    <xf numFmtId="0" fontId="15" fillId="0" borderId="0" xfId="1" applyFont="1" applyFill="1" applyBorder="1" applyAlignment="1">
      <alignment horizontal="left"/>
    </xf>
    <xf numFmtId="0" fontId="15" fillId="0" borderId="0" xfId="1" applyFont="1" applyFill="1" applyAlignment="1">
      <alignment horizontal="left" vertical="top" wrapText="1"/>
    </xf>
    <xf numFmtId="0" fontId="18" fillId="6" borderId="0" xfId="0" applyFont="1" applyFill="1" applyBorder="1" applyAlignment="1">
      <alignment horizontal="center"/>
    </xf>
    <xf numFmtId="0" fontId="23" fillId="0" borderId="10" xfId="0" applyFont="1" applyFill="1" applyBorder="1" applyAlignment="1">
      <alignment horizontal="center" vertical="top" wrapText="1"/>
    </xf>
    <xf numFmtId="0" fontId="23" fillId="0" borderId="3" xfId="0" applyFont="1" applyFill="1" applyBorder="1" applyAlignment="1">
      <alignment horizontal="center" vertical="top" wrapText="1"/>
    </xf>
    <xf numFmtId="0" fontId="23" fillId="0" borderId="6"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13" xfId="0" applyFont="1" applyFill="1" applyBorder="1" applyAlignment="1">
      <alignment horizontal="center" vertical="top" wrapText="1"/>
    </xf>
    <xf numFmtId="0" fontId="7" fillId="0" borderId="0" xfId="0" applyFont="1" applyFill="1" applyBorder="1" applyAlignment="1">
      <alignment horizontal="center" vertical="center" wrapText="1"/>
    </xf>
    <xf numFmtId="49" fontId="23" fillId="0" borderId="3" xfId="0" applyNumberFormat="1" applyFont="1" applyFill="1" applyBorder="1" applyAlignment="1">
      <alignment horizontal="center" vertical="center" wrapText="1"/>
    </xf>
    <xf numFmtId="49" fontId="23" fillId="0" borderId="6" xfId="0" applyNumberFormat="1" applyFont="1" applyFill="1" applyBorder="1" applyAlignment="1">
      <alignment horizontal="center" vertical="center" wrapText="1"/>
    </xf>
    <xf numFmtId="0" fontId="16" fillId="0" borderId="4"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9" xfId="0" applyFont="1" applyFill="1" applyBorder="1" applyAlignment="1">
      <alignment horizontal="center" vertical="center"/>
    </xf>
    <xf numFmtId="0" fontId="14" fillId="0" borderId="3" xfId="1" applyFont="1" applyFill="1" applyBorder="1" applyAlignment="1">
      <alignment horizontal="center" vertical="center"/>
    </xf>
    <xf numFmtId="0" fontId="14" fillId="0" borderId="6" xfId="1" applyFont="1" applyFill="1" applyBorder="1" applyAlignment="1">
      <alignment horizontal="center" vertical="center"/>
    </xf>
    <xf numFmtId="0" fontId="17" fillId="0" borderId="0" xfId="1" applyFont="1" applyFill="1" applyAlignment="1">
      <alignment horizontal="left" vertical="center" wrapText="1"/>
    </xf>
    <xf numFmtId="0" fontId="17" fillId="0" borderId="0" xfId="1" applyFont="1" applyFill="1" applyAlignment="1">
      <alignment horizontal="left" vertical="center"/>
    </xf>
    <xf numFmtId="0" fontId="71" fillId="0" borderId="3" xfId="1" applyFont="1" applyFill="1" applyBorder="1" applyAlignment="1">
      <alignment horizontal="center" vertical="center"/>
    </xf>
    <xf numFmtId="0" fontId="71" fillId="0" borderId="7" xfId="1" applyFont="1" applyFill="1" applyBorder="1" applyAlignment="1">
      <alignment horizontal="center" vertical="center"/>
    </xf>
    <xf numFmtId="0" fontId="71" fillId="0" borderId="6" xfId="1" applyFont="1" applyFill="1" applyBorder="1" applyAlignment="1">
      <alignment horizontal="center" vertical="center"/>
    </xf>
    <xf numFmtId="0" fontId="103" fillId="0" borderId="0" xfId="1" applyFont="1" applyFill="1" applyBorder="1" applyAlignment="1">
      <alignment horizontal="left" vertical="top"/>
    </xf>
    <xf numFmtId="49" fontId="14" fillId="0" borderId="3" xfId="1" applyNumberFormat="1" applyFont="1" applyFill="1" applyBorder="1" applyAlignment="1">
      <alignment horizontal="center" vertical="center" wrapText="1"/>
    </xf>
    <xf numFmtId="49" fontId="14" fillId="0" borderId="6" xfId="1" applyNumberFormat="1" applyFont="1" applyFill="1" applyBorder="1" applyAlignment="1">
      <alignment horizontal="center" vertical="center" wrapText="1"/>
    </xf>
    <xf numFmtId="0" fontId="14" fillId="0" borderId="3" xfId="1" applyFont="1" applyFill="1" applyBorder="1" applyAlignment="1">
      <alignment horizontal="center" vertical="center" wrapText="1"/>
    </xf>
    <xf numFmtId="0" fontId="14" fillId="0" borderId="6" xfId="1" applyFont="1" applyFill="1" applyBorder="1" applyAlignment="1">
      <alignment horizontal="center" vertical="center" wrapText="1"/>
    </xf>
    <xf numFmtId="0" fontId="14" fillId="0" borderId="10" xfId="1" applyFont="1" applyFill="1" applyBorder="1" applyAlignment="1">
      <alignment horizontal="center" vertical="center" wrapText="1"/>
    </xf>
    <xf numFmtId="0" fontId="14" fillId="0" borderId="9" xfId="1" applyFont="1" applyFill="1" applyBorder="1" applyAlignment="1">
      <alignment horizontal="center" vertical="center" wrapText="1"/>
    </xf>
    <xf numFmtId="0" fontId="71" fillId="0" borderId="4" xfId="0" applyFont="1" applyFill="1" applyBorder="1" applyAlignment="1">
      <alignment horizontal="left" vertical="top"/>
    </xf>
    <xf numFmtId="0" fontId="0" fillId="0" borderId="6" xfId="0" applyFill="1" applyBorder="1" applyAlignment="1">
      <alignment vertical="center"/>
    </xf>
    <xf numFmtId="0" fontId="28" fillId="0" borderId="0" xfId="3" applyFont="1" applyFill="1" applyBorder="1" applyAlignment="1">
      <alignment horizontal="center" vertical="center" wrapText="1"/>
    </xf>
    <xf numFmtId="0" fontId="23" fillId="0" borderId="10" xfId="3" applyFont="1" applyFill="1" applyBorder="1" applyAlignment="1">
      <alignment horizontal="left" vertical="center" wrapText="1"/>
    </xf>
    <xf numFmtId="0" fontId="23" fillId="0" borderId="12" xfId="3" applyFont="1" applyFill="1" applyBorder="1" applyAlignment="1">
      <alignment horizontal="left" vertical="center" wrapText="1"/>
    </xf>
    <xf numFmtId="0" fontId="23" fillId="0" borderId="9" xfId="3" applyFont="1" applyFill="1" applyBorder="1" applyAlignment="1">
      <alignment horizontal="left" vertical="center" wrapText="1"/>
    </xf>
    <xf numFmtId="0" fontId="17" fillId="0" borderId="3" xfId="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7" fillId="0" borderId="6" xfId="1" applyFont="1" applyFill="1" applyBorder="1" applyAlignment="1">
      <alignment horizontal="center" vertical="center" wrapText="1"/>
    </xf>
    <xf numFmtId="0" fontId="17" fillId="0" borderId="4" xfId="1" applyFont="1" applyFill="1" applyBorder="1" applyAlignment="1">
      <alignment horizontal="center" vertical="top"/>
    </xf>
    <xf numFmtId="0" fontId="18" fillId="0" borderId="0" xfId="1" applyFont="1" applyFill="1" applyBorder="1" applyAlignment="1">
      <alignment horizontal="center"/>
    </xf>
    <xf numFmtId="0" fontId="14" fillId="0" borderId="9" xfId="1" applyFont="1" applyFill="1" applyBorder="1" applyAlignment="1">
      <alignment horizontal="center" vertical="center"/>
    </xf>
    <xf numFmtId="0" fontId="8" fillId="0" borderId="0" xfId="1" applyFont="1" applyFill="1" applyBorder="1" applyAlignment="1">
      <alignment horizontal="left" vertical="center" wrapText="1"/>
    </xf>
    <xf numFmtId="0" fontId="9" fillId="0" borderId="0" xfId="1" applyFont="1" applyFill="1" applyBorder="1" applyAlignment="1">
      <alignment horizontal="center" vertical="center" wrapText="1"/>
    </xf>
    <xf numFmtId="0" fontId="111" fillId="0" borderId="0" xfId="1" applyFont="1" applyFill="1" applyBorder="1" applyAlignment="1">
      <alignment horizontal="center" vertical="center"/>
    </xf>
    <xf numFmtId="0" fontId="9" fillId="0" borderId="0" xfId="1" applyFont="1" applyFill="1" applyBorder="1" applyAlignment="1">
      <alignment horizontal="center" vertical="top" wrapText="1"/>
    </xf>
    <xf numFmtId="0" fontId="18" fillId="0" borderId="0" xfId="1" applyFont="1" applyFill="1" applyBorder="1" applyAlignment="1">
      <alignment horizontal="center" vertical="top" wrapText="1"/>
    </xf>
    <xf numFmtId="0" fontId="12" fillId="0" borderId="3" xfId="1" applyFont="1" applyFill="1" applyBorder="1" applyAlignment="1">
      <alignment horizontal="center" vertical="center" wrapText="1"/>
    </xf>
    <xf numFmtId="0" fontId="12" fillId="0" borderId="7" xfId="1" applyFont="1" applyFill="1" applyBorder="1" applyAlignment="1">
      <alignment horizontal="center" vertical="center" wrapText="1"/>
    </xf>
    <xf numFmtId="0" fontId="12" fillId="0" borderId="6" xfId="1" applyFont="1" applyFill="1" applyBorder="1" applyAlignment="1">
      <alignment horizontal="center" vertical="center" wrapText="1"/>
    </xf>
    <xf numFmtId="0" fontId="12" fillId="0" borderId="4" xfId="1" applyFont="1" applyFill="1" applyBorder="1" applyAlignment="1">
      <alignment horizontal="center" vertical="center" wrapText="1"/>
    </xf>
    <xf numFmtId="0" fontId="15" fillId="0" borderId="0" xfId="17" applyFont="1" applyFill="1" applyBorder="1" applyAlignment="1">
      <alignment horizontal="left" vertical="top"/>
    </xf>
    <xf numFmtId="0" fontId="29" fillId="0" borderId="0" xfId="1" applyFont="1" applyFill="1" applyBorder="1" applyAlignment="1">
      <alignment horizontal="center"/>
    </xf>
    <xf numFmtId="0" fontId="31" fillId="0" borderId="0" xfId="1" applyFont="1" applyFill="1" applyBorder="1" applyAlignment="1">
      <alignment horizontal="center" vertical="center"/>
    </xf>
    <xf numFmtId="0" fontId="7" fillId="0" borderId="0" xfId="3" applyFont="1" applyFill="1" applyBorder="1" applyAlignment="1">
      <alignment horizontal="center" vertical="center" wrapText="1"/>
    </xf>
    <xf numFmtId="49" fontId="23" fillId="0" borderId="4" xfId="1" applyNumberFormat="1" applyFont="1" applyFill="1" applyBorder="1" applyAlignment="1">
      <alignment horizontal="left" vertical="center" wrapText="1"/>
    </xf>
    <xf numFmtId="0" fontId="15" fillId="0" borderId="3" xfId="1" applyFont="1" applyFill="1" applyBorder="1" applyAlignment="1">
      <alignment horizontal="center" vertical="top"/>
    </xf>
    <xf numFmtId="0" fontId="15" fillId="0" borderId="7" xfId="1" applyFont="1" applyFill="1" applyBorder="1" applyAlignment="1">
      <alignment horizontal="center" vertical="top"/>
    </xf>
    <xf numFmtId="0" fontId="15" fillId="0" borderId="6" xfId="1" applyFont="1" applyFill="1" applyBorder="1" applyAlignment="1">
      <alignment horizontal="center" vertical="top"/>
    </xf>
    <xf numFmtId="0" fontId="15" fillId="0" borderId="4" xfId="1" applyFont="1" applyFill="1" applyBorder="1" applyAlignment="1">
      <alignment horizontal="left" vertical="top"/>
    </xf>
    <xf numFmtId="0" fontId="23" fillId="0" borderId="4" xfId="1" applyFont="1" applyFill="1" applyBorder="1" applyAlignment="1">
      <alignment horizontal="center" vertical="top" wrapText="1"/>
    </xf>
    <xf numFmtId="49" fontId="23" fillId="0" borderId="3" xfId="1" applyNumberFormat="1" applyFont="1" applyFill="1" applyBorder="1" applyAlignment="1">
      <alignment horizontal="center" vertical="top" wrapText="1"/>
    </xf>
    <xf numFmtId="49" fontId="23" fillId="0" borderId="6" xfId="1" applyNumberFormat="1" applyFont="1" applyFill="1" applyBorder="1" applyAlignment="1">
      <alignment horizontal="center" vertical="top" wrapText="1"/>
    </xf>
    <xf numFmtId="0" fontId="23" fillId="0" borderId="10" xfId="1" applyFont="1" applyFill="1" applyBorder="1" applyAlignment="1">
      <alignment horizontal="center" vertical="top" wrapText="1"/>
    </xf>
    <xf numFmtId="0" fontId="15" fillId="3" borderId="11" xfId="1" applyFont="1" applyFill="1" applyBorder="1" applyAlignment="1">
      <alignment horizontal="left" vertical="center" wrapText="1"/>
    </xf>
    <xf numFmtId="0" fontId="15" fillId="3" borderId="0" xfId="1" applyFont="1" applyFill="1" applyAlignment="1">
      <alignment horizontal="left" vertical="center" wrapText="1"/>
    </xf>
    <xf numFmtId="0" fontId="15" fillId="3" borderId="0" xfId="1" applyFont="1" applyFill="1" applyBorder="1" applyAlignment="1">
      <alignment horizontal="left" vertical="top" wrapText="1"/>
    </xf>
    <xf numFmtId="0" fontId="15" fillId="0" borderId="4" xfId="1" applyFont="1" applyFill="1" applyBorder="1" applyAlignment="1">
      <alignment horizontal="center" vertical="top" wrapText="1"/>
    </xf>
    <xf numFmtId="0" fontId="23" fillId="6" borderId="3" xfId="1" applyFont="1" applyFill="1" applyBorder="1" applyAlignment="1">
      <alignment horizontal="center" vertical="center" wrapText="1"/>
    </xf>
    <xf numFmtId="0" fontId="23" fillId="6" borderId="6" xfId="1" applyFont="1" applyFill="1" applyBorder="1" applyAlignment="1">
      <alignment horizontal="center" vertical="center" wrapText="1"/>
    </xf>
    <xf numFmtId="0" fontId="15" fillId="0" borderId="4" xfId="1" applyFont="1" applyFill="1" applyBorder="1" applyAlignment="1">
      <alignment horizontal="center" vertical="center" wrapText="1"/>
    </xf>
    <xf numFmtId="0" fontId="15" fillId="0" borderId="0" xfId="1" applyFont="1" applyFill="1" applyAlignment="1">
      <alignment horizontal="left" vertical="center" wrapText="1"/>
    </xf>
    <xf numFmtId="0" fontId="23" fillId="6" borderId="4" xfId="1" applyFont="1" applyFill="1" applyBorder="1" applyAlignment="1">
      <alignment horizontal="center" vertical="center" wrapText="1"/>
    </xf>
    <xf numFmtId="0" fontId="15" fillId="0" borderId="3" xfId="10" applyFont="1" applyFill="1" applyBorder="1" applyAlignment="1">
      <alignment horizontal="center" vertical="center"/>
    </xf>
    <xf numFmtId="0" fontId="15" fillId="0" borderId="7" xfId="10" applyFont="1" applyFill="1" applyBorder="1" applyAlignment="1">
      <alignment horizontal="center" vertical="center"/>
    </xf>
    <xf numFmtId="0" fontId="15" fillId="0" borderId="6" xfId="10" applyFont="1" applyFill="1" applyBorder="1" applyAlignment="1">
      <alignment horizontal="center" vertical="center"/>
    </xf>
    <xf numFmtId="0" fontId="15" fillId="0" borderId="4" xfId="10" applyFont="1" applyFill="1" applyBorder="1" applyAlignment="1">
      <alignment horizontal="center" vertical="center"/>
    </xf>
    <xf numFmtId="0" fontId="7" fillId="0" borderId="0" xfId="10" applyFont="1" applyFill="1" applyBorder="1" applyAlignment="1">
      <alignment horizontal="center" vertical="center"/>
    </xf>
    <xf numFmtId="0" fontId="18" fillId="0" borderId="0" xfId="10" applyFont="1" applyFill="1" applyBorder="1" applyAlignment="1">
      <alignment horizontal="center" vertical="center" wrapText="1"/>
    </xf>
    <xf numFmtId="0" fontId="23" fillId="0" borderId="3" xfId="10" applyFont="1" applyFill="1" applyBorder="1" applyAlignment="1">
      <alignment horizontal="center" vertical="center" wrapText="1"/>
    </xf>
    <xf numFmtId="0" fontId="23" fillId="0" borderId="6" xfId="10" applyFont="1" applyFill="1" applyBorder="1" applyAlignment="1">
      <alignment horizontal="center" vertical="center" wrapText="1"/>
    </xf>
    <xf numFmtId="49" fontId="23" fillId="0" borderId="3" xfId="10" applyNumberFormat="1" applyFont="1" applyFill="1" applyBorder="1" applyAlignment="1">
      <alignment horizontal="center" vertical="center" wrapText="1"/>
    </xf>
    <xf numFmtId="49" fontId="23" fillId="0" borderId="6" xfId="10" applyNumberFormat="1" applyFont="1" applyFill="1" applyBorder="1" applyAlignment="1">
      <alignment horizontal="center" vertical="center" wrapText="1"/>
    </xf>
    <xf numFmtId="0" fontId="23" fillId="0" borderId="3" xfId="10" applyFont="1" applyFill="1" applyBorder="1" applyAlignment="1">
      <alignment horizontal="center" vertical="center"/>
    </xf>
    <xf numFmtId="0" fontId="23" fillId="0" borderId="6" xfId="10" applyFont="1" applyFill="1" applyBorder="1" applyAlignment="1">
      <alignment horizontal="center" vertical="center"/>
    </xf>
    <xf numFmtId="0" fontId="10" fillId="0" borderId="10" xfId="10" applyFont="1" applyFill="1" applyBorder="1" applyAlignment="1">
      <alignment horizontal="center" vertical="center"/>
    </xf>
    <xf numFmtId="0" fontId="10" fillId="0" borderId="9" xfId="10" applyFont="1" applyFill="1" applyBorder="1" applyAlignment="1">
      <alignment horizontal="center" vertical="center"/>
    </xf>
    <xf numFmtId="0" fontId="12" fillId="3" borderId="11" xfId="1" applyFont="1" applyFill="1" applyBorder="1" applyAlignment="1">
      <alignment horizontal="left" vertical="center" wrapText="1"/>
    </xf>
    <xf numFmtId="0" fontId="12" fillId="3" borderId="0" xfId="1" applyFont="1" applyFill="1" applyAlignment="1">
      <alignment horizontal="left" vertical="center" wrapText="1"/>
    </xf>
    <xf numFmtId="0" fontId="23" fillId="0" borderId="4" xfId="1" applyNumberFormat="1" applyFont="1" applyFill="1" applyBorder="1" applyAlignment="1">
      <alignment horizontal="center" vertical="center" wrapText="1"/>
    </xf>
    <xf numFmtId="0" fontId="15" fillId="0" borderId="0" xfId="1" applyFont="1" applyFill="1" applyBorder="1" applyAlignment="1">
      <alignment horizontal="left" vertical="top"/>
    </xf>
    <xf numFmtId="0" fontId="17" fillId="3" borderId="11" xfId="1" applyFont="1" applyFill="1" applyBorder="1" applyAlignment="1">
      <alignment horizontal="left" vertical="center" wrapText="1"/>
    </xf>
    <xf numFmtId="0" fontId="17" fillId="3" borderId="0" xfId="1" applyFont="1" applyFill="1" applyAlignment="1">
      <alignment horizontal="left" vertical="center" wrapText="1"/>
    </xf>
    <xf numFmtId="0" fontId="14" fillId="0" borderId="7" xfId="1" applyFont="1" applyFill="1" applyBorder="1" applyAlignment="1">
      <alignment horizontal="center" vertical="center" wrapText="1"/>
    </xf>
    <xf numFmtId="0" fontId="14" fillId="0" borderId="3" xfId="1" applyNumberFormat="1" applyFont="1" applyFill="1" applyBorder="1" applyAlignment="1">
      <alignment horizontal="center" vertical="center" wrapText="1"/>
    </xf>
    <xf numFmtId="0" fontId="14" fillId="0" borderId="7" xfId="1" applyNumberFormat="1" applyFont="1" applyFill="1" applyBorder="1" applyAlignment="1">
      <alignment horizontal="center" vertical="center" wrapText="1"/>
    </xf>
    <xf numFmtId="0" fontId="14" fillId="0" borderId="6" xfId="1" applyNumberFormat="1" applyFont="1" applyFill="1" applyBorder="1" applyAlignment="1">
      <alignment horizontal="center" vertical="center" wrapText="1"/>
    </xf>
    <xf numFmtId="0" fontId="17" fillId="0" borderId="2" xfId="1" applyFont="1" applyFill="1" applyBorder="1" applyAlignment="1">
      <alignment horizontal="center" vertical="center"/>
    </xf>
    <xf numFmtId="0" fontId="17" fillId="0" borderId="8" xfId="1" applyFont="1" applyFill="1" applyBorder="1" applyAlignment="1">
      <alignment horizontal="center" vertical="center"/>
    </xf>
    <xf numFmtId="0" fontId="17" fillId="0" borderId="5" xfId="1" applyFont="1" applyFill="1" applyBorder="1" applyAlignment="1">
      <alignment horizontal="center" vertical="center"/>
    </xf>
    <xf numFmtId="0" fontId="14" fillId="0" borderId="15" xfId="1" applyFont="1" applyFill="1" applyBorder="1" applyAlignment="1">
      <alignment horizontal="center" vertical="top" wrapText="1"/>
    </xf>
    <xf numFmtId="0" fontId="14" fillId="0" borderId="2" xfId="1" applyFont="1" applyFill="1" applyBorder="1" applyAlignment="1">
      <alignment horizontal="center" vertical="top" wrapText="1"/>
    </xf>
    <xf numFmtId="0" fontId="23" fillId="0" borderId="4"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70" fillId="0" borderId="15" xfId="0" applyFont="1" applyFill="1" applyBorder="1" applyAlignment="1">
      <alignment horizontal="center" vertical="top" wrapText="1"/>
    </xf>
    <xf numFmtId="0" fontId="70" fillId="0" borderId="2" xfId="0" applyFont="1" applyFill="1" applyBorder="1" applyAlignment="1">
      <alignment horizontal="center" vertical="top" wrapText="1"/>
    </xf>
    <xf numFmtId="0" fontId="70" fillId="0" borderId="4" xfId="0" applyFont="1" applyFill="1" applyBorder="1" applyAlignment="1">
      <alignment horizontal="center" vertical="top" wrapText="1"/>
    </xf>
    <xf numFmtId="0" fontId="12" fillId="0" borderId="0" xfId="0" applyFont="1" applyFill="1" applyAlignment="1">
      <alignment horizontal="left" vertical="center" wrapText="1"/>
    </xf>
    <xf numFmtId="0" fontId="7" fillId="0" borderId="0" xfId="0" applyFont="1" applyFill="1" applyBorder="1" applyAlignment="1">
      <alignment horizontal="center" vertical="top" wrapText="1"/>
    </xf>
    <xf numFmtId="0" fontId="21" fillId="0" borderId="0" xfId="0" applyFont="1" applyFill="1" applyBorder="1" applyAlignment="1">
      <alignment horizontal="center" vertical="center" wrapText="1"/>
    </xf>
    <xf numFmtId="0" fontId="71" fillId="0" borderId="3" xfId="0" applyFont="1" applyFill="1" applyBorder="1" applyAlignment="1">
      <alignment horizontal="center" vertical="center" wrapText="1"/>
    </xf>
    <xf numFmtId="0" fontId="71" fillId="0" borderId="7" xfId="0" applyFont="1" applyFill="1" applyBorder="1" applyAlignment="1">
      <alignment horizontal="center" vertical="center" wrapText="1"/>
    </xf>
    <xf numFmtId="0" fontId="71" fillId="0" borderId="6"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71" fillId="0" borderId="0" xfId="0" applyFont="1" applyFill="1" applyBorder="1" applyAlignment="1">
      <alignment horizontal="left" vertical="top" wrapText="1"/>
    </xf>
    <xf numFmtId="0" fontId="71" fillId="0" borderId="3" xfId="1" applyFont="1" applyFill="1" applyBorder="1" applyAlignment="1">
      <alignment horizontal="center" vertical="center" wrapText="1"/>
    </xf>
    <xf numFmtId="0" fontId="71" fillId="0" borderId="7" xfId="1" applyFont="1" applyFill="1" applyBorder="1" applyAlignment="1">
      <alignment horizontal="center" vertical="center" wrapText="1"/>
    </xf>
    <xf numFmtId="0" fontId="71" fillId="0" borderId="6" xfId="1" applyFont="1" applyFill="1" applyBorder="1" applyAlignment="1">
      <alignment horizontal="center" vertical="center" wrapText="1"/>
    </xf>
    <xf numFmtId="0" fontId="15" fillId="2" borderId="0" xfId="1" applyFont="1" applyFill="1" applyBorder="1" applyAlignment="1">
      <alignment horizontal="left" vertical="center" wrapText="1"/>
    </xf>
    <xf numFmtId="0" fontId="71" fillId="0" borderId="3" xfId="1" applyFont="1" applyFill="1" applyBorder="1" applyAlignment="1">
      <alignment horizontal="center" vertical="top" wrapText="1"/>
    </xf>
    <xf numFmtId="0" fontId="71" fillId="0" borderId="7" xfId="1" applyFont="1" applyFill="1" applyBorder="1" applyAlignment="1">
      <alignment horizontal="center" vertical="top" wrapText="1"/>
    </xf>
    <xf numFmtId="0" fontId="71" fillId="0" borderId="6" xfId="1" applyFont="1" applyFill="1" applyBorder="1" applyAlignment="1">
      <alignment horizontal="center" vertical="top" wrapText="1"/>
    </xf>
    <xf numFmtId="0" fontId="8" fillId="0" borderId="0" xfId="1" applyFont="1" applyFill="1" applyBorder="1" applyAlignment="1">
      <alignment horizontal="center" vertical="center" wrapText="1"/>
    </xf>
    <xf numFmtId="0" fontId="70" fillId="0" borderId="4" xfId="1" applyFont="1" applyFill="1" applyBorder="1" applyAlignment="1">
      <alignment horizontal="center" vertical="center" wrapText="1"/>
    </xf>
    <xf numFmtId="0" fontId="15" fillId="0" borderId="3" xfId="1" applyFont="1" applyFill="1" applyBorder="1" applyAlignment="1" applyProtection="1">
      <alignment horizontal="center" vertical="center"/>
    </xf>
    <xf numFmtId="0" fontId="15" fillId="0" borderId="7" xfId="1" applyFont="1" applyFill="1" applyBorder="1" applyAlignment="1" applyProtection="1">
      <alignment horizontal="center" vertical="center"/>
    </xf>
    <xf numFmtId="0" fontId="15" fillId="0" borderId="6" xfId="1" applyFont="1" applyFill="1" applyBorder="1" applyAlignment="1" applyProtection="1">
      <alignment horizontal="center" vertical="center"/>
    </xf>
    <xf numFmtId="0" fontId="71" fillId="3" borderId="11" xfId="1" applyFont="1" applyFill="1" applyBorder="1" applyAlignment="1">
      <alignment horizontal="left" vertical="center" wrapText="1"/>
    </xf>
    <xf numFmtId="0" fontId="71" fillId="3" borderId="0" xfId="1" applyFont="1" applyFill="1" applyBorder="1" applyAlignment="1">
      <alignment horizontal="left" vertical="center" wrapText="1"/>
    </xf>
    <xf numFmtId="0" fontId="71" fillId="3" borderId="0" xfId="1" applyFont="1" applyFill="1" applyAlignment="1">
      <alignment horizontal="left" vertical="center" wrapText="1"/>
    </xf>
    <xf numFmtId="0" fontId="8" fillId="0" borderId="0" xfId="1" applyFont="1" applyFill="1" applyBorder="1" applyAlignment="1">
      <alignment horizontal="center" vertical="top" wrapText="1"/>
    </xf>
    <xf numFmtId="0" fontId="21" fillId="0" borderId="0" xfId="1" applyFont="1" applyFill="1" applyBorder="1" applyAlignment="1" applyProtection="1">
      <alignment horizontal="center" vertical="center"/>
    </xf>
    <xf numFmtId="0" fontId="18" fillId="0" borderId="0" xfId="1" applyFont="1" applyFill="1" applyAlignment="1" applyProtection="1">
      <alignment horizontal="center" vertical="center" wrapText="1"/>
    </xf>
    <xf numFmtId="0" fontId="23" fillId="0" borderId="4" xfId="1" applyFont="1" applyFill="1" applyBorder="1" applyAlignment="1" applyProtection="1">
      <alignment horizontal="center" vertical="center" wrapText="1"/>
    </xf>
    <xf numFmtId="0" fontId="29" fillId="0" borderId="0" xfId="13" applyFont="1" applyFill="1" applyBorder="1" applyAlignment="1">
      <alignment horizontal="center" wrapText="1"/>
    </xf>
    <xf numFmtId="0" fontId="18" fillId="0" borderId="0" xfId="3" applyFont="1" applyFill="1" applyBorder="1" applyAlignment="1">
      <alignment horizontal="center" vertical="center" wrapText="1"/>
    </xf>
    <xf numFmtId="0" fontId="15" fillId="2"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0" xfId="0" applyFont="1" applyFill="1" applyAlignment="1">
      <alignment horizontal="left" vertical="top" wrapText="1"/>
    </xf>
    <xf numFmtId="0" fontId="18" fillId="0" borderId="0" xfId="0" applyFont="1" applyFill="1" applyBorder="1" applyAlignment="1">
      <alignment horizontal="center" vertical="top" wrapText="1"/>
    </xf>
    <xf numFmtId="0" fontId="15" fillId="0" borderId="4" xfId="0" applyFont="1" applyFill="1" applyBorder="1" applyAlignment="1">
      <alignment horizontal="center" vertical="center" wrapText="1"/>
    </xf>
    <xf numFmtId="0" fontId="9" fillId="0" borderId="0" xfId="0" applyFont="1" applyFill="1" applyBorder="1" applyAlignment="1">
      <alignment horizontal="center" vertical="top" wrapText="1"/>
    </xf>
    <xf numFmtId="0" fontId="16" fillId="0" borderId="4"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0" fillId="0" borderId="3" xfId="0" applyFill="1" applyBorder="1" applyAlignment="1">
      <alignment horizontal="center" vertical="top" wrapText="1"/>
    </xf>
    <xf numFmtId="0" fontId="0" fillId="0" borderId="6" xfId="0" applyFill="1" applyBorder="1" applyAlignment="1">
      <alignment horizontal="center" vertical="top" wrapText="1"/>
    </xf>
    <xf numFmtId="0" fontId="0" fillId="0" borderId="4" xfId="0" applyNumberFormat="1" applyFill="1" applyBorder="1" applyAlignment="1">
      <alignment horizontal="left" vertical="center" wrapText="1"/>
    </xf>
    <xf numFmtId="0" fontId="0" fillId="0" borderId="4" xfId="0" applyFill="1" applyBorder="1" applyAlignment="1">
      <alignment horizontal="left" vertical="center" wrapText="1"/>
    </xf>
    <xf numFmtId="0" fontId="7" fillId="0" borderId="0" xfId="0" applyFont="1" applyFill="1" applyBorder="1" applyAlignment="1">
      <alignment horizontal="right" vertical="center" wrapText="1"/>
    </xf>
    <xf numFmtId="0" fontId="9" fillId="0" borderId="0" xfId="3" applyFont="1" applyFill="1" applyBorder="1" applyAlignment="1">
      <alignment horizontal="center" wrapText="1"/>
    </xf>
    <xf numFmtId="49" fontId="23" fillId="0" borderId="10" xfId="1" applyNumberFormat="1" applyFont="1" applyFill="1" applyBorder="1" applyAlignment="1">
      <alignment horizontal="left" vertical="center" wrapText="1"/>
    </xf>
    <xf numFmtId="49" fontId="23" fillId="0" borderId="12" xfId="1" applyNumberFormat="1" applyFont="1" applyFill="1" applyBorder="1" applyAlignment="1">
      <alignment horizontal="left" vertical="center" wrapText="1"/>
    </xf>
    <xf numFmtId="0" fontId="17" fillId="0" borderId="0" xfId="1" applyFont="1" applyFill="1" applyBorder="1" applyAlignment="1">
      <alignment horizontal="center" vertical="top"/>
    </xf>
    <xf numFmtId="0" fontId="17" fillId="0" borderId="0" xfId="1" applyFont="1" applyFill="1" applyAlignment="1">
      <alignment horizontal="center"/>
    </xf>
    <xf numFmtId="0" fontId="15" fillId="0" borderId="10" xfId="1" applyFont="1" applyFill="1" applyBorder="1" applyAlignment="1">
      <alignment horizontal="left" vertical="center" wrapText="1"/>
    </xf>
    <xf numFmtId="0" fontId="15" fillId="0" borderId="9" xfId="1" applyFont="1" applyFill="1" applyBorder="1" applyAlignment="1">
      <alignment horizontal="left" vertical="center" wrapText="1"/>
    </xf>
    <xf numFmtId="0" fontId="15" fillId="0" borderId="12" xfId="1" applyFont="1" applyFill="1" applyBorder="1" applyAlignment="1">
      <alignment horizontal="left" vertical="center" wrapText="1"/>
    </xf>
    <xf numFmtId="0" fontId="32" fillId="0" borderId="0" xfId="1" applyFont="1" applyFill="1" applyBorder="1" applyAlignment="1">
      <alignment horizontal="center" vertical="center" wrapText="1"/>
    </xf>
    <xf numFmtId="49" fontId="14" fillId="0" borderId="10" xfId="1" applyNumberFormat="1" applyFont="1" applyFill="1" applyBorder="1" applyAlignment="1">
      <alignment horizontal="left" vertical="center" wrapText="1"/>
    </xf>
    <xf numFmtId="49" fontId="14" fillId="0" borderId="12" xfId="1" applyNumberFormat="1" applyFont="1" applyFill="1" applyBorder="1" applyAlignment="1">
      <alignment horizontal="left" vertical="center" wrapText="1"/>
    </xf>
    <xf numFmtId="49" fontId="14" fillId="0" borderId="9" xfId="1" applyNumberFormat="1" applyFont="1" applyFill="1" applyBorder="1" applyAlignment="1">
      <alignment horizontal="left" vertical="center" wrapText="1"/>
    </xf>
    <xf numFmtId="0" fontId="12" fillId="0" borderId="0" xfId="1" applyFont="1" applyFill="1" applyBorder="1" applyAlignment="1">
      <alignment horizontal="left" vertical="top" wrapText="1"/>
    </xf>
    <xf numFmtId="0" fontId="23" fillId="0" borderId="0" xfId="1" applyFont="1" applyFill="1" applyBorder="1" applyAlignment="1">
      <alignment horizontal="center" vertical="center" wrapText="1"/>
    </xf>
    <xf numFmtId="0" fontId="15" fillId="0" borderId="4" xfId="1" applyFont="1" applyFill="1" applyBorder="1" applyAlignment="1">
      <alignment horizontal="left" vertical="center"/>
    </xf>
    <xf numFmtId="0" fontId="12" fillId="0" borderId="4" xfId="1" applyFont="1" applyFill="1" applyBorder="1" applyAlignment="1">
      <alignment vertical="center"/>
    </xf>
    <xf numFmtId="49" fontId="23" fillId="0" borderId="4" xfId="1" applyNumberFormat="1" applyFont="1" applyFill="1" applyBorder="1" applyAlignment="1">
      <alignment horizontal="left" vertical="center"/>
    </xf>
    <xf numFmtId="0" fontId="7" fillId="0" borderId="0" xfId="3" applyFont="1" applyFill="1" applyBorder="1" applyAlignment="1">
      <alignment horizontal="center"/>
    </xf>
    <xf numFmtId="0" fontId="15" fillId="0" borderId="4" xfId="1" applyFont="1" applyFill="1" applyBorder="1" applyAlignment="1">
      <alignment vertical="center"/>
    </xf>
    <xf numFmtId="0" fontId="7" fillId="0" borderId="0" xfId="3" applyFont="1" applyFill="1" applyBorder="1" applyAlignment="1">
      <alignment horizontal="center" vertical="center"/>
    </xf>
    <xf numFmtId="0" fontId="9" fillId="0" borderId="0" xfId="1" applyFont="1" applyFill="1" applyBorder="1" applyAlignment="1">
      <alignment horizontal="center" vertical="center"/>
    </xf>
  </cellXfs>
  <cellStyles count="21">
    <cellStyle name="Comma 2" xfId="8"/>
    <cellStyle name="Normal" xfId="0" builtinId="0"/>
    <cellStyle name="Normal 10" xfId="12"/>
    <cellStyle name="Normal 10 4" xfId="14"/>
    <cellStyle name="Normal 2" xfId="1"/>
    <cellStyle name="Normal 2 2" xfId="10"/>
    <cellStyle name="Normal 2 2 2 3" xfId="2"/>
    <cellStyle name="Normal 2 2 3 3" xfId="4"/>
    <cellStyle name="Normal 2 3" xfId="6"/>
    <cellStyle name="Normal 21" xfId="19"/>
    <cellStyle name="Normal 3" xfId="9"/>
    <cellStyle name="Normal 3 2" xfId="5"/>
    <cellStyle name="Normal 3 3" xfId="16"/>
    <cellStyle name="Normal 3 4 2" xfId="3"/>
    <cellStyle name="Normal 4" xfId="11"/>
    <cellStyle name="Normal 5" xfId="15"/>
    <cellStyle name="Normal 5 2" xfId="17"/>
    <cellStyle name="Normal 5 2 2" xfId="20"/>
    <cellStyle name="Normal 5 3" xfId="18"/>
    <cellStyle name="Normal 6" xfId="13"/>
    <cellStyle name="Normal 7" xfId="7"/>
  </cellStyles>
  <dxfs count="154">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font>
    </dxf>
  </dxfs>
  <tableStyles count="0" defaultTableStyle="TableStyleMedium2" defaultPivotStyle="PivotStyleLight16"/>
  <colors>
    <mruColors>
      <color rgb="FF00FF00"/>
      <color rgb="FFFF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2.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3.xml"/><Relationship Id="rId88" Type="http://schemas.openxmlformats.org/officeDocument/2006/relationships/externalLink" Target="externalLinks/externalLink8.xml"/></Relationships>
</file>

<file path=xl/drawings/drawing1.xml><?xml version="1.0" encoding="utf-8"?>
<xdr:wsDr xmlns:xdr="http://schemas.openxmlformats.org/drawingml/2006/spreadsheetDrawing" xmlns:a="http://schemas.openxmlformats.org/drawingml/2006/main">
  <xdr:twoCellAnchor>
    <xdr:from>
      <xdr:col>5</xdr:col>
      <xdr:colOff>67094</xdr:colOff>
      <xdr:row>22</xdr:row>
      <xdr:rowOff>23969</xdr:rowOff>
    </xdr:from>
    <xdr:to>
      <xdr:col>5</xdr:col>
      <xdr:colOff>255919</xdr:colOff>
      <xdr:row>22</xdr:row>
      <xdr:rowOff>195628</xdr:rowOff>
    </xdr:to>
    <xdr:sp macro="" textlink="">
      <xdr:nvSpPr>
        <xdr:cNvPr id="2" name="Text Box 3"/>
        <xdr:cNvSpPr txBox="1">
          <a:spLocks noChangeArrowheads="1"/>
        </xdr:cNvSpPr>
      </xdr:nvSpPr>
      <xdr:spPr bwMode="auto">
        <a:xfrm>
          <a:off x="6305969" y="6729569"/>
          <a:ext cx="188825" cy="171659"/>
        </a:xfrm>
        <a:prstGeom prst="rect">
          <a:avLst/>
        </a:prstGeom>
        <a:noFill/>
        <a:ln w="9525">
          <a:noFill/>
          <a:miter lim="800000"/>
          <a:headEnd/>
          <a:tailEnd/>
        </a:ln>
      </xdr:spPr>
      <xdr:txBody>
        <a:bodyPr vertOverflow="clip" vert="wordArtVert" wrap="square" lIns="36576" tIns="0" rIns="0" bIns="0" anchor="t" upright="1"/>
        <a:lstStyle/>
        <a:p>
          <a:pPr algn="l" rtl="1">
            <a:defRPr sz="1000"/>
          </a:pPr>
          <a:r>
            <a:rPr lang="en-US" sz="1400" b="0" i="0" strike="noStrike">
              <a:solidFill>
                <a:srgbClr val="000000"/>
              </a:solidFill>
              <a:latin typeface="Arial"/>
              <a:cs typeface="Arial"/>
            </a:rPr>
            <a:t>*</a:t>
          </a:r>
        </a:p>
      </xdr:txBody>
    </xdr:sp>
    <xdr:clientData/>
  </xdr:twoCellAnchor>
  <xdr:twoCellAnchor>
    <xdr:from>
      <xdr:col>6</xdr:col>
      <xdr:colOff>447151</xdr:colOff>
      <xdr:row>32</xdr:row>
      <xdr:rowOff>41135</xdr:rowOff>
    </xdr:from>
    <xdr:to>
      <xdr:col>6</xdr:col>
      <xdr:colOff>742426</xdr:colOff>
      <xdr:row>32</xdr:row>
      <xdr:rowOff>203060</xdr:rowOff>
    </xdr:to>
    <xdr:sp macro="" textlink="">
      <xdr:nvSpPr>
        <xdr:cNvPr id="3" name="Text Box 190"/>
        <xdr:cNvSpPr txBox="1">
          <a:spLocks noChangeArrowheads="1"/>
        </xdr:cNvSpPr>
      </xdr:nvSpPr>
      <xdr:spPr bwMode="auto">
        <a:xfrm>
          <a:off x="7171801" y="9547085"/>
          <a:ext cx="295275"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1">
            <a:defRPr sz="1000"/>
          </a:pPr>
          <a:r>
            <a:rPr lang="en-IN" sz="1400" b="0" i="0" strike="noStrike">
              <a:solidFill>
                <a:srgbClr val="000000"/>
              </a:solidFill>
              <a:latin typeface="Arial"/>
              <a:cs typeface="Arial"/>
            </a:rPr>
            <a:t>***</a:t>
          </a:r>
        </a:p>
      </xdr:txBody>
    </xdr:sp>
    <xdr:clientData/>
  </xdr:twoCellAnchor>
  <xdr:twoCellAnchor>
    <xdr:from>
      <xdr:col>7</xdr:col>
      <xdr:colOff>28576</xdr:colOff>
      <xdr:row>40</xdr:row>
      <xdr:rowOff>13293</xdr:rowOff>
    </xdr:from>
    <xdr:to>
      <xdr:col>8</xdr:col>
      <xdr:colOff>2826</xdr:colOff>
      <xdr:row>40</xdr:row>
      <xdr:rowOff>373882</xdr:rowOff>
    </xdr:to>
    <xdr:sp macro="" textlink="">
      <xdr:nvSpPr>
        <xdr:cNvPr id="4" name="TextBox 3"/>
        <xdr:cNvSpPr txBox="1"/>
      </xdr:nvSpPr>
      <xdr:spPr>
        <a:xfrm>
          <a:off x="7972426" y="12624393"/>
          <a:ext cx="1041050" cy="3605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50">
              <a:solidFill>
                <a:schemeClr val="dk1"/>
              </a:solidFill>
              <a:latin typeface="Arial" pitchFamily="34" charset="0"/>
              <a:ea typeface="+mn-ea"/>
              <a:cs typeface="Arial" pitchFamily="34" charset="0"/>
            </a:rPr>
            <a:t>Fill appropriate cost</a:t>
          </a:r>
          <a:endParaRPr lang="en-US" sz="950">
            <a:latin typeface="Arial" pitchFamily="34" charset="0"/>
            <a:cs typeface="Arial" pitchFamily="34" charset="0"/>
          </a:endParaRP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361950</xdr:colOff>
      <xdr:row>30</xdr:row>
      <xdr:rowOff>28575</xdr:rowOff>
    </xdr:from>
    <xdr:to>
      <xdr:col>6</xdr:col>
      <xdr:colOff>666750</xdr:colOff>
      <xdr:row>30</xdr:row>
      <xdr:rowOff>190500</xdr:rowOff>
    </xdr:to>
    <xdr:sp macro="" textlink="">
      <xdr:nvSpPr>
        <xdr:cNvPr id="2" name="Text Box 2"/>
        <xdr:cNvSpPr txBox="1">
          <a:spLocks noChangeArrowheads="1"/>
        </xdr:cNvSpPr>
      </xdr:nvSpPr>
      <xdr:spPr bwMode="auto">
        <a:xfrm>
          <a:off x="7839075" y="8839200"/>
          <a:ext cx="304800"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1">
            <a:defRPr sz="1000"/>
          </a:pPr>
          <a:r>
            <a:rPr lang="en-IN" sz="1400" b="0" i="0" strike="noStrike">
              <a:solidFill>
                <a:srgbClr val="000000"/>
              </a:solidFill>
              <a:latin typeface="Arial"/>
              <a:cs typeface="Arial"/>
            </a:rPr>
            <a:t>***</a:t>
          </a:r>
        </a:p>
      </xdr:txBody>
    </xdr:sp>
    <xdr:clientData/>
  </xdr:twoCellAnchor>
  <xdr:twoCellAnchor>
    <xdr:from>
      <xdr:col>7</xdr:col>
      <xdr:colOff>31401</xdr:colOff>
      <xdr:row>38</xdr:row>
      <xdr:rowOff>31402</xdr:rowOff>
    </xdr:from>
    <xdr:to>
      <xdr:col>7</xdr:col>
      <xdr:colOff>1066800</xdr:colOff>
      <xdr:row>38</xdr:row>
      <xdr:rowOff>200026</xdr:rowOff>
    </xdr:to>
    <xdr:sp macro="" textlink="">
      <xdr:nvSpPr>
        <xdr:cNvPr id="3" name="TextBox 2"/>
        <xdr:cNvSpPr txBox="1"/>
      </xdr:nvSpPr>
      <xdr:spPr>
        <a:xfrm>
          <a:off x="8613426" y="11185177"/>
          <a:ext cx="1035399" cy="16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750">
              <a:latin typeface="Arial" pitchFamily="34" charset="0"/>
              <a:cs typeface="Arial" pitchFamily="34" charset="0"/>
            </a:rPr>
            <a:t>Fill appropriate cost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38100</xdr:colOff>
      <xdr:row>38</xdr:row>
      <xdr:rowOff>28575</xdr:rowOff>
    </xdr:from>
    <xdr:to>
      <xdr:col>7</xdr:col>
      <xdr:colOff>819150</xdr:colOff>
      <xdr:row>38</xdr:row>
      <xdr:rowOff>361950</xdr:rowOff>
    </xdr:to>
    <xdr:sp macro="" textlink="">
      <xdr:nvSpPr>
        <xdr:cNvPr id="2" name="TextBox 1"/>
        <xdr:cNvSpPr txBox="1"/>
      </xdr:nvSpPr>
      <xdr:spPr>
        <a:xfrm>
          <a:off x="8001000" y="10353675"/>
          <a:ext cx="16287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1000">
              <a:latin typeface="Arial" panose="020B0604020202020204" pitchFamily="34" charset="0"/>
              <a:cs typeface="Arial" panose="020B0604020202020204" pitchFamily="34" charset="0"/>
            </a:rPr>
            <a:t>Fill appropriate charges</a:t>
          </a:r>
          <a:endParaRPr lang="en-IN" sz="1400">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123825</xdr:colOff>
      <xdr:row>11</xdr:row>
      <xdr:rowOff>38100</xdr:rowOff>
    </xdr:from>
    <xdr:to>
      <xdr:col>7</xdr:col>
      <xdr:colOff>409575</xdr:colOff>
      <xdr:row>11</xdr:row>
      <xdr:rowOff>276225</xdr:rowOff>
    </xdr:to>
    <xdr:sp macro="" textlink="">
      <xdr:nvSpPr>
        <xdr:cNvPr id="2" name="TextBox 1"/>
        <xdr:cNvSpPr txBox="1"/>
      </xdr:nvSpPr>
      <xdr:spPr>
        <a:xfrm>
          <a:off x="5324475" y="4610100"/>
          <a:ext cx="2857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a:latin typeface="Arial" panose="020B0604020202020204" pitchFamily="34" charset="0"/>
              <a:cs typeface="Arial" panose="020B0604020202020204" pitchFamily="34"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209550</xdr:colOff>
      <xdr:row>28</xdr:row>
      <xdr:rowOff>9525</xdr:rowOff>
    </xdr:from>
    <xdr:to>
      <xdr:col>5</xdr:col>
      <xdr:colOff>333375</xdr:colOff>
      <xdr:row>28</xdr:row>
      <xdr:rowOff>238125</xdr:rowOff>
    </xdr:to>
    <xdr:sp macro="" textlink="">
      <xdr:nvSpPr>
        <xdr:cNvPr id="2" name="Text Box 3"/>
        <xdr:cNvSpPr txBox="1">
          <a:spLocks noChangeArrowheads="1"/>
        </xdr:cNvSpPr>
      </xdr:nvSpPr>
      <xdr:spPr bwMode="auto">
        <a:xfrm>
          <a:off x="7324725" y="7105650"/>
          <a:ext cx="123825" cy="228600"/>
        </a:xfrm>
        <a:prstGeom prst="rect">
          <a:avLst/>
        </a:prstGeom>
        <a:noFill/>
        <a:ln w="9525">
          <a:noFill/>
          <a:miter lim="800000"/>
          <a:headEnd/>
          <a:tailEnd/>
        </a:ln>
      </xdr:spPr>
      <xdr:txBody>
        <a:bodyPr vertOverflow="clip" vert="wordArtVert" wrap="square" lIns="36576" tIns="0" rIns="0" bIns="0" anchor="t" upright="1"/>
        <a:lstStyle/>
        <a:p>
          <a:pPr algn="l" rtl="1">
            <a:defRPr sz="1000"/>
          </a:pPr>
          <a:r>
            <a:rPr lang="en-US" sz="1400" b="0" i="0" strike="noStrike">
              <a:solidFill>
                <a:srgbClr val="000000"/>
              </a:solidFill>
              <a:latin typeface="Arial"/>
              <a:cs typeface="Arial"/>
            </a:rPr>
            <a:t>*</a:t>
          </a:r>
        </a:p>
      </xdr:txBody>
    </xdr:sp>
    <xdr:clientData/>
  </xdr:twoCellAnchor>
  <xdr:twoCellAnchor>
    <xdr:from>
      <xdr:col>6</xdr:col>
      <xdr:colOff>581025</xdr:colOff>
      <xdr:row>34</xdr:row>
      <xdr:rowOff>38100</xdr:rowOff>
    </xdr:from>
    <xdr:to>
      <xdr:col>6</xdr:col>
      <xdr:colOff>790575</xdr:colOff>
      <xdr:row>34</xdr:row>
      <xdr:rowOff>200025</xdr:rowOff>
    </xdr:to>
    <xdr:sp macro="" textlink="">
      <xdr:nvSpPr>
        <xdr:cNvPr id="3" name="Text Box 2"/>
        <xdr:cNvSpPr txBox="1">
          <a:spLocks noChangeArrowheads="1"/>
        </xdr:cNvSpPr>
      </xdr:nvSpPr>
      <xdr:spPr bwMode="auto">
        <a:xfrm>
          <a:off x="8124825" y="9020175"/>
          <a:ext cx="209550" cy="161925"/>
        </a:xfrm>
        <a:prstGeom prst="rect">
          <a:avLst/>
        </a:prstGeom>
        <a:solidFill>
          <a:srgbClr val="FFFFFF"/>
        </a:solidFill>
        <a:ln w="9525">
          <a:solidFill>
            <a:srgbClr val="FFFFFF"/>
          </a:solidFill>
          <a:miter lim="800000"/>
          <a:headEnd/>
          <a:tailEnd/>
        </a:ln>
      </xdr:spPr>
      <xdr:txBody>
        <a:bodyPr vertOverflow="clip" wrap="square" lIns="36576" tIns="27432" rIns="0" bIns="0" anchor="t" upright="1"/>
        <a:lstStyle/>
        <a:p>
          <a:pPr algn="l" rtl="1">
            <a:defRPr sz="1000"/>
          </a:pPr>
          <a:r>
            <a:rPr lang="en-IN" sz="1400" b="0" i="0" strike="noStrike">
              <a:solidFill>
                <a:srgbClr val="000000"/>
              </a:solidFill>
              <a:latin typeface="Arial"/>
              <a:cs typeface="Aria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53511</xdr:colOff>
      <xdr:row>38</xdr:row>
      <xdr:rowOff>53512</xdr:rowOff>
    </xdr:from>
    <xdr:to>
      <xdr:col>7</xdr:col>
      <xdr:colOff>877585</xdr:colOff>
      <xdr:row>38</xdr:row>
      <xdr:rowOff>503005</xdr:rowOff>
    </xdr:to>
    <xdr:sp macro="" textlink="">
      <xdr:nvSpPr>
        <xdr:cNvPr id="2" name="TextBox 1"/>
        <xdr:cNvSpPr txBox="1"/>
      </xdr:nvSpPr>
      <xdr:spPr>
        <a:xfrm>
          <a:off x="8683161" y="10769137"/>
          <a:ext cx="824074" cy="4494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Arial" panose="020B0604020202020204" pitchFamily="34" charset="0"/>
              <a:ea typeface="+mn-ea"/>
              <a:cs typeface="Arial" panose="020B0604020202020204" pitchFamily="34" charset="0"/>
            </a:rPr>
            <a:t>Fill appropriate cost</a:t>
          </a:r>
          <a:endParaRPr lang="en-IN" sz="800">
            <a:effectLst/>
            <a:latin typeface="Arial" panose="020B0604020202020204" pitchFamily="34" charset="0"/>
            <a:cs typeface="Arial" panose="020B0604020202020204" pitchFamily="34" charset="0"/>
          </a:endParaRPr>
        </a:p>
        <a:p>
          <a:endParaRPr lang="en-IN" sz="1100"/>
        </a:p>
      </xdr:txBody>
    </xdr:sp>
    <xdr:clientData/>
  </xdr:twoCellAnchor>
  <xdr:twoCellAnchor>
    <xdr:from>
      <xdr:col>6</xdr:col>
      <xdr:colOff>53511</xdr:colOff>
      <xdr:row>38</xdr:row>
      <xdr:rowOff>42810</xdr:rowOff>
    </xdr:from>
    <xdr:to>
      <xdr:col>6</xdr:col>
      <xdr:colOff>866882</xdr:colOff>
      <xdr:row>38</xdr:row>
      <xdr:rowOff>503005</xdr:rowOff>
    </xdr:to>
    <xdr:sp macro="" textlink="">
      <xdr:nvSpPr>
        <xdr:cNvPr id="3" name="TextBox 2"/>
        <xdr:cNvSpPr txBox="1"/>
      </xdr:nvSpPr>
      <xdr:spPr>
        <a:xfrm>
          <a:off x="7768761" y="10758435"/>
          <a:ext cx="813371" cy="460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Arial" panose="020B0604020202020204" pitchFamily="34" charset="0"/>
              <a:ea typeface="+mn-ea"/>
              <a:cs typeface="Arial" panose="020B0604020202020204" pitchFamily="34" charset="0"/>
            </a:rPr>
            <a:t>Fill appropriate cost</a:t>
          </a:r>
          <a:endParaRPr lang="en-IN" sz="800">
            <a:effectLst/>
            <a:latin typeface="Arial" panose="020B0604020202020204" pitchFamily="34" charset="0"/>
            <a:cs typeface="Arial" panose="020B0604020202020204" pitchFamily="34" charset="0"/>
          </a:endParaRPr>
        </a:p>
        <a:p>
          <a:endParaRPr lang="en-IN"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20</xdr:row>
      <xdr:rowOff>0</xdr:rowOff>
    </xdr:from>
    <xdr:to>
      <xdr:col>8</xdr:col>
      <xdr:colOff>76200</xdr:colOff>
      <xdr:row>20</xdr:row>
      <xdr:rowOff>200025</xdr:rowOff>
    </xdr:to>
    <xdr:sp macro="" textlink="">
      <xdr:nvSpPr>
        <xdr:cNvPr id="2" name="Text Box 1"/>
        <xdr:cNvSpPr txBox="1">
          <a:spLocks noChangeArrowheads="1"/>
        </xdr:cNvSpPr>
      </xdr:nvSpPr>
      <xdr:spPr bwMode="auto">
        <a:xfrm>
          <a:off x="7200900" y="11515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xdr:row>
      <xdr:rowOff>0</xdr:rowOff>
    </xdr:from>
    <xdr:to>
      <xdr:col>8</xdr:col>
      <xdr:colOff>76200</xdr:colOff>
      <xdr:row>21</xdr:row>
      <xdr:rowOff>200025</xdr:rowOff>
    </xdr:to>
    <xdr:sp macro="" textlink="">
      <xdr:nvSpPr>
        <xdr:cNvPr id="3" name="Text Box 1"/>
        <xdr:cNvSpPr txBox="1">
          <a:spLocks noChangeArrowheads="1"/>
        </xdr:cNvSpPr>
      </xdr:nvSpPr>
      <xdr:spPr bwMode="auto">
        <a:xfrm>
          <a:off x="7200900" y="1283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28575</xdr:colOff>
      <xdr:row>11</xdr:row>
      <xdr:rowOff>66675</xdr:rowOff>
    </xdr:from>
    <xdr:to>
      <xdr:col>12</xdr:col>
      <xdr:colOff>1590675</xdr:colOff>
      <xdr:row>11</xdr:row>
      <xdr:rowOff>323850</xdr:rowOff>
    </xdr:to>
    <xdr:sp macro="" textlink="">
      <xdr:nvSpPr>
        <xdr:cNvPr id="4" name="TextBox 3"/>
        <xdr:cNvSpPr txBox="1"/>
      </xdr:nvSpPr>
      <xdr:spPr>
        <a:xfrm>
          <a:off x="10248900" y="3657600"/>
          <a:ext cx="15621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latin typeface="Arial" panose="020B0604020202020204" pitchFamily="34" charset="0"/>
              <a:cs typeface="Arial" panose="020B0604020202020204" pitchFamily="34" charset="0"/>
            </a:rPr>
            <a:t>NEW ROW ADDED</a:t>
          </a:r>
        </a:p>
      </xdr:txBody>
    </xdr:sp>
    <xdr:clientData/>
  </xdr:twoCellAnchor>
  <xdr:twoCellAnchor>
    <xdr:from>
      <xdr:col>12</xdr:col>
      <xdr:colOff>28575</xdr:colOff>
      <xdr:row>16</xdr:row>
      <xdr:rowOff>66675</xdr:rowOff>
    </xdr:from>
    <xdr:to>
      <xdr:col>12</xdr:col>
      <xdr:colOff>1590675</xdr:colOff>
      <xdr:row>16</xdr:row>
      <xdr:rowOff>323850</xdr:rowOff>
    </xdr:to>
    <xdr:sp macro="" textlink="">
      <xdr:nvSpPr>
        <xdr:cNvPr id="5" name="TextBox 4"/>
        <xdr:cNvSpPr txBox="1"/>
      </xdr:nvSpPr>
      <xdr:spPr>
        <a:xfrm>
          <a:off x="10221420" y="3668658"/>
          <a:ext cx="15621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latin typeface="Arial" panose="020B0604020202020204" pitchFamily="34" charset="0"/>
              <a:cs typeface="Arial" panose="020B0604020202020204" pitchFamily="34" charset="0"/>
            </a:rPr>
            <a:t>NAME CHANGED</a:t>
          </a:r>
        </a:p>
      </xdr:txBody>
    </xdr:sp>
    <xdr:clientData/>
  </xdr:twoCellAnchor>
  <xdr:twoCellAnchor>
    <xdr:from>
      <xdr:col>12</xdr:col>
      <xdr:colOff>28575</xdr:colOff>
      <xdr:row>21</xdr:row>
      <xdr:rowOff>66675</xdr:rowOff>
    </xdr:from>
    <xdr:to>
      <xdr:col>12</xdr:col>
      <xdr:colOff>1590675</xdr:colOff>
      <xdr:row>21</xdr:row>
      <xdr:rowOff>323850</xdr:rowOff>
    </xdr:to>
    <xdr:sp macro="" textlink="">
      <xdr:nvSpPr>
        <xdr:cNvPr id="6" name="TextBox 5"/>
        <xdr:cNvSpPr txBox="1"/>
      </xdr:nvSpPr>
      <xdr:spPr>
        <a:xfrm>
          <a:off x="10221420" y="9942020"/>
          <a:ext cx="15621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latin typeface="Arial" panose="020B0604020202020204" pitchFamily="34" charset="0"/>
              <a:cs typeface="Arial" panose="020B0604020202020204" pitchFamily="34" charset="0"/>
            </a:rPr>
            <a:t>NAME CHANGED</a:t>
          </a:r>
        </a:p>
      </xdr:txBody>
    </xdr:sp>
    <xdr:clientData/>
  </xdr:twoCellAnchor>
  <xdr:twoCellAnchor>
    <xdr:from>
      <xdr:col>12</xdr:col>
      <xdr:colOff>28575</xdr:colOff>
      <xdr:row>28</xdr:row>
      <xdr:rowOff>66675</xdr:rowOff>
    </xdr:from>
    <xdr:to>
      <xdr:col>12</xdr:col>
      <xdr:colOff>1590675</xdr:colOff>
      <xdr:row>28</xdr:row>
      <xdr:rowOff>323850</xdr:rowOff>
    </xdr:to>
    <xdr:sp macro="" textlink="">
      <xdr:nvSpPr>
        <xdr:cNvPr id="7" name="TextBox 6"/>
        <xdr:cNvSpPr txBox="1"/>
      </xdr:nvSpPr>
      <xdr:spPr>
        <a:xfrm>
          <a:off x="10221420" y="9942020"/>
          <a:ext cx="15621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latin typeface="Arial" panose="020B0604020202020204" pitchFamily="34" charset="0"/>
              <a:cs typeface="Arial" panose="020B0604020202020204" pitchFamily="34" charset="0"/>
            </a:rPr>
            <a:t>NEW ROW ADDED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457200</xdr:colOff>
      <xdr:row>105</xdr:row>
      <xdr:rowOff>38100</xdr:rowOff>
    </xdr:from>
    <xdr:to>
      <xdr:col>7</xdr:col>
      <xdr:colOff>704850</xdr:colOff>
      <xdr:row>105</xdr:row>
      <xdr:rowOff>161925</xdr:rowOff>
    </xdr:to>
    <xdr:sp macro="" textlink="">
      <xdr:nvSpPr>
        <xdr:cNvPr id="2" name="Text Box 2"/>
        <xdr:cNvSpPr txBox="1">
          <a:spLocks noChangeArrowheads="1"/>
        </xdr:cNvSpPr>
      </xdr:nvSpPr>
      <xdr:spPr bwMode="auto">
        <a:xfrm>
          <a:off x="6667500" y="24374475"/>
          <a:ext cx="247650" cy="123825"/>
        </a:xfrm>
        <a:prstGeom prst="rect">
          <a:avLst/>
        </a:prstGeom>
        <a:solidFill>
          <a:srgbClr val="FFFFFF"/>
        </a:solidFill>
        <a:ln w="9525">
          <a:solidFill>
            <a:srgbClr val="FFFFFF"/>
          </a:solidFill>
          <a:miter lim="800000"/>
          <a:headEnd/>
          <a:tailEnd/>
        </a:ln>
      </xdr:spPr>
      <xdr:txBody>
        <a:bodyPr vertOverflow="clip" vert="wordArtVert" wrap="square" lIns="36576" tIns="0" rIns="0" bIns="0" anchor="t" upright="1"/>
        <a:lstStyle/>
        <a:p>
          <a:pPr algn="l" rtl="1">
            <a:defRPr sz="1000"/>
          </a:pPr>
          <a:r>
            <a:rPr lang="en-IN" sz="1400" b="0" i="0" strike="noStrike">
              <a:solidFill>
                <a:srgbClr val="000000"/>
              </a:solidFill>
              <a:latin typeface="Arial"/>
              <a:cs typeface="Arial"/>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67</xdr:row>
      <xdr:rowOff>0</xdr:rowOff>
    </xdr:from>
    <xdr:to>
      <xdr:col>3</xdr:col>
      <xdr:colOff>0</xdr:colOff>
      <xdr:row>67</xdr:row>
      <xdr:rowOff>0</xdr:rowOff>
    </xdr:to>
    <xdr:sp macro="" textlink="">
      <xdr:nvSpPr>
        <xdr:cNvPr id="2" name="AutoShape 2"/>
        <xdr:cNvSpPr>
          <a:spLocks/>
        </xdr:cNvSpPr>
      </xdr:nvSpPr>
      <xdr:spPr bwMode="auto">
        <a:xfrm>
          <a:off x="4286250" y="142875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AutoShape 2"/>
        <xdr:cNvSpPr>
          <a:spLocks/>
        </xdr:cNvSpPr>
      </xdr:nvSpPr>
      <xdr:spPr bwMode="auto">
        <a:xfrm>
          <a:off x="3962400" y="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2" name="AutoShape 1"/>
        <xdr:cNvSpPr>
          <a:spLocks/>
        </xdr:cNvSpPr>
      </xdr:nvSpPr>
      <xdr:spPr bwMode="auto">
        <a:xfrm>
          <a:off x="3333750" y="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 name="AutoShape 2"/>
        <xdr:cNvSpPr>
          <a:spLocks/>
        </xdr:cNvSpPr>
      </xdr:nvSpPr>
      <xdr:spPr bwMode="auto">
        <a:xfrm>
          <a:off x="3333750" y="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476250</xdr:colOff>
      <xdr:row>46</xdr:row>
      <xdr:rowOff>76200</xdr:rowOff>
    </xdr:from>
    <xdr:to>
      <xdr:col>21</xdr:col>
      <xdr:colOff>600075</xdr:colOff>
      <xdr:row>46</xdr:row>
      <xdr:rowOff>76200</xdr:rowOff>
    </xdr:to>
    <xdr:sp macro="" textlink="">
      <xdr:nvSpPr>
        <xdr:cNvPr id="2" name="Text Box 1"/>
        <xdr:cNvSpPr txBox="1">
          <a:spLocks noChangeArrowheads="1"/>
        </xdr:cNvSpPr>
      </xdr:nvSpPr>
      <xdr:spPr bwMode="auto">
        <a:xfrm>
          <a:off x="15268575" y="12153900"/>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ja\e\DATA\DATA4\DATA\ANNUAL\0203\DATA4\DATA\MONTHLY\0102\JAN\Sep\GRAPH.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nternet\Share%20documents\RECPDCL%20MAIL%20documents\Ambala%2016%2008%202010\Final%20REC-26-07-10\25-07-2010\Ellenabad@25-07-2010\Ellenabad@22.-7-2010\201-04REL-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nternet\SharedDocs\Data\ICEA\EMR%20YEARLY\EMR2005-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NIC\Desktop\supply_2013\circle_wise_proposal\ADB+III\New%20Folder\Line%20Loss%20Barwani%20Circle\Line%20Loss%202009-10\Line%20Loss%20April-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eja\e\DATA\DATA4\DATA\ANNUAL\0203\DATA4\DATA\ANNUAL\9900\YRDATA\CSD.XLW"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IMP_FOR_ME\IPDS%20Schedule%20on%2015.5.15\Documents%20and%20Settings\Naveen\My%20Documents\Naveen\Tariff%202006-07\CPG\Op%20BS%20Final%2016052005\Asset%20Disaggregation%2017.04.05%20With%20Residual%20MPSEB\Raw%20TB%20Data%20&amp;%20Cap-CAU%20as%20Ge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nternet\SharedDocs\DPR_Hodal_26.07.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IMP_FOR_ME\IPDS%20Schedule%20on%2015.5.15\Databank\1-Projects%20In%20Hand\DFID\ARR%202003-04\Arr%20Petition%202003-04\For%20Submission\ARR%20Forms%20For%20Submiss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IMP_FOR_ME\IPDS%20Schedule%20on%2015.5.15\Documents%20and%20Settings\ak_srivastava\Desktop\KPMG\Financial%20Mo\Final%20Model\PF_Modelling_KPMG%20v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MP_FOR_ME\IPDS%20Schedule%20on%2015.5.15\Data\ICEA\EMR%20YEARLY\EMR2005-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ispmpc\sharedfolder\Load%20forecast\CD%20LF%200203\Regcom0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MP_FOR_ME\IPDS%20Schedule%20on%2015.5.15\Documents%20and%20Settings\anurag\My%20Documents\petitions\Petition%20for%20trans%20ARR.doc\Databank\1-Projects%20In%20Hand\DFID\ARR%202003-04\Arr%20Petition%202003-04\For%20Submission\ARR%20For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MP_FOR_ME\IPDS%20Schedule%20on%2015.5.15\Sameer's%20folder\MSEB\Tariff%20Filing%202003-04\Outputs\Models\Working%20Models\old\Dispatch%20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Databank\1-Projects%20In%20Hand\DFID\ARR%202003-04\Arr%20Petition%202003-04\For%20Submission\ARR%20Forms%20For%20Submiss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spdcl.co.in/cseb/(S(cj05p30zla41bwroqbwuhse4))/Files/SOR/SOR%202019-20/Schedule%20A,%20B,%20C,%20D%20&amp;%20E%20for%20SoR%202019-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RIVE-E/B.C/SoR%20File/SoR%202023-24/SoR%202023-24%20Schedule%20Preparation/SoR%202023-24%20Schedule%20preparatio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RIVE-E/B.C/SoR%20File/SoR%202022-23/SoR%202022-23%20Schedules%20preparation/Schedule%20A,%20B,%20C,%20D%20&amp;%20E%20for%20SoR%202020-21%20on%2008.12.2020%20at%2018.22%20H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eja\e\DATA\DATA4\DATA\ANNUAL\0203\DATA\DATA4\DATA\ANNUAL\0102\ANNU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MP_FOR_ME\IPDS%20Schedule%20on%2015.5.15\BAS\ON%20THE%20JOB\Cost%20Accounting%20Formats\Poorv%20Discom\CAR%20Model\BS\Raw%20TB%20Data%20&amp;%20Cap-CAU%20as%20G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IMP_FOR_ME\IPDS%20Schedule%20on%2015.5.15\201-04REL-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ja\e\DATA\DATA4\DATA\ANNUAL\0203\data\DATA4\DATA\Generation\AFIVE\YEARLY\GEN,PLF&amp;FACTOR\Performance%20Section%20B\Performance%20of%20MPSEB%20St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eja\e\DATA\DATA4\DATA\ANNUAL\0203\data\DATA4\DATA\ANNUAL\0001\GEN%20LO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nternet\Share%20documents\RECPDCL%20MAIL%20documents\Ambala%2016%2008%202010\Final%20REC-26-07-10\25-07-2010\Ellenabad@25-07-2010\Ellenabad@22.-7-2010\BAS\ON%20THE%20JOB\Cost%20Accounting%20Formats\Poorv%20Discom\CAR%20Model\BS\Raw%20TB%20Data%20&amp;%20Cap-CAU%20as%20Ge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ISPMPC\DataBase\WINDOWS\Profiles\rk\Desktop\220-03%20Latest\Global%20model%2028th%20F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DAILY"/>
      <sheetName val="MPCSSD"/>
      <sheetName val="DTHG"/>
      <sheetName val="Chart1"/>
      <sheetName val="DLC"/>
      <sheetName val="A 3.7"/>
      <sheetName val="Stationwise Thermal &amp; Hydel Gen"/>
      <sheetName val="Executive Summary -Thermal"/>
      <sheetName val="TWELVE"/>
      <sheetName val="Salient1"/>
      <sheetName val="agl-pump-sets"/>
      <sheetName val="EG"/>
      <sheetName val="pump-sets(AI)"/>
      <sheetName val="installes-capacity"/>
      <sheetName val="per-capita"/>
      <sheetName val="towns&amp;villages"/>
      <sheetName val="overall"/>
      <sheetName val="1"/>
      <sheetName val="R_Abstract"/>
      <sheetName val="A2-02-03"/>
      <sheetName val="Sheet2"/>
      <sheetName val="Sec-5a"/>
      <sheetName val="Sec-1a"/>
      <sheetName val="Sec-8d"/>
      <sheetName val="Sec-3a"/>
      <sheetName val="Sec-1b"/>
      <sheetName val="Sec-1c"/>
      <sheetName val="Sec-8c"/>
      <sheetName val="BREAKUP OF OIL"/>
      <sheetName val="STN WISE EMR"/>
      <sheetName val="CATAGEORY"/>
      <sheetName val="A_3_7"/>
      <sheetName val="Stationwise_Thermal_&amp;_Hydel_Gen"/>
      <sheetName val="Executive_Summary_-Thermal"/>
      <sheetName val="BREAKUP_OF_OIL"/>
      <sheetName val="STN_WISE_EMR"/>
      <sheetName val="ATC Loss Red"/>
      <sheetName val="04REL"/>
      <sheetName val="Cat_Ser_load"/>
      <sheetName val="ser released caste wise"/>
      <sheetName val="data"/>
      <sheetName val="Sheet1"/>
      <sheetName val="Inputs"/>
      <sheetName val="Sheet4"/>
      <sheetName val="#REF"/>
      <sheetName val="ATC_Loss_Red"/>
      <sheetName val="ser_released_caste_wise"/>
      <sheetName val="A_3_71"/>
      <sheetName val="Stationwise_Thermal_&amp;_Hydel_Ge1"/>
      <sheetName val="Executive_Summary_-Thermal1"/>
      <sheetName val="BREAKUP_OF_OIL1"/>
      <sheetName val="STN_WISE_EMR1"/>
      <sheetName val="ATC_Loss_Red1"/>
      <sheetName val="ser_released_caste_wise1"/>
      <sheetName val="A_3_72"/>
      <sheetName val="Stationwise_Thermal_&amp;_Hydel_Ge2"/>
      <sheetName val="Executive_Summary_-Thermal2"/>
      <sheetName val="BREAKUP_OF_OIL2"/>
      <sheetName val="STN_WISE_EMR2"/>
      <sheetName val="ATC_Loss_Red2"/>
      <sheetName val="ser_released_caste_wise2"/>
      <sheetName val="ESS -Status"/>
      <sheetName val="Malegaon"/>
      <sheetName val="Nandurbar"/>
      <sheetName val="Kalyan"/>
      <sheetName val="Global model 28th Feb.xls"/>
      <sheetName val="BillingEffi"/>
      <sheetName val="Sheet5"/>
      <sheetName val="A"/>
      <sheetName val="Sep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Dom"/>
      <sheetName val="Flight-1"/>
      <sheetName val="BREAKUP OF O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132kv DCDS"/>
      <sheetName val=""/>
      <sheetName val="Unit_Rate"/>
      <sheetName val="160MVA_Addl"/>
      <sheetName val="220KV_FB"/>
      <sheetName val="315MVA_Addl"/>
      <sheetName val="Addl_401"/>
      <sheetName val="Addl_20"/>
      <sheetName val="Addl_63_(2)"/>
      <sheetName val="A 3_7"/>
      <sheetName val="04REL"/>
      <sheetName val="UK"/>
      <sheetName val="Scheme Area Details_Block__ C2"/>
      <sheetName val="New33KVSS_E3"/>
      <sheetName val="Prop aug of Ex 33KVSS_E3a"/>
      <sheetName val="Salient1"/>
      <sheetName val="Cat_Ser_load"/>
      <sheetName val="data"/>
      <sheetName val="Sheet1"/>
      <sheetName val="Data base Feb 09"/>
      <sheetName val="grid"/>
      <sheetName val="Unit_Rate1"/>
      <sheetName val="160MVA_Addl1"/>
      <sheetName val="220KV_FB1"/>
      <sheetName val="315MVA_Addl1"/>
      <sheetName val="Addl_402"/>
      <sheetName val="Addl_201"/>
      <sheetName val="Addl_63_(2)1"/>
      <sheetName val="132kv_DCDS"/>
      <sheetName val="A_3_7"/>
      <sheetName val="Data_base_Feb_09"/>
      <sheetName val="Scheme_Area_Details_Block___C2"/>
      <sheetName val="Prop_aug_of_Ex_33KVSS_E3a"/>
      <sheetName val="Inputs"/>
      <sheetName val="Dom"/>
      <sheetName val="ATP"/>
      <sheetName val="R_Hrs_ Since Comm"/>
      <sheetName val="Coalmine"/>
      <sheetName val="Basis"/>
      <sheetName val="PACK (B)"/>
      <sheetName val="PACK_(B)"/>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STN WISE EMR"/>
      <sheetName val="Unit_Rate2"/>
      <sheetName val="160MVA_Addl2"/>
      <sheetName val="220KV_FB2"/>
      <sheetName val="315MVA_Addl2"/>
      <sheetName val="Addl_403"/>
      <sheetName val="Addl_202"/>
      <sheetName val="Addl_63_(2)2"/>
      <sheetName val="132kv_DCDS1"/>
      <sheetName val="A_3_71"/>
      <sheetName val="Data_base_Feb_091"/>
      <sheetName val="Unit_Rate3"/>
      <sheetName val="160MVA_Addl3"/>
      <sheetName val="220KV_FB3"/>
      <sheetName val="315MVA_Addl3"/>
      <sheetName val="Addl_404"/>
      <sheetName val="Addl_203"/>
      <sheetName val="Addl_63_(2)3"/>
      <sheetName val="132kv_DCDS2"/>
      <sheetName val="A_3_72"/>
      <sheetName val="Data_base_Feb_092"/>
      <sheetName val="A"/>
      <sheetName val="RATIOS"/>
      <sheetName val="Flight-1"/>
      <sheetName val="SUMMERY"/>
      <sheetName val="Work_sheet"/>
      <sheetName val="dpc cost"/>
      <sheetName val="Survey Status_2"/>
      <sheetName val="% of Elect"/>
      <sheetName val="cap all"/>
      <sheetName val="Lead Statement"/>
      <sheetName val="Detailed Estimate"/>
      <sheetName val="Labour charges"/>
      <sheetName val="Sheet3"/>
      <sheetName val="A2-02-03"/>
      <sheetName val="all"/>
      <sheetName val="Form-C4"/>
      <sheetName val="RevenueInput"/>
      <sheetName val="cover1"/>
      <sheetName val="Stationwise Thermal &amp; Hydel Gen"/>
      <sheetName val="Executive Summary -Thermal"/>
      <sheetName val="TWELVE"/>
      <sheetName val="2004"/>
      <sheetName val="indapsp"/>
      <sheetName val="indapep"/>
      <sheetName val="indapnp"/>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row r="38">
          <cell r="A38" t="str">
            <v xml:space="preserve">ESTIMATE FOR INSTALLATION OF ADDITIONAL 1X40MVA 132/33KV TRANSFORMER AT EXISTING EHV SUBSTATION </v>
          </cell>
        </row>
      </sheetData>
      <sheetData sheetId="4">
        <row r="38">
          <cell r="A38" t="str">
            <v xml:space="preserve">ESTIMATE FOR INSTALLATION OF ADDITIONAL 1X40MVA 132/33KV TRANSFORMER AT EXISTING EHV SUBSTATION </v>
          </cell>
        </row>
      </sheetData>
      <sheetData sheetId="5">
        <row r="38">
          <cell r="A38" t="str">
            <v xml:space="preserve">ESTIMATE FOR INSTALLATION OF ADDITIONAL 1X40MVA 132/33KV TRANSFORMER AT EXISTING EHV SUBSTATION </v>
          </cell>
        </row>
      </sheetData>
      <sheetData sheetId="6">
        <row r="38">
          <cell r="A38" t="str">
            <v xml:space="preserve">ESTIMATE FOR INSTALLATION OF ADDITIONAL 1X40MVA 132/33KV TRANSFORMER AT EXISTING EHV SUBSTATION </v>
          </cell>
        </row>
      </sheetData>
      <sheetData sheetId="7">
        <row r="38">
          <cell r="A38" t="str">
            <v xml:space="preserve">ESTIMATE FOR INSTALLATION OF ADDITIONAL 1X40MVA 132/33KV TRANSFORMER AT EXISTING EHV SUBSTATION </v>
          </cell>
        </row>
      </sheetData>
      <sheetData sheetId="8">
        <row r="38">
          <cell r="A38" t="str">
            <v xml:space="preserve">ESTIMATE FOR INSTALLATION OF ADDITIONAL 1X40MVA 132/33KV TRANSFORMER AT EXISTING EHV SUBSTATION </v>
          </cell>
        </row>
      </sheetData>
      <sheetData sheetId="9">
        <row r="38">
          <cell r="A38" t="str">
            <v xml:space="preserve">ESTIMATE FOR INSTALLATION OF ADDITIONAL 1X40MVA 132/33KV TRANSFORMER AT EXISTING EHV SUBSTATION </v>
          </cell>
        </row>
      </sheetData>
      <sheetData sheetId="10">
        <row r="38">
          <cell r="A38" t="str">
            <v xml:space="preserve">ESTIMATE FOR INSTALLATION OF ADDITIONAL 1X40MVA 132/33KV TRANSFORMER AT EXISTING EHV SUBSTATION </v>
          </cell>
        </row>
      </sheetData>
      <sheetData sheetId="11">
        <row r="38">
          <cell r="A38" t="str">
            <v xml:space="preserve">ESTIMATE FOR INSTALLATION OF ADDITIONAL 1X40MVA 132/33KV TRANSFORMER AT EXISTING EHV SUBSTATION </v>
          </cell>
        </row>
      </sheetData>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xml:space="preserve">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
(with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xml:space="preserve"> </v>
          </cell>
        </row>
        <row r="173">
          <cell r="I173" t="str">
            <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xml:space="preserve"> </v>
          </cell>
        </row>
        <row r="186">
          <cell r="I186" t="str">
            <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xml:space="preserve"> </v>
          </cell>
        </row>
        <row r="198">
          <cell r="A198" t="str">
            <v xml:space="preserve"> </v>
          </cell>
          <cell r="B198" t="str">
            <v xml:space="preserve">Foundation work of </v>
          </cell>
          <cell r="C198">
            <v>0</v>
          </cell>
          <cell r="D198">
            <v>0</v>
          </cell>
          <cell r="E198">
            <v>0</v>
          </cell>
          <cell r="F198">
            <v>0</v>
          </cell>
          <cell r="G198">
            <v>0</v>
          </cell>
          <cell r="H198">
            <v>0</v>
          </cell>
          <cell r="I198" t="str">
            <v xml:space="preserve"> </v>
          </cell>
        </row>
        <row r="199">
          <cell r="I199" t="str">
            <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xml:space="preserve">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8">
          <cell r="A38">
            <v>0</v>
          </cell>
        </row>
      </sheetData>
      <sheetData sheetId="39">
        <row r="38">
          <cell r="A38">
            <v>0</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ow r="38">
          <cell r="A38">
            <v>0</v>
          </cell>
        </row>
      </sheetData>
      <sheetData sheetId="46">
        <row r="38">
          <cell r="A38">
            <v>0</v>
          </cell>
        </row>
      </sheetData>
      <sheetData sheetId="47">
        <row r="38">
          <cell r="A38" t="str">
            <v xml:space="preserve">ESTIMATE FOR INSTALLATION OF ADDITIONAL 1X40MVA 132/33KV TRANSFORMER AT EXISTING EHV SUBSTATION </v>
          </cell>
        </row>
      </sheetData>
      <sheetData sheetId="48">
        <row r="38">
          <cell r="A38" t="str">
            <v xml:space="preserve">ESTIMATE FOR INSTALLATION OF ADDITIONAL 1X40MVA 132/33KV TRANSFORMER AT EXISTING EHV SUBSTATION </v>
          </cell>
        </row>
      </sheetData>
      <sheetData sheetId="49" refreshError="1"/>
      <sheetData sheetId="50" refreshError="1"/>
      <sheetData sheetId="51" refreshError="1"/>
      <sheetData sheetId="52" refreshError="1"/>
      <sheetData sheetId="53" refreshError="1"/>
      <sheetData sheetId="54">
        <row r="38">
          <cell r="A38">
            <v>0</v>
          </cell>
        </row>
      </sheetData>
      <sheetData sheetId="55">
        <row r="38">
          <cell r="A38" t="str">
            <v xml:space="preserve">ESTIMATE FOR INSTALLATION OF ADDITIONAL 1X40MVA 132/33KV TRANSFORMER AT EXISTING EHV SUBSTATION </v>
          </cell>
        </row>
      </sheetData>
      <sheetData sheetId="56">
        <row r="38">
          <cell r="A38">
            <v>0</v>
          </cell>
        </row>
      </sheetData>
      <sheetData sheetId="57">
        <row r="38">
          <cell r="A38" t="str">
            <v xml:space="preserve">ESTIMATE FOR INSTALLATION OF ADDITIONAL 1X40MVA 132/33KV TRANSFORMER AT EXISTING EHV SUBSTATION </v>
          </cell>
        </row>
      </sheetData>
      <sheetData sheetId="58">
        <row r="38">
          <cell r="A38">
            <v>0</v>
          </cell>
        </row>
      </sheetData>
      <sheetData sheetId="59">
        <row r="38">
          <cell r="A38" t="str">
            <v xml:space="preserve">ESTIMATE FOR INSTALLATION OF ADDITIONAL 1X40MVA 132/33KV TRANSFORMER AT EXISTING EHV SUBSTATION </v>
          </cell>
        </row>
      </sheetData>
      <sheetData sheetId="60">
        <row r="38">
          <cell r="A38">
            <v>0</v>
          </cell>
        </row>
      </sheetData>
      <sheetData sheetId="61">
        <row r="38">
          <cell r="A38" t="str">
            <v xml:space="preserve">ESTIMATE FOR INSTALLATION OF ADDITIONAL 1X40MVA 132/33KV TRANSFORMER AT EXISTING EHV SUBSTATION </v>
          </cell>
        </row>
      </sheetData>
      <sheetData sheetId="62">
        <row r="38">
          <cell r="A38">
            <v>0</v>
          </cell>
        </row>
      </sheetData>
      <sheetData sheetId="63">
        <row r="38">
          <cell r="A38" t="str">
            <v xml:space="preserve">ESTIMATE FOR INSTALLATION OF ADDITIONAL 1X40MVA 132/33KV TRANSFORMER AT EXISTING EHV SUBSTATION </v>
          </cell>
        </row>
      </sheetData>
      <sheetData sheetId="64">
        <row r="38">
          <cell r="A38">
            <v>0</v>
          </cell>
        </row>
      </sheetData>
      <sheetData sheetId="65">
        <row r="38">
          <cell r="A38" t="str">
            <v xml:space="preserve">ESTIMATE FOR INSTALLATION OF ADDITIONAL 1X40MVA 132/33KV TRANSFORMER AT EXISTING EHV SUBSTATION </v>
          </cell>
        </row>
      </sheetData>
      <sheetData sheetId="66">
        <row r="38">
          <cell r="A38">
            <v>0</v>
          </cell>
        </row>
      </sheetData>
      <sheetData sheetId="67">
        <row r="38">
          <cell r="A38" t="str">
            <v xml:space="preserve">ESTIMATE FOR INSTALLATION OF ADDITIONAL 1X40MVA 132/33KV TRANSFORMER AT EXISTING EHV SUBSTATION </v>
          </cell>
        </row>
      </sheetData>
      <sheetData sheetId="68">
        <row r="38">
          <cell r="A38">
            <v>0</v>
          </cell>
        </row>
      </sheetData>
      <sheetData sheetId="69">
        <row r="38">
          <cell r="A38" t="str">
            <v xml:space="preserve">ESTIMATE FOR INSTALLATION OF ADDITIONAL 1X40MVA 132/33KV TRANSFORMER AT EXISTING EHV SUBSTATION </v>
          </cell>
        </row>
      </sheetData>
      <sheetData sheetId="70">
        <row r="38">
          <cell r="A38">
            <v>0</v>
          </cell>
        </row>
      </sheetData>
      <sheetData sheetId="71">
        <row r="38">
          <cell r="A38" t="str">
            <v xml:space="preserve">ESTIMATE FOR INSTALLATION OF ADDITIONAL 1X40MVA 132/33KV TRANSFORMER AT EXISTING EHV SUBSTATION </v>
          </cell>
        </row>
      </sheetData>
      <sheetData sheetId="72">
        <row r="38">
          <cell r="A38">
            <v>0</v>
          </cell>
        </row>
      </sheetData>
      <sheetData sheetId="73">
        <row r="38">
          <cell r="A38" t="str">
            <v xml:space="preserve">ESTIMATE FOR INSTALLATION OF ADDITIONAL 1X40MVA 132/33KV TRANSFORMER AT EXISTING EHV SUBSTATION </v>
          </cell>
        </row>
      </sheetData>
      <sheetData sheetId="74">
        <row r="38">
          <cell r="A38">
            <v>0</v>
          </cell>
        </row>
      </sheetData>
      <sheetData sheetId="75">
        <row r="38">
          <cell r="A38" t="str">
            <v xml:space="preserve">ESTIMATE FOR INSTALLATION OF ADDITIONAL 1X40MVA 132/33KV TRANSFORMER AT EXISTING EHV SUBSTATION </v>
          </cell>
        </row>
      </sheetData>
      <sheetData sheetId="76">
        <row r="38">
          <cell r="A38">
            <v>0</v>
          </cell>
        </row>
      </sheetData>
      <sheetData sheetId="77">
        <row r="38">
          <cell r="A38" t="str">
            <v xml:space="preserve">ESTIMATE FOR INSTALLATION OF ADDITIONAL 1X40MVA 132/33KV TRANSFORMER AT EXISTING EHV SUBSTATION </v>
          </cell>
        </row>
      </sheetData>
      <sheetData sheetId="78">
        <row r="38">
          <cell r="A38">
            <v>0</v>
          </cell>
        </row>
      </sheetData>
      <sheetData sheetId="79">
        <row r="38">
          <cell r="A38" t="str">
            <v xml:space="preserve">ESTIMATE FOR INSTALLATION OF ADDITIONAL 1X40MVA 132/33KV TRANSFORMER AT EXISTING EHV SUBSTATION </v>
          </cell>
        </row>
      </sheetData>
      <sheetData sheetId="80">
        <row r="38">
          <cell r="A38">
            <v>0</v>
          </cell>
        </row>
      </sheetData>
      <sheetData sheetId="81">
        <row r="38">
          <cell r="A38" t="str">
            <v xml:space="preserve">ESTIMATE FOR INSTALLATION OF ADDITIONAL 1X40MVA 132/33KV TRANSFORMER AT EXISTING EHV SUBSTATION </v>
          </cell>
        </row>
      </sheetData>
      <sheetData sheetId="82">
        <row r="38">
          <cell r="A38">
            <v>0</v>
          </cell>
        </row>
      </sheetData>
      <sheetData sheetId="83">
        <row r="38">
          <cell r="A38" t="str">
            <v xml:space="preserve">ESTIMATE FOR INSTALLATION OF ADDITIONAL 1X40MVA 132/33KV TRANSFORMER AT EXISTING EHV SUBSTATION </v>
          </cell>
        </row>
      </sheetData>
      <sheetData sheetId="84">
        <row r="38">
          <cell r="A38">
            <v>0</v>
          </cell>
        </row>
      </sheetData>
      <sheetData sheetId="85">
        <row r="38">
          <cell r="A38" t="str">
            <v xml:space="preserve">ESTIMATE FOR INSTALLATION OF ADDITIONAL 1X40MVA 132/33KV TRANSFORMER AT EXISTING EHV SUBSTATION </v>
          </cell>
        </row>
      </sheetData>
      <sheetData sheetId="86">
        <row r="38">
          <cell r="A38">
            <v>0</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v>0</v>
          </cell>
        </row>
      </sheetData>
      <sheetData sheetId="91">
        <row r="38">
          <cell r="A38" t="str">
            <v xml:space="preserve">ESTIMATE FOR INSTALLATION OF ADDITIONAL 1X40MVA 132/33KV TRANSFORMER AT EXISTING EHV SUBSTATION </v>
          </cell>
        </row>
      </sheetData>
      <sheetData sheetId="92">
        <row r="38">
          <cell r="A38">
            <v>0</v>
          </cell>
        </row>
      </sheetData>
      <sheetData sheetId="93">
        <row r="38">
          <cell r="A38" t="str">
            <v xml:space="preserve">ESTIMATE FOR INSTALLATION OF ADDITIONAL 1X40MVA 132/33KV TRANSFORMER AT EXISTING EHV SUBSTATION </v>
          </cell>
        </row>
      </sheetData>
      <sheetData sheetId="94">
        <row r="38">
          <cell r="A38">
            <v>0</v>
          </cell>
        </row>
      </sheetData>
      <sheetData sheetId="95">
        <row r="38">
          <cell r="A38" t="str">
            <v xml:space="preserve">ESTIMATE FOR INSTALLATION OF ADDITIONAL 1X40MVA 132/33KV TRANSFORMER AT EXISTING EHV SUBSTATION </v>
          </cell>
        </row>
      </sheetData>
      <sheetData sheetId="96"/>
      <sheetData sheetId="97">
        <row r="38">
          <cell r="A38" t="str">
            <v xml:space="preserve">ESTIMATE FOR INSTALLATION OF ADDITIONAL 1X40MVA 132/33KV TRANSFORMER AT EXISTING EHV SUBSTATION </v>
          </cell>
        </row>
      </sheetData>
      <sheetData sheetId="98"/>
      <sheetData sheetId="99">
        <row r="38">
          <cell r="A38" t="str">
            <v xml:space="preserve">ESTIMATE FOR INSTALLATION OF ADDITIONAL 1X40MVA 132/33KV TRANSFORMER AT EXISTING EHV SUBSTATION </v>
          </cell>
        </row>
      </sheetData>
      <sheetData sheetId="100"/>
      <sheetData sheetId="101">
        <row r="38">
          <cell r="A38" t="str">
            <v xml:space="preserve">ESTIMATE FOR INSTALLATION OF ADDITIONAL 1X40MVA 132/33KV TRANSFORMER AT EXISTING EHV SUBSTATION </v>
          </cell>
        </row>
      </sheetData>
      <sheetData sheetId="102"/>
      <sheetData sheetId="103">
        <row r="38">
          <cell r="A38" t="str">
            <v xml:space="preserve">ESTIMATE FOR INSTALLATION OF ADDITIONAL 1X40MVA 132/33KV TRANSFORMER AT EXISTING EHV SUBSTATION </v>
          </cell>
        </row>
      </sheetData>
      <sheetData sheetId="104"/>
      <sheetData sheetId="105">
        <row r="38">
          <cell r="A38" t="str">
            <v xml:space="preserve">ESTIMATE FOR INSTALLATION OF ADDITIONAL 1X40MVA 132/33KV TRANSFORMER AT EXISTING EHV SUBSTATION </v>
          </cell>
        </row>
      </sheetData>
      <sheetData sheetId="106"/>
      <sheetData sheetId="107">
        <row r="38">
          <cell r="A38" t="str">
            <v xml:space="preserve">ESTIMATE FOR INSTALLATION OF ADDITIONAL 1X40MVA 132/33KV TRANSFORMER AT EXISTING EHV SUBSTATION </v>
          </cell>
        </row>
      </sheetData>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Print"/>
      <sheetName val="EA_II"/>
      <sheetName val="EA_III_stnwise"/>
      <sheetName val="Tr Loss WR,MP,Tot "/>
      <sheetName val="THERMAL"/>
      <sheetName val="CSD0506"/>
      <sheetName val="Monthwise_MPLOSS"/>
      <sheetName val="HYDEL"/>
      <sheetName val="STN WISE EMR"/>
      <sheetName val="MPPGCL-injection"/>
      <sheetName val="Monthwise Inj_Losses"/>
      <sheetName val="Sheet1"/>
      <sheetName val="EA_IV"/>
      <sheetName val="EA_III"/>
      <sheetName val="EA_Summary"/>
      <sheetName val="EA_I"/>
      <sheetName val="Sheet6"/>
      <sheetName val="Sheet3"/>
      <sheetName val="Tr Loss WR,MP,Tot"/>
      <sheetName val="CHECK SHEET NEW"/>
      <sheetName val="BUS LOSSES"/>
      <sheetName val="Amount"/>
      <sheetName val="PRF"/>
      <sheetName val="Tr_Loss_WR,MP,Tot_"/>
      <sheetName val="STN_WISE_EMR"/>
      <sheetName val="Monthwise_Inj_Losses"/>
      <sheetName val="Tr_Loss_WR,MP,Tot"/>
      <sheetName val="CHECK_SHEET_NEW"/>
      <sheetName val="BUS_LOSSES"/>
      <sheetName val="EDWise"/>
      <sheetName val="Tr_Loss_WR,MP,Tot_1"/>
      <sheetName val="STN_WISE_EMR1"/>
      <sheetName val="Monthwise_Inj_Losses1"/>
      <sheetName val="Tr_Loss_WR,MP,Tot1"/>
      <sheetName val="CHECK_SHEET_NEW1"/>
      <sheetName val="BUS_LOSSES1"/>
      <sheetName val="Tr_Loss_WR,MP,Tot_2"/>
      <sheetName val="STN_WISE_EMR2"/>
      <sheetName val="Monthwise_Inj_Losses2"/>
      <sheetName val="Tr_Loss_WR,MP,Tot2"/>
      <sheetName val="CHECK_SHEET_NEW2"/>
      <sheetName val="BUS_LOSSES2"/>
      <sheetName val="D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C  (2)"/>
      <sheetName val="Sheet2 (2)"/>
      <sheetName val="33 KV LOSS (4)"/>
      <sheetName val="format A_CIRCLE"/>
      <sheetName val="format A_DIVISIONS"/>
      <sheetName val="format A_DHQ"/>
      <sheetName val="Sheet5"/>
      <sheetName val="Sheet2"/>
      <sheetName val="Format-A (B)"/>
      <sheetName val="Format-A (S)"/>
      <sheetName val="Format-A"/>
      <sheetName val="Format-A (HQ)"/>
      <sheetName val="Annex-A"/>
      <sheetName val="Annex-B"/>
      <sheetName val="Annex-C "/>
      <sheetName val="Annex-D"/>
      <sheetName val="Sheet1"/>
      <sheetName val="Sheet3"/>
    </sheetNames>
    <sheetDataSet>
      <sheetData sheetId="0" refreshError="1"/>
      <sheetData sheetId="1" refreshError="1">
        <row r="8">
          <cell r="R8">
            <v>-54907.00000003539</v>
          </cell>
        </row>
      </sheetData>
      <sheetData sheetId="2" refreshError="1"/>
      <sheetData sheetId="3" refreshError="1"/>
      <sheetData sheetId="4" refreshError="1"/>
      <sheetData sheetId="5" refreshError="1"/>
      <sheetData sheetId="6" refreshError="1"/>
      <sheetData sheetId="7" refreshError="1"/>
      <sheetData sheetId="8" refreshError="1">
        <row r="41">
          <cell r="C41">
            <v>0.40404815262260768</v>
          </cell>
        </row>
      </sheetData>
      <sheetData sheetId="9" refreshError="1">
        <row r="41">
          <cell r="C41">
            <v>0.55741895581120759</v>
          </cell>
        </row>
      </sheetData>
      <sheetData sheetId="10" refreshError="1">
        <row r="41">
          <cell r="C41">
            <v>0.49615648996847839</v>
          </cell>
        </row>
      </sheetData>
      <sheetData sheetId="11" refreshError="1">
        <row r="41">
          <cell r="C41">
            <v>0.19817192796962479</v>
          </cell>
        </row>
      </sheetData>
      <sheetData sheetId="12" refreshError="1"/>
      <sheetData sheetId="13" refreshError="1"/>
      <sheetData sheetId="14" refreshError="1"/>
      <sheetData sheetId="15" refreshError="1"/>
      <sheetData sheetId="16" refreshError="1">
        <row r="35">
          <cell r="D35">
            <v>0.56037716999999998</v>
          </cell>
        </row>
        <row r="90">
          <cell r="D90">
            <v>0.62140597294160027</v>
          </cell>
        </row>
        <row r="102">
          <cell r="C102">
            <v>128.51896270848053</v>
          </cell>
        </row>
        <row r="103">
          <cell r="C103">
            <v>189.23430431483635</v>
          </cell>
        </row>
        <row r="104">
          <cell r="D104">
            <v>11.887847776683676</v>
          </cell>
        </row>
      </sheetData>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GENERATION"/>
      <sheetName val="DR"/>
      <sheetName val="DRAWAL"/>
      <sheetName val="INTER-REGIONAL ENERGY EXHANGE"/>
      <sheetName val="GOA"/>
      <sheetName val="POP9900"/>
      <sheetName val="Sheet2"/>
      <sheetName val="C_S_GENERATION"/>
      <sheetName val=""/>
      <sheetName val="Discom Details"/>
      <sheetName val="Stationwise Thermal &amp; Hydel Gen"/>
      <sheetName val="Executive Summary -Thermal"/>
      <sheetName val="TWELVE"/>
      <sheetName val="R.Hrs. Since Comm"/>
      <sheetName val="all"/>
      <sheetName val="RevenueInput"/>
      <sheetName val="cover1"/>
      <sheetName val="2004"/>
      <sheetName val="Addl.40"/>
      <sheetName val="04REL"/>
      <sheetName val="220 11  BS "/>
      <sheetName val="Sheet1"/>
      <sheetName val="Format-A (B)"/>
      <sheetName val="Format-A"/>
      <sheetName val="Format-A (HQ)"/>
      <sheetName val="Sheet2 (2)"/>
      <sheetName val="Format-A (S)"/>
      <sheetName val="A 3.7"/>
      <sheetName val="Data base Feb 09"/>
      <sheetName val="Form-C4"/>
      <sheetName val="Salient1"/>
      <sheetName val="CSD"/>
      <sheetName val="Addl_40"/>
      <sheetName val="cap all"/>
      <sheetName val="STN WISE EMR"/>
      <sheetName val="C_S_GENERATION1"/>
      <sheetName val="INTER-REGIONAL_ENERGY_EXHANGE"/>
      <sheetName val="Discom_Details"/>
      <sheetName val="R_Hrs__Since_Comm"/>
      <sheetName val="A_3_7"/>
      <sheetName val="Data_base_Feb_09"/>
      <sheetName val="220_11__BS_"/>
      <sheetName val="C_S_GENERATION2"/>
      <sheetName val="INTER-REGIONAL_ENERGY_EXHANGE1"/>
      <sheetName val="Discom_Details1"/>
      <sheetName val="C_S_GENERATION3"/>
      <sheetName val="INTER-REGIONAL_ENERGY_EXHANGE2"/>
      <sheetName val="Discom_Details2"/>
      <sheetName val="METER"/>
      <sheetName val="Village Wise Proposed Data (3)"/>
      <sheetName val="Village Wise Proposed Data (4)"/>
      <sheetName val="Village Wise Proposed Data  (5)"/>
      <sheetName val="DETAILED  BOQ"/>
      <sheetName val="data"/>
      <sheetName val="ATP"/>
      <sheetName val="ZKOK6"/>
      <sheetName val="indapsp"/>
      <sheetName val="indapep"/>
      <sheetName val="indapnp"/>
      <sheetName val="Dom"/>
      <sheetName val="SS-III &amp; SS-V"/>
      <sheetName val="Sheet3"/>
      <sheetName val="Labour charges"/>
      <sheetName val="Lead Statement"/>
      <sheetName val="A2-02-03"/>
      <sheetName val="Mortars"/>
      <sheetName val="Lead statement-Tpt"/>
      <sheetName val="7.11 p1"/>
      <sheetName val="Sheet4"/>
      <sheetName val="acd piv25.9"/>
      <sheetName val="ac"/>
      <sheetName val="bba 9-15"/>
      <sheetName val="PIV30.9"/>
      <sheetName val="PIV F"/>
      <sheetName val="LEDGER"/>
      <sheetName val="Detailed Estimate"/>
      <sheetName val="feasibility requir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m Details"/>
      <sheetName val="Sheet1"/>
      <sheetName val="Sheet2"/>
      <sheetName val="Sheet3"/>
    </sheetNames>
    <sheetDataSet>
      <sheetData sheetId="0" refreshError="1">
        <row r="721">
          <cell r="F721">
            <v>0</v>
          </cell>
        </row>
      </sheetData>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Bombaybazar(Remark)"/>
      <sheetName val="HLY_-99-00"/>
      <sheetName val="Hydro_Data"/>
      <sheetName val="dpc_cost"/>
      <sheetName val="Plant_Availability"/>
      <sheetName val="Discom Details"/>
      <sheetName val="A 3.7"/>
      <sheetName val="C.S.GENERATION"/>
      <sheetName val="Sch-3"/>
      <sheetName val="all"/>
      <sheetName val="RAJ"/>
      <sheetName val="General"/>
      <sheetName val="04REL"/>
      <sheetName val="7.11 p1"/>
      <sheetName val="Cash Flow"/>
      <sheetName val="DCL AUG 12"/>
      <sheetName val="HLY_-99-001"/>
      <sheetName val="Hydro_Data1"/>
      <sheetName val="dpc_cost1"/>
      <sheetName val="Plant_Availability1"/>
      <sheetName val="Discom_Details"/>
      <sheetName val="A_3_7"/>
      <sheetName val="C_S_GENERATION"/>
      <sheetName val="7_11_p1"/>
      <sheetName val="HLY_-99-002"/>
      <sheetName val="Hydro_Data2"/>
      <sheetName val="dpc_cost2"/>
      <sheetName val="Plant_Availability2"/>
      <sheetName val="Discom_Details1"/>
      <sheetName val="A_3_71"/>
      <sheetName val="C_S_GENERATION1"/>
      <sheetName val="7_11_p11"/>
      <sheetName val="HLY_-99-003"/>
      <sheetName val="Hydro_Data3"/>
      <sheetName val="dpc_cost3"/>
      <sheetName val="Plant_Availability3"/>
      <sheetName val="Discom_Details2"/>
      <sheetName val="A_3_72"/>
      <sheetName val="C_S_GENERATION2"/>
      <sheetName val="7_11_p12"/>
      <sheetName val="Assumptions"/>
      <sheetName val="strain"/>
      <sheetName val="data"/>
      <sheetName val="Form-B"/>
      <sheetName val="Cash_Flow"/>
      <sheetName val="4 Annex 1 Basic rate"/>
      <sheetName val="Index Feb 09"/>
      <sheetName val="Data base Feb 09"/>
      <sheetName val="SCF"/>
      <sheetName val="Report"/>
      <sheetName val="CFL-KIM"/>
      <sheetName val="DETAILED  BOQ"/>
      <sheetName val="BLR 1"/>
      <sheetName val="GEN"/>
      <sheetName val="GAS"/>
      <sheetName val="DEAE"/>
      <sheetName val="BLR2"/>
      <sheetName val="BLR3"/>
      <sheetName val="BLR4"/>
      <sheetName val="BLR5"/>
      <sheetName val="DEM"/>
      <sheetName val="SAM"/>
      <sheetName val="CHEM"/>
      <sheetName val="COP"/>
      <sheetName val="tb2002 linked"/>
      <sheetName val="sum"/>
      <sheetName val="DPT-PW"/>
      <sheetName val="Factor_sheet"/>
      <sheetName val="B&amp;CM LIST"/>
      <sheetName val="Energy_bal"/>
      <sheetName val="DIY Affil"/>
      <sheetName val="GAC Affil"/>
      <sheetName val="Format-A (B)"/>
      <sheetName val="Format-A"/>
      <sheetName val="Format-A (HQ)"/>
      <sheetName val="Sheet2 (2)"/>
      <sheetName val="Format-A (S)"/>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Cover"/>
      <sheetName val="Index"/>
      <sheetName val="Guidelines Part-B"/>
      <sheetName val="Declaration "/>
      <sheetName val="Executive-Summary"/>
      <sheetName val="Vol I"/>
      <sheetName val="Vol II"/>
      <sheetName val="Vol III.a"/>
      <sheetName val="Vol III.b"/>
      <sheetName val="Vol III.c"/>
      <sheetName val="Vol IV.a"/>
      <sheetName val="Vol IV.b"/>
      <sheetName val="Vol V.a"/>
      <sheetName val="Vol V.b"/>
      <sheetName val="Annex A"/>
      <sheetName val="Annex B"/>
      <sheetName val="Annex C"/>
      <sheetName val="Annex D"/>
      <sheetName val="Annex E"/>
      <sheetName val="Annex F"/>
      <sheetName val="Loss Reduction Calculations"/>
      <sheetName val="annexure_k1_LLF"/>
      <sheetName val="k2_LT_line_loss_computation"/>
      <sheetName val="K3_Hodal1_LT_HVDS"/>
      <sheetName val="K4_Hodal2_LT_HVDS"/>
      <sheetName val="K5_Hodal3_LT_HVDS"/>
      <sheetName val="K6_Power_fact_corr"/>
      <sheetName val="K7_DT_Loses"/>
      <sheetName val="K7_Hodal_1_HT_Losses"/>
      <sheetName val="K8_Hodal_2_HT_Losses"/>
      <sheetName val="K9_Hodal_3_HT_Losses"/>
      <sheetName val="K10_commercial losses"/>
      <sheetName val="annexture-g1"/>
      <sheetName val="annexure-g2"/>
      <sheetName val="annexure-g3"/>
      <sheetName val="annexure I1_meter_cost"/>
      <sheetName val="annexure-i3_cap"/>
      <sheetName val="annexure-i4_conductor_11KV"/>
      <sheetName val="annexure-i6_LT2HVDS"/>
      <sheetName val="annexurei7_hodal-4"/>
      <sheetName val="annexure-i8-pole_bom_accessorie"/>
      <sheetName val="annexure-i8-pole_bom "/>
      <sheetName val="annexure-i8-pole_AB"/>
      <sheetName val="annexure-i9"/>
      <sheetName val="annexure-i10"/>
      <sheetName val="annexure-i11"/>
      <sheetName val="annexure-i12"/>
      <sheetName val="annexure-i13"/>
      <sheetName val="proposed_transformers"/>
      <sheetName val="Approved Rate"/>
      <sheetName val="power_transformer"/>
      <sheetName val="growth_estimations"/>
      <sheetName val="DT Meters"/>
      <sheetName val="Mobile_service_center"/>
      <sheetName val="Sheet1"/>
      <sheetName val="Input_Sheet"/>
      <sheetName val="Guidelines_Part-B"/>
      <sheetName val="Declaration_"/>
      <sheetName val="Vol_I"/>
      <sheetName val="Vol_II"/>
      <sheetName val="Vol_III_a"/>
      <sheetName val="Vol_III_b"/>
      <sheetName val="Vol_III_c"/>
      <sheetName val="Vol_IV_a"/>
      <sheetName val="Vol_IV_b"/>
      <sheetName val="Vol_V_a"/>
      <sheetName val="Vol_V_b"/>
      <sheetName val="Annex_A"/>
      <sheetName val="Annex_B"/>
      <sheetName val="Annex_C"/>
      <sheetName val="Annex_D"/>
      <sheetName val="Annex_E"/>
      <sheetName val="Annex_F"/>
      <sheetName val="Loss_Reduction_Calculations"/>
      <sheetName val="K10_commercial_losses"/>
      <sheetName val="annexure_I1_meter_cost"/>
      <sheetName val="annexure-i8-pole_bom_"/>
      <sheetName val="Approved_Rate"/>
      <sheetName val="DT_Meters"/>
      <sheetName val="New33KVSS_E3"/>
      <sheetName val="Prop aug of Ex 33KVSS_E3a"/>
      <sheetName val="Data base"/>
      <sheetName val="Input_Sheet1"/>
      <sheetName val="Guidelines_Part-B1"/>
      <sheetName val="Declaration_1"/>
      <sheetName val="Vol_I1"/>
      <sheetName val="Vol_II1"/>
      <sheetName val="Vol_III_a1"/>
      <sheetName val="Vol_III_b1"/>
      <sheetName val="Vol_III_c1"/>
      <sheetName val="Vol_IV_a1"/>
      <sheetName val="Vol_IV_b1"/>
      <sheetName val="Vol_V_a1"/>
      <sheetName val="Vol_V_b1"/>
      <sheetName val="Annex_A1"/>
      <sheetName val="Annex_B1"/>
      <sheetName val="Annex_C1"/>
      <sheetName val="Annex_D1"/>
      <sheetName val="Annex_E1"/>
      <sheetName val="Annex_F1"/>
      <sheetName val="Loss_Reduction_Calculations1"/>
      <sheetName val="K10_commercial_losses1"/>
      <sheetName val="annexure_I1_meter_cost1"/>
      <sheetName val="annexure-i8-pole_bom_1"/>
      <sheetName val="Approved_Rate1"/>
      <sheetName val="DT_Meters1"/>
      <sheetName val="Input_Sheet2"/>
      <sheetName val="Guidelines_Part-B2"/>
      <sheetName val="Declaration_2"/>
      <sheetName val="Vol_I2"/>
      <sheetName val="Vol_II2"/>
      <sheetName val="Vol_III_a2"/>
      <sheetName val="Vol_III_b2"/>
      <sheetName val="Vol_III_c2"/>
      <sheetName val="Vol_IV_a2"/>
      <sheetName val="Vol_IV_b2"/>
      <sheetName val="Vol_V_a2"/>
      <sheetName val="Vol_V_b2"/>
      <sheetName val="Annex_A2"/>
      <sheetName val="Annex_B2"/>
      <sheetName val="Annex_C2"/>
      <sheetName val="Annex_D2"/>
      <sheetName val="Annex_E2"/>
      <sheetName val="Annex_F2"/>
      <sheetName val="Loss_Reduction_Calculations2"/>
      <sheetName val="K10_commercial_losses2"/>
      <sheetName val="annexure_I1_meter_cost2"/>
      <sheetName val="annexure-i8-pole_bom_2"/>
      <sheetName val="Approved_Rate2"/>
      <sheetName val="DT_Meters2"/>
      <sheetName val="annexture_g1"/>
      <sheetName val="estimate"/>
      <sheetName val="C.S.GENE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  "/>
      <sheetName val="L"/>
      <sheetName val="Inputs"/>
      <sheetName val="Timing"/>
      <sheetName val="Copy"/>
      <sheetName val="CapEx &amp; Ops"/>
      <sheetName val="Debt"/>
      <sheetName val="Tax &amp; Dep"/>
      <sheetName val="FS"/>
      <sheetName val="Equity &amp; Returns"/>
      <sheetName val="Summary"/>
    </sheetNames>
    <sheetDataSet>
      <sheetData sheetId="0" refreshError="1"/>
      <sheetData sheetId="1" refreshError="1"/>
      <sheetData sheetId="2" refreshError="1"/>
      <sheetData sheetId="3" refreshError="1">
        <row r="140">
          <cell r="E140" t="str">
            <v>Oil Co</v>
          </cell>
        </row>
        <row r="141">
          <cell r="E141" t="str">
            <v>KPMG Jan 2008</v>
          </cell>
        </row>
        <row r="142">
          <cell r="E142" t="str">
            <v>On Shore Project 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Print"/>
      <sheetName val="EA_II"/>
      <sheetName val="EA_III_stnwise"/>
      <sheetName val="Tr Loss WR,MP,Tot "/>
      <sheetName val="THERMAL"/>
      <sheetName val="CSD0506"/>
      <sheetName val="Monthwise_MPLOSS"/>
      <sheetName val="HYDEL"/>
      <sheetName val="STN WISE EMR"/>
      <sheetName val="MPPGCL-injection"/>
      <sheetName val="Monthwise Inj_Losses"/>
      <sheetName val="Sheet1"/>
      <sheetName val="EA_IV"/>
      <sheetName val="EA_III"/>
      <sheetName val="EA_Summary"/>
      <sheetName val="EA_I"/>
      <sheetName val="Sheet6"/>
      <sheetName val="Sheet3"/>
      <sheetName val="Tr Loss WR,MP,Tot"/>
      <sheetName val="CHECK SHEET NEW"/>
      <sheetName val="BUS LOSSES"/>
      <sheetName val="Amount"/>
      <sheetName val="PR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Ad"/>
      <sheetName val="Met"/>
      <sheetName val="Reg En Ip"/>
      <sheetName val="Reg Ag LF"/>
      <sheetName val="Tech loss 900"/>
      <sheetName val="STC Ag"/>
      <sheetName val="Ag LF"/>
      <sheetName val="Suppressed en (02-03)"/>
      <sheetName val="Loss red prog"/>
      <sheetName val="Sheet1"/>
      <sheetName val="Vol III_c"/>
      <sheetName val="Annexure.3"/>
      <sheetName val="all"/>
      <sheetName val="1"/>
      <sheetName val="dpc cost"/>
      <sheetName val="SUMMERY"/>
      <sheetName val="Inputs"/>
      <sheetName val="Discom Details"/>
      <sheetName val="Cap_Ad"/>
      <sheetName val="Reg_En_Ip"/>
      <sheetName val="Reg_Ag_LF"/>
      <sheetName val="Tech_loss_900"/>
      <sheetName val="STC_Ag"/>
      <sheetName val="Ag_LF"/>
      <sheetName val="Suppressed_en_(02-03)"/>
      <sheetName val="Loss_red_prog"/>
      <sheetName val="Vol_III_c"/>
      <sheetName val="Annexure_3"/>
      <sheetName val="dpc_cost"/>
      <sheetName val="Discom_Details"/>
      <sheetName val="Scheme Area Details_Block__ C2"/>
      <sheetName val="New33KVSS_E3"/>
      <sheetName val="Prop aug of Ex 33KVSS_E3a"/>
      <sheetName val="ONLINE DUMP"/>
      <sheetName val="Salient1"/>
      <sheetName val="Dom"/>
      <sheetName val="Labour charges"/>
      <sheetName val="erectiob bill details"/>
      <sheetName val="supply bill qty"/>
      <sheetName val="Bill Details"/>
      <sheetName val="ONLINE_DUMP"/>
      <sheetName val="Index Feb 09"/>
      <sheetName val="Data base Feb 09"/>
      <sheetName val="Cap_Ad1"/>
      <sheetName val="Reg_En_Ip1"/>
      <sheetName val="Reg_Ag_LF1"/>
      <sheetName val="Tech_loss_9001"/>
      <sheetName val="STC_Ag1"/>
      <sheetName val="Ag_LF1"/>
      <sheetName val="Suppressed_en_(02-03)1"/>
      <sheetName val="Loss_red_prog1"/>
      <sheetName val="Cap_Ad2"/>
      <sheetName val="Reg_En_Ip2"/>
      <sheetName val="Reg_Ag_LF2"/>
      <sheetName val="Tech_loss_9002"/>
      <sheetName val="STC_Ag2"/>
      <sheetName val="Ag_LF2"/>
      <sheetName val="Suppressed_en_(02-03)2"/>
      <sheetName val="Loss_red_prog2"/>
      <sheetName val="REVENUES &amp; BS"/>
      <sheetName val="REL"/>
      <sheetName val="Assum"/>
      <sheetName val="ST1"/>
      <sheetName val="GIN_VAL_MAR_07"/>
    </sheetNames>
    <sheetDataSet>
      <sheetData sheetId="0" refreshError="1"/>
      <sheetData sheetId="1" refreshError="1"/>
      <sheetData sheetId="2" refreshError="1"/>
      <sheetData sheetId="3" refreshError="1"/>
      <sheetData sheetId="4" refreshError="1"/>
      <sheetData sheetId="5" refreshError="1"/>
      <sheetData sheetId="6" refreshError="1">
        <row r="2">
          <cell r="C2" t="str">
            <v>CONNECTED LOAD</v>
          </cell>
          <cell r="D2">
            <v>0</v>
          </cell>
          <cell r="E2">
            <v>0</v>
          </cell>
          <cell r="F2">
            <v>0</v>
          </cell>
          <cell r="G2">
            <v>0</v>
          </cell>
          <cell r="H2">
            <v>0</v>
          </cell>
          <cell r="I2">
            <v>0</v>
          </cell>
          <cell r="J2">
            <v>0</v>
          </cell>
          <cell r="K2" t="str">
            <v>Load Factor of total metered</v>
          </cell>
        </row>
        <row r="3">
          <cell r="K3" t="str">
            <v>Load Factor of total metered</v>
          </cell>
        </row>
        <row r="4">
          <cell r="B4" t="str">
            <v>Region</v>
          </cell>
          <cell r="C4" t="str">
            <v>Ujjain</v>
          </cell>
          <cell r="D4" t="str">
            <v>Bhopal</v>
          </cell>
          <cell r="E4" t="str">
            <v>Indore</v>
          </cell>
          <cell r="F4" t="str">
            <v>Rewa</v>
          </cell>
          <cell r="G4" t="str">
            <v>Sagar</v>
          </cell>
          <cell r="H4" t="str">
            <v>Jabalpur</v>
          </cell>
          <cell r="I4" t="str">
            <v>Gwalior</v>
          </cell>
          <cell r="J4">
            <v>0</v>
          </cell>
          <cell r="K4" t="str">
            <v>Ujjain</v>
          </cell>
          <cell r="L4" t="str">
            <v>Bhopal</v>
          </cell>
          <cell r="M4" t="str">
            <v>Indore</v>
          </cell>
          <cell r="N4" t="str">
            <v>Rewa</v>
          </cell>
          <cell r="O4" t="str">
            <v>Sagar</v>
          </cell>
          <cell r="P4" t="str">
            <v>Jabalpur</v>
          </cell>
          <cell r="Q4" t="str">
            <v>Gwalior</v>
          </cell>
        </row>
        <row r="6">
          <cell r="B6" t="str">
            <v xml:space="preserve">Metered </v>
          </cell>
        </row>
        <row r="7">
          <cell r="B7" t="str">
            <v>Upto3HP</v>
          </cell>
        </row>
        <row r="8">
          <cell r="B8" t="str">
            <v xml:space="preserve">Above 3HPupto 5HP </v>
          </cell>
        </row>
        <row r="9">
          <cell r="B9" t="str">
            <v xml:space="preserve">Above 5HPupto 10HP </v>
          </cell>
        </row>
        <row r="10">
          <cell r="B10" t="str">
            <v xml:space="preserve">Above 10HPupto 20HP </v>
          </cell>
        </row>
        <row r="11">
          <cell r="B11" t="str">
            <v xml:space="preserve">Above  20HP </v>
          </cell>
        </row>
        <row r="12">
          <cell r="B12" t="str">
            <v>Metered Total</v>
          </cell>
        </row>
        <row r="13">
          <cell r="B13" t="str">
            <v>Metered Total</v>
          </cell>
        </row>
        <row r="14">
          <cell r="B14" t="str">
            <v/>
          </cell>
        </row>
        <row r="16">
          <cell r="B16" t="str">
            <v/>
          </cell>
        </row>
        <row r="17">
          <cell r="B17" t="str">
            <v>Metered and Flat</v>
          </cell>
        </row>
        <row r="18">
          <cell r="B18" t="str">
            <v>Flat</v>
          </cell>
        </row>
        <row r="19">
          <cell r="B19" t="str">
            <v>Temporary</v>
          </cell>
        </row>
        <row r="20">
          <cell r="B20" t="str">
            <v>General</v>
          </cell>
        </row>
        <row r="21">
          <cell r="B21" t="str">
            <v>Free</v>
          </cell>
        </row>
        <row r="24">
          <cell r="B24" t="str">
            <v>Free</v>
          </cell>
        </row>
        <row r="25">
          <cell r="B25" t="str">
            <v>Total Agriculture</v>
          </cell>
        </row>
        <row r="26">
          <cell r="B26" t="str">
            <v>Total Agriculture</v>
          </cell>
        </row>
        <row r="27">
          <cell r="B27" t="str">
            <v>Tot except metered</v>
          </cell>
        </row>
        <row r="29">
          <cell r="B29" t="str">
            <v>Tot except metered</v>
          </cell>
        </row>
        <row r="30">
          <cell r="B30" t="str">
            <v>HT Agriculture</v>
          </cell>
        </row>
        <row r="35">
          <cell r="B35" t="str">
            <v>HT Agriculture</v>
          </cell>
        </row>
        <row r="36">
          <cell r="B36" t="str">
            <v>SCENERIO CHOOSED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C2" t="str">
            <v>CONNECTED LOAD</v>
          </cell>
        </row>
      </sheetData>
      <sheetData sheetId="19">
        <row r="2">
          <cell r="C2" t="str">
            <v>CONNECTED LOAD</v>
          </cell>
        </row>
      </sheetData>
      <sheetData sheetId="20"/>
      <sheetData sheetId="21">
        <row r="2">
          <cell r="C2" t="str">
            <v>CONNECTED LOAD</v>
          </cell>
        </row>
      </sheetData>
      <sheetData sheetId="22"/>
      <sheetData sheetId="23">
        <row r="2">
          <cell r="C2" t="str">
            <v>CONNECTED LOAD</v>
          </cell>
        </row>
      </sheetData>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s>
    <sheetDataSet>
      <sheetData sheetId="0"/>
      <sheetData sheetId="1"/>
      <sheetData sheetId="2"/>
      <sheetData sheetId="3" refreshError="1">
        <row r="1">
          <cell r="P1">
            <v>0.72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form_x0000__x0000__x0000__x0000__x0000__x0000__x0000__x0000__x0000__x0000__x0000__x0000__x0000_"/>
      <sheetName val=""/>
      <sheetName val="form?????????????"/>
      <sheetName val="form"/>
      <sheetName val="04REL"/>
      <sheetName val="SUMMERY"/>
      <sheetName val="form_x0000_"/>
      <sheetName val="Salient1"/>
      <sheetName val="Sept "/>
      <sheetName val="form?"/>
      <sheetName val="RAJ"/>
      <sheetName val="Ag LF"/>
      <sheetName val="form_____________"/>
      <sheetName val="Executive Summary -Thermal"/>
      <sheetName val="Stationwise Thermal &amp; Hydel Gen"/>
      <sheetName val="TWELVE"/>
      <sheetName val="form_"/>
      <sheetName val="all"/>
      <sheetName val="7"/>
      <sheetName val="Labour charges"/>
      <sheetName val="Feb-06"/>
      <sheetName val="Inputs"/>
      <sheetName val="overall"/>
      <sheetName val="dpc cost"/>
      <sheetName val="form_x005f_x0000__x005f_x0000__x005f_x0000__x0000"/>
      <sheetName val="form_x005f_x0000_"/>
      <sheetName val="PART C"/>
      <sheetName val="Part A General"/>
      <sheetName val="Discom Details"/>
      <sheetName val="First information "/>
      <sheetName val="annexture-g1"/>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_3_71"/>
      <sheetName val="A-1_1_1"/>
      <sheetName val="A_2_1_PY1"/>
      <sheetName val="A_2_1_CY1"/>
      <sheetName val="A_2_1_EY1"/>
      <sheetName val="A_2_21"/>
      <sheetName val="A_2_31"/>
      <sheetName val="Power_Pur_3_1_(PY)1"/>
      <sheetName val="Power_Pur_3_1_(CY)1"/>
      <sheetName val="Power_Pur_3_1_(EY)1"/>
      <sheetName val="A_3_21"/>
      <sheetName val="A_3_3_PY1"/>
      <sheetName val="A_3_3_CY1"/>
      <sheetName val="A_3_3_EY1"/>
      <sheetName val="A_3_41"/>
      <sheetName val="A_3_51"/>
      <sheetName val="A_3_6_(PY)1"/>
      <sheetName val="A_3_6_(CY)1"/>
      <sheetName val="A_3_6_(EY)1"/>
      <sheetName val="A_3_72"/>
      <sheetName val="A_3_81"/>
      <sheetName val="A_3_91"/>
      <sheetName val="A_3_10_1"/>
      <sheetName val="A-5_1(PY)1"/>
      <sheetName val="A-5_1(CY)_1"/>
      <sheetName val="A-5_1(EY)1"/>
      <sheetName val="A-5_2(PY)1"/>
      <sheetName val="A-5_2(CY)1"/>
      <sheetName val="A-5_2(EY)1"/>
      <sheetName val="A_-5_31"/>
      <sheetName val="form_6_1_(PY)_Gen1"/>
      <sheetName val="form_6_1(PY)T&amp;D_1"/>
      <sheetName val="form_6_1_(CY)_Gen1"/>
      <sheetName val="form_6_1(CY)_T&amp;D1"/>
      <sheetName val="form_6_1_(EY)_Gen_1"/>
      <sheetName val="form_6_1(EY)_T&amp;D1"/>
      <sheetName val="A_7_11"/>
      <sheetName val="A_7_21"/>
      <sheetName val="A_7_31"/>
      <sheetName val="A_7_41"/>
      <sheetName val="A_8_11"/>
      <sheetName val="A_8_21"/>
      <sheetName val="A_8_31"/>
      <sheetName val="A_8_41"/>
      <sheetName val="A_8_51"/>
      <sheetName val="A_8_61"/>
      <sheetName val="A_8_71"/>
      <sheetName val="A_8_81"/>
      <sheetName val="A_8_91"/>
      <sheetName val="A_8_101"/>
      <sheetName val="8_11_PY1"/>
      <sheetName val="8_11_CY1"/>
      <sheetName val="8_11_EY1"/>
      <sheetName val="A-10_11"/>
      <sheetName val="A_10_2_(A)1"/>
      <sheetName val="A_10_2_B1"/>
      <sheetName val="A_10_2_C1"/>
      <sheetName val="A_10_2_D1"/>
      <sheetName val="A_10_31"/>
      <sheetName val="A_10_41"/>
      <sheetName val="Rev_Calculation1"/>
      <sheetName val="A_9_11"/>
      <sheetName val="A_3_73"/>
      <sheetName val="A-1_1_2"/>
      <sheetName val="A_2_1_PY2"/>
      <sheetName val="A_2_1_CY2"/>
      <sheetName val="A_2_1_EY2"/>
      <sheetName val="A_2_22"/>
      <sheetName val="A_2_32"/>
      <sheetName val="Power_Pur_3_1_(PY)2"/>
      <sheetName val="Power_Pur_3_1_(CY)2"/>
      <sheetName val="Power_Pur_3_1_(EY)2"/>
      <sheetName val="A_3_22"/>
      <sheetName val="A_3_3_PY2"/>
      <sheetName val="A_3_3_CY2"/>
      <sheetName val="A_3_3_EY2"/>
      <sheetName val="A_3_42"/>
      <sheetName val="A_3_52"/>
      <sheetName val="A_3_6_(PY)2"/>
      <sheetName val="A_3_6_(CY)2"/>
      <sheetName val="A_3_6_(EY)2"/>
      <sheetName val="A_3_74"/>
      <sheetName val="A_3_82"/>
      <sheetName val="A_3_92"/>
      <sheetName val="A_3_10_2"/>
      <sheetName val="A-5_1(PY)2"/>
      <sheetName val="A-5_1(CY)_2"/>
      <sheetName val="A-5_1(EY)2"/>
      <sheetName val="A-5_2(PY)2"/>
      <sheetName val="A-5_2(CY)2"/>
      <sheetName val="A-5_2(EY)2"/>
      <sheetName val="A_-5_32"/>
      <sheetName val="form_6_1_(PY)_Gen2"/>
      <sheetName val="form_6_1(PY)T&amp;D_2"/>
      <sheetName val="form_6_1_(CY)_Gen2"/>
      <sheetName val="form_6_1(CY)_T&amp;D2"/>
      <sheetName val="form_6_1_(EY)_Gen_2"/>
      <sheetName val="form_6_1(EY)_T&amp;D2"/>
      <sheetName val="A_7_12"/>
      <sheetName val="A_7_22"/>
      <sheetName val="A_7_32"/>
      <sheetName val="A_7_42"/>
      <sheetName val="A_8_12"/>
      <sheetName val="A_8_22"/>
      <sheetName val="A_8_32"/>
      <sheetName val="A_8_42"/>
      <sheetName val="A_8_52"/>
      <sheetName val="A_8_62"/>
      <sheetName val="A_8_72"/>
      <sheetName val="A_8_82"/>
      <sheetName val="A_8_92"/>
      <sheetName val="A_8_102"/>
      <sheetName val="8_11_PY2"/>
      <sheetName val="8_11_CY2"/>
      <sheetName val="8_11_EY2"/>
      <sheetName val="A-10_12"/>
      <sheetName val="A_10_2_(A)2"/>
      <sheetName val="A_10_2_B2"/>
      <sheetName val="A_10_2_C2"/>
      <sheetName val="A_10_2_D2"/>
      <sheetName val="A_10_32"/>
      <sheetName val="A_10_42"/>
      <sheetName val="Rev_Calculation2"/>
      <sheetName val="A_9_12"/>
      <sheetName val="A_3_75"/>
      <sheetName val="ARR Forms For Submission"/>
      <sheetName val="ANGU"/>
      <sheetName val="breakup of oil"/>
      <sheetName val="Data"/>
      <sheetName val="feasibility require"/>
      <sheetName val="form_x005f_x005f_x005f_x0000__x005f_x005f_x005f_x0000__"/>
      <sheetName val="form_x005f_x005f_x005f_x0000_"/>
      <sheetName val="Form_A"/>
      <sheetName val="Sheet1"/>
      <sheetName val="Total Sec Wise for 12-2007"/>
      <sheetName val="9-09 HT"/>
      <sheetName val="form_x005f_x005f_x005f_x005f_x005f_x005f_x005f_x0000__x"/>
      <sheetName val="form_x005f_x005f_x005f_x005f_x005f_x005f_x005f_x0000_"/>
      <sheetName val="form_x005f_x005f_x005f_x005f_x005f_x005f_x005f_x005f_x0"/>
      <sheetName val="form_x005f_x0000__x005f_x0000__"/>
      <sheetName val="form_x005f_x005f_x005f_x0000__x"/>
      <sheetName val="form_x005f_x005f_x005f_x005f_x0"/>
      <sheetName val="form_x005f_x0000__x"/>
      <sheetName val="form_x005f_x005f_x0"/>
      <sheetName val="form_x0000__x0000__x0000__x0000"/>
      <sheetName val="form_x0000__x0000__"/>
      <sheetName val="Detail Estt."/>
      <sheetName val="Form-A"/>
      <sheetName val="Lead statement"/>
      <sheetName val="SUB"/>
      <sheetName val="Sheet3"/>
      <sheetName val="17b (1)-GOVT"/>
      <sheetName val="50K_GOVT"/>
      <sheetName val="6 (2)"/>
      <sheetName val="Sheet2"/>
      <sheetName val="Defn"/>
      <sheetName val="Quoted"/>
      <sheetName val="DETAILED  BOQ"/>
      <sheetName val="Quote Sheet"/>
      <sheetName val="Hydro Data"/>
      <sheetName val="form_x0000__x"/>
      <sheetName val="form_x0"/>
    </sheetNames>
    <sheetDataSet>
      <sheetData sheetId="0">
        <row r="35">
          <cell r="I35">
            <v>63490.540060935658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G35">
            <v>64254.226096970044</v>
          </cell>
          <cell r="I35">
            <v>63490.540060935658</v>
          </cell>
        </row>
        <row r="44">
          <cell r="I44">
            <v>17654.636270525258</v>
          </cell>
        </row>
      </sheetData>
      <sheetData sheetId="19"/>
      <sheetData sheetId="20">
        <row r="35">
          <cell r="I35">
            <v>63490.540060935658</v>
          </cell>
        </row>
      </sheetData>
      <sheetData sheetId="21">
        <row r="35">
          <cell r="I35">
            <v>63490.540060935658</v>
          </cell>
        </row>
      </sheetData>
      <sheetData sheetId="22">
        <row r="35">
          <cell r="I35">
            <v>63490.540060935658</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35">
          <cell r="I35">
            <v>63490.540060935658</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35">
          <cell r="I35">
            <v>63490.540060935658</v>
          </cell>
        </row>
      </sheetData>
      <sheetData sheetId="189">
        <row r="35">
          <cell r="I35">
            <v>63490.540060935658</v>
          </cell>
        </row>
      </sheetData>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ow r="35">
          <cell r="G35">
            <v>64254.226096970044</v>
          </cell>
        </row>
      </sheetData>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RATIVE"/>
      <sheetName val="SOR RATE"/>
      <sheetName val="A-1"/>
      <sheetName val="A-2 (A)"/>
      <sheetName val="A-2 (B)"/>
      <sheetName val="A-3"/>
      <sheetName val="A-3 (A)"/>
      <sheetName val="A-3 (B)"/>
      <sheetName val="A-4"/>
      <sheetName val="A-5"/>
      <sheetName val="A-6"/>
      <sheetName val="A-7"/>
      <sheetName val="A-8"/>
      <sheetName val="A-9"/>
      <sheetName val="A-10"/>
      <sheetName val="A-11"/>
      <sheetName val="B-1"/>
      <sheetName val="B-2"/>
      <sheetName val="B-3"/>
      <sheetName val="B-4"/>
      <sheetName val="B-5"/>
      <sheetName val="B-6"/>
      <sheetName val="B-8"/>
      <sheetName val="B-9"/>
      <sheetName val="C-1"/>
      <sheetName val="C-2"/>
      <sheetName val="C-3"/>
      <sheetName val="C-3 (A)"/>
      <sheetName val="C-3 (B)"/>
      <sheetName val="C-3 (C)"/>
      <sheetName val="C-3 (D)"/>
      <sheetName val="C-3 (E)"/>
      <sheetName val="C-4"/>
      <sheetName val="C-5"/>
      <sheetName val="C-6"/>
      <sheetName val="C-7(A-1)"/>
      <sheetName val="C-7(A-2)"/>
      <sheetName val="C-7(B-1)"/>
      <sheetName val="C-7 (B-1) A"/>
      <sheetName val="C-7 (B-1) B"/>
      <sheetName val="C-7(B-2)"/>
      <sheetName val="C-8"/>
      <sheetName val="C-9"/>
      <sheetName val="C-9 (A)"/>
      <sheetName val="C-10"/>
      <sheetName val="C-11"/>
      <sheetName val="C-12"/>
      <sheetName val="C-13"/>
      <sheetName val="C-14"/>
      <sheetName val="C-15"/>
      <sheetName val="C-16"/>
      <sheetName val="C-17"/>
      <sheetName val="C-18"/>
      <sheetName val="C-19"/>
      <sheetName val="C-20"/>
      <sheetName val="C-21"/>
      <sheetName val="D-1"/>
      <sheetName val="D-2"/>
      <sheetName val="D-3"/>
      <sheetName val="D-4"/>
      <sheetName val="D-5"/>
      <sheetName val="D-6 (1)"/>
      <sheetName val="D-6 (2)"/>
      <sheetName val="D-6 (3)"/>
      <sheetName val="D-6 (4)"/>
      <sheetName val="D-6 (B)"/>
      <sheetName val="D-7"/>
      <sheetName val="D-8"/>
      <sheetName val="D-9"/>
      <sheetName val="D-10"/>
      <sheetName val="D-11"/>
      <sheetName val="D-12"/>
      <sheetName val="D-13"/>
      <sheetName val="D-14"/>
      <sheetName val="E-1"/>
      <sheetName val="E-2"/>
      <sheetName val="E-3"/>
      <sheetName val="E-4"/>
      <sheetName val="E-5"/>
      <sheetName val="E-6"/>
    </sheetNames>
    <sheetDataSet>
      <sheetData sheetId="0"/>
      <sheetData sheetId="1"/>
      <sheetData sheetId="2">
        <row r="1">
          <cell r="B1" t="str">
            <v>RATE OF STOCK MATERIALS IN SoR OF 2019-20</v>
          </cell>
        </row>
      </sheetData>
      <sheetData sheetId="3">
        <row r="37">
          <cell r="E37">
            <v>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SOR RATE"/>
      <sheetName val="A-1"/>
      <sheetName val="A-2 (A)"/>
      <sheetName val="A-2 (B)"/>
      <sheetName val="A-3"/>
      <sheetName val="A-3 (A)"/>
      <sheetName val="A-3 (B)"/>
      <sheetName val="A-4"/>
      <sheetName val="A-5"/>
      <sheetName val="A-6"/>
      <sheetName val="A-7"/>
      <sheetName val="A-8"/>
      <sheetName val="A-9"/>
      <sheetName val="A-10"/>
      <sheetName val="A-11"/>
      <sheetName val="B-1"/>
      <sheetName val="B-2"/>
      <sheetName val="B-3"/>
      <sheetName val="B-4"/>
      <sheetName val="B-5"/>
      <sheetName val="B-6"/>
      <sheetName val="B-8"/>
      <sheetName val="B-9"/>
      <sheetName val="C-1"/>
      <sheetName val="C-2"/>
      <sheetName val="C-3"/>
      <sheetName val="C-3 (A)"/>
      <sheetName val="C-3 (B)"/>
      <sheetName val="C-3 (C)"/>
      <sheetName val="C-3 (D)"/>
      <sheetName val="C-3 (E)"/>
      <sheetName val="C-4"/>
      <sheetName val="C-5"/>
      <sheetName val="C-6"/>
      <sheetName val="C-7(A-1)"/>
      <sheetName val="C-7(A-2)"/>
      <sheetName val="C-7(B-1)"/>
      <sheetName val="C-7 (B-1) A"/>
      <sheetName val="C-7 (B-1) B"/>
      <sheetName val="C-7(B-2)"/>
      <sheetName val="C-8"/>
      <sheetName val="C-9"/>
      <sheetName val="C-9 (A)"/>
      <sheetName val="C-10"/>
      <sheetName val="C-11"/>
      <sheetName val="C-12"/>
      <sheetName val="C-13"/>
      <sheetName val="C-14"/>
      <sheetName val="C-15"/>
      <sheetName val="C-16"/>
      <sheetName val="C-17"/>
      <sheetName val="C-18"/>
      <sheetName val="C-19"/>
      <sheetName val="C-20"/>
      <sheetName val="C-21"/>
      <sheetName val="C-22"/>
      <sheetName val="Proposed C-23"/>
      <sheetName val="Proposed CL-23"/>
      <sheetName val="Proposed C-24"/>
      <sheetName val="D-1"/>
      <sheetName val="D-2"/>
      <sheetName val="D-3"/>
      <sheetName val="D-4"/>
      <sheetName val="D-5"/>
      <sheetName val="D-6 (1)"/>
      <sheetName val="D-6 (2)"/>
      <sheetName val="D-6 (3)"/>
      <sheetName val="D-6 (4)"/>
      <sheetName val="D-6 (B)"/>
      <sheetName val="D-7"/>
      <sheetName val="D-8"/>
      <sheetName val="D-9"/>
      <sheetName val="D-10"/>
      <sheetName val="D-11"/>
      <sheetName val="D-12"/>
      <sheetName val="D-13"/>
      <sheetName val="D-14"/>
      <sheetName val="E-1"/>
      <sheetName val="E-2"/>
      <sheetName val="E-3"/>
      <sheetName val="E-4"/>
      <sheetName val="E-5"/>
      <sheetName val="E-6"/>
      <sheetName val="Proposed EL-1"/>
      <sheetName val="Proposed EL-2"/>
      <sheetName val="Proposed EL-3"/>
      <sheetName val="Proposed EL-4"/>
      <sheetName val="Proposed EL-5"/>
      <sheetName val="Proposed EL-6"/>
    </sheetNames>
    <sheetDataSet>
      <sheetData sheetId="0"/>
      <sheetData sheetId="1">
        <row r="1">
          <cell r="B1" t="str">
            <v>RATE OF STOCK MATERIALS IN SoR OF 2023-24</v>
          </cell>
          <cell r="C1"/>
          <cell r="D1"/>
        </row>
        <row r="2">
          <cell r="A2" t="str">
            <v>RATE OF ALL MATERIALS ARE INCLUSIVE OF G.S.T. UNLESS MENTIONED SPECIFICALLY IN REMARKS COLUMN</v>
          </cell>
          <cell r="B2"/>
          <cell r="C2"/>
          <cell r="D2"/>
        </row>
        <row r="3">
          <cell r="A3" t="str">
            <v xml:space="preserve">Material Code </v>
          </cell>
          <cell r="B3" t="str">
            <v>Description</v>
          </cell>
          <cell r="C3" t="str">
            <v>Unit</v>
          </cell>
          <cell r="D3" t="str">
            <v>Unit rate for 2023-24</v>
          </cell>
        </row>
        <row r="4">
          <cell r="A4">
            <v>7130200201</v>
          </cell>
          <cell r="B4" t="str">
            <v>1:1.5:3 Ratio</v>
          </cell>
          <cell r="C4" t="str">
            <v>Cmt</v>
          </cell>
          <cell r="D4">
            <v>4073</v>
          </cell>
        </row>
        <row r="5">
          <cell r="A5">
            <v>7130200001</v>
          </cell>
          <cell r="B5" t="str">
            <v>1:2:4 Ratio</v>
          </cell>
          <cell r="C5" t="str">
            <v>Cmt</v>
          </cell>
          <cell r="D5">
            <v>3552</v>
          </cell>
        </row>
        <row r="6">
          <cell r="A6">
            <v>7130200202</v>
          </cell>
          <cell r="B6" t="str">
            <v>1:3:6 Ratio</v>
          </cell>
          <cell r="C6" t="str">
            <v>Cmt</v>
          </cell>
          <cell r="D6">
            <v>2970</v>
          </cell>
        </row>
        <row r="7">
          <cell r="A7">
            <v>7130200204</v>
          </cell>
          <cell r="B7" t="str">
            <v>Route &amp; joint indicating stone with M.S. anchor rod</v>
          </cell>
          <cell r="C7" t="str">
            <v>Nos.</v>
          </cell>
          <cell r="D7">
            <v>200.46</v>
          </cell>
        </row>
        <row r="8">
          <cell r="A8">
            <v>7130200401</v>
          </cell>
          <cell r="B8" t="str">
            <v>Cement in 50 kg bags</v>
          </cell>
          <cell r="C8" t="str">
            <v>Bags</v>
          </cell>
          <cell r="D8">
            <v>320</v>
          </cell>
        </row>
        <row r="9">
          <cell r="A9">
            <v>7130201343</v>
          </cell>
          <cell r="B9" t="str">
            <v>Cable covering tiles 250x250x40 mm</v>
          </cell>
          <cell r="C9" t="str">
            <v>Each</v>
          </cell>
          <cell r="D9">
            <v>33</v>
          </cell>
        </row>
        <row r="10">
          <cell r="A10">
            <v>7130210809</v>
          </cell>
          <cell r="B10" t="str">
            <v>Aluminium Paint</v>
          </cell>
          <cell r="C10" t="str">
            <v>Ltr.</v>
          </cell>
          <cell r="D10">
            <v>432.63</v>
          </cell>
        </row>
        <row r="11">
          <cell r="A11">
            <v>7130211121</v>
          </cell>
          <cell r="B11" t="str">
            <v>Grey Enamel Paint smoke/battle ship</v>
          </cell>
          <cell r="C11" t="str">
            <v>Ltr</v>
          </cell>
          <cell r="D11">
            <v>331.21</v>
          </cell>
        </row>
        <row r="12">
          <cell r="A12">
            <v>7130211158</v>
          </cell>
          <cell r="B12" t="str">
            <v>Red Oxide Paint</v>
          </cell>
          <cell r="C12" t="str">
            <v>Ltr.</v>
          </cell>
          <cell r="D12">
            <v>193.62</v>
          </cell>
        </row>
        <row r="13">
          <cell r="A13">
            <v>7130300025</v>
          </cell>
          <cell r="B13" t="str">
            <v>LT 3 phase 5 Wire Aerial Bunched Cable of Size 3X70+1x16+1x50</v>
          </cell>
          <cell r="C13" t="str">
            <v>km</v>
          </cell>
          <cell r="D13">
            <v>242282.93</v>
          </cell>
        </row>
        <row r="14">
          <cell r="A14">
            <v>7130310007</v>
          </cell>
          <cell r="B14" t="str">
            <v>70 Sqmm.</v>
          </cell>
          <cell r="C14" t="str">
            <v>Km.</v>
          </cell>
          <cell r="D14">
            <v>62827.98</v>
          </cell>
        </row>
        <row r="15">
          <cell r="A15">
            <v>7130310008</v>
          </cell>
          <cell r="B15" t="str">
            <v>120 Sqmm.</v>
          </cell>
          <cell r="C15" t="str">
            <v>Km.</v>
          </cell>
          <cell r="D15">
            <v>126632.86</v>
          </cell>
        </row>
        <row r="16">
          <cell r="A16">
            <v>7130310020</v>
          </cell>
          <cell r="B16" t="str">
            <v>33 kV 3 CORE XLPE UG CABLE 3x400 Sq.mm.</v>
          </cell>
          <cell r="C16" t="str">
            <v>km</v>
          </cell>
          <cell r="D16">
            <v>2797680.05</v>
          </cell>
        </row>
        <row r="17">
          <cell r="A17">
            <v>7130310021</v>
          </cell>
          <cell r="B17" t="str">
            <v>35 Sqmm.</v>
          </cell>
          <cell r="C17" t="str">
            <v>Km.</v>
          </cell>
          <cell r="D17">
            <v>42882.39</v>
          </cell>
        </row>
        <row r="18">
          <cell r="A18">
            <v>7130310022</v>
          </cell>
          <cell r="B18" t="str">
            <v>50 Sqmm.</v>
          </cell>
          <cell r="C18" t="str">
            <v>Km.</v>
          </cell>
          <cell r="D18">
            <v>46467.88</v>
          </cell>
        </row>
        <row r="19">
          <cell r="A19">
            <v>7130310031</v>
          </cell>
          <cell r="B19" t="str">
            <v>LT 3 phase 5 Wire Aerial Bunched Cable of Size 3X16+1X16+1x25</v>
          </cell>
          <cell r="C19" t="str">
            <v>km</v>
          </cell>
          <cell r="D19">
            <v>101047.23</v>
          </cell>
        </row>
        <row r="20">
          <cell r="A20">
            <v>7130310032</v>
          </cell>
          <cell r="B20" t="str">
            <v>LT 3 phase 5 Wire Aerial Bunched Cable of Size 3X25+1X16+1x25</v>
          </cell>
          <cell r="C20" t="str">
            <v>km</v>
          </cell>
          <cell r="D20">
            <v>111811.81</v>
          </cell>
        </row>
        <row r="21">
          <cell r="A21">
            <v>7130310033</v>
          </cell>
          <cell r="B21" t="str">
            <v>LT 3 phase 5 Wire Aerial Bunched Cable of Size 3X35+1x16+1x25</v>
          </cell>
          <cell r="C21" t="str">
            <v>km</v>
          </cell>
          <cell r="D21">
            <v>136780.26999999999</v>
          </cell>
        </row>
        <row r="22">
          <cell r="A22">
            <v>7130310038</v>
          </cell>
          <cell r="B22" t="str">
            <v>2.5 Sqmm.</v>
          </cell>
          <cell r="C22" t="str">
            <v>Per Mtr.</v>
          </cell>
          <cell r="D22">
            <v>8.9700000000000006</v>
          </cell>
        </row>
        <row r="23">
          <cell r="A23">
            <v>7130310039</v>
          </cell>
          <cell r="B23" t="str">
            <v>6.0 Sqmm.</v>
          </cell>
          <cell r="C23" t="str">
            <v>Per Mtr.</v>
          </cell>
          <cell r="D23">
            <v>37.83</v>
          </cell>
        </row>
        <row r="24">
          <cell r="A24">
            <v>7130310040</v>
          </cell>
          <cell r="B24" t="str">
            <v>10 Sq.mm.</v>
          </cell>
          <cell r="C24" t="str">
            <v>Per Mtr.</v>
          </cell>
          <cell r="D24">
            <v>78.39</v>
          </cell>
        </row>
        <row r="25">
          <cell r="A25">
            <v>7130310041</v>
          </cell>
          <cell r="B25" t="str">
            <v>150 Sqmm.</v>
          </cell>
          <cell r="C25" t="str">
            <v>Km.</v>
          </cell>
          <cell r="D25">
            <v>121602.12</v>
          </cell>
        </row>
        <row r="26">
          <cell r="A26">
            <v>7130310042</v>
          </cell>
          <cell r="B26" t="str">
            <v>16.0 Sqmm.</v>
          </cell>
          <cell r="C26" t="str">
            <v>km</v>
          </cell>
          <cell r="D26">
            <v>51175.54</v>
          </cell>
        </row>
        <row r="27">
          <cell r="A27">
            <v>7130310044</v>
          </cell>
          <cell r="B27" t="str">
            <v>10 Sq.mm.</v>
          </cell>
          <cell r="C27" t="str">
            <v>km</v>
          </cell>
          <cell r="D27">
            <v>74331.23</v>
          </cell>
        </row>
        <row r="28">
          <cell r="A28">
            <v>7130310048</v>
          </cell>
          <cell r="B28" t="str">
            <v>25 Sq.mm.</v>
          </cell>
          <cell r="C28" t="str">
            <v>km</v>
          </cell>
          <cell r="D28">
            <v>118129.59</v>
          </cell>
        </row>
        <row r="29">
          <cell r="A29">
            <v>7130310049</v>
          </cell>
          <cell r="B29" t="str">
            <v>120 Sq.mm.</v>
          </cell>
          <cell r="C29" t="str">
            <v>km</v>
          </cell>
          <cell r="D29"/>
        </row>
        <row r="30">
          <cell r="A30">
            <v>7130310050</v>
          </cell>
          <cell r="B30" t="str">
            <v xml:space="preserve">400 Sqmm. </v>
          </cell>
          <cell r="C30" t="str">
            <v>km</v>
          </cell>
          <cell r="D30"/>
        </row>
        <row r="31">
          <cell r="A31">
            <v>7130310051</v>
          </cell>
          <cell r="B31" t="str">
            <v>3x95 Sq.mm.</v>
          </cell>
          <cell r="C31" t="str">
            <v>km</v>
          </cell>
          <cell r="D31">
            <v>1197974.8600000001</v>
          </cell>
        </row>
        <row r="32">
          <cell r="A32">
            <v>7130310052</v>
          </cell>
          <cell r="B32" t="str">
            <v>3x150 Sq.mm.</v>
          </cell>
          <cell r="C32" t="str">
            <v>km</v>
          </cell>
          <cell r="D32">
            <v>1470582.49</v>
          </cell>
        </row>
        <row r="33">
          <cell r="A33">
            <v>7130310053</v>
          </cell>
          <cell r="B33" t="str">
            <v>3x185 Sq.mm.</v>
          </cell>
          <cell r="C33" t="str">
            <v>km</v>
          </cell>
          <cell r="D33">
            <v>1680817</v>
          </cell>
        </row>
        <row r="34">
          <cell r="A34">
            <v>7130310054</v>
          </cell>
          <cell r="B34" t="str">
            <v>3x240 Sq.mm.</v>
          </cell>
          <cell r="C34" t="str">
            <v>km</v>
          </cell>
          <cell r="D34">
            <v>2137332.4900000002</v>
          </cell>
        </row>
        <row r="35">
          <cell r="A35">
            <v>7130310055</v>
          </cell>
          <cell r="B35" t="str">
            <v>33 kV AB Cable Straight thru' joint kit suitable for 35-70 sqmm</v>
          </cell>
          <cell r="C35" t="str">
            <v>Set</v>
          </cell>
          <cell r="D35">
            <v>22875.11</v>
          </cell>
        </row>
        <row r="36">
          <cell r="A36">
            <v>7130310056</v>
          </cell>
          <cell r="B36" t="str">
            <v>33 kV AB Cable Straight thru' joint kit suitable for 95-120 sqmm</v>
          </cell>
          <cell r="C36" t="str">
            <v>Set</v>
          </cell>
          <cell r="D36">
            <v>32678.73</v>
          </cell>
        </row>
        <row r="37">
          <cell r="A37">
            <v>7130310057</v>
          </cell>
          <cell r="B37" t="str">
            <v xml:space="preserve">11 kV 3 phase Aerial Bunched Cable 3x35 + 35 Sq mm </v>
          </cell>
          <cell r="C37" t="str">
            <v>km</v>
          </cell>
          <cell r="D37">
            <v>470572.2</v>
          </cell>
        </row>
        <row r="38">
          <cell r="A38">
            <v>7130310058</v>
          </cell>
          <cell r="B38" t="str">
            <v xml:space="preserve">11 kV 3 phase Aerial Bunched Cable 3x70 + 70 Sq mm </v>
          </cell>
          <cell r="C38" t="str">
            <v>km</v>
          </cell>
          <cell r="D38">
            <v>666953.69999999995</v>
          </cell>
        </row>
        <row r="39">
          <cell r="A39">
            <v>7130310059</v>
          </cell>
          <cell r="B39" t="str">
            <v xml:space="preserve">11 kV 3 phase Aerial Bunched Cable 3x95 + 95 Sq mm </v>
          </cell>
          <cell r="C39" t="str">
            <v>km</v>
          </cell>
          <cell r="D39">
            <v>809438.7</v>
          </cell>
        </row>
        <row r="40">
          <cell r="A40">
            <v>7130310060</v>
          </cell>
          <cell r="B40" t="str">
            <v xml:space="preserve">11 kV 3 phase Aerial Bunched Cable 3x120 + 120 Sq mm </v>
          </cell>
          <cell r="C40" t="str">
            <v>km</v>
          </cell>
          <cell r="D40">
            <v>945728.7</v>
          </cell>
        </row>
        <row r="41">
          <cell r="A41">
            <v>7130310061</v>
          </cell>
          <cell r="B41" t="str">
            <v>11 kV AB Cable Straight thru' joint kit suitable for 35-70 sqmm</v>
          </cell>
          <cell r="C41" t="str">
            <v>Set</v>
          </cell>
          <cell r="D41">
            <v>4992.58</v>
          </cell>
        </row>
        <row r="42">
          <cell r="A42">
            <v>7130310062</v>
          </cell>
          <cell r="B42" t="str">
            <v>11 kV AB Cable Straight thru' joint kit suitable for 95-120 sqmm</v>
          </cell>
          <cell r="C42" t="str">
            <v>Set</v>
          </cell>
          <cell r="D42">
            <v>5253.9</v>
          </cell>
        </row>
        <row r="43">
          <cell r="A43">
            <v>7130310063</v>
          </cell>
          <cell r="B43" t="str">
            <v>LT 1 phase 3 Wire Aerial Bunched Cable of Size 1X25+1X16+1x25</v>
          </cell>
          <cell r="C43" t="str">
            <v>km</v>
          </cell>
          <cell r="D43">
            <v>62281.1</v>
          </cell>
        </row>
        <row r="44">
          <cell r="A44">
            <v>7130310065</v>
          </cell>
          <cell r="B44" t="str">
            <v>LT 3 phase 5 Wire Aerial Bunched Cable of Size 3X50+1x16+1x35</v>
          </cell>
          <cell r="C44" t="str">
            <v>km</v>
          </cell>
          <cell r="D44">
            <v>126066.73</v>
          </cell>
        </row>
        <row r="45">
          <cell r="A45">
            <v>7130310066</v>
          </cell>
          <cell r="B45" t="str">
            <v>LT 3 phase 5 Wire Aerial Bunched Cable of Size 3X50+1X25+1x35</v>
          </cell>
          <cell r="C45" t="str">
            <v>km</v>
          </cell>
          <cell r="D45">
            <v>123287.19</v>
          </cell>
        </row>
        <row r="46">
          <cell r="A46">
            <v>7130310068</v>
          </cell>
          <cell r="B46" t="str">
            <v>LT 3 phase 5 Wire Aerial Bunched Cable of Size 3x95+1x16+1x70</v>
          </cell>
          <cell r="C46" t="str">
            <v>km</v>
          </cell>
          <cell r="D46">
            <v>309287.45</v>
          </cell>
        </row>
        <row r="47">
          <cell r="A47">
            <v>7130310092</v>
          </cell>
          <cell r="B47" t="str">
            <v>LT 3 phase 5 Wire Aerial Bunched Cable of Size 3x120+1x16+1x95</v>
          </cell>
          <cell r="C47" t="str">
            <v>km</v>
          </cell>
          <cell r="D47">
            <v>386127.45</v>
          </cell>
        </row>
        <row r="48">
          <cell r="A48">
            <v>7130310070</v>
          </cell>
          <cell r="B48" t="str">
            <v>LT 3 phase 4 Wire Aerial Bunched Cable of Size 3X16+1x25</v>
          </cell>
          <cell r="C48" t="str">
            <v>km</v>
          </cell>
          <cell r="D48">
            <v>73683.5</v>
          </cell>
        </row>
        <row r="49">
          <cell r="A49">
            <v>7130310073</v>
          </cell>
          <cell r="B49" t="str">
            <v>LT 3 phase 4 Wire Aerial Bunched Cable of Size 3X25+1x25</v>
          </cell>
          <cell r="C49" t="str">
            <v>km</v>
          </cell>
          <cell r="D49">
            <v>79044.070000000007</v>
          </cell>
        </row>
        <row r="50">
          <cell r="A50">
            <v>7130640032</v>
          </cell>
          <cell r="B50" t="str">
            <v>33 kV 3 CORE XLPE UG CABLE 3X 150 SQMM</v>
          </cell>
          <cell r="C50" t="str">
            <v>km</v>
          </cell>
          <cell r="D50">
            <v>1697666</v>
          </cell>
        </row>
        <row r="51">
          <cell r="A51">
            <v>7130310075</v>
          </cell>
          <cell r="B51" t="str">
            <v>33 kV 3 CORE XLPE UG CABLE 3x240 Sq.mm.</v>
          </cell>
          <cell r="C51" t="str">
            <v>km</v>
          </cell>
          <cell r="D51">
            <v>2560069.88</v>
          </cell>
        </row>
        <row r="52">
          <cell r="A52">
            <v>7130310076</v>
          </cell>
          <cell r="B52" t="str">
            <v>70 Sq.mm</v>
          </cell>
          <cell r="C52" t="str">
            <v>km</v>
          </cell>
          <cell r="D52">
            <v>683204.17</v>
          </cell>
        </row>
        <row r="53">
          <cell r="A53">
            <v>7130310077</v>
          </cell>
          <cell r="B53" t="str">
            <v>95 Sq.mm</v>
          </cell>
          <cell r="C53" t="str">
            <v>km</v>
          </cell>
          <cell r="D53">
            <v>691233.82</v>
          </cell>
        </row>
        <row r="54">
          <cell r="A54">
            <v>7130310078</v>
          </cell>
          <cell r="B54" t="str">
            <v>120 Sq.mm</v>
          </cell>
          <cell r="C54" t="str">
            <v>km</v>
          </cell>
          <cell r="D54">
            <v>1030768.93</v>
          </cell>
        </row>
        <row r="55">
          <cell r="A55">
            <v>7130310079</v>
          </cell>
          <cell r="B55" t="str">
            <v>240 Sq.mm</v>
          </cell>
          <cell r="C55" t="str">
            <v>km</v>
          </cell>
          <cell r="D55">
            <v>1248889.6000000001</v>
          </cell>
        </row>
        <row r="56">
          <cell r="A56">
            <v>7130310080</v>
          </cell>
          <cell r="B56" t="str">
            <v>400 Sq.mm</v>
          </cell>
          <cell r="C56" t="str">
            <v>km</v>
          </cell>
          <cell r="D56">
            <v>1924217.9</v>
          </cell>
        </row>
        <row r="57">
          <cell r="A57">
            <v>7130310082</v>
          </cell>
          <cell r="B57" t="str">
            <v>PVC Insulated 1100 Volts grade Aluminium Twin Core Single Phase 4.0 sq.mm. Unarmoured service cable.</v>
          </cell>
          <cell r="C57" t="str">
            <v>Per Mtr.</v>
          </cell>
          <cell r="D57">
            <v>17.61</v>
          </cell>
        </row>
        <row r="58">
          <cell r="A58">
            <v>7130310083</v>
          </cell>
          <cell r="B58" t="str">
            <v>PVC Insulated 1100 Volts grade 70 SQMM, 4 CORE, ARMOURED AL. CABLE</v>
          </cell>
          <cell r="C58" t="str">
            <v>km</v>
          </cell>
          <cell r="D58">
            <v>437828.42</v>
          </cell>
        </row>
        <row r="59">
          <cell r="A59">
            <v>7130310084</v>
          </cell>
          <cell r="B59" t="str">
            <v>PVC Insulated 1100 Volts grade 95 SQMM, 4 CORE, ARMOURED AL. CABLE</v>
          </cell>
          <cell r="C59" t="str">
            <v>km</v>
          </cell>
          <cell r="D59">
            <v>533868.19999999995</v>
          </cell>
        </row>
        <row r="60">
          <cell r="A60">
            <v>7130310085</v>
          </cell>
          <cell r="B60" t="str">
            <v>PVC Insulated 1100 Volts grade 150 SQMM, 4 CORE, ARMOURED AL. CABLE</v>
          </cell>
          <cell r="C60" t="str">
            <v>km</v>
          </cell>
          <cell r="D60">
            <v>805980.92</v>
          </cell>
        </row>
        <row r="61">
          <cell r="A61">
            <v>7130310086</v>
          </cell>
          <cell r="B61" t="str">
            <v>PVC Insulated 1100 Volts grade 300 SQMM, 4 CORE, ARMOURED AL. CABLE</v>
          </cell>
          <cell r="C61" t="str">
            <v>km</v>
          </cell>
          <cell r="D61">
            <v>1539461.21</v>
          </cell>
        </row>
        <row r="62">
          <cell r="A62">
            <v>7130310087</v>
          </cell>
          <cell r="B62" t="str">
            <v>PVC Insulated 1100 Volts grade 400 SQMM, 4 CORE, ARMOURED AL. CABLE</v>
          </cell>
          <cell r="C62" t="str">
            <v>km</v>
          </cell>
          <cell r="D62">
            <v>1956575.17</v>
          </cell>
        </row>
        <row r="63">
          <cell r="A63">
            <v>7130310088</v>
          </cell>
          <cell r="B63" t="str">
            <v>33 kV AB Cable Straight thru' joint kit suitable for 185 sqmm</v>
          </cell>
          <cell r="C63" t="str">
            <v>Set</v>
          </cell>
          <cell r="D63">
            <v>43451.48</v>
          </cell>
        </row>
        <row r="64">
          <cell r="A64">
            <v>7130310089</v>
          </cell>
          <cell r="B64" t="str">
            <v>33 kV XLPE UG Cable Straight through heat shrinkable cable jointing kit with lugs for 3 core 120-240 sq mm XLPE cable</v>
          </cell>
          <cell r="C64" t="str">
            <v>Set</v>
          </cell>
          <cell r="D64">
            <v>73272.58</v>
          </cell>
        </row>
        <row r="65">
          <cell r="A65">
            <v>7130310090</v>
          </cell>
          <cell r="B65" t="str">
            <v>33 kV XLPE UG Cable Straight through heat shrinkable cable jointing kit with lugs for 3 core 300-400 sq mm XLPE cable</v>
          </cell>
          <cell r="C65" t="str">
            <v>No</v>
          </cell>
          <cell r="D65">
            <v>82052.42</v>
          </cell>
        </row>
        <row r="66">
          <cell r="A66">
            <v>7130310652</v>
          </cell>
          <cell r="B66" t="str">
            <v>2 Core (UNARMOURED)</v>
          </cell>
          <cell r="C66" t="str">
            <v>Km.</v>
          </cell>
          <cell r="D66">
            <v>55294.81</v>
          </cell>
        </row>
        <row r="67">
          <cell r="A67">
            <v>7130310652</v>
          </cell>
          <cell r="B67" t="str">
            <v>2 Core (ARMOURED)</v>
          </cell>
          <cell r="C67" t="str">
            <v>Km.</v>
          </cell>
          <cell r="D67"/>
        </row>
        <row r="68">
          <cell r="A68">
            <v>7130310654</v>
          </cell>
          <cell r="B68" t="str">
            <v>4 Core (UNARMOURED)</v>
          </cell>
          <cell r="C68" t="str">
            <v>Km.</v>
          </cell>
          <cell r="D68">
            <v>98983.89</v>
          </cell>
        </row>
        <row r="69">
          <cell r="A69">
            <v>7130310654</v>
          </cell>
          <cell r="B69" t="str">
            <v>4 Core (ARMOURED)</v>
          </cell>
          <cell r="C69" t="str">
            <v>Km.</v>
          </cell>
          <cell r="D69"/>
        </row>
        <row r="70">
          <cell r="A70">
            <v>7130310658</v>
          </cell>
          <cell r="B70" t="str">
            <v>8 Core (UNARMOURED)</v>
          </cell>
          <cell r="C70" t="str">
            <v>Km.</v>
          </cell>
          <cell r="D70">
            <v>188917.79</v>
          </cell>
        </row>
        <row r="71">
          <cell r="A71">
            <v>7130310681</v>
          </cell>
          <cell r="B71" t="str">
            <v>10 Core (UNARMOURED)</v>
          </cell>
          <cell r="C71" t="str">
            <v>Km.</v>
          </cell>
          <cell r="D71">
            <v>237232.05</v>
          </cell>
        </row>
        <row r="72">
          <cell r="A72">
            <v>7130310660</v>
          </cell>
          <cell r="B72" t="str">
            <v>10 Core (ARMOURED)</v>
          </cell>
          <cell r="C72" t="str">
            <v>Km.</v>
          </cell>
          <cell r="D72">
            <v>258713.48</v>
          </cell>
        </row>
        <row r="73">
          <cell r="A73">
            <v>7130310662</v>
          </cell>
          <cell r="B73" t="str">
            <v>12 Core (UNARMOURED)</v>
          </cell>
          <cell r="C73" t="str">
            <v>Km.</v>
          </cell>
          <cell r="D73">
            <v>244446.49</v>
          </cell>
        </row>
        <row r="74">
          <cell r="A74">
            <v>7130311008</v>
          </cell>
          <cell r="B74" t="str">
            <v>16 Sq.mm.</v>
          </cell>
          <cell r="C74" t="str">
            <v>KM</v>
          </cell>
          <cell r="D74">
            <v>24908.2</v>
          </cell>
        </row>
        <row r="75">
          <cell r="A75">
            <v>7130311009</v>
          </cell>
          <cell r="B75" t="str">
            <v>50 Sq.mm.</v>
          </cell>
          <cell r="C75" t="str">
            <v>KM</v>
          </cell>
          <cell r="D75">
            <v>58804.33</v>
          </cell>
        </row>
        <row r="76">
          <cell r="A76">
            <v>7130311010</v>
          </cell>
          <cell r="B76" t="str">
            <v>70 Sq.mm</v>
          </cell>
          <cell r="C76" t="str">
            <v>KM</v>
          </cell>
          <cell r="D76">
            <v>79580.55</v>
          </cell>
        </row>
        <row r="77">
          <cell r="A77">
            <v>7130311011</v>
          </cell>
          <cell r="B77" t="str">
            <v>150 Sq.mm</v>
          </cell>
          <cell r="C77" t="str">
            <v>KM</v>
          </cell>
          <cell r="D77">
            <v>155451.42000000001</v>
          </cell>
        </row>
        <row r="78">
          <cell r="A78">
            <v>7130311012</v>
          </cell>
          <cell r="B78" t="str">
            <v>300 Sq.mm</v>
          </cell>
          <cell r="C78" t="str">
            <v>KM</v>
          </cell>
          <cell r="D78">
            <v>305837.82</v>
          </cell>
        </row>
        <row r="79">
          <cell r="A79">
            <v>7130311013</v>
          </cell>
          <cell r="B79" t="str">
            <v>400 Sq.mm</v>
          </cell>
          <cell r="C79" t="str">
            <v>KM</v>
          </cell>
          <cell r="D79">
            <v>382047.36</v>
          </cell>
        </row>
        <row r="80">
          <cell r="A80">
            <v>7130311054</v>
          </cell>
          <cell r="B80" t="str">
            <v xml:space="preserve">  70 Sqmm.</v>
          </cell>
          <cell r="C80" t="str">
            <v>km</v>
          </cell>
          <cell r="D80"/>
        </row>
        <row r="81">
          <cell r="A81">
            <v>7130311057</v>
          </cell>
          <cell r="B81" t="str">
            <v>150 Sqmm.</v>
          </cell>
          <cell r="C81" t="str">
            <v>km</v>
          </cell>
          <cell r="D81"/>
        </row>
        <row r="82">
          <cell r="A82">
            <v>7130311061</v>
          </cell>
          <cell r="B82" t="str">
            <v>300 Sqmm.</v>
          </cell>
          <cell r="C82" t="str">
            <v>km</v>
          </cell>
          <cell r="D82"/>
        </row>
        <row r="83">
          <cell r="A83">
            <v>7130311084</v>
          </cell>
          <cell r="B83" t="str">
            <v>16.0 Sqmm.</v>
          </cell>
          <cell r="C83" t="str">
            <v>km</v>
          </cell>
          <cell r="D83">
            <v>78216.34</v>
          </cell>
        </row>
        <row r="84">
          <cell r="A84">
            <v>7130320037</v>
          </cell>
          <cell r="B84" t="str">
            <v>33 kV ABC Termination kit 35-70 sqmm</v>
          </cell>
          <cell r="C84" t="str">
            <v>Set</v>
          </cell>
          <cell r="D84">
            <v>13071.5</v>
          </cell>
        </row>
        <row r="85">
          <cell r="A85">
            <v>7130320038</v>
          </cell>
          <cell r="B85" t="str">
            <v>33 kV ABC Termination kit 95-120 sqmm</v>
          </cell>
          <cell r="C85" t="str">
            <v>Set</v>
          </cell>
          <cell r="D85">
            <v>16339.36</v>
          </cell>
        </row>
        <row r="86">
          <cell r="A86">
            <v>7130320039</v>
          </cell>
          <cell r="B86" t="str">
            <v>33 kV ABC Termination kit 185 sqmm</v>
          </cell>
          <cell r="C86" t="str">
            <v>Set</v>
          </cell>
          <cell r="D86">
            <v>19607.23</v>
          </cell>
        </row>
        <row r="87">
          <cell r="A87">
            <v>7130320040</v>
          </cell>
          <cell r="B87" t="str">
            <v>33 kV ABC Termination kit 240 sqmm</v>
          </cell>
          <cell r="C87" t="str">
            <v>Set</v>
          </cell>
          <cell r="D87">
            <v>22875.11</v>
          </cell>
        </row>
        <row r="88">
          <cell r="A88">
            <v>7130320041</v>
          </cell>
          <cell r="B88" t="str">
            <v>33 kV ABC Termination kit 300 sqmm</v>
          </cell>
          <cell r="C88" t="str">
            <v>Set</v>
          </cell>
          <cell r="D88">
            <v>24509.05</v>
          </cell>
        </row>
        <row r="89">
          <cell r="A89">
            <v>7130320042</v>
          </cell>
          <cell r="B89" t="str">
            <v>33 kV ABC Termination kit 400 sqmm</v>
          </cell>
          <cell r="C89" t="str">
            <v>Set</v>
          </cell>
          <cell r="D89">
            <v>29410.86</v>
          </cell>
        </row>
        <row r="90">
          <cell r="A90">
            <v>7130320043</v>
          </cell>
          <cell r="B90" t="str">
            <v>Straight line Suspension Assembly (Suitable for all size cable)</v>
          </cell>
          <cell r="C90" t="str">
            <v>Each</v>
          </cell>
          <cell r="D90">
            <v>1028.78</v>
          </cell>
        </row>
        <row r="91">
          <cell r="A91">
            <v>7130320044</v>
          </cell>
          <cell r="B91" t="str">
            <v>Dead-end Assembly (Suitable for all size cable)</v>
          </cell>
          <cell r="C91" t="str">
            <v>Each</v>
          </cell>
          <cell r="D91">
            <v>1111.29</v>
          </cell>
        </row>
        <row r="92">
          <cell r="A92">
            <v>7130320045</v>
          </cell>
          <cell r="B92" t="str">
            <v>Cable tie for AB Cable</v>
          </cell>
          <cell r="C92" t="str">
            <v>Each</v>
          </cell>
          <cell r="D92">
            <v>33.01</v>
          </cell>
        </row>
        <row r="93">
          <cell r="A93">
            <v>7130320047</v>
          </cell>
          <cell r="B93" t="str">
            <v>11 kV ABC-T Jointing kit 95-120 sqmm</v>
          </cell>
          <cell r="C93" t="str">
            <v>No</v>
          </cell>
          <cell r="D93">
            <v>4957.54</v>
          </cell>
        </row>
        <row r="94">
          <cell r="A94">
            <v>7130320048</v>
          </cell>
          <cell r="B94" t="str">
            <v>11 kV ABC Termination kit 35-70 sqmm</v>
          </cell>
          <cell r="C94" t="str">
            <v>Set</v>
          </cell>
          <cell r="D94">
            <v>3161.96</v>
          </cell>
        </row>
        <row r="95">
          <cell r="A95">
            <v>7130320049</v>
          </cell>
          <cell r="B95" t="str">
            <v>11 kV ABC Termination kit 95-120 sqmm</v>
          </cell>
          <cell r="C95" t="str">
            <v>Set</v>
          </cell>
          <cell r="D95">
            <v>3331.14</v>
          </cell>
        </row>
        <row r="96">
          <cell r="A96">
            <v>7130320053</v>
          </cell>
          <cell r="B96" t="str">
            <v>Cable tie (UV protected black colour) for AB Cable</v>
          </cell>
          <cell r="C96" t="str">
            <v>No</v>
          </cell>
          <cell r="D96">
            <v>6.91</v>
          </cell>
        </row>
        <row r="97">
          <cell r="A97">
            <v>7130352010</v>
          </cell>
          <cell r="B97" t="str">
            <v>End terminating jointing kit for 400 sqmm XLPE cable</v>
          </cell>
          <cell r="C97" t="str">
            <v>Set</v>
          </cell>
          <cell r="D97">
            <v>43795.05</v>
          </cell>
        </row>
        <row r="98">
          <cell r="A98">
            <v>7130352030</v>
          </cell>
          <cell r="B98" t="str">
            <v>10 Sq.mm, 4 Core</v>
          </cell>
          <cell r="C98" t="str">
            <v>Set</v>
          </cell>
          <cell r="D98">
            <v>1060.4100000000001</v>
          </cell>
        </row>
        <row r="99">
          <cell r="A99">
            <v>7130352031</v>
          </cell>
          <cell r="B99" t="str">
            <v>16 Sq.mm, 4 Core</v>
          </cell>
          <cell r="C99" t="str">
            <v>Set</v>
          </cell>
          <cell r="D99">
            <v>1060.4100000000001</v>
          </cell>
        </row>
        <row r="100">
          <cell r="A100">
            <v>7130352032</v>
          </cell>
          <cell r="B100" t="str">
            <v>25 Sq.mm, 4 Core</v>
          </cell>
          <cell r="C100" t="str">
            <v>Set</v>
          </cell>
          <cell r="D100">
            <v>1138.8</v>
          </cell>
        </row>
        <row r="101">
          <cell r="A101">
            <v>7130352033</v>
          </cell>
          <cell r="B101" t="str">
            <v>70 Sq.mm, 3.5 Core</v>
          </cell>
          <cell r="C101" t="str">
            <v>Set</v>
          </cell>
          <cell r="D101">
            <v>1600.93</v>
          </cell>
        </row>
        <row r="102">
          <cell r="A102">
            <v>7130352034</v>
          </cell>
          <cell r="B102" t="str">
            <v>150 Sq.mm, 3.5 Core</v>
          </cell>
          <cell r="C102" t="str">
            <v>Set</v>
          </cell>
          <cell r="D102">
            <v>2386.2600000000002</v>
          </cell>
        </row>
        <row r="103">
          <cell r="A103">
            <v>7130352035</v>
          </cell>
          <cell r="B103" t="str">
            <v>300 Sq.mm, 3.5 Core</v>
          </cell>
          <cell r="C103" t="str">
            <v>Set</v>
          </cell>
          <cell r="D103">
            <v>3856.54</v>
          </cell>
        </row>
        <row r="104">
          <cell r="A104">
            <v>7130352036</v>
          </cell>
          <cell r="B104" t="str">
            <v>400 Sq.mm, 3.5 Core</v>
          </cell>
          <cell r="C104" t="str">
            <v>Set</v>
          </cell>
          <cell r="D104">
            <v>4927.9399999999996</v>
          </cell>
        </row>
        <row r="105">
          <cell r="A105">
            <v>7130352037</v>
          </cell>
          <cell r="B105" t="str">
            <v>End terminating jointing kit upto 240 sqmm XLPE cable</v>
          </cell>
          <cell r="C105" t="str">
            <v>Set</v>
          </cell>
          <cell r="D105">
            <v>29525.38</v>
          </cell>
        </row>
        <row r="106">
          <cell r="A106">
            <v>7130352038</v>
          </cell>
          <cell r="B106" t="str">
            <v>3x50 Sq.mm</v>
          </cell>
          <cell r="C106" t="str">
            <v>Set</v>
          </cell>
          <cell r="D106">
            <v>17648.72</v>
          </cell>
        </row>
        <row r="107">
          <cell r="A107">
            <v>7130352039</v>
          </cell>
          <cell r="B107" t="str">
            <v>3x95 Sq.mm</v>
          </cell>
          <cell r="C107" t="str">
            <v>Set</v>
          </cell>
          <cell r="D107">
            <v>17648.72</v>
          </cell>
        </row>
        <row r="108">
          <cell r="A108">
            <v>7130352040</v>
          </cell>
          <cell r="B108" t="str">
            <v>3x150 Sq.mm</v>
          </cell>
          <cell r="C108" t="str">
            <v>Set</v>
          </cell>
          <cell r="D108">
            <v>23367.49</v>
          </cell>
        </row>
        <row r="109">
          <cell r="A109">
            <v>7130352041</v>
          </cell>
          <cell r="B109" t="str">
            <v>3x240 Sq. mm</v>
          </cell>
          <cell r="C109" t="str">
            <v>Set</v>
          </cell>
          <cell r="D109">
            <v>25556.400000000001</v>
          </cell>
        </row>
        <row r="110">
          <cell r="A110">
            <v>7130352042</v>
          </cell>
          <cell r="B110" t="str">
            <v>3x400 Sq. mm</v>
          </cell>
          <cell r="C110" t="str">
            <v>Set</v>
          </cell>
          <cell r="D110">
            <v>25556.400000000001</v>
          </cell>
        </row>
        <row r="111">
          <cell r="A111">
            <v>7130352043</v>
          </cell>
          <cell r="B111" t="str">
            <v>3x95 Sq.mm</v>
          </cell>
          <cell r="C111" t="str">
            <v>Set</v>
          </cell>
          <cell r="D111">
            <v>9174.14</v>
          </cell>
        </row>
        <row r="112">
          <cell r="A112">
            <v>7130352044</v>
          </cell>
          <cell r="B112" t="str">
            <v>3x240 Sq. mm</v>
          </cell>
          <cell r="C112" t="str">
            <v>Set</v>
          </cell>
          <cell r="D112">
            <v>11074.74</v>
          </cell>
        </row>
        <row r="113">
          <cell r="A113">
            <v>7130352045</v>
          </cell>
          <cell r="B113" t="str">
            <v>3x400 Sq. mm</v>
          </cell>
          <cell r="C113" t="str">
            <v>Set</v>
          </cell>
          <cell r="D113">
            <v>11393.33</v>
          </cell>
        </row>
        <row r="114">
          <cell r="A114">
            <v>7130352046</v>
          </cell>
          <cell r="B114" t="str">
            <v>Marshelling Box (with 10 No. connectors)</v>
          </cell>
          <cell r="C114" t="str">
            <v>No.</v>
          </cell>
          <cell r="D114">
            <v>3896.24</v>
          </cell>
        </row>
        <row r="115">
          <cell r="A115">
            <v>7130354274</v>
          </cell>
          <cell r="B115" t="str">
            <v>10 Sq mm</v>
          </cell>
          <cell r="C115" t="str">
            <v>Nos.</v>
          </cell>
          <cell r="D115">
            <v>2.81</v>
          </cell>
        </row>
        <row r="116">
          <cell r="A116">
            <v>7130354275</v>
          </cell>
          <cell r="B116" t="str">
            <v>16 Sq mm</v>
          </cell>
          <cell r="C116" t="str">
            <v>Nos.</v>
          </cell>
          <cell r="D116">
            <v>2.81</v>
          </cell>
        </row>
        <row r="117">
          <cell r="A117">
            <v>7130354276</v>
          </cell>
          <cell r="B117" t="str">
            <v>25 Sq mm</v>
          </cell>
          <cell r="C117" t="str">
            <v>Nos.</v>
          </cell>
          <cell r="D117">
            <v>5.62</v>
          </cell>
        </row>
        <row r="118">
          <cell r="A118">
            <v>7130354277</v>
          </cell>
          <cell r="B118" t="str">
            <v>32 Sq mm</v>
          </cell>
          <cell r="C118" t="str">
            <v>Nos.</v>
          </cell>
          <cell r="D118">
            <v>7.03</v>
          </cell>
        </row>
        <row r="119">
          <cell r="A119">
            <v>7130354278</v>
          </cell>
          <cell r="B119" t="str">
            <v>50 Sq mm</v>
          </cell>
          <cell r="C119" t="str">
            <v>Nos.</v>
          </cell>
          <cell r="D119">
            <v>11.27</v>
          </cell>
        </row>
        <row r="120">
          <cell r="A120">
            <v>7130354279</v>
          </cell>
          <cell r="B120" t="str">
            <v>70 Sq mm</v>
          </cell>
          <cell r="C120" t="str">
            <v>Nos.</v>
          </cell>
          <cell r="D120">
            <v>16.89</v>
          </cell>
        </row>
        <row r="121">
          <cell r="A121">
            <v>7130354280</v>
          </cell>
          <cell r="B121" t="str">
            <v>95 Sq mm</v>
          </cell>
          <cell r="C121" t="str">
            <v>Nos.</v>
          </cell>
          <cell r="D121">
            <v>21.11</v>
          </cell>
        </row>
        <row r="122">
          <cell r="A122">
            <v>7130354281</v>
          </cell>
          <cell r="B122" t="str">
            <v>120 Sq mm</v>
          </cell>
          <cell r="C122" t="str">
            <v>Nos.</v>
          </cell>
          <cell r="D122">
            <v>29.56</v>
          </cell>
        </row>
        <row r="123">
          <cell r="A123">
            <v>7130354282</v>
          </cell>
          <cell r="B123" t="str">
            <v>150 Sq mm</v>
          </cell>
          <cell r="C123" t="str">
            <v>Nos.</v>
          </cell>
          <cell r="D123">
            <v>33.78</v>
          </cell>
        </row>
        <row r="124">
          <cell r="A124">
            <v>7130354283</v>
          </cell>
          <cell r="B124" t="str">
            <v>185 Sq mm</v>
          </cell>
          <cell r="C124" t="str">
            <v>Nos.</v>
          </cell>
          <cell r="D124">
            <v>53.48</v>
          </cell>
        </row>
        <row r="125">
          <cell r="A125">
            <v>7130354284</v>
          </cell>
          <cell r="B125" t="str">
            <v>225 Sq mm</v>
          </cell>
          <cell r="C125" t="str">
            <v>Nos.</v>
          </cell>
          <cell r="D125">
            <v>60.52</v>
          </cell>
        </row>
        <row r="126">
          <cell r="A126">
            <v>7130354285</v>
          </cell>
          <cell r="B126" t="str">
            <v>240 Sq mm</v>
          </cell>
          <cell r="C126" t="str">
            <v>Nos.</v>
          </cell>
          <cell r="D126">
            <v>87.27</v>
          </cell>
        </row>
        <row r="127">
          <cell r="A127">
            <v>7130354286</v>
          </cell>
          <cell r="B127" t="str">
            <v>300 Sq mm</v>
          </cell>
          <cell r="C127" t="str">
            <v>Nos.</v>
          </cell>
          <cell r="D127">
            <v>102.75</v>
          </cell>
        </row>
        <row r="128">
          <cell r="A128">
            <v>7130354287</v>
          </cell>
          <cell r="B128" t="str">
            <v>400 Sq mm</v>
          </cell>
          <cell r="C128" t="str">
            <v>Nos.</v>
          </cell>
          <cell r="D128">
            <v>132.31</v>
          </cell>
        </row>
        <row r="129">
          <cell r="A129">
            <v>7130354442</v>
          </cell>
          <cell r="B129" t="str">
            <v>Pre-Insulated Bimetallic crimping lugs for Transformer connector</v>
          </cell>
          <cell r="C129" t="str">
            <v>Nos.</v>
          </cell>
          <cell r="D129">
            <v>848.32</v>
          </cell>
        </row>
        <row r="130">
          <cell r="A130">
            <v>7130390003</v>
          </cell>
          <cell r="B130" t="str">
            <v xml:space="preserve">Piercing connector suitable for 95- 16 sqmm to 10-2.5 sqmm. for street light and service connection. </v>
          </cell>
          <cell r="C130" t="str">
            <v>Nos.</v>
          </cell>
          <cell r="D130">
            <v>96.28</v>
          </cell>
        </row>
        <row r="131">
          <cell r="A131">
            <v>7130390004</v>
          </cell>
          <cell r="B131" t="str">
            <v xml:space="preserve">Piercing connector suitable for 95- 16 sqmm to 50-16 sqmm. cable for Distribution Box. </v>
          </cell>
          <cell r="C131" t="str">
            <v>Nos.</v>
          </cell>
          <cell r="D131">
            <v>125.42</v>
          </cell>
        </row>
        <row r="132">
          <cell r="A132">
            <v>7130390005</v>
          </cell>
          <cell r="B132" t="str">
            <v>Piercing connector suitable for 95- 16 sqmm to 95-16 sqmm. for Tee connection.</v>
          </cell>
          <cell r="C132" t="str">
            <v>Nos.</v>
          </cell>
          <cell r="D132">
            <v>174.82</v>
          </cell>
        </row>
        <row r="133">
          <cell r="A133">
            <v>7130390006</v>
          </cell>
          <cell r="B133" t="str">
            <v>Universal distribution connector</v>
          </cell>
          <cell r="C133" t="str">
            <v>Each</v>
          </cell>
          <cell r="D133">
            <v>153.72999999999999</v>
          </cell>
        </row>
        <row r="134">
          <cell r="A134">
            <v>7130390007</v>
          </cell>
          <cell r="B134" t="str">
            <v xml:space="preserve">Straight through joints </v>
          </cell>
          <cell r="C134" t="str">
            <v>Nos.</v>
          </cell>
          <cell r="D134">
            <v>217.24</v>
          </cell>
        </row>
        <row r="135">
          <cell r="A135">
            <v>7130390019</v>
          </cell>
          <cell r="B135" t="str">
            <v>End cap for 50/70 Sq.mm</v>
          </cell>
          <cell r="C135" t="str">
            <v>Nos.</v>
          </cell>
          <cell r="D135">
            <v>37.130000000000003</v>
          </cell>
        </row>
        <row r="136">
          <cell r="A136">
            <v>7130640040</v>
          </cell>
          <cell r="B136" t="str">
            <v>M.S. ANGLE 35 x 35 x 5 mm</v>
          </cell>
          <cell r="C136" t="str">
            <v>MT</v>
          </cell>
          <cell r="D136">
            <v>46225.86</v>
          </cell>
        </row>
        <row r="137">
          <cell r="A137">
            <v>7130600023</v>
          </cell>
          <cell r="B137" t="str">
            <v>50 x 50 x 6 mm</v>
          </cell>
          <cell r="C137" t="str">
            <v>MT</v>
          </cell>
          <cell r="D137">
            <v>54512.97</v>
          </cell>
        </row>
        <row r="138">
          <cell r="A138">
            <v>7130600032</v>
          </cell>
          <cell r="B138" t="str">
            <v>65 x 65 x 6 mm</v>
          </cell>
          <cell r="C138" t="str">
            <v>MT</v>
          </cell>
          <cell r="D138">
            <v>54512.97</v>
          </cell>
        </row>
        <row r="139">
          <cell r="A139">
            <v>7130600051</v>
          </cell>
          <cell r="B139" t="str">
            <v>75 x 75 x 6 mm</v>
          </cell>
          <cell r="C139" t="str">
            <v>MT</v>
          </cell>
          <cell r="D139">
            <v>54512.97</v>
          </cell>
        </row>
        <row r="140">
          <cell r="A140">
            <v>7130600166</v>
          </cell>
          <cell r="B140" t="str">
            <v>75x40 mm</v>
          </cell>
          <cell r="C140" t="str">
            <v>MT</v>
          </cell>
          <cell r="D140">
            <v>54512.97</v>
          </cell>
        </row>
        <row r="141">
          <cell r="A141">
            <v>7130600173</v>
          </cell>
          <cell r="B141" t="str">
            <v>50x6 mm</v>
          </cell>
          <cell r="C141" t="str">
            <v>MT</v>
          </cell>
          <cell r="D141">
            <v>57763.91</v>
          </cell>
        </row>
        <row r="142">
          <cell r="A142">
            <v>7130600230</v>
          </cell>
          <cell r="B142" t="str">
            <v>100x50 mm</v>
          </cell>
          <cell r="C142" t="str">
            <v>MT</v>
          </cell>
          <cell r="D142">
            <v>54512.97</v>
          </cell>
        </row>
        <row r="143">
          <cell r="A143">
            <v>7130600495</v>
          </cell>
          <cell r="B143" t="str">
            <v>65x8 mm</v>
          </cell>
          <cell r="C143" t="str">
            <v>MT</v>
          </cell>
          <cell r="D143">
            <v>57763.91</v>
          </cell>
        </row>
        <row r="144">
          <cell r="A144">
            <v>7130600635</v>
          </cell>
          <cell r="B144" t="str">
            <v>125 x 70 mm</v>
          </cell>
          <cell r="C144" t="str">
            <v>MT</v>
          </cell>
          <cell r="D144"/>
        </row>
        <row r="145">
          <cell r="A145">
            <v>7130600675</v>
          </cell>
          <cell r="B145" t="str">
            <v>175 x 85 mm</v>
          </cell>
          <cell r="C145" t="str">
            <v>MT</v>
          </cell>
          <cell r="D145">
            <v>68748.59</v>
          </cell>
        </row>
        <row r="146">
          <cell r="A146">
            <v>7130601070</v>
          </cell>
          <cell r="B146" t="str">
            <v>52 kgs per mtr/105 lbs yard</v>
          </cell>
          <cell r="C146" t="str">
            <v>MT</v>
          </cell>
          <cell r="D146">
            <v>85255.96</v>
          </cell>
        </row>
        <row r="147">
          <cell r="A147">
            <v>7130601072</v>
          </cell>
          <cell r="B147" t="str">
            <v>60 kgs per mtr</v>
          </cell>
          <cell r="C147" t="str">
            <v>MT</v>
          </cell>
          <cell r="D147">
            <v>85255.96</v>
          </cell>
        </row>
        <row r="148">
          <cell r="A148">
            <v>7130601958</v>
          </cell>
          <cell r="B148" t="str">
            <v xml:space="preserve"> 37.1 Kg/Mtr.; 13 Mtr. Length</v>
          </cell>
          <cell r="C148" t="str">
            <v>MT</v>
          </cell>
          <cell r="D148">
            <v>64326.52</v>
          </cell>
        </row>
        <row r="149">
          <cell r="A149">
            <v>7130601965</v>
          </cell>
          <cell r="B149" t="str">
            <v xml:space="preserve"> 37.1 Kg/Mtr.; 11 Mtr. Length</v>
          </cell>
          <cell r="C149" t="str">
            <v>MT</v>
          </cell>
          <cell r="D149">
            <v>63913.52</v>
          </cell>
        </row>
        <row r="150">
          <cell r="A150">
            <v>7130600012</v>
          </cell>
          <cell r="B150" t="str">
            <v>Wide Parallel Flange Beam (WPB) 13 Meter long (160x160 mm) ; 30.44 Kg/Mtr.</v>
          </cell>
          <cell r="C150" t="str">
            <v>MT</v>
          </cell>
          <cell r="D150">
            <v>70449.960000000006</v>
          </cell>
        </row>
        <row r="151">
          <cell r="A151">
            <v>7130600011</v>
          </cell>
          <cell r="B151" t="str">
            <v>Wide Parallel Flange Beam (WPB) 11 Meter long (160x160 mm) ; 30.44 Kg/Mtr.</v>
          </cell>
          <cell r="C151" t="str">
            <v>MT</v>
          </cell>
          <cell r="D151">
            <v>69671.17</v>
          </cell>
        </row>
        <row r="152">
          <cell r="A152">
            <v>7130610206</v>
          </cell>
          <cell r="B152" t="str">
            <v>Barbed wire</v>
          </cell>
          <cell r="C152" t="str">
            <v>MT</v>
          </cell>
          <cell r="D152">
            <v>97233.43</v>
          </cell>
        </row>
        <row r="153">
          <cell r="A153">
            <v>7130620013</v>
          </cell>
          <cell r="B153" t="str">
            <v>I-Bolt (big size)</v>
          </cell>
          <cell r="C153" t="str">
            <v>No</v>
          </cell>
          <cell r="D153">
            <v>156.05000000000001</v>
          </cell>
        </row>
        <row r="154">
          <cell r="A154">
            <v>7130620049</v>
          </cell>
          <cell r="B154" t="str">
            <v>12x65 mm</v>
          </cell>
          <cell r="C154" t="str">
            <v>Kg</v>
          </cell>
          <cell r="D154">
            <v>87.23</v>
          </cell>
        </row>
        <row r="155">
          <cell r="A155">
            <v>7130620133</v>
          </cell>
          <cell r="B155" t="str">
            <v>16x40 mm</v>
          </cell>
          <cell r="C155" t="str">
            <v>Kg</v>
          </cell>
          <cell r="D155">
            <v>120.67</v>
          </cell>
        </row>
        <row r="156">
          <cell r="A156">
            <v>7130620140</v>
          </cell>
          <cell r="B156" t="str">
            <v>16x65 mm</v>
          </cell>
          <cell r="C156" t="str">
            <v>Kg</v>
          </cell>
          <cell r="D156">
            <v>120.67</v>
          </cell>
        </row>
        <row r="157">
          <cell r="A157">
            <v>7130620573</v>
          </cell>
          <cell r="B157" t="str">
            <v>12x100 mm</v>
          </cell>
          <cell r="C157" t="str">
            <v>Kg</v>
          </cell>
          <cell r="D157">
            <v>87.23</v>
          </cell>
        </row>
        <row r="158">
          <cell r="A158">
            <v>7130620575</v>
          </cell>
          <cell r="B158" t="str">
            <v>12x120 mm</v>
          </cell>
          <cell r="C158" t="str">
            <v>Kg</v>
          </cell>
          <cell r="D158">
            <v>88.68</v>
          </cell>
        </row>
        <row r="159">
          <cell r="A159">
            <v>7130620577</v>
          </cell>
          <cell r="B159" t="str">
            <v>12x140 mm</v>
          </cell>
          <cell r="C159" t="str">
            <v>Kg</v>
          </cell>
          <cell r="D159">
            <v>88.68</v>
          </cell>
        </row>
        <row r="160">
          <cell r="A160">
            <v>7130620609</v>
          </cell>
          <cell r="B160" t="str">
            <v>16x40 mm</v>
          </cell>
          <cell r="C160" t="str">
            <v>Kg</v>
          </cell>
          <cell r="D160">
            <v>87.23</v>
          </cell>
        </row>
        <row r="161">
          <cell r="A161">
            <v>7130620614</v>
          </cell>
          <cell r="B161" t="str">
            <v>16x65 mm</v>
          </cell>
          <cell r="C161" t="str">
            <v>Kg</v>
          </cell>
          <cell r="D161">
            <v>85.77</v>
          </cell>
        </row>
        <row r="162">
          <cell r="A162">
            <v>7130620619</v>
          </cell>
          <cell r="B162" t="str">
            <v>16x90 mm</v>
          </cell>
          <cell r="C162" t="str">
            <v>Kg</v>
          </cell>
          <cell r="D162">
            <v>85.77</v>
          </cell>
        </row>
        <row r="163">
          <cell r="A163">
            <v>7130620621</v>
          </cell>
          <cell r="B163" t="str">
            <v>16x100 mm</v>
          </cell>
          <cell r="C163" t="str">
            <v>Kg</v>
          </cell>
          <cell r="D163">
            <v>84.32</v>
          </cell>
        </row>
        <row r="164">
          <cell r="A164">
            <v>7130620625</v>
          </cell>
          <cell r="B164" t="str">
            <v>16x140 mm</v>
          </cell>
          <cell r="C164" t="str">
            <v>Kg</v>
          </cell>
          <cell r="D164">
            <v>84.32</v>
          </cell>
        </row>
        <row r="165">
          <cell r="A165">
            <v>7130620627</v>
          </cell>
          <cell r="B165" t="str">
            <v>16x160 mm</v>
          </cell>
          <cell r="C165" t="str">
            <v>Kg</v>
          </cell>
          <cell r="D165">
            <v>84.32</v>
          </cell>
        </row>
        <row r="166">
          <cell r="A166">
            <v>7130620631</v>
          </cell>
          <cell r="B166" t="str">
            <v>16x200 mm</v>
          </cell>
          <cell r="C166" t="str">
            <v>Kg</v>
          </cell>
          <cell r="D166">
            <v>84.32</v>
          </cell>
        </row>
        <row r="167">
          <cell r="A167">
            <v>7130620636</v>
          </cell>
          <cell r="B167" t="str">
            <v>16x300 mm</v>
          </cell>
          <cell r="C167" t="str">
            <v>Kg</v>
          </cell>
          <cell r="D167">
            <v>84.32</v>
          </cell>
        </row>
        <row r="168">
          <cell r="A168">
            <v>7130620637</v>
          </cell>
          <cell r="B168" t="str">
            <v>16x250 mm</v>
          </cell>
          <cell r="C168" t="str">
            <v>Kg</v>
          </cell>
          <cell r="D168">
            <v>84.32</v>
          </cell>
        </row>
        <row r="169">
          <cell r="A169">
            <v>7130620713</v>
          </cell>
          <cell r="B169" t="str">
            <v>20x75 mm</v>
          </cell>
          <cell r="C169" t="str">
            <v>Kg</v>
          </cell>
          <cell r="D169">
            <v>84.32</v>
          </cell>
        </row>
        <row r="170">
          <cell r="A170">
            <v>7130620716</v>
          </cell>
          <cell r="B170" t="str">
            <v>20x90 mm</v>
          </cell>
          <cell r="C170" t="str">
            <v>Kg</v>
          </cell>
          <cell r="D170">
            <v>84.32</v>
          </cell>
        </row>
        <row r="171">
          <cell r="A171">
            <v>7130620719</v>
          </cell>
          <cell r="B171" t="str">
            <v>20x110 mm</v>
          </cell>
          <cell r="C171" t="str">
            <v>Kg</v>
          </cell>
          <cell r="D171">
            <v>84.32</v>
          </cell>
        </row>
        <row r="172">
          <cell r="A172">
            <v>7130620829</v>
          </cell>
          <cell r="B172" t="str">
            <v>24x120 mm</v>
          </cell>
          <cell r="C172" t="str">
            <v>Kg</v>
          </cell>
          <cell r="D172">
            <v>84.32</v>
          </cell>
        </row>
        <row r="173">
          <cell r="A173">
            <v>7130621892</v>
          </cell>
          <cell r="B173" t="str">
            <v>Foundation bolt</v>
          </cell>
          <cell r="C173" t="str">
            <v>No</v>
          </cell>
          <cell r="D173">
            <v>522.4</v>
          </cell>
        </row>
        <row r="174">
          <cell r="A174">
            <v>7130622922</v>
          </cell>
          <cell r="B174" t="str">
            <v>G.I. Spring Washer</v>
          </cell>
          <cell r="C174" t="str">
            <v>Kg</v>
          </cell>
          <cell r="D174">
            <v>175.32</v>
          </cell>
        </row>
        <row r="175">
          <cell r="A175">
            <v>7130640027</v>
          </cell>
          <cell r="B175" t="str">
            <v>G.I. Pipe 200 mm for 400 sqmm cable of dia 105 mm</v>
          </cell>
          <cell r="C175" t="str">
            <v>RM</v>
          </cell>
          <cell r="D175">
            <v>1269.1500000000001</v>
          </cell>
        </row>
        <row r="176">
          <cell r="A176">
            <v>7130640028</v>
          </cell>
          <cell r="B176" t="str">
            <v>G.I. bend 200 mm</v>
          </cell>
          <cell r="C176" t="str">
            <v>Nos.</v>
          </cell>
          <cell r="D176">
            <v>1099.6400000000001</v>
          </cell>
        </row>
        <row r="177">
          <cell r="A177">
            <v>7130640029</v>
          </cell>
          <cell r="B177" t="str">
            <v>Caping of HDPE Pipe on both end of pipe with concreting and bricks work.</v>
          </cell>
          <cell r="C177" t="str">
            <v>Cmt</v>
          </cell>
          <cell r="D177">
            <v>3905.47</v>
          </cell>
        </row>
        <row r="178">
          <cell r="A178">
            <v>7130640030</v>
          </cell>
          <cell r="B178" t="str">
            <v>Caping of RCC Pipe on both end of pipe with Concreting and Bricks work</v>
          </cell>
          <cell r="C178" t="str">
            <v>Cmt</v>
          </cell>
          <cell r="D178">
            <v>3905.88</v>
          </cell>
        </row>
        <row r="179">
          <cell r="A179">
            <v>7130300496</v>
          </cell>
          <cell r="B179" t="str">
            <v>RCC Pipe Type NP-3 (2.5 mtr long) on first class bedding - 450 mm</v>
          </cell>
          <cell r="C179" t="str">
            <v>RM</v>
          </cell>
          <cell r="D179">
            <v>1769</v>
          </cell>
        </row>
        <row r="180">
          <cell r="A180">
            <v>7130640031</v>
          </cell>
          <cell r="B180" t="str">
            <v>RCC Pipe Type NP-3 (2.5 mtr long) on first class bedding - 600 mm</v>
          </cell>
          <cell r="C180" t="str">
            <v>RM</v>
          </cell>
          <cell r="D180">
            <v>2459</v>
          </cell>
        </row>
        <row r="181">
          <cell r="A181">
            <v>7130640036</v>
          </cell>
          <cell r="B181" t="str">
            <v>RCC Pipe Type NP-3 (2.5 mtr long) on first class bedding - 900 mm</v>
          </cell>
          <cell r="C181" t="str">
            <v>RM</v>
          </cell>
          <cell r="D181">
            <v>4874</v>
          </cell>
        </row>
        <row r="182">
          <cell r="A182">
            <v>7130640037</v>
          </cell>
          <cell r="B182" t="str">
            <v>M.S.Pipe 200 mm dia with collars</v>
          </cell>
          <cell r="C182" t="str">
            <v>RM (medium)</v>
          </cell>
          <cell r="D182">
            <v>1628.47</v>
          </cell>
        </row>
        <row r="183">
          <cell r="A183">
            <v>7130640038</v>
          </cell>
          <cell r="B183" t="str">
            <v>M.S.Pipe 200 mm dia with collars</v>
          </cell>
          <cell r="C183" t="str">
            <v>RM (light)</v>
          </cell>
          <cell r="D183">
            <v>1271.76</v>
          </cell>
        </row>
        <row r="184">
          <cell r="A184">
            <v>7130640171</v>
          </cell>
          <cell r="B184" t="str">
            <v>G.I. Bend 40 mm</v>
          </cell>
          <cell r="C184" t="str">
            <v>Each</v>
          </cell>
          <cell r="D184">
            <v>122.5</v>
          </cell>
        </row>
        <row r="185">
          <cell r="A185">
            <v>7130641396</v>
          </cell>
          <cell r="B185" t="str">
            <v>Gl Pipe 40 mm</v>
          </cell>
          <cell r="C185" t="str">
            <v>Per Mtr</v>
          </cell>
          <cell r="D185">
            <v>253.11</v>
          </cell>
        </row>
        <row r="186">
          <cell r="A186">
            <v>7130642039</v>
          </cell>
          <cell r="B186" t="str">
            <v>GI earthing pipe of 40 mm dia 3.04 mtr long with 12 mm hole at 18 places at equal distance trapered casing at lower end.</v>
          </cell>
          <cell r="C186" t="str">
            <v>No</v>
          </cell>
          <cell r="D186">
            <v>998.57</v>
          </cell>
        </row>
        <row r="187">
          <cell r="A187">
            <v>7130642041</v>
          </cell>
          <cell r="B187" t="str">
            <v xml:space="preserve">25 mm dia 2500 mm long GI rod earth electrodes </v>
          </cell>
          <cell r="C187" t="str">
            <v>No</v>
          </cell>
          <cell r="D187">
            <v>5075.34</v>
          </cell>
        </row>
        <row r="188">
          <cell r="A188">
            <v>7130650001</v>
          </cell>
          <cell r="B188" t="str">
            <v>Providing, Fabricating and fixing 8 SWG Chain link fencing 75 x 75 mm Size Gl Chain link Mesh fencing made out of 65 x 65 x 6 mm MS angle as per drawing no. 04-01/ST/62 R2 Date 05.06.2007</v>
          </cell>
          <cell r="C188" t="str">
            <v>RM</v>
          </cell>
          <cell r="D188"/>
        </row>
        <row r="189">
          <cell r="A189"/>
          <cell r="B189" t="str">
            <v>Const. of 2.40 M high chain link wire mesh fencing on Hard Soil or Hard Moorum (Non Expansive Soil), as per Drg. No. 04-01/ST/62R, including all labour, T&amp;P, curing, materials, transportation, loading, unloading, royalty etc. complete</v>
          </cell>
          <cell r="C189" t="str">
            <v>Mtr.</v>
          </cell>
          <cell r="D189">
            <v>2494</v>
          </cell>
        </row>
        <row r="190">
          <cell r="A190"/>
          <cell r="B190" t="str">
            <v>Const. of 2.40 M high chain link wire mesh fencing on Black Cotton Soil (Expansive Soil), as per Drg. No. 04-01/ST/62R, including all labour, T&amp;P, curing, materials, transportation, loading, unloading, royalty etc. complete</v>
          </cell>
          <cell r="C190" t="str">
            <v>Mtr.</v>
          </cell>
          <cell r="D190">
            <v>2860</v>
          </cell>
        </row>
        <row r="191">
          <cell r="A191">
            <v>7130670027</v>
          </cell>
          <cell r="B191" t="str">
            <v>Wall mounting type holder for Hydrometer</v>
          </cell>
          <cell r="C191" t="str">
            <v>Nos.</v>
          </cell>
          <cell r="D191">
            <v>144.34</v>
          </cell>
        </row>
        <row r="192">
          <cell r="A192">
            <v>7130797532</v>
          </cell>
          <cell r="B192" t="str">
            <v xml:space="preserve">Anchor clamp assembly (consisting of GI Pole Clamp, GI Flat type I-hook &amp; Nylon Cable tie). </v>
          </cell>
          <cell r="C192" t="str">
            <v>Nos.</v>
          </cell>
          <cell r="D192">
            <v>758.33</v>
          </cell>
        </row>
        <row r="193">
          <cell r="A193">
            <v>7130797533</v>
          </cell>
          <cell r="B193" t="str">
            <v xml:space="preserve">Suspension clamp assembly (consisting of GI Pole Clamp, GI Flat type I-hook &amp; Nylon Cable tie). </v>
          </cell>
          <cell r="C193" t="str">
            <v>Nos.</v>
          </cell>
          <cell r="D193">
            <v>550.41999999999996</v>
          </cell>
        </row>
        <row r="194">
          <cell r="A194">
            <v>7130800012</v>
          </cell>
          <cell r="B194" t="str">
            <v>140 Kg; 8.0 Mtr long</v>
          </cell>
          <cell r="C194" t="str">
            <v>Each</v>
          </cell>
          <cell r="D194">
            <v>2298.46</v>
          </cell>
        </row>
        <row r="195">
          <cell r="A195">
            <v>7130800014</v>
          </cell>
          <cell r="B195" t="str">
            <v>410-SP-29, 9 Mtrs. Long.</v>
          </cell>
          <cell r="C195" t="str">
            <v>Each</v>
          </cell>
          <cell r="D195"/>
        </row>
        <row r="196">
          <cell r="A196">
            <v>7130800033</v>
          </cell>
          <cell r="B196" t="str">
            <v>280 Kg; 9.1 Mtr long</v>
          </cell>
          <cell r="C196" t="str">
            <v>Each</v>
          </cell>
          <cell r="D196">
            <v>4451.53</v>
          </cell>
        </row>
        <row r="197">
          <cell r="A197">
            <v>7130800068</v>
          </cell>
          <cell r="B197" t="str">
            <v>410-SP-60, 12 Mtrs. Long.</v>
          </cell>
          <cell r="C197" t="str">
            <v>Each</v>
          </cell>
          <cell r="D197"/>
        </row>
        <row r="198">
          <cell r="A198">
            <v>7130800672</v>
          </cell>
          <cell r="B198" t="str">
            <v>350 Kg; 7.0 Mtr long</v>
          </cell>
          <cell r="C198" t="str">
            <v>Each</v>
          </cell>
          <cell r="D198"/>
        </row>
        <row r="199">
          <cell r="A199">
            <v>7130810005</v>
          </cell>
          <cell r="B199" t="str">
            <v>Through Bolt</v>
          </cell>
          <cell r="C199" t="str">
            <v>No</v>
          </cell>
          <cell r="D199">
            <v>109.77</v>
          </cell>
        </row>
        <row r="200">
          <cell r="A200">
            <v>7130810006</v>
          </cell>
          <cell r="B200" t="str">
            <v>D.C. Cross arm 3.8 Mtr 100 x 50 mm.</v>
          </cell>
          <cell r="C200" t="str">
            <v>Set</v>
          </cell>
          <cell r="D200">
            <v>8965.2999999999993</v>
          </cell>
        </row>
        <row r="201">
          <cell r="A201">
            <v>7130810026</v>
          </cell>
          <cell r="B201" t="str">
            <v>Stay clamp for 140 kG PCC Pole</v>
          </cell>
          <cell r="C201" t="str">
            <v>Pair</v>
          </cell>
          <cell r="D201">
            <v>198.14</v>
          </cell>
        </row>
        <row r="202">
          <cell r="A202">
            <v>7130810026</v>
          </cell>
          <cell r="B202" t="str">
            <v>Stay clamp HT per pair</v>
          </cell>
          <cell r="C202" t="str">
            <v>Pair</v>
          </cell>
          <cell r="D202">
            <v>369.79</v>
          </cell>
        </row>
        <row r="203">
          <cell r="A203">
            <v>7130810060</v>
          </cell>
          <cell r="B203" t="str">
            <v>LT U CLAMP</v>
          </cell>
          <cell r="C203" t="str">
            <v>No.</v>
          </cell>
          <cell r="D203">
            <v>99.07</v>
          </cell>
        </row>
        <row r="204">
          <cell r="A204">
            <v>7130810076</v>
          </cell>
          <cell r="B204" t="str">
            <v>Strain Plate (50x6 mm) for 11 kV</v>
          </cell>
          <cell r="C204" t="str">
            <v>No.</v>
          </cell>
          <cell r="D204">
            <v>86.44</v>
          </cell>
        </row>
        <row r="205">
          <cell r="A205">
            <v>7130810077</v>
          </cell>
          <cell r="B205" t="str">
            <v>Pole Clamp</v>
          </cell>
          <cell r="C205" t="str">
            <v>No.</v>
          </cell>
          <cell r="D205">
            <v>556.80999999999995</v>
          </cell>
        </row>
        <row r="206">
          <cell r="A206">
            <v>7130810102</v>
          </cell>
          <cell r="B206" t="str">
            <v>Service Ring</v>
          </cell>
          <cell r="C206" t="str">
            <v>No.</v>
          </cell>
          <cell r="D206">
            <v>442.47</v>
          </cell>
        </row>
        <row r="207">
          <cell r="A207">
            <v>7130810193</v>
          </cell>
          <cell r="B207" t="str">
            <v>Stay Clamp for 280 kG. PCC Pole</v>
          </cell>
          <cell r="C207" t="str">
            <v>Pair</v>
          </cell>
          <cell r="D207">
            <v>369.79</v>
          </cell>
        </row>
        <row r="208">
          <cell r="A208">
            <v>7130810201</v>
          </cell>
          <cell r="B208" t="str">
            <v>Stay Clamp Rail "A" type</v>
          </cell>
          <cell r="C208" t="str">
            <v>Pair</v>
          </cell>
          <cell r="D208">
            <v>393.51</v>
          </cell>
        </row>
        <row r="209">
          <cell r="A209">
            <v>7130810216</v>
          </cell>
          <cell r="B209" t="str">
            <v>Stay Clamp for R.S.Joist "A" type</v>
          </cell>
          <cell r="C209" t="str">
            <v>Pair</v>
          </cell>
          <cell r="D209">
            <v>393.51</v>
          </cell>
        </row>
        <row r="210">
          <cell r="A210">
            <v>7130810251</v>
          </cell>
          <cell r="B210" t="str">
            <v>Stay Clamp Rail "B" type</v>
          </cell>
          <cell r="C210" t="str">
            <v>Pair</v>
          </cell>
          <cell r="D210">
            <v>393.51</v>
          </cell>
        </row>
        <row r="211">
          <cell r="A211">
            <v>7130810361</v>
          </cell>
          <cell r="B211" t="str">
            <v>Back Clamp Rail for H-Beam</v>
          </cell>
          <cell r="C211" t="str">
            <v>Pair</v>
          </cell>
          <cell r="D211">
            <v>393.51</v>
          </cell>
        </row>
        <row r="212">
          <cell r="A212">
            <v>7130810413</v>
          </cell>
          <cell r="B212" t="str">
            <v>L.T. 3 Pin Cross Arm 50x50x6 mm</v>
          </cell>
          <cell r="C212" t="str">
            <v>No.</v>
          </cell>
          <cell r="D212">
            <v>813.82</v>
          </cell>
        </row>
        <row r="213">
          <cell r="A213">
            <v>7130810441</v>
          </cell>
          <cell r="B213" t="str">
            <v>L.T. 4 Pin Cross Arm 50x50x6 mm</v>
          </cell>
          <cell r="C213" t="str">
            <v>No.</v>
          </cell>
          <cell r="D213">
            <v>969.23</v>
          </cell>
        </row>
        <row r="214">
          <cell r="A214">
            <v>7130810461</v>
          </cell>
          <cell r="B214" t="str">
            <v>L.T. 5 Pin Cross Arm 50x50x6 mm</v>
          </cell>
          <cell r="C214" t="str">
            <v>No.</v>
          </cell>
          <cell r="D214">
            <v>1124.6099999999999</v>
          </cell>
        </row>
        <row r="215">
          <cell r="A215">
            <v>7130810495</v>
          </cell>
          <cell r="B215" t="str">
            <v>11 kV Cross Arm Cleat type</v>
          </cell>
          <cell r="C215" t="str">
            <v>No.</v>
          </cell>
          <cell r="D215">
            <v>1380.08</v>
          </cell>
        </row>
        <row r="216">
          <cell r="A216">
            <v>7130810509</v>
          </cell>
          <cell r="B216" t="str">
            <v>D.O. Mounting Channel 75x40 mm</v>
          </cell>
          <cell r="C216" t="str">
            <v>No.</v>
          </cell>
          <cell r="D216">
            <v>2187.33</v>
          </cell>
        </row>
        <row r="217">
          <cell r="A217">
            <v>7130810511</v>
          </cell>
          <cell r="B217" t="str">
            <v>11 kV Guarding Channel 100x50 mm</v>
          </cell>
          <cell r="C217" t="str">
            <v>Set</v>
          </cell>
          <cell r="D217">
            <v>3272.43</v>
          </cell>
        </row>
        <row r="218">
          <cell r="A218">
            <v>7130810512</v>
          </cell>
          <cell r="B218" t="str">
            <v>D.C.Cross arm 4' Centre 100x50 mm Channel 2 Nos.</v>
          </cell>
          <cell r="C218" t="str">
            <v>Set</v>
          </cell>
          <cell r="D218">
            <v>5188.4799999999996</v>
          </cell>
        </row>
        <row r="219">
          <cell r="A219">
            <v>7130810512</v>
          </cell>
          <cell r="B219" t="str">
            <v xml:space="preserve">D.C.Cross arm 4' Centre 75x40 mm Channel </v>
          </cell>
          <cell r="C219" t="str">
            <v>Set</v>
          </cell>
          <cell r="D219">
            <v>3768.9</v>
          </cell>
        </row>
        <row r="220">
          <cell r="A220">
            <v>7130810512</v>
          </cell>
          <cell r="B220" t="str">
            <v xml:space="preserve">D.C.Cross arm 4' Centre Angle 100x100x6 mm  </v>
          </cell>
          <cell r="C220" t="str">
            <v>Set</v>
          </cell>
          <cell r="D220">
            <v>5296.48</v>
          </cell>
        </row>
        <row r="221">
          <cell r="A221">
            <v>7130810517</v>
          </cell>
          <cell r="B221" t="str">
            <v>D.C.Cross arm 8' Centre 100x50 mm  Channel</v>
          </cell>
          <cell r="C221" t="str">
            <v>Set</v>
          </cell>
          <cell r="D221">
            <v>5987.84</v>
          </cell>
        </row>
        <row r="222">
          <cell r="A222">
            <v>7130810595</v>
          </cell>
          <cell r="B222" t="str">
            <v>33 kV Cross Arm 75x75x6 mm</v>
          </cell>
          <cell r="C222" t="str">
            <v>No.</v>
          </cell>
          <cell r="D222">
            <v>3070.95</v>
          </cell>
        </row>
        <row r="223">
          <cell r="A223">
            <v>7130810608</v>
          </cell>
          <cell r="B223" t="str">
            <v>D.C.Cross arm 5' Centre 100x50 mm M.S.Channel</v>
          </cell>
          <cell r="C223" t="str">
            <v>Set</v>
          </cell>
          <cell r="D223">
            <v>7080.84</v>
          </cell>
        </row>
        <row r="224">
          <cell r="A224">
            <v>7130810624</v>
          </cell>
          <cell r="B224" t="str">
            <v>Strain Plate (65x8 mm) for 33 kV</v>
          </cell>
          <cell r="C224" t="str">
            <v>No.</v>
          </cell>
          <cell r="D224">
            <v>114.38</v>
          </cell>
        </row>
        <row r="225">
          <cell r="A225">
            <v>7130810676</v>
          </cell>
          <cell r="B225" t="str">
            <v>33 kV Top Channel 75x75x6 mm</v>
          </cell>
          <cell r="C225" t="str">
            <v>No.</v>
          </cell>
          <cell r="D225">
            <v>510.95</v>
          </cell>
        </row>
        <row r="226">
          <cell r="A226">
            <v>7130810679</v>
          </cell>
          <cell r="B226" t="str">
            <v>11 kV Top Clamp Angle type 65x65x6 mm</v>
          </cell>
          <cell r="C226" t="str">
            <v>No.</v>
          </cell>
          <cell r="D226">
            <v>387.16</v>
          </cell>
        </row>
        <row r="227">
          <cell r="A227">
            <v>7130810681</v>
          </cell>
          <cell r="B227" t="str">
            <v>Single Pole Cut Point Fitting 100x50 mm</v>
          </cell>
          <cell r="C227" t="str">
            <v>Set</v>
          </cell>
          <cell r="D227">
            <v>4249.5600000000004</v>
          </cell>
        </row>
        <row r="228">
          <cell r="A228">
            <v>7130810684</v>
          </cell>
          <cell r="B228" t="str">
            <v>D.C.Cross Arm 5.2 Mtr. Channel</v>
          </cell>
          <cell r="C228" t="str">
            <v>No.</v>
          </cell>
          <cell r="D228">
            <v>11136.81</v>
          </cell>
        </row>
        <row r="229">
          <cell r="A229">
            <v>7130810692</v>
          </cell>
          <cell r="B229" t="str">
            <v>Stay Clamp Rail for H-Beam</v>
          </cell>
          <cell r="C229" t="str">
            <v>Pair</v>
          </cell>
          <cell r="D229">
            <v>410.25</v>
          </cell>
        </row>
        <row r="230">
          <cell r="A230">
            <v>7130820008</v>
          </cell>
          <cell r="B230" t="str">
            <v>11 kV Polymeric Pin insulator with Pin</v>
          </cell>
          <cell r="C230" t="str">
            <v>Each</v>
          </cell>
          <cell r="D230">
            <v>157.08000000000001</v>
          </cell>
        </row>
        <row r="231">
          <cell r="A231">
            <v>7130820009</v>
          </cell>
          <cell r="B231" t="str">
            <v>33 kV Pin insulator with Pin</v>
          </cell>
          <cell r="C231" t="str">
            <v>Each</v>
          </cell>
          <cell r="D231">
            <v>288.23</v>
          </cell>
        </row>
        <row r="232">
          <cell r="A232">
            <v>7130820010</v>
          </cell>
          <cell r="B232" t="str">
            <v>11 kV Disc Insulator</v>
          </cell>
          <cell r="C232" t="str">
            <v>Each</v>
          </cell>
          <cell r="D232">
            <v>118.97</v>
          </cell>
        </row>
        <row r="233">
          <cell r="A233">
            <v>7130820011</v>
          </cell>
          <cell r="B233" t="str">
            <v>33 kV Composite Disc insulator</v>
          </cell>
          <cell r="C233" t="str">
            <v>Each</v>
          </cell>
          <cell r="D233">
            <v>216.4</v>
          </cell>
        </row>
        <row r="234">
          <cell r="A234">
            <v>7130820018</v>
          </cell>
          <cell r="B234" t="str">
            <v>Split insulator</v>
          </cell>
          <cell r="C234" t="str">
            <v>Pair</v>
          </cell>
          <cell r="D234">
            <v>4.66</v>
          </cell>
        </row>
        <row r="235">
          <cell r="A235">
            <v>7130820026</v>
          </cell>
          <cell r="B235" t="str">
            <v>11 kV Post Insulator</v>
          </cell>
          <cell r="C235" t="str">
            <v>Nos.</v>
          </cell>
          <cell r="D235">
            <v>544.42999999999995</v>
          </cell>
        </row>
        <row r="236">
          <cell r="A236">
            <v>7130820027</v>
          </cell>
          <cell r="B236" t="str">
            <v>33 kV Post Insulator</v>
          </cell>
          <cell r="C236" t="str">
            <v>Nos.</v>
          </cell>
          <cell r="D236">
            <v>2226.44</v>
          </cell>
        </row>
        <row r="237">
          <cell r="A237">
            <v>7130820029</v>
          </cell>
          <cell r="B237" t="str">
            <v>Cable tie for AB Cable</v>
          </cell>
          <cell r="C237" t="str">
            <v>Each</v>
          </cell>
          <cell r="D237">
            <v>41.26</v>
          </cell>
        </row>
        <row r="238">
          <cell r="A238">
            <v>7130820030</v>
          </cell>
          <cell r="B238" t="str">
            <v xml:space="preserve">Disc insulator </v>
          </cell>
          <cell r="C238" t="str">
            <v>Each</v>
          </cell>
          <cell r="D238">
            <v>285.39</v>
          </cell>
        </row>
        <row r="239">
          <cell r="A239">
            <v>7130820071</v>
          </cell>
          <cell r="B239" t="str">
            <v>11 kV Pin insulator</v>
          </cell>
          <cell r="C239" t="str">
            <v>Each</v>
          </cell>
          <cell r="D239">
            <v>54.93</v>
          </cell>
        </row>
        <row r="240">
          <cell r="A240">
            <v>7130820075</v>
          </cell>
          <cell r="B240" t="str">
            <v xml:space="preserve">33 kV Pin insulator </v>
          </cell>
          <cell r="C240" t="str">
            <v>Each</v>
          </cell>
          <cell r="D240">
            <v>281.83</v>
          </cell>
        </row>
        <row r="241">
          <cell r="A241">
            <v>7130820101</v>
          </cell>
          <cell r="B241" t="str">
            <v>65 x 50 mm.</v>
          </cell>
          <cell r="C241" t="str">
            <v>Each</v>
          </cell>
          <cell r="D241">
            <v>13.03</v>
          </cell>
        </row>
        <row r="242">
          <cell r="A242">
            <v>7130820106</v>
          </cell>
          <cell r="B242" t="str">
            <v>90 x 75 mm.</v>
          </cell>
          <cell r="C242" t="str">
            <v>Each</v>
          </cell>
          <cell r="D242">
            <v>15.42</v>
          </cell>
        </row>
        <row r="243">
          <cell r="A243">
            <v>7130820117</v>
          </cell>
          <cell r="B243" t="str">
            <v>Stay insulator</v>
          </cell>
          <cell r="C243" t="str">
            <v>Each</v>
          </cell>
          <cell r="D243">
            <v>12.42</v>
          </cell>
        </row>
        <row r="244">
          <cell r="A244">
            <v>7130820155</v>
          </cell>
          <cell r="B244" t="str">
            <v>GI Pin for 11 kV Pin insulator.</v>
          </cell>
          <cell r="C244" t="str">
            <v>Each</v>
          </cell>
          <cell r="D244">
            <v>91.51</v>
          </cell>
        </row>
        <row r="245">
          <cell r="A245">
            <v>7130820158</v>
          </cell>
          <cell r="B245" t="str">
            <v>GI Pin for 33 kV Pin insulator.</v>
          </cell>
          <cell r="C245" t="str">
            <v>Each</v>
          </cell>
          <cell r="D245">
            <v>304.52</v>
          </cell>
        </row>
        <row r="246">
          <cell r="A246">
            <v>7130820201</v>
          </cell>
          <cell r="B246" t="str">
            <v>Aluminium bobbin.</v>
          </cell>
          <cell r="C246" t="str">
            <v>Each</v>
          </cell>
          <cell r="D246">
            <v>46.15</v>
          </cell>
        </row>
        <row r="247">
          <cell r="A247">
            <v>7130820206</v>
          </cell>
          <cell r="B247" t="str">
            <v>For 65 x 50 mm insulators</v>
          </cell>
          <cell r="C247" t="str">
            <v>Each</v>
          </cell>
          <cell r="D247">
            <v>45.81</v>
          </cell>
        </row>
        <row r="248">
          <cell r="A248">
            <v>7130820216</v>
          </cell>
          <cell r="B248" t="str">
            <v>For 90 x 75 mm insulators</v>
          </cell>
          <cell r="C248" t="str">
            <v>Each</v>
          </cell>
          <cell r="D248">
            <v>52.15</v>
          </cell>
        </row>
        <row r="249">
          <cell r="A249">
            <v>7130820241</v>
          </cell>
          <cell r="B249" t="str">
            <v>Strain H/W up to Rabbit.</v>
          </cell>
          <cell r="C249" t="str">
            <v>Each</v>
          </cell>
          <cell r="D249">
            <v>153.49</v>
          </cell>
        </row>
        <row r="250">
          <cell r="A250">
            <v>7130820248</v>
          </cell>
          <cell r="B250" t="str">
            <v>Strain H/W for Raccoon &amp; Dog.</v>
          </cell>
          <cell r="C250" t="str">
            <v>Each</v>
          </cell>
          <cell r="D250">
            <v>318.89</v>
          </cell>
        </row>
        <row r="251">
          <cell r="A251">
            <v>7130820312</v>
          </cell>
          <cell r="B251" t="str">
            <v>Suspension H/W suitable for Panther Conductor.</v>
          </cell>
          <cell r="C251" t="str">
            <v>Set</v>
          </cell>
          <cell r="D251">
            <v>2732.4</v>
          </cell>
        </row>
        <row r="252">
          <cell r="A252">
            <v>7130830006</v>
          </cell>
          <cell r="B252" t="str">
            <v>Aluminium binding wire and tape.</v>
          </cell>
          <cell r="C252" t="str">
            <v>Kg</v>
          </cell>
          <cell r="D252">
            <v>201.5</v>
          </cell>
        </row>
        <row r="253">
          <cell r="A253">
            <v>7130830025</v>
          </cell>
          <cell r="B253" t="str">
            <v>0.02 Sq.inch (20/22 Sqmm Al. Eq.) (Squirrel)</v>
          </cell>
          <cell r="C253" t="str">
            <v>Km</v>
          </cell>
          <cell r="D253"/>
        </row>
        <row r="254">
          <cell r="A254">
            <v>7130830026</v>
          </cell>
          <cell r="B254" t="str">
            <v>0.03 Sq.inch (30/34 Sqmm Al. Eq.) (Weasel)</v>
          </cell>
          <cell r="C254" t="str">
            <v>Km</v>
          </cell>
          <cell r="D254"/>
        </row>
        <row r="255">
          <cell r="A255">
            <v>7130830027</v>
          </cell>
          <cell r="B255" t="str">
            <v>0.05 Sq.inch (50/55 Sqmm Al. Eq.) (Rabbit)</v>
          </cell>
          <cell r="C255" t="str">
            <v>Km</v>
          </cell>
          <cell r="D255"/>
        </row>
        <row r="256">
          <cell r="A256">
            <v>7130830028</v>
          </cell>
          <cell r="B256" t="str">
            <v>0.075 Sq.inch (80 Sqmm Al. Eq.) (Raccoon)</v>
          </cell>
          <cell r="C256" t="str">
            <v>Km</v>
          </cell>
          <cell r="D256"/>
        </row>
        <row r="257">
          <cell r="A257">
            <v>7130830050</v>
          </cell>
          <cell r="B257" t="str">
            <v>Jointing sleeve for Raccoon Conductor.</v>
          </cell>
          <cell r="C257" t="str">
            <v>Each</v>
          </cell>
          <cell r="D257">
            <v>46.85</v>
          </cell>
        </row>
        <row r="258">
          <cell r="A258">
            <v>7130830051</v>
          </cell>
          <cell r="B258" t="str">
            <v>Jointing sleeve for Dog Conductor.</v>
          </cell>
          <cell r="C258" t="str">
            <v>Each</v>
          </cell>
          <cell r="D258">
            <v>182.86</v>
          </cell>
        </row>
        <row r="259">
          <cell r="A259">
            <v>7130830052</v>
          </cell>
          <cell r="B259" t="str">
            <v>Bimetallic clamp for Power Transformer</v>
          </cell>
          <cell r="C259" t="str">
            <v>Each</v>
          </cell>
          <cell r="D259">
            <v>887.14</v>
          </cell>
        </row>
        <row r="260">
          <cell r="A260">
            <v>7130830053</v>
          </cell>
          <cell r="B260" t="str">
            <v>0.02 Sq.inch (20 Sqmm Al. Eq.) (Squirrel)</v>
          </cell>
          <cell r="C260" t="str">
            <v>Km</v>
          </cell>
          <cell r="D260">
            <v>19941.98</v>
          </cell>
        </row>
        <row r="261">
          <cell r="A261">
            <v>7130830054</v>
          </cell>
          <cell r="B261" t="str">
            <v>Bimetallic clamp for VCB</v>
          </cell>
          <cell r="C261" t="str">
            <v>Each</v>
          </cell>
          <cell r="D261">
            <v>518.08000000000004</v>
          </cell>
        </row>
        <row r="262">
          <cell r="A262">
            <v>7130830055</v>
          </cell>
          <cell r="B262" t="str">
            <v>0.03 Sq.inch (30 Sqmm Al. Eq.) (Weasel)</v>
          </cell>
          <cell r="C262" t="str">
            <v>Km</v>
          </cell>
          <cell r="D262">
            <v>28020.76</v>
          </cell>
        </row>
        <row r="263">
          <cell r="A263">
            <v>7130830056</v>
          </cell>
          <cell r="B263" t="str">
            <v>Bimetallic clamp for CT-PT Unit</v>
          </cell>
          <cell r="C263" t="str">
            <v>Each</v>
          </cell>
          <cell r="D263">
            <v>518.08000000000004</v>
          </cell>
        </row>
        <row r="264">
          <cell r="A264">
            <v>7130830057</v>
          </cell>
          <cell r="B264" t="str">
            <v>0.05 Sq.inch (50 Sqmm Al. Eq.) (Rabbit)</v>
          </cell>
          <cell r="C264" t="str">
            <v>Km</v>
          </cell>
          <cell r="D264">
            <v>46676.09</v>
          </cell>
        </row>
        <row r="265">
          <cell r="A265">
            <v>7130830058</v>
          </cell>
          <cell r="B265" t="str">
            <v>Bimetallic clamp for Distribution Transformer (HT)</v>
          </cell>
          <cell r="C265" t="str">
            <v>Each</v>
          </cell>
          <cell r="D265">
            <v>263.38</v>
          </cell>
        </row>
        <row r="266">
          <cell r="A266">
            <v>7130830060</v>
          </cell>
          <cell r="B266" t="str">
            <v>0.075 Sq.inch (80 Sqmm Al. Eq.) (Raccoon)</v>
          </cell>
          <cell r="C266" t="str">
            <v>Km</v>
          </cell>
          <cell r="D266">
            <v>70920.66</v>
          </cell>
        </row>
        <row r="267">
          <cell r="A267">
            <v>7130830063</v>
          </cell>
          <cell r="B267" t="str">
            <v>0.10 Sq.inch (100 Sqmm Al. Eq.) (Dog)</v>
          </cell>
          <cell r="C267" t="str">
            <v>Km</v>
          </cell>
          <cell r="D267">
            <v>92285.69</v>
          </cell>
        </row>
        <row r="268">
          <cell r="A268">
            <v>7130830070</v>
          </cell>
          <cell r="B268" t="str">
            <v>0.2 Sq inch ( 130 Sqmm Al.Eq.)(Panther)</v>
          </cell>
          <cell r="C268" t="str">
            <v>Km</v>
          </cell>
          <cell r="D268">
            <v>208407.56</v>
          </cell>
        </row>
        <row r="269">
          <cell r="A269">
            <v>7130830084</v>
          </cell>
          <cell r="B269" t="str">
            <v>0.10 Sq.inch (100 Sqmm Al. Eq.) (Dog)</v>
          </cell>
          <cell r="C269" t="str">
            <v>Km</v>
          </cell>
          <cell r="D269"/>
        </row>
        <row r="270">
          <cell r="A270">
            <v>7130830585</v>
          </cell>
          <cell r="B270" t="str">
            <v>T-Clamp for Dog Conductor.</v>
          </cell>
          <cell r="C270" t="str">
            <v>Each</v>
          </cell>
          <cell r="D270">
            <v>346.08</v>
          </cell>
        </row>
        <row r="271">
          <cell r="A271">
            <v>7130830586</v>
          </cell>
          <cell r="B271" t="str">
            <v>T-Clamp for Raccoon Conductor.</v>
          </cell>
          <cell r="C271" t="str">
            <v>Each</v>
          </cell>
          <cell r="D271">
            <v>276.55</v>
          </cell>
        </row>
        <row r="272">
          <cell r="A272">
            <v>7130830586</v>
          </cell>
          <cell r="B272" t="str">
            <v>T-Clamp for Panther Conductor.</v>
          </cell>
          <cell r="C272" t="str">
            <v>Each</v>
          </cell>
          <cell r="D272">
            <v>405.01</v>
          </cell>
        </row>
        <row r="273">
          <cell r="A273">
            <v>7130830603</v>
          </cell>
          <cell r="B273" t="str">
            <v>Bimetallic clamp for Distribution Transformer (LT)</v>
          </cell>
          <cell r="C273" t="str">
            <v>Each</v>
          </cell>
          <cell r="D273">
            <v>386.39</v>
          </cell>
        </row>
        <row r="274">
          <cell r="A274">
            <v>7130830854</v>
          </cell>
          <cell r="B274" t="str">
            <v>Jointing sleeves for Weasel, Squirrel &amp; Rabbit Conductor.</v>
          </cell>
          <cell r="C274" t="str">
            <v>Each</v>
          </cell>
          <cell r="D274">
            <v>37.78</v>
          </cell>
        </row>
        <row r="275">
          <cell r="A275">
            <v>7130830971</v>
          </cell>
          <cell r="B275" t="str">
            <v>Jointing sleeves for Panther Conductor.</v>
          </cell>
          <cell r="C275" t="str">
            <v>Each</v>
          </cell>
          <cell r="D275">
            <v>282.61</v>
          </cell>
        </row>
        <row r="276">
          <cell r="A276">
            <v>7130840021</v>
          </cell>
          <cell r="B276" t="str">
            <v>33 kV Porcelain Lightning Arrestor</v>
          </cell>
          <cell r="C276" t="str">
            <v>Each</v>
          </cell>
          <cell r="D276">
            <v>4094.6</v>
          </cell>
        </row>
        <row r="277">
          <cell r="A277">
            <v>7130840029</v>
          </cell>
          <cell r="B277" t="str">
            <v>11 kV Polymer Lightning Arrestor</v>
          </cell>
          <cell r="C277" t="str">
            <v>Each</v>
          </cell>
          <cell r="D277">
            <v>368.52</v>
          </cell>
        </row>
        <row r="278">
          <cell r="A278">
            <v>7130850198</v>
          </cell>
          <cell r="B278" t="str">
            <v>GI Structure for complete Equipment</v>
          </cell>
          <cell r="C278" t="str">
            <v>Kg</v>
          </cell>
          <cell r="D278">
            <v>96.73</v>
          </cell>
        </row>
        <row r="279">
          <cell r="A279">
            <v>7130850201</v>
          </cell>
          <cell r="B279" t="str">
            <v>D Transformer Mounting 100x50 mm Channel</v>
          </cell>
          <cell r="C279" t="str">
            <v>Set</v>
          </cell>
          <cell r="D279">
            <v>5987.84</v>
          </cell>
        </row>
        <row r="280">
          <cell r="A280">
            <v>7130850201</v>
          </cell>
          <cell r="B280" t="str">
            <v>Transformer Mounting with Belting for Addl. X-Arm</v>
          </cell>
          <cell r="C280" t="str">
            <v>No.</v>
          </cell>
          <cell r="D280">
            <v>5785.04</v>
          </cell>
        </row>
        <row r="281">
          <cell r="A281">
            <v>7130860017</v>
          </cell>
          <cell r="B281" t="str">
            <v>I-Bolt - 16 mm</v>
          </cell>
          <cell r="C281" t="str">
            <v>No.</v>
          </cell>
          <cell r="D281">
            <v>132.26</v>
          </cell>
        </row>
        <row r="282">
          <cell r="A282">
            <v>7130860032</v>
          </cell>
          <cell r="B282" t="str">
            <v>Stay Set 16 mm (Painted) LT &amp; 11 KV</v>
          </cell>
          <cell r="C282" t="str">
            <v>Each</v>
          </cell>
          <cell r="D282">
            <v>566.19000000000005</v>
          </cell>
        </row>
        <row r="283">
          <cell r="A283">
            <v>7130860033</v>
          </cell>
          <cell r="B283" t="str">
            <v>Stay Set 20 mm (Painted)</v>
          </cell>
          <cell r="C283" t="str">
            <v>Each</v>
          </cell>
          <cell r="D283">
            <v>1031.6600000000001</v>
          </cell>
        </row>
        <row r="284">
          <cell r="A284">
            <v>7130860076</v>
          </cell>
          <cell r="B284" t="str">
            <v>Stay Wire 7/4.00 mm (7/8 SWG)</v>
          </cell>
          <cell r="C284" t="str">
            <v>MT</v>
          </cell>
          <cell r="D284">
            <v>92856.94</v>
          </cell>
        </row>
        <row r="285">
          <cell r="A285">
            <v>7130860077</v>
          </cell>
          <cell r="B285" t="str">
            <v>Stay Wire 7/3.15 mm (7/10 SWG)</v>
          </cell>
          <cell r="C285" t="str">
            <v>MT</v>
          </cell>
          <cell r="D285">
            <v>93766.43</v>
          </cell>
        </row>
        <row r="286">
          <cell r="A286">
            <v>7130870010</v>
          </cell>
          <cell r="B286" t="str">
            <v>Earth spike</v>
          </cell>
          <cell r="C286" t="str">
            <v>No.</v>
          </cell>
          <cell r="D286">
            <v>952.74</v>
          </cell>
        </row>
        <row r="287">
          <cell r="A287">
            <v>7130870013</v>
          </cell>
          <cell r="B287" t="str">
            <v>Earthing coil (Coil of 115 turns of 50 mm dia. &amp; 2.5 Mtrs lead of 4.0 mm GI wire)</v>
          </cell>
          <cell r="C287" t="str">
            <v>Each</v>
          </cell>
          <cell r="D287">
            <v>152.88999999999999</v>
          </cell>
        </row>
        <row r="288">
          <cell r="A288">
            <v>7130870030</v>
          </cell>
          <cell r="B288" t="str">
            <v>Earthing Rod 25 mm 1.2 Mtr.</v>
          </cell>
          <cell r="C288" t="str">
            <v>No.</v>
          </cell>
          <cell r="D288">
            <v>477.06</v>
          </cell>
        </row>
        <row r="289">
          <cell r="A289">
            <v>7130870041</v>
          </cell>
          <cell r="B289" t="str">
            <v>G.I.Wire 3.15 mm (10 SWG)</v>
          </cell>
          <cell r="C289" t="str">
            <v>MT</v>
          </cell>
          <cell r="D289">
            <v>80579.350000000006</v>
          </cell>
        </row>
        <row r="290">
          <cell r="A290">
            <v>7130870043</v>
          </cell>
          <cell r="B290" t="str">
            <v>G.I.Wire 4.0 mm (8 SWG)</v>
          </cell>
          <cell r="C290" t="str">
            <v>MT</v>
          </cell>
          <cell r="D290">
            <v>80521.84</v>
          </cell>
        </row>
        <row r="291">
          <cell r="A291">
            <v>7130870045</v>
          </cell>
          <cell r="B291" t="str">
            <v>G.I.Wire 5.0 mm (6 SWG)</v>
          </cell>
          <cell r="C291" t="str">
            <v>MT</v>
          </cell>
          <cell r="D291">
            <v>80521.84</v>
          </cell>
        </row>
        <row r="292">
          <cell r="A292">
            <v>7130870088</v>
          </cell>
          <cell r="B292" t="str">
            <v>Earthing set (Pipe earth as per DRG No.-G/008)</v>
          </cell>
          <cell r="C292" t="str">
            <v>Each</v>
          </cell>
          <cell r="D292">
            <v>2567.64</v>
          </cell>
        </row>
        <row r="293">
          <cell r="A293">
            <v>7130870318</v>
          </cell>
          <cell r="B293" t="str">
            <v>Tension hardware suitable for Panther Conductor.</v>
          </cell>
          <cell r="C293" t="str">
            <v>Set</v>
          </cell>
          <cell r="D293">
            <v>1255.71</v>
          </cell>
        </row>
        <row r="294">
          <cell r="A294">
            <v>7130877681</v>
          </cell>
          <cell r="B294" t="str">
            <v>Dead-end Assembly (Suitable for all size cable)</v>
          </cell>
          <cell r="C294" t="str">
            <v>Each</v>
          </cell>
          <cell r="D294">
            <v>2995.56</v>
          </cell>
        </row>
        <row r="295">
          <cell r="A295">
            <v>7130877683</v>
          </cell>
          <cell r="B295" t="str">
            <v>Straight line Suspension Assembly (Suitable for all size cable)</v>
          </cell>
          <cell r="C295" t="str">
            <v>Each</v>
          </cell>
          <cell r="D295">
            <v>2662.71</v>
          </cell>
        </row>
        <row r="296">
          <cell r="A296">
            <v>7130880006</v>
          </cell>
          <cell r="B296" t="str">
            <v>Cable marker for U/G cable</v>
          </cell>
          <cell r="C296" t="str">
            <v>No.</v>
          </cell>
          <cell r="D296">
            <v>136.55000000000001</v>
          </cell>
        </row>
        <row r="297">
          <cell r="A297">
            <v>7130880006</v>
          </cell>
          <cell r="B297" t="str">
            <v>Pad Connector (for Panther conductor)</v>
          </cell>
          <cell r="C297" t="str">
            <v>No.</v>
          </cell>
          <cell r="D297">
            <v>173.63</v>
          </cell>
        </row>
        <row r="298">
          <cell r="A298">
            <v>7130880041</v>
          </cell>
          <cell r="B298" t="str">
            <v>Danger board 33 kV &amp; 11 kV</v>
          </cell>
          <cell r="C298" t="str">
            <v>Each</v>
          </cell>
          <cell r="D298">
            <v>113.77</v>
          </cell>
        </row>
        <row r="299">
          <cell r="A299">
            <v>7130890004</v>
          </cell>
          <cell r="B299" t="str">
            <v>LT Feeder Piller box for 1 phase 8 connection made of M.S.Sheet.</v>
          </cell>
          <cell r="C299" t="str">
            <v>Nos.</v>
          </cell>
          <cell r="D299">
            <v>6584.07</v>
          </cell>
        </row>
        <row r="300">
          <cell r="A300">
            <v>7130890005</v>
          </cell>
          <cell r="B300" t="str">
            <v>LT Feeder Piller box for 1 phase 12 connection made of M.S.Sheet.</v>
          </cell>
          <cell r="C300" t="str">
            <v>Nos.</v>
          </cell>
          <cell r="D300">
            <v>8307.5</v>
          </cell>
        </row>
        <row r="301">
          <cell r="A301">
            <v>7130890006</v>
          </cell>
          <cell r="B301" t="str">
            <v xml:space="preserve">LT Feeder Piller box for 3 phase 4 connection made of M.S.Sheet. </v>
          </cell>
          <cell r="C301" t="str">
            <v>Nos.</v>
          </cell>
          <cell r="D301">
            <v>18841.39</v>
          </cell>
        </row>
        <row r="302">
          <cell r="A302">
            <v>7130890007</v>
          </cell>
          <cell r="B302" t="str">
            <v>LT Feeder Piller box for 3 phase 8 connection made of M.S.Sheet.</v>
          </cell>
          <cell r="C302" t="str">
            <v>Nos.</v>
          </cell>
          <cell r="D302">
            <v>19738.599999999999</v>
          </cell>
        </row>
        <row r="303">
          <cell r="A303">
            <v>7130890008</v>
          </cell>
          <cell r="B303" t="str">
            <v>L.T.Line Spacers</v>
          </cell>
          <cell r="C303" t="str">
            <v>Nos.</v>
          </cell>
          <cell r="D303">
            <v>58.17</v>
          </cell>
        </row>
        <row r="304">
          <cell r="A304">
            <v>7130890973</v>
          </cell>
          <cell r="B304" t="str">
            <v xml:space="preserve">Stainless steel strap with buckle (for installation of Service Distribution Box) </v>
          </cell>
          <cell r="C304" t="str">
            <v>Set</v>
          </cell>
          <cell r="D304">
            <v>71.81</v>
          </cell>
        </row>
        <row r="305">
          <cell r="A305">
            <v>7131961526</v>
          </cell>
          <cell r="B305" t="str">
            <v>Modem (4G)</v>
          </cell>
          <cell r="C305" t="str">
            <v>Nos.</v>
          </cell>
          <cell r="D305">
            <v>4631.5</v>
          </cell>
        </row>
        <row r="306">
          <cell r="A306">
            <v>7130893004</v>
          </cell>
          <cell r="B306" t="str">
            <v>Eye Hook</v>
          </cell>
          <cell r="C306" t="str">
            <v>No.</v>
          </cell>
          <cell r="D306">
            <v>226.84</v>
          </cell>
        </row>
        <row r="307">
          <cell r="A307">
            <v>7130897759</v>
          </cell>
          <cell r="B307" t="str">
            <v>33 kV Guarding Channel 100x50 mm</v>
          </cell>
          <cell r="C307" t="str">
            <v>Set</v>
          </cell>
          <cell r="D307">
            <v>4365.4399999999996</v>
          </cell>
        </row>
        <row r="308">
          <cell r="A308">
            <v>7131210001</v>
          </cell>
          <cell r="B308" t="str">
            <v>Panel lndication lamps</v>
          </cell>
          <cell r="C308" t="str">
            <v>Nos.</v>
          </cell>
          <cell r="D308">
            <v>129.02000000000001</v>
          </cell>
        </row>
        <row r="309">
          <cell r="A309">
            <v>7131210010</v>
          </cell>
          <cell r="B309" t="str">
            <v>LED 7 Watt lamp with holder</v>
          </cell>
          <cell r="C309" t="str">
            <v>Each</v>
          </cell>
          <cell r="D309"/>
        </row>
        <row r="310">
          <cell r="A310">
            <v>7131210018</v>
          </cell>
          <cell r="B310" t="str">
            <v>LED 12 Watt lamp with holder</v>
          </cell>
          <cell r="C310" t="str">
            <v>Each</v>
          </cell>
          <cell r="D310"/>
        </row>
        <row r="311">
          <cell r="A311">
            <v>7131210019</v>
          </cell>
          <cell r="B311" t="str">
            <v>LED 14 Watt lamp with holder</v>
          </cell>
          <cell r="C311" t="str">
            <v>Each</v>
          </cell>
          <cell r="D311"/>
        </row>
        <row r="312">
          <cell r="A312">
            <v>7131210020</v>
          </cell>
          <cell r="B312" t="str">
            <v>LED 15 Watt lamp with holder</v>
          </cell>
          <cell r="C312" t="str">
            <v>Each</v>
          </cell>
          <cell r="D312"/>
        </row>
        <row r="313">
          <cell r="A313">
            <v>7131210021</v>
          </cell>
          <cell r="B313" t="str">
            <v>LED  Lamps with COMPLETE FITTING - 15 W</v>
          </cell>
          <cell r="C313" t="str">
            <v>Nos.</v>
          </cell>
          <cell r="D313"/>
        </row>
        <row r="314">
          <cell r="A314">
            <v>7131210022</v>
          </cell>
          <cell r="B314" t="str">
            <v>LED  LAMPS WITH COMPLETE FITTING - 20 W</v>
          </cell>
          <cell r="C314" t="str">
            <v>Nos.</v>
          </cell>
          <cell r="D314"/>
        </row>
        <row r="315">
          <cell r="A315">
            <v>7131210852</v>
          </cell>
          <cell r="B315" t="str">
            <v>CFL 7 Watts</v>
          </cell>
          <cell r="C315" t="str">
            <v>Each</v>
          </cell>
          <cell r="D315"/>
        </row>
        <row r="316">
          <cell r="A316">
            <v>7131210881</v>
          </cell>
          <cell r="B316" t="str">
            <v xml:space="preserve">250 Watt Metal Halide  </v>
          </cell>
          <cell r="C316" t="str">
            <v>Each</v>
          </cell>
          <cell r="D316"/>
        </row>
        <row r="317">
          <cell r="A317">
            <v>7131220182</v>
          </cell>
          <cell r="B317" t="str">
            <v>Tube Light Rod (T5 type)</v>
          </cell>
          <cell r="C317" t="str">
            <v>Each</v>
          </cell>
          <cell r="D317"/>
        </row>
        <row r="318">
          <cell r="A318">
            <v>7131230003</v>
          </cell>
          <cell r="B318" t="str">
            <v xml:space="preserve">250 Watt Sodium Vapour </v>
          </cell>
          <cell r="C318" t="str">
            <v>Each</v>
          </cell>
          <cell r="D318"/>
        </row>
        <row r="319">
          <cell r="A319">
            <v>7131230116</v>
          </cell>
          <cell r="B319" t="str">
            <v xml:space="preserve">250 Watt Mercury Vapour </v>
          </cell>
          <cell r="C319" t="str">
            <v>Each</v>
          </cell>
          <cell r="D319"/>
        </row>
        <row r="320">
          <cell r="A320">
            <v>7131230128</v>
          </cell>
          <cell r="B320" t="str">
            <v>Mercury vapour lamp for Gate lighting 2 Nos</v>
          </cell>
          <cell r="C320" t="str">
            <v>Each</v>
          </cell>
          <cell r="D320"/>
        </row>
        <row r="321">
          <cell r="A321">
            <v>7131280006</v>
          </cell>
          <cell r="B321" t="str">
            <v>CFL 15 Watts</v>
          </cell>
          <cell r="C321" t="str">
            <v>Each</v>
          </cell>
          <cell r="D321"/>
        </row>
        <row r="322">
          <cell r="A322">
            <v>7131280007</v>
          </cell>
          <cell r="B322" t="str">
            <v>CFL 20 Watts</v>
          </cell>
          <cell r="C322" t="str">
            <v>Each</v>
          </cell>
          <cell r="D322"/>
        </row>
        <row r="323">
          <cell r="A323">
            <v>7131280008</v>
          </cell>
          <cell r="B323" t="str">
            <v>CFL 23 Watts</v>
          </cell>
          <cell r="C323" t="str">
            <v>Each</v>
          </cell>
          <cell r="D323"/>
        </row>
        <row r="324">
          <cell r="A324">
            <v>7131280009</v>
          </cell>
          <cell r="B324" t="str">
            <v xml:space="preserve">125 Watt Mercury Vapour </v>
          </cell>
          <cell r="C324" t="str">
            <v>Each</v>
          </cell>
          <cell r="D324"/>
        </row>
        <row r="325">
          <cell r="A325">
            <v>7131280010</v>
          </cell>
          <cell r="B325" t="str">
            <v>Halogen Filament (1000 Watts)</v>
          </cell>
          <cell r="C325" t="str">
            <v>Each</v>
          </cell>
          <cell r="D325"/>
        </row>
        <row r="326">
          <cell r="A326">
            <v>7131280011</v>
          </cell>
          <cell r="B326" t="str">
            <v>Search Light Unit with 1000 Watt Halogen Lamp.</v>
          </cell>
          <cell r="C326" t="str">
            <v>Each</v>
          </cell>
          <cell r="D326"/>
        </row>
        <row r="327">
          <cell r="A327">
            <v>7131280012</v>
          </cell>
          <cell r="B327" t="str">
            <v xml:space="preserve">Street Light fitting with tube light </v>
          </cell>
          <cell r="C327" t="str">
            <v>Each</v>
          </cell>
          <cell r="D327"/>
        </row>
        <row r="328">
          <cell r="A328">
            <v>7131280013</v>
          </cell>
          <cell r="B328" t="str">
            <v>Street Light fitting with CFL</v>
          </cell>
          <cell r="C328" t="str">
            <v>Each</v>
          </cell>
          <cell r="D328"/>
        </row>
        <row r="329">
          <cell r="A329">
            <v>7131280014</v>
          </cell>
          <cell r="B329" t="str">
            <v>HPSV lamp 150 watt</v>
          </cell>
          <cell r="C329" t="str">
            <v>Each</v>
          </cell>
          <cell r="D329"/>
        </row>
        <row r="330">
          <cell r="A330">
            <v>7131280015</v>
          </cell>
          <cell r="B330" t="str">
            <v>HPSV Choke 250 watt</v>
          </cell>
          <cell r="C330" t="str">
            <v>Each</v>
          </cell>
          <cell r="D330"/>
        </row>
        <row r="331">
          <cell r="A331">
            <v>7131280016</v>
          </cell>
          <cell r="B331" t="str">
            <v>150 Watt metal halide fitting / HPSV fitting</v>
          </cell>
          <cell r="C331" t="str">
            <v>Each</v>
          </cell>
          <cell r="D331"/>
        </row>
        <row r="332">
          <cell r="A332">
            <v>7131280017</v>
          </cell>
          <cell r="B332" t="str">
            <v>250 Watt metal halide fitting / HPSV fitting</v>
          </cell>
          <cell r="C332" t="str">
            <v>Each</v>
          </cell>
          <cell r="D332"/>
        </row>
        <row r="333">
          <cell r="A333">
            <v>7131280882</v>
          </cell>
          <cell r="B333" t="str">
            <v>CFL 11 Watts</v>
          </cell>
          <cell r="C333" t="str">
            <v>Each</v>
          </cell>
          <cell r="D333"/>
        </row>
        <row r="334">
          <cell r="A334">
            <v>7131300046</v>
          </cell>
          <cell r="B334" t="str">
            <v>Three Phase, 10-60 Amps. with poly carbonate Meter Box</v>
          </cell>
          <cell r="C334" t="str">
            <v>Each</v>
          </cell>
          <cell r="D334">
            <v>1592</v>
          </cell>
        </row>
        <row r="335">
          <cell r="A335">
            <v>7131300065</v>
          </cell>
          <cell r="B335" t="str">
            <v>3 Ø 4 Wire 0.2S accuracy class CT operated meter (for __/110 Volts; __/1 Amps; or __/5 Amps)</v>
          </cell>
          <cell r="C335" t="str">
            <v>Each</v>
          </cell>
          <cell r="D335">
            <v>1177339.45</v>
          </cell>
        </row>
        <row r="336">
          <cell r="A336">
            <v>7131300067</v>
          </cell>
          <cell r="B336" t="str">
            <v>Specific gravity correction chart</v>
          </cell>
          <cell r="C336" t="str">
            <v>Nos.</v>
          </cell>
          <cell r="D336">
            <v>182.97</v>
          </cell>
        </row>
        <row r="337">
          <cell r="A337">
            <v>7131300082</v>
          </cell>
          <cell r="B337" t="str">
            <v>D.C.Volt meter range - 3V to + 5V</v>
          </cell>
          <cell r="C337" t="str">
            <v>Nos.</v>
          </cell>
          <cell r="D337">
            <v>818.44</v>
          </cell>
        </row>
        <row r="338">
          <cell r="A338">
            <v>7131300500</v>
          </cell>
          <cell r="B338" t="str">
            <v>Static 5.0-30 Amps Pilfer proof with transparent poly carbonate meter box.</v>
          </cell>
          <cell r="C338" t="str">
            <v>Each</v>
          </cell>
          <cell r="D338">
            <v>744.93</v>
          </cell>
        </row>
        <row r="339">
          <cell r="A339">
            <v>7131300881</v>
          </cell>
          <cell r="B339" t="str">
            <v xml:space="preserve">CMRI (Common Meter Reading Instrument) </v>
          </cell>
          <cell r="C339" t="str">
            <v>Each</v>
          </cell>
          <cell r="D339">
            <v>25045.5</v>
          </cell>
        </row>
        <row r="340">
          <cell r="A340">
            <v>7131310002</v>
          </cell>
          <cell r="B340" t="str">
            <v>CT operated electronic static bidirectional meter with DLMS for net metering</v>
          </cell>
          <cell r="C340" t="str">
            <v>Each</v>
          </cell>
          <cell r="D340">
            <v>3068.03</v>
          </cell>
        </row>
        <row r="341">
          <cell r="A341">
            <v>7131310005</v>
          </cell>
          <cell r="B341" t="str">
            <v>CT operated electronic static bidirectional meters with DLMS protocol for net metering</v>
          </cell>
          <cell r="C341" t="str">
            <v>Each</v>
          </cell>
          <cell r="D341">
            <v>2978.09</v>
          </cell>
        </row>
        <row r="342">
          <cell r="A342">
            <v>7131310045</v>
          </cell>
          <cell r="B342" t="str">
            <v>Bidirectional Meter 1 phase for Solar Roof Top</v>
          </cell>
          <cell r="C342" t="str">
            <v>Each</v>
          </cell>
          <cell r="D342">
            <v>1129.0809408999999</v>
          </cell>
        </row>
        <row r="343">
          <cell r="A343">
            <v>7131310040</v>
          </cell>
          <cell r="B343" t="str">
            <v>Bidirectional Meter 3 phase for Solar Roof Top</v>
          </cell>
          <cell r="C343" t="str">
            <v>Each</v>
          </cell>
          <cell r="D343">
            <v>2352.2565863</v>
          </cell>
        </row>
        <row r="344">
          <cell r="A344">
            <v>7131310013</v>
          </cell>
          <cell r="B344" t="str">
            <v>3 Ø 4 Wire 0.5S, 5 Amp. Bulk consumer meter</v>
          </cell>
          <cell r="C344" t="str">
            <v>Each</v>
          </cell>
          <cell r="D344">
            <v>5016.38</v>
          </cell>
        </row>
        <row r="345">
          <cell r="A345">
            <v>7131310015</v>
          </cell>
          <cell r="B345" t="str">
            <v>CT operated electronic static meters with AMR (Composite Unit) with LTCTs / Modem / Meter / Meter Box.</v>
          </cell>
          <cell r="C345" t="str">
            <v>Each</v>
          </cell>
          <cell r="D345">
            <v>13314.29</v>
          </cell>
        </row>
        <row r="346">
          <cell r="A346">
            <v>7131310033</v>
          </cell>
          <cell r="B346" t="str">
            <v>3 Ø 4 Wire 0.5S, 5 Amp. with DLMS Protocol category A</v>
          </cell>
          <cell r="C346" t="str">
            <v>Each</v>
          </cell>
          <cell r="D346">
            <v>4151.97</v>
          </cell>
        </row>
        <row r="347">
          <cell r="A347">
            <v>7131310034</v>
          </cell>
          <cell r="B347" t="str">
            <v>3 Ø 4 Wire 0.5S, 5 Amp. with DLMS Protocol category B</v>
          </cell>
          <cell r="C347" t="str">
            <v>Each</v>
          </cell>
          <cell r="D347">
            <v>4151.97</v>
          </cell>
        </row>
        <row r="348">
          <cell r="A348">
            <v>7131310035</v>
          </cell>
          <cell r="B348" t="str">
            <v>3 Ø 4 Wire 0.2S, 1 Amp.  bulk consumer meter</v>
          </cell>
          <cell r="C348" t="str">
            <v>Each</v>
          </cell>
          <cell r="D348">
            <v>19471.52</v>
          </cell>
        </row>
        <row r="349">
          <cell r="A349">
            <v>7131310036</v>
          </cell>
          <cell r="B349" t="str">
            <v xml:space="preserve">3 Ø 3 Wire 0.2S, 1 Amp. bulk consumer meter </v>
          </cell>
          <cell r="C349" t="str">
            <v>Each</v>
          </cell>
          <cell r="D349">
            <v>19472.099999999999</v>
          </cell>
        </row>
        <row r="350">
          <cell r="A350">
            <v>7131310042</v>
          </cell>
          <cell r="B350" t="str">
            <v>3 Ø 4 Wire 0.2S 5A bulk consumer meter</v>
          </cell>
          <cell r="C350" t="str">
            <v>Each</v>
          </cell>
          <cell r="D350">
            <v>19952.599999999999</v>
          </cell>
        </row>
        <row r="351">
          <cell r="A351">
            <v>7131397678</v>
          </cell>
          <cell r="B351" t="str">
            <v>Test terminal Box (TTB)</v>
          </cell>
          <cell r="C351" t="str">
            <v>Each</v>
          </cell>
          <cell r="D351">
            <v>1982.4</v>
          </cell>
        </row>
        <row r="352">
          <cell r="A352">
            <v>7131310997</v>
          </cell>
          <cell r="B352" t="str">
            <v>CT operated electronic static bidirectional meters with DLMS Protocol.</v>
          </cell>
          <cell r="C352" t="str">
            <v>Each</v>
          </cell>
          <cell r="D352">
            <v>1800</v>
          </cell>
        </row>
        <row r="353">
          <cell r="A353">
            <v>7131320009</v>
          </cell>
          <cell r="B353" t="str">
            <v>Digital Multimeter Electronic Type</v>
          </cell>
          <cell r="C353" t="str">
            <v>Nos.</v>
          </cell>
          <cell r="D353">
            <v>3666.36</v>
          </cell>
        </row>
        <row r="354">
          <cell r="A354">
            <v>7131321603</v>
          </cell>
          <cell r="B354" t="str">
            <v>Earth resistance tester (20/200/2000 Ω) Digital</v>
          </cell>
          <cell r="C354" t="str">
            <v>Nos.</v>
          </cell>
          <cell r="D354">
            <v>4217.1400000000003</v>
          </cell>
        </row>
        <row r="355">
          <cell r="A355">
            <v>7131324780</v>
          </cell>
          <cell r="B355" t="str">
            <v>Megger 500 V</v>
          </cell>
          <cell r="C355" t="str">
            <v>Nos.</v>
          </cell>
          <cell r="D355">
            <v>4399.62</v>
          </cell>
        </row>
        <row r="356">
          <cell r="A356">
            <v>7131324806</v>
          </cell>
          <cell r="B356" t="str">
            <v>Megger up to 2.5 kV</v>
          </cell>
          <cell r="C356" t="str">
            <v>Nos.</v>
          </cell>
          <cell r="D356">
            <v>6630.9</v>
          </cell>
        </row>
        <row r="357">
          <cell r="A357">
            <v>7131329275</v>
          </cell>
          <cell r="B357" t="str">
            <v>Non Directional, 30-V, 5-Amps IDMT relay.</v>
          </cell>
          <cell r="C357" t="str">
            <v>Each</v>
          </cell>
          <cell r="D357">
            <v>5972.39</v>
          </cell>
        </row>
        <row r="358">
          <cell r="A358">
            <v>7131334001</v>
          </cell>
          <cell r="B358" t="str">
            <v>Set of 3 O.C. relays + 1 E/F  instantaneous high set feature numerical type</v>
          </cell>
          <cell r="C358" t="str">
            <v>Nos.</v>
          </cell>
          <cell r="D358">
            <v>5504.7</v>
          </cell>
        </row>
        <row r="359">
          <cell r="A359">
            <v>7131334002</v>
          </cell>
          <cell r="B359" t="str">
            <v>Set of 2 O.C. + 1 earth fault relay without numerical instantaneous high set feature</v>
          </cell>
          <cell r="C359" t="str">
            <v>Nos.</v>
          </cell>
          <cell r="D359">
            <v>5596.74</v>
          </cell>
        </row>
        <row r="360">
          <cell r="A360">
            <v>7131399007</v>
          </cell>
          <cell r="B360" t="str">
            <v>Master trip relays</v>
          </cell>
          <cell r="C360" t="str">
            <v>Nos.</v>
          </cell>
          <cell r="D360">
            <v>1098.58</v>
          </cell>
        </row>
        <row r="361">
          <cell r="A361">
            <v>7131300008</v>
          </cell>
          <cell r="B361" t="str">
            <v xml:space="preserve">Auxiliary Relay </v>
          </cell>
          <cell r="C361" t="str">
            <v>Nos.</v>
          </cell>
          <cell r="D361">
            <v>2266.75</v>
          </cell>
        </row>
        <row r="362">
          <cell r="A362">
            <v>7131300009</v>
          </cell>
          <cell r="B362" t="str">
            <v>Electrically Reset type Master Trip relay</v>
          </cell>
          <cell r="C362" t="str">
            <v>Nos.</v>
          </cell>
          <cell r="D362">
            <v>3599</v>
          </cell>
        </row>
        <row r="363">
          <cell r="A363">
            <v>7131300010</v>
          </cell>
          <cell r="B363" t="str">
            <v xml:space="preserve">SCADA Compatible Relay (As per IEC 107/IEC61850 protocol) </v>
          </cell>
          <cell r="C363" t="str">
            <v>Nos.</v>
          </cell>
          <cell r="D363">
            <v>37170</v>
          </cell>
        </row>
        <row r="364">
          <cell r="A364">
            <v>7131338004</v>
          </cell>
          <cell r="B364" t="str">
            <v>Transformer Oil Dielectric Breakdown testkit</v>
          </cell>
          <cell r="C364" t="str">
            <v>Nos.</v>
          </cell>
          <cell r="D364">
            <v>74383.48</v>
          </cell>
        </row>
        <row r="365">
          <cell r="A365">
            <v>7131338025</v>
          </cell>
          <cell r="B365" t="str">
            <v>Neon tester</v>
          </cell>
          <cell r="C365" t="str">
            <v>Nos.</v>
          </cell>
          <cell r="D365">
            <v>64.510000000000005</v>
          </cell>
        </row>
        <row r="366">
          <cell r="A366">
            <v>7131387501</v>
          </cell>
          <cell r="B366" t="str">
            <v>Battery Hydrometer</v>
          </cell>
          <cell r="C366" t="str">
            <v>Nos.</v>
          </cell>
          <cell r="D366">
            <v>318.20999999999998</v>
          </cell>
        </row>
        <row r="367">
          <cell r="A367">
            <v>7131387502</v>
          </cell>
          <cell r="B367" t="str">
            <v>Thermometer (Wall Mounted)</v>
          </cell>
          <cell r="C367" t="str">
            <v>Nos.</v>
          </cell>
          <cell r="D367">
            <v>629.58000000000004</v>
          </cell>
        </row>
        <row r="368">
          <cell r="A368">
            <v>7131390014</v>
          </cell>
          <cell r="B368" t="str">
            <v>Earthing Coil for messenger wire</v>
          </cell>
          <cell r="C368" t="str">
            <v>Nos.</v>
          </cell>
          <cell r="D368">
            <v>238.63</v>
          </cell>
        </row>
        <row r="369">
          <cell r="A369">
            <v>7131390015</v>
          </cell>
          <cell r="B369" t="str">
            <v>Anchor sleeve for messenger wire</v>
          </cell>
          <cell r="C369" t="str">
            <v>Nos.</v>
          </cell>
          <cell r="D369">
            <v>41.26</v>
          </cell>
        </row>
        <row r="370">
          <cell r="A370">
            <v>7131390016</v>
          </cell>
          <cell r="B370" t="str">
            <v>Universal hook &amp; Bolts &amp; nuts</v>
          </cell>
          <cell r="C370" t="str">
            <v>Nos.</v>
          </cell>
          <cell r="D370">
            <v>578.1</v>
          </cell>
        </row>
        <row r="371">
          <cell r="A371">
            <v>7131820031</v>
          </cell>
          <cell r="B371" t="str">
            <v>LT Single Phase MCB 5 Amps.</v>
          </cell>
          <cell r="C371" t="str">
            <v>Each</v>
          </cell>
          <cell r="D371">
            <v>120.8</v>
          </cell>
        </row>
        <row r="372">
          <cell r="A372">
            <v>7131820032</v>
          </cell>
          <cell r="B372" t="str">
            <v>LT Single Phase MCB 6 to 16 Amps.</v>
          </cell>
          <cell r="C372" t="str">
            <v>Each</v>
          </cell>
          <cell r="D372">
            <v>120.8</v>
          </cell>
        </row>
        <row r="373">
          <cell r="A373">
            <v>7131820033</v>
          </cell>
          <cell r="B373" t="str">
            <v>LT Three Phase MCB 16 Amps.</v>
          </cell>
          <cell r="C373" t="str">
            <v>Each</v>
          </cell>
          <cell r="D373">
            <v>511.92</v>
          </cell>
        </row>
        <row r="374">
          <cell r="A374">
            <v>7131820034</v>
          </cell>
          <cell r="B374" t="str">
            <v>LT Three Phase MCB 32 Amps.</v>
          </cell>
          <cell r="C374" t="str">
            <v>Each</v>
          </cell>
          <cell r="D374">
            <v>511.92</v>
          </cell>
        </row>
        <row r="375">
          <cell r="A375">
            <v>7131820035</v>
          </cell>
          <cell r="B375" t="str">
            <v>ELCB-MCB Composite Unit 10 Amps. (100 mA DP)</v>
          </cell>
          <cell r="C375" t="str">
            <v>Each</v>
          </cell>
          <cell r="D375">
            <v>3410.03</v>
          </cell>
        </row>
        <row r="376">
          <cell r="A376">
            <v>7131820036</v>
          </cell>
          <cell r="B376" t="str">
            <v>ELCB-MCB Composite Unit 16 Amps. (100 mA DP)</v>
          </cell>
          <cell r="C376" t="str">
            <v>Each</v>
          </cell>
          <cell r="D376">
            <v>3694.7</v>
          </cell>
        </row>
        <row r="377">
          <cell r="A377">
            <v>7131820037</v>
          </cell>
          <cell r="B377" t="str">
            <v>ELCB-MCB Composite Unit 20 Amps. (100 mA DP)</v>
          </cell>
          <cell r="C377" t="str">
            <v>Each</v>
          </cell>
          <cell r="D377">
            <v>3694.7</v>
          </cell>
        </row>
        <row r="378">
          <cell r="A378">
            <v>7131820038</v>
          </cell>
          <cell r="B378" t="str">
            <v>MCCB 32 Amps. (10 kA TP)</v>
          </cell>
          <cell r="C378" t="str">
            <v>Each</v>
          </cell>
          <cell r="D378">
            <v>2699.57</v>
          </cell>
        </row>
        <row r="379">
          <cell r="A379">
            <v>7131820039</v>
          </cell>
          <cell r="B379" t="str">
            <v>MCCB 160 Amps. (10 kA TP)</v>
          </cell>
          <cell r="C379" t="str">
            <v>Each</v>
          </cell>
          <cell r="D379">
            <v>6181.37</v>
          </cell>
        </row>
        <row r="380">
          <cell r="A380">
            <v>7131900005</v>
          </cell>
          <cell r="B380" t="str">
            <v>Locally fabricated - 3 Phase fuse units 150 Amps. (Robust fuse for circuit base).</v>
          </cell>
          <cell r="C380" t="str">
            <v>Each</v>
          </cell>
          <cell r="D380">
            <v>845.47</v>
          </cell>
        </row>
        <row r="381">
          <cell r="A381">
            <v>7131900033</v>
          </cell>
          <cell r="B381" t="str">
            <v>D.O.Fuse element 11 kV (1.5 Amp. to 10 Amp.)</v>
          </cell>
          <cell r="C381" t="str">
            <v>No.</v>
          </cell>
          <cell r="D381">
            <v>7.88</v>
          </cell>
        </row>
        <row r="382">
          <cell r="A382">
            <v>7131900071</v>
          </cell>
          <cell r="B382" t="str">
            <v>H.R.C. Fuse 250 Amps.</v>
          </cell>
          <cell r="C382" t="str">
            <v>Each</v>
          </cell>
          <cell r="D382">
            <v>316.44</v>
          </cell>
        </row>
        <row r="383">
          <cell r="A383">
            <v>7131900072</v>
          </cell>
          <cell r="B383" t="str">
            <v>H.R.C. Fuse 400 Amps.</v>
          </cell>
          <cell r="C383" t="str">
            <v>Each</v>
          </cell>
          <cell r="D383">
            <v>486.5</v>
          </cell>
        </row>
        <row r="384">
          <cell r="A384">
            <v>7131900625</v>
          </cell>
          <cell r="B384" t="str">
            <v>D.O.Fuse element 33 kV (25 Amp.)</v>
          </cell>
          <cell r="C384" t="str">
            <v>No.</v>
          </cell>
          <cell r="D384">
            <v>13.5</v>
          </cell>
        </row>
        <row r="385">
          <cell r="A385">
            <v>7131900650</v>
          </cell>
          <cell r="B385" t="str">
            <v>D.O.Fuse element 33 kV (50 Amp.)</v>
          </cell>
          <cell r="C385" t="str">
            <v>No.</v>
          </cell>
          <cell r="D385">
            <v>14.63</v>
          </cell>
        </row>
        <row r="386">
          <cell r="A386">
            <v>7131900876</v>
          </cell>
          <cell r="B386" t="str">
            <v>H.R.C. Fuse Unit 100 Amps.</v>
          </cell>
          <cell r="C386" t="str">
            <v>Each</v>
          </cell>
          <cell r="D386">
            <v>311.95</v>
          </cell>
        </row>
        <row r="387">
          <cell r="A387">
            <v>7131900876</v>
          </cell>
          <cell r="B387" t="str">
            <v>H.R.C. Fuse 100 Amps.</v>
          </cell>
          <cell r="C387" t="str">
            <v>Each</v>
          </cell>
          <cell r="D387">
            <v>121.63</v>
          </cell>
        </row>
        <row r="388">
          <cell r="A388">
            <v>7131900880</v>
          </cell>
          <cell r="B388" t="str">
            <v>H.R.C. Fuse Unit 250 Amps.</v>
          </cell>
          <cell r="C388" t="str">
            <v>Each</v>
          </cell>
          <cell r="D388">
            <v>783.8</v>
          </cell>
        </row>
        <row r="389">
          <cell r="A389">
            <v>7131900881</v>
          </cell>
          <cell r="B389" t="str">
            <v>H.R.C. Fuse Unit 400 Amps.</v>
          </cell>
          <cell r="C389" t="str">
            <v>Each</v>
          </cell>
          <cell r="D389">
            <v>867.14</v>
          </cell>
        </row>
        <row r="390">
          <cell r="A390">
            <v>7131900969</v>
          </cell>
          <cell r="B390" t="str">
            <v>T.C. Fuse Wire 22 SWG</v>
          </cell>
          <cell r="C390" t="str">
            <v>Kg</v>
          </cell>
          <cell r="D390">
            <v>1108.05</v>
          </cell>
        </row>
        <row r="391">
          <cell r="A391">
            <v>7131900971</v>
          </cell>
          <cell r="B391" t="str">
            <v>T.C. Fuse Wire 20 SWG</v>
          </cell>
          <cell r="C391" t="str">
            <v>Kg</v>
          </cell>
          <cell r="D391">
            <v>1108.05</v>
          </cell>
        </row>
        <row r="392">
          <cell r="A392">
            <v>7131900973</v>
          </cell>
          <cell r="B392" t="str">
            <v>T.C. Fuse Wire 18 SWG</v>
          </cell>
          <cell r="C392" t="str">
            <v>Kg</v>
          </cell>
          <cell r="D392">
            <v>1073.8</v>
          </cell>
        </row>
        <row r="393">
          <cell r="A393">
            <v>7131900975</v>
          </cell>
          <cell r="B393" t="str">
            <v>T.C. Fuse Wire 16 SWG</v>
          </cell>
          <cell r="C393" t="str">
            <v>Kg</v>
          </cell>
          <cell r="D393">
            <v>1073.8</v>
          </cell>
        </row>
        <row r="394">
          <cell r="A394">
            <v>7131900977</v>
          </cell>
          <cell r="B394" t="str">
            <v>T.C. Fuse Wire 14 SWG</v>
          </cell>
          <cell r="C394" t="str">
            <v>Kg</v>
          </cell>
          <cell r="D394">
            <v>1073.8</v>
          </cell>
        </row>
        <row r="395">
          <cell r="A395">
            <v>7131900979</v>
          </cell>
          <cell r="B395" t="str">
            <v>T.C. Fuse Wire 12 SWG</v>
          </cell>
          <cell r="C395" t="str">
            <v>Kg</v>
          </cell>
          <cell r="D395">
            <v>1073.8</v>
          </cell>
        </row>
        <row r="396">
          <cell r="A396">
            <v>7131900981</v>
          </cell>
          <cell r="B396" t="str">
            <v>T.C. Fuse Wire 10 SWG</v>
          </cell>
          <cell r="C396" t="str">
            <v>Kg</v>
          </cell>
          <cell r="D396">
            <v>1073.8</v>
          </cell>
        </row>
        <row r="397">
          <cell r="A397">
            <v>7131900974</v>
          </cell>
          <cell r="B397" t="str">
            <v>T.C. Fuse Wire 8 SWG</v>
          </cell>
          <cell r="C397" t="str">
            <v>Kg</v>
          </cell>
          <cell r="D397">
            <v>1073.8</v>
          </cell>
        </row>
        <row r="398">
          <cell r="A398">
            <v>7131910653</v>
          </cell>
          <cell r="B398" t="str">
            <v>Porcelain Kit-kat fuse unit 32 Amps.</v>
          </cell>
          <cell r="C398" t="str">
            <v>Each</v>
          </cell>
          <cell r="D398">
            <v>55.32</v>
          </cell>
        </row>
        <row r="399">
          <cell r="A399">
            <v>7131910654</v>
          </cell>
          <cell r="B399" t="str">
            <v>Porcelain Kit-kat fuse unit 63 Amps.</v>
          </cell>
          <cell r="C399" t="str">
            <v>Each</v>
          </cell>
          <cell r="D399">
            <v>109.32</v>
          </cell>
        </row>
        <row r="400">
          <cell r="A400">
            <v>7131910655</v>
          </cell>
          <cell r="B400" t="str">
            <v>Porcelain Kit-kat fuse unit 16 Amps.</v>
          </cell>
          <cell r="C400" t="str">
            <v>Each</v>
          </cell>
          <cell r="D400">
            <v>31.61</v>
          </cell>
        </row>
        <row r="401">
          <cell r="A401">
            <v>7131910656</v>
          </cell>
          <cell r="B401" t="str">
            <v>Porcelain Kit-kat fuse unit 100 Amps.</v>
          </cell>
          <cell r="C401" t="str">
            <v>Each</v>
          </cell>
          <cell r="D401">
            <v>328.2</v>
          </cell>
        </row>
        <row r="402">
          <cell r="A402">
            <v>7131910657</v>
          </cell>
          <cell r="B402" t="str">
            <v>Porcelain Kit-kat fuse unit 200 Amps.</v>
          </cell>
          <cell r="C402" t="str">
            <v>Each</v>
          </cell>
          <cell r="D402">
            <v>636.02</v>
          </cell>
        </row>
        <row r="403">
          <cell r="A403">
            <v>7131910658</v>
          </cell>
          <cell r="B403" t="str">
            <v>Porcelain Kit-kat fuse unit 300 Amps.</v>
          </cell>
          <cell r="C403" t="str">
            <v>Each</v>
          </cell>
          <cell r="D403">
            <v>1189.33</v>
          </cell>
        </row>
        <row r="404">
          <cell r="A404">
            <v>7131920001</v>
          </cell>
          <cell r="B404" t="str">
            <v>Load break switches only without panel</v>
          </cell>
          <cell r="C404" t="str">
            <v>Unit</v>
          </cell>
          <cell r="D404">
            <v>49658.26</v>
          </cell>
        </row>
        <row r="405">
          <cell r="A405">
            <v>7131920002</v>
          </cell>
          <cell r="B405" t="str">
            <v>Load break switches with panel</v>
          </cell>
          <cell r="C405" t="str">
            <v>Unit</v>
          </cell>
          <cell r="D405">
            <v>108245.61</v>
          </cell>
        </row>
        <row r="406">
          <cell r="A406">
            <v>7131920003</v>
          </cell>
          <cell r="B406" t="str">
            <v>3 Way Load break switch</v>
          </cell>
          <cell r="C406" t="str">
            <v>Unit</v>
          </cell>
          <cell r="D406">
            <v>350186.56</v>
          </cell>
        </row>
        <row r="407">
          <cell r="A407">
            <v>7131920112</v>
          </cell>
          <cell r="B407" t="str">
            <v xml:space="preserve">11 kV Kiosk VCB </v>
          </cell>
          <cell r="C407" t="str">
            <v>Each</v>
          </cell>
          <cell r="D407">
            <v>370161.8</v>
          </cell>
        </row>
        <row r="408">
          <cell r="A408">
            <v>7131920253</v>
          </cell>
          <cell r="B408" t="str">
            <v>TPN Switches 32 Amps.</v>
          </cell>
          <cell r="C408" t="str">
            <v>Each</v>
          </cell>
          <cell r="D408">
            <v>885.43</v>
          </cell>
        </row>
        <row r="409">
          <cell r="A409">
            <v>7131920254</v>
          </cell>
          <cell r="B409" t="str">
            <v>TPN Switches 63 Amps.</v>
          </cell>
          <cell r="C409" t="str">
            <v>Each</v>
          </cell>
          <cell r="D409">
            <v>2126.1</v>
          </cell>
        </row>
        <row r="410">
          <cell r="A410">
            <v>7131920256</v>
          </cell>
          <cell r="B410" t="str">
            <v>TPN Switches 100 Amps.</v>
          </cell>
          <cell r="C410" t="str">
            <v>Each</v>
          </cell>
          <cell r="D410">
            <v>4112.55</v>
          </cell>
        </row>
        <row r="411">
          <cell r="A411">
            <v>7131920258</v>
          </cell>
          <cell r="B411" t="str">
            <v>TPN Switches 200 Amps.</v>
          </cell>
          <cell r="C411" t="str">
            <v>Each</v>
          </cell>
          <cell r="D411">
            <v>5773.57</v>
          </cell>
        </row>
        <row r="412">
          <cell r="A412">
            <v>7131920259</v>
          </cell>
          <cell r="B412" t="str">
            <v>TPN Switches 300 Amps.</v>
          </cell>
          <cell r="C412" t="str">
            <v>Each</v>
          </cell>
          <cell r="D412">
            <v>7833.23</v>
          </cell>
        </row>
        <row r="413">
          <cell r="A413">
            <v>7131920260</v>
          </cell>
          <cell r="B413" t="str">
            <v>TPN Switches 400 Amps.</v>
          </cell>
          <cell r="C413" t="str">
            <v>Each</v>
          </cell>
          <cell r="D413">
            <v>11831.87</v>
          </cell>
        </row>
        <row r="414">
          <cell r="A414">
            <v>7131930109</v>
          </cell>
          <cell r="B414" t="str">
            <v>33 kV ; 600 Amps with earth switch.</v>
          </cell>
          <cell r="C414" t="str">
            <v>Each</v>
          </cell>
          <cell r="D414"/>
        </row>
        <row r="415">
          <cell r="A415">
            <v>7131930221</v>
          </cell>
          <cell r="B415" t="str">
            <v>11 kV Porcelain A.B. Switch</v>
          </cell>
          <cell r="C415" t="str">
            <v>Each</v>
          </cell>
          <cell r="D415">
            <v>9934.19</v>
          </cell>
        </row>
        <row r="416">
          <cell r="A416">
            <v>7131930321</v>
          </cell>
          <cell r="B416" t="str">
            <v>33 kV Porcelain A.B. Switch</v>
          </cell>
          <cell r="C416" t="str">
            <v>Each</v>
          </cell>
          <cell r="D416">
            <v>22056.66</v>
          </cell>
        </row>
        <row r="417">
          <cell r="A417">
            <v>7131930412</v>
          </cell>
          <cell r="B417" t="str">
            <v>11 kV Porcelain D.O. Fuse unit</v>
          </cell>
          <cell r="C417" t="str">
            <v>Each</v>
          </cell>
          <cell r="D417">
            <v>1123.1500000000001</v>
          </cell>
        </row>
        <row r="418">
          <cell r="A418">
            <v>7131930415</v>
          </cell>
          <cell r="B418" t="str">
            <v>33 kV Porcelain D.O. Fuse unit</v>
          </cell>
          <cell r="C418" t="str">
            <v>Each</v>
          </cell>
          <cell r="D418">
            <v>3005.12</v>
          </cell>
        </row>
        <row r="419">
          <cell r="A419">
            <v>7131930663</v>
          </cell>
          <cell r="B419" t="str">
            <v>11 kV ; 600 Amps.</v>
          </cell>
          <cell r="C419" t="str">
            <v>Each</v>
          </cell>
          <cell r="D419">
            <v>25408.1</v>
          </cell>
        </row>
        <row r="420">
          <cell r="A420">
            <v>7131930752</v>
          </cell>
          <cell r="B420" t="str">
            <v>33 kV ; 600 Amps without earth switch.</v>
          </cell>
          <cell r="C420" t="str">
            <v>Each</v>
          </cell>
          <cell r="D420">
            <v>43971.49</v>
          </cell>
        </row>
        <row r="421">
          <cell r="A421">
            <v>7131931091</v>
          </cell>
          <cell r="B421" t="str">
            <v>11 kV, 400 Amp, Off Load Isolator with earth switch and mounting GI structure</v>
          </cell>
          <cell r="C421" t="str">
            <v>Set</v>
          </cell>
          <cell r="D421">
            <v>33598.94</v>
          </cell>
        </row>
        <row r="422">
          <cell r="A422">
            <v>7131931095</v>
          </cell>
          <cell r="B422" t="str">
            <v>Mounting GI structure for above isolator</v>
          </cell>
          <cell r="C422" t="str">
            <v>Set</v>
          </cell>
          <cell r="D422">
            <v>16730.36</v>
          </cell>
        </row>
        <row r="423">
          <cell r="A423">
            <v>7131940602</v>
          </cell>
          <cell r="B423" t="str">
            <v>MCCB 100 Amps. (10 kA TP)</v>
          </cell>
          <cell r="C423" t="str">
            <v>Each</v>
          </cell>
          <cell r="D423">
            <v>2841.89</v>
          </cell>
        </row>
        <row r="424">
          <cell r="A424">
            <v>7131940610</v>
          </cell>
          <cell r="B424" t="str">
            <v>MCCB 300 Amps. (35 kA TP)</v>
          </cell>
          <cell r="C424" t="str">
            <v>Each</v>
          </cell>
          <cell r="D424">
            <v>26998.02</v>
          </cell>
        </row>
        <row r="425">
          <cell r="A425">
            <v>7131940612</v>
          </cell>
          <cell r="B425" t="str">
            <v>MCCB 450 TO 500 Amps. (35 kA TP)</v>
          </cell>
          <cell r="C425" t="str">
            <v>Each</v>
          </cell>
          <cell r="D425">
            <v>26998.02</v>
          </cell>
        </row>
        <row r="426">
          <cell r="A426">
            <v>7131940871</v>
          </cell>
          <cell r="B426" t="str">
            <v>Indoor Type Automatic Control Unit along with APFC Relay</v>
          </cell>
          <cell r="C426" t="str">
            <v>No.</v>
          </cell>
          <cell r="D426">
            <v>56418.83</v>
          </cell>
        </row>
        <row r="427">
          <cell r="A427">
            <v>7131941762</v>
          </cell>
          <cell r="B427" t="str">
            <v>11 kV VCB without control panel &amp; CT's.</v>
          </cell>
          <cell r="C427" t="str">
            <v>Each</v>
          </cell>
          <cell r="D427">
            <v>135748.26</v>
          </cell>
        </row>
        <row r="428">
          <cell r="A428">
            <v>7131943380</v>
          </cell>
          <cell r="B428" t="str">
            <v>33 kV VCB without control panel &amp; CT's.</v>
          </cell>
          <cell r="C428" t="str">
            <v>Each</v>
          </cell>
          <cell r="D428">
            <v>250684.03</v>
          </cell>
        </row>
        <row r="429">
          <cell r="A429">
            <v>7131950010</v>
          </cell>
          <cell r="B429" t="str">
            <v>Distribution box 1 ph. 9 connectors along with 2 Nos. Steel Strap &amp; Buckles.</v>
          </cell>
          <cell r="C429" t="str">
            <v>Each</v>
          </cell>
          <cell r="D429">
            <v>1270.98</v>
          </cell>
        </row>
        <row r="430">
          <cell r="A430">
            <v>7131950012</v>
          </cell>
          <cell r="B430" t="str">
            <v>Distribution box 3 phase 5 connectors along with 2 Nos. Steel Strap &amp; Buckles.</v>
          </cell>
          <cell r="C430" t="str">
            <v>Each</v>
          </cell>
          <cell r="D430">
            <v>1531.04</v>
          </cell>
        </row>
        <row r="431">
          <cell r="A431">
            <v>7131950015</v>
          </cell>
          <cell r="B431" t="str">
            <v>L.T.Distribution Box for 500 kVA X'mer (800 A, isolator &amp; 12 SP MCCB of 150 A)</v>
          </cell>
          <cell r="C431" t="str">
            <v>Each</v>
          </cell>
          <cell r="D431">
            <v>49445.17</v>
          </cell>
        </row>
        <row r="432">
          <cell r="A432">
            <v>7131950016</v>
          </cell>
          <cell r="B432" t="str">
            <v>11 kV Sectionalizer.</v>
          </cell>
          <cell r="C432" t="str">
            <v>Each</v>
          </cell>
          <cell r="D432">
            <v>411392.11</v>
          </cell>
        </row>
        <row r="433">
          <cell r="A433">
            <v>7131950065</v>
          </cell>
          <cell r="B433" t="str">
            <v>L.T. Distribution Box for 63 kVA X'mer (200 A, isolator &amp; 6 SP MCCB of 100 A)</v>
          </cell>
          <cell r="C433" t="str">
            <v>Each</v>
          </cell>
          <cell r="D433">
            <v>18477.650000000001</v>
          </cell>
        </row>
        <row r="434">
          <cell r="A434">
            <v>7131950105</v>
          </cell>
          <cell r="B434" t="str">
            <v>L.T. Distribution Box for 100 kVA X'mer (200 A, isolator &amp; 6 SP MCCB of 200 A)</v>
          </cell>
          <cell r="C434" t="str">
            <v>Each</v>
          </cell>
          <cell r="D434">
            <v>23098.03</v>
          </cell>
        </row>
        <row r="435">
          <cell r="A435">
            <v>7131950200</v>
          </cell>
          <cell r="B435" t="str">
            <v>L.T. Distribution Box for 200 kVA X'mer (400 A, isolator &amp; 6 SP MCCB of 120A)</v>
          </cell>
          <cell r="C435" t="str">
            <v>Each</v>
          </cell>
          <cell r="D435">
            <v>46194.13</v>
          </cell>
        </row>
        <row r="436">
          <cell r="A436">
            <v>7131950207</v>
          </cell>
          <cell r="B436" t="str">
            <v>L.T. Distribution Box for 315 kVA X'mer (600 A, isolator &amp; 9 SP MCCB of 160A)</v>
          </cell>
          <cell r="C436" t="str">
            <v>Each</v>
          </cell>
          <cell r="D436">
            <v>39637.360000000001</v>
          </cell>
        </row>
        <row r="437">
          <cell r="A437">
            <v>7131950208</v>
          </cell>
          <cell r="B437" t="str">
            <v>SMC LT Distribution Box for 100 kVA Distribution Transformer</v>
          </cell>
          <cell r="C437" t="str">
            <v>Each</v>
          </cell>
          <cell r="D437">
            <v>22383.98</v>
          </cell>
        </row>
        <row r="438">
          <cell r="A438">
            <v>7131950209</v>
          </cell>
          <cell r="B438" t="str">
            <v>SMC LT Distribution Box for 315 kVA Distribution Transformer</v>
          </cell>
          <cell r="C438" t="str">
            <v>Each</v>
          </cell>
          <cell r="D438">
            <v>38412.01</v>
          </cell>
        </row>
        <row r="439">
          <cell r="A439">
            <v>7131960006</v>
          </cell>
          <cell r="B439" t="str">
            <v>33 kV feeder control panel (Static Relays).</v>
          </cell>
          <cell r="C439" t="str">
            <v>Each</v>
          </cell>
          <cell r="D439">
            <v>26640.43</v>
          </cell>
        </row>
        <row r="440">
          <cell r="A440">
            <v>7131960007</v>
          </cell>
          <cell r="B440" t="str">
            <v>33 kV Transformer Control Panel (Static Relays)</v>
          </cell>
          <cell r="C440" t="str">
            <v>Each</v>
          </cell>
          <cell r="D440">
            <v>29413.59</v>
          </cell>
        </row>
        <row r="441">
          <cell r="A441">
            <v>7131960008</v>
          </cell>
          <cell r="B441" t="str">
            <v>Feeder Control (Static Relays)</v>
          </cell>
          <cell r="C441" t="str">
            <v>Each</v>
          </cell>
          <cell r="D441">
            <v>25931.94</v>
          </cell>
        </row>
        <row r="442">
          <cell r="A442">
            <v>7131960009</v>
          </cell>
          <cell r="B442" t="str">
            <v>Transformer Control (Static Relays)</v>
          </cell>
          <cell r="C442" t="str">
            <v>Each</v>
          </cell>
          <cell r="D442">
            <v>27322.240000000002</v>
          </cell>
        </row>
        <row r="443">
          <cell r="A443">
            <v>7131960010</v>
          </cell>
          <cell r="B443" t="str">
            <v>11 kV Control &amp; Relay Panel for Capacitor Bank</v>
          </cell>
          <cell r="C443" t="str">
            <v>Each</v>
          </cell>
          <cell r="D443">
            <v>83956.11</v>
          </cell>
        </row>
        <row r="444">
          <cell r="A444">
            <v>7131960520</v>
          </cell>
          <cell r="B444" t="str">
            <v>2 Feeder Control (Static Relays)</v>
          </cell>
          <cell r="C444" t="str">
            <v>Each</v>
          </cell>
          <cell r="D444">
            <v>38838.42</v>
          </cell>
        </row>
        <row r="445">
          <cell r="A445">
            <v>7131960522</v>
          </cell>
          <cell r="B445" t="str">
            <v>1 Transformer+1 Feeder (Static Relays)</v>
          </cell>
          <cell r="C445" t="str">
            <v>Each</v>
          </cell>
          <cell r="D445">
            <v>39087.629999999997</v>
          </cell>
        </row>
        <row r="446">
          <cell r="A446">
            <v>7131960524</v>
          </cell>
          <cell r="B446" t="str">
            <v>1 Feeder + 1 Transformer (Static Relays)</v>
          </cell>
          <cell r="C446" t="str">
            <v>Each</v>
          </cell>
          <cell r="D446">
            <v>39664.769999999997</v>
          </cell>
        </row>
        <row r="447">
          <cell r="A447">
            <v>7132002234</v>
          </cell>
          <cell r="B447" t="str">
            <v>Allen keys set of 9 Pcs.(1.5mm; 2mm; 2.5mm; 3mm; 4mm; 5mm; 6mm; 8mm; 10mm) Black finish, box packing</v>
          </cell>
          <cell r="C447" t="str">
            <v>Nos.</v>
          </cell>
          <cell r="D447">
            <v>255.67</v>
          </cell>
        </row>
        <row r="448">
          <cell r="A448">
            <v>7132004003</v>
          </cell>
          <cell r="B448" t="str">
            <v>Hack saw frames + B185</v>
          </cell>
          <cell r="C448" t="str">
            <v>Nos.</v>
          </cell>
          <cell r="D448">
            <v>162.9</v>
          </cell>
        </row>
        <row r="449">
          <cell r="A449">
            <v>7132004004</v>
          </cell>
          <cell r="B449" t="str">
            <v>Hack saw blade 300x12.5 mm</v>
          </cell>
          <cell r="C449" t="str">
            <v>Nos.</v>
          </cell>
          <cell r="D449">
            <v>14.42</v>
          </cell>
        </row>
        <row r="450">
          <cell r="A450">
            <v>7132011171</v>
          </cell>
          <cell r="B450" t="str">
            <v>Cable Cutter</v>
          </cell>
          <cell r="C450" t="str">
            <v>Nos.</v>
          </cell>
          <cell r="D450">
            <v>600.58000000000004</v>
          </cell>
        </row>
        <row r="451">
          <cell r="A451">
            <v>7132013331</v>
          </cell>
          <cell r="B451" t="str">
            <v>Discharge Rod</v>
          </cell>
          <cell r="C451" t="str">
            <v>Nos.</v>
          </cell>
          <cell r="D451">
            <v>515.52</v>
          </cell>
        </row>
        <row r="452">
          <cell r="A452">
            <v>7132014014</v>
          </cell>
          <cell r="B452" t="str">
            <v>Portable drilling machine</v>
          </cell>
          <cell r="C452" t="str">
            <v>Nos.</v>
          </cell>
          <cell r="D452">
            <v>3690.43</v>
          </cell>
        </row>
        <row r="453">
          <cell r="A453">
            <v>7132028159</v>
          </cell>
          <cell r="B453" t="str">
            <v>Hammer 8 Lbs (3629 gm)</v>
          </cell>
          <cell r="C453" t="str">
            <v>Nos.</v>
          </cell>
          <cell r="D453">
            <v>1450.5</v>
          </cell>
        </row>
        <row r="454">
          <cell r="A454">
            <v>7132028160</v>
          </cell>
          <cell r="B454" t="str">
            <v>Hammer 2 Lbs (907 gm.)</v>
          </cell>
          <cell r="C454" t="str">
            <v>Nos.</v>
          </cell>
          <cell r="D454">
            <v>448.79</v>
          </cell>
        </row>
        <row r="455">
          <cell r="A455">
            <v>7132061858</v>
          </cell>
          <cell r="B455" t="str">
            <v>Combination Plier / Cutting Plier</v>
          </cell>
          <cell r="C455" t="str">
            <v>Nos.</v>
          </cell>
          <cell r="D455">
            <v>279.64999999999998</v>
          </cell>
        </row>
        <row r="456">
          <cell r="A456">
            <v>7132072006</v>
          </cell>
          <cell r="B456" t="str">
            <v>Screw driver 250 mm</v>
          </cell>
          <cell r="C456" t="str">
            <v>Nos.</v>
          </cell>
          <cell r="D456">
            <v>91.01</v>
          </cell>
        </row>
        <row r="457">
          <cell r="A457">
            <v>7132072004</v>
          </cell>
          <cell r="B457" t="str">
            <v>Screw driver 200 mm</v>
          </cell>
          <cell r="C457" t="str">
            <v>Nos.</v>
          </cell>
          <cell r="D457">
            <v>85.23</v>
          </cell>
        </row>
        <row r="458">
          <cell r="A458">
            <v>7132072008</v>
          </cell>
          <cell r="B458" t="str">
            <v>Screw driver 150 mm</v>
          </cell>
          <cell r="C458" t="str">
            <v>Nos.</v>
          </cell>
          <cell r="D458">
            <v>79.45</v>
          </cell>
        </row>
        <row r="459">
          <cell r="A459">
            <v>7132072522</v>
          </cell>
          <cell r="B459" t="str">
            <v xml:space="preserve">Screw driver Set </v>
          </cell>
          <cell r="C459" t="str">
            <v>Nos.</v>
          </cell>
          <cell r="D459"/>
        </row>
        <row r="460">
          <cell r="A460">
            <v>7132074032</v>
          </cell>
          <cell r="B460" t="str">
            <v>Ring Spanners  (6x7,8x9,10x11,12x13, 14x15,16x17,18x19,20x22x,21x23, 24x27,25x28,30x32)</v>
          </cell>
          <cell r="C460" t="str">
            <v>Set.</v>
          </cell>
          <cell r="D460">
            <v>1981.84</v>
          </cell>
        </row>
        <row r="461">
          <cell r="A461">
            <v>7132074033</v>
          </cell>
          <cell r="B461" t="str">
            <v xml:space="preserve">Tube Spanners </v>
          </cell>
          <cell r="C461" t="str">
            <v>Set.</v>
          </cell>
          <cell r="D461">
            <v>819.02</v>
          </cell>
        </row>
        <row r="462">
          <cell r="A462">
            <v>7132074034</v>
          </cell>
          <cell r="B462" t="str">
            <v>Double end spanner (6x7,8x9,10x11, 12x13,14x15,16x17,18x19,20x22x, 21x23,24x27,25x28,30x32)</v>
          </cell>
          <cell r="C462" t="str">
            <v>Set.</v>
          </cell>
          <cell r="D462">
            <v>937.47</v>
          </cell>
        </row>
        <row r="463">
          <cell r="A463">
            <v>7132074035</v>
          </cell>
          <cell r="B463" t="str">
            <v xml:space="preserve">Adjustable Screw Spanner 12 inches </v>
          </cell>
          <cell r="C463" t="str">
            <v>Nos.</v>
          </cell>
          <cell r="D463">
            <v>608.13</v>
          </cell>
        </row>
        <row r="464">
          <cell r="A464">
            <v>7132074036</v>
          </cell>
          <cell r="B464" t="str">
            <v>Box spanners (of size 32Af, 27A/F, 30 A/F &amp; tommy Bar)</v>
          </cell>
          <cell r="C464" t="str">
            <v>Set.</v>
          </cell>
          <cell r="D464">
            <v>1805.6</v>
          </cell>
        </row>
        <row r="465">
          <cell r="A465">
            <v>7132088614</v>
          </cell>
          <cell r="B465" t="str">
            <v>Pipe Wrench 24 inches size</v>
          </cell>
          <cell r="C465" t="str">
            <v>Nos.</v>
          </cell>
          <cell r="D465">
            <v>1505.06</v>
          </cell>
        </row>
        <row r="466">
          <cell r="A466">
            <v>7132088615</v>
          </cell>
          <cell r="B466" t="str">
            <v>Pipe Wrench 18 inches size</v>
          </cell>
          <cell r="C466" t="str">
            <v>Nos.</v>
          </cell>
          <cell r="D466">
            <v>825.98</v>
          </cell>
        </row>
        <row r="467">
          <cell r="A467">
            <v>7132200014</v>
          </cell>
          <cell r="B467" t="str">
            <v>1089 kVAR, 12.1 kV, 3-phase 50 Hz Outdoor type Capacitor bank having step as 363 kVAR + 726 kVAR 12.1 KV. Bank shall be complete with Capacitor units of 121 kVAR at 6.98 KV, including allied material such as suitable size of Aluminium busbars, Pin / Post insulators, Expulsion fuses, Cable Jointing Kit, Nuts &amp; Bolts etc.</v>
          </cell>
          <cell r="C467" t="str">
            <v>Each</v>
          </cell>
          <cell r="D467">
            <v>170801.23</v>
          </cell>
        </row>
        <row r="468">
          <cell r="A468">
            <v>7132200812</v>
          </cell>
          <cell r="B468" t="str">
            <v xml:space="preserve">  5 kVAR</v>
          </cell>
          <cell r="C468" t="str">
            <v>Each</v>
          </cell>
          <cell r="D468">
            <v>1972.04</v>
          </cell>
        </row>
        <row r="469">
          <cell r="A469">
            <v>7132200813</v>
          </cell>
          <cell r="B469" t="str">
            <v>10 kVAR</v>
          </cell>
          <cell r="C469" t="str">
            <v>Each</v>
          </cell>
          <cell r="D469">
            <v>3942.84</v>
          </cell>
        </row>
        <row r="470">
          <cell r="A470">
            <v>7132200814</v>
          </cell>
          <cell r="B470" t="str">
            <v>12 kVAR</v>
          </cell>
          <cell r="C470" t="str">
            <v>Each</v>
          </cell>
          <cell r="D470">
            <v>4737.58</v>
          </cell>
        </row>
        <row r="471">
          <cell r="A471">
            <v>7132200815</v>
          </cell>
          <cell r="B471" t="str">
            <v>20 kVAR</v>
          </cell>
          <cell r="C471" t="str">
            <v>Each</v>
          </cell>
          <cell r="D471">
            <v>7862.22</v>
          </cell>
        </row>
        <row r="472">
          <cell r="A472">
            <v>7132200826</v>
          </cell>
          <cell r="B472" t="str">
            <v>1815 kVAR 12.1 kV 3-phase 50 Hz Outdoor type Capacitor bank having step as 363 kvar+726 kvar+726 Kvar 12.1 kv Bank shall be complete with capacitor units of 121 kVAr at 6.98 kV including allied materials such as suitable size of aluminium busbars, pin/post insulators, expulsion fuses, cable jointing kit, nuts &amp; bolts etc.</v>
          </cell>
          <cell r="C472" t="str">
            <v>Each</v>
          </cell>
          <cell r="D472">
            <v>225853.71</v>
          </cell>
        </row>
        <row r="473">
          <cell r="A473">
            <v>7132210007</v>
          </cell>
          <cell r="B473" t="str">
            <v xml:space="preserve">16 kVA (4 Star) Aluminium Wound </v>
          </cell>
          <cell r="C473" t="str">
            <v>Each</v>
          </cell>
          <cell r="D473"/>
        </row>
        <row r="474">
          <cell r="A474">
            <v>7132210008</v>
          </cell>
          <cell r="B474" t="str">
            <v xml:space="preserve">25 kVA (4 Star) Aluminium Wound </v>
          </cell>
          <cell r="C474" t="str">
            <v>Each</v>
          </cell>
          <cell r="D474"/>
        </row>
        <row r="475">
          <cell r="A475">
            <v>7132210009</v>
          </cell>
          <cell r="B475" t="str">
            <v xml:space="preserve">63 kVA (4 Star) Aluminium Wound </v>
          </cell>
          <cell r="C475" t="str">
            <v>Each</v>
          </cell>
          <cell r="D475"/>
        </row>
        <row r="476">
          <cell r="A476">
            <v>7132210010</v>
          </cell>
          <cell r="B476" t="str">
            <v xml:space="preserve">100 kVA (4 Star) Aluminium Wound </v>
          </cell>
          <cell r="C476" t="str">
            <v>Each</v>
          </cell>
          <cell r="D476"/>
        </row>
        <row r="477">
          <cell r="A477">
            <v>7132210011</v>
          </cell>
          <cell r="B477" t="str">
            <v xml:space="preserve">200 kVA (4 Star) Aluminium Wound </v>
          </cell>
          <cell r="C477" t="str">
            <v>Each</v>
          </cell>
          <cell r="D477"/>
        </row>
        <row r="478">
          <cell r="A478">
            <v>7132210012</v>
          </cell>
          <cell r="B478" t="str">
            <v>315 kVA (CEA Design) Copper wound ISI Marked, 11/0.433 kV Distribution Transformer having energy efficiency level '2'</v>
          </cell>
          <cell r="C478" t="str">
            <v>Each</v>
          </cell>
          <cell r="D478"/>
        </row>
        <row r="479">
          <cell r="A479">
            <v>7132210015</v>
          </cell>
          <cell r="B479" t="str">
            <v>500 kVA [CEA Design] Copper Wound ISI Marked, 11/0.433 kV Distribution Transformer having energy efficiency level '2'</v>
          </cell>
          <cell r="C479" t="str">
            <v>Each</v>
          </cell>
          <cell r="D479"/>
        </row>
        <row r="480">
          <cell r="A480">
            <v>7132210106</v>
          </cell>
          <cell r="B480" t="str">
            <v>0.2% Reactor suitable for 363 kVAR step</v>
          </cell>
          <cell r="C480" t="str">
            <v>Set</v>
          </cell>
          <cell r="D480">
            <v>8294.2999999999993</v>
          </cell>
        </row>
        <row r="481">
          <cell r="A481">
            <v>7132210108</v>
          </cell>
          <cell r="B481" t="str">
            <v>0.2% Reactor suitable for 726 kVAR step</v>
          </cell>
          <cell r="C481" t="str">
            <v>Set</v>
          </cell>
          <cell r="D481">
            <v>10125.84</v>
          </cell>
        </row>
        <row r="482">
          <cell r="A482">
            <v>7132210215</v>
          </cell>
          <cell r="B482" t="str">
            <v>50 kVA (Copper winding) 33/0.4 kV</v>
          </cell>
          <cell r="C482" t="str">
            <v>Each</v>
          </cell>
          <cell r="D482">
            <v>188732.25</v>
          </cell>
        </row>
        <row r="483">
          <cell r="A483">
            <v>7132220091</v>
          </cell>
          <cell r="B483" t="str">
            <v>Power Transformer 1600 kVA</v>
          </cell>
          <cell r="C483" t="str">
            <v>Each</v>
          </cell>
          <cell r="D483">
            <v>1287998.3799999999</v>
          </cell>
        </row>
        <row r="484">
          <cell r="A484">
            <v>7132220095</v>
          </cell>
          <cell r="B484" t="str">
            <v xml:space="preserve">Power Transformer 3150 kVA </v>
          </cell>
          <cell r="C484" t="str">
            <v>Each</v>
          </cell>
          <cell r="D484">
            <v>3825804.57</v>
          </cell>
        </row>
        <row r="485">
          <cell r="A485">
            <v>7132220097</v>
          </cell>
          <cell r="B485" t="str">
            <v xml:space="preserve">Power Transformer 5000 kVA </v>
          </cell>
          <cell r="C485" t="str">
            <v>Each</v>
          </cell>
          <cell r="D485">
            <v>5211755.76</v>
          </cell>
        </row>
        <row r="486">
          <cell r="A486">
            <v>7132220092</v>
          </cell>
          <cell r="B486" t="str">
            <v xml:space="preserve">Power Transformer 8000 kVA </v>
          </cell>
          <cell r="C486" t="str">
            <v>Each</v>
          </cell>
          <cell r="D486">
            <v>6150995.8499999996</v>
          </cell>
        </row>
        <row r="487">
          <cell r="A487">
            <v>7132230015</v>
          </cell>
          <cell r="B487" t="str">
            <v>Indoor Type 33 kV Metering Cubical CTPT Unit 100 /5A</v>
          </cell>
          <cell r="C487" t="str">
            <v>Each</v>
          </cell>
          <cell r="D487">
            <v>261758.57</v>
          </cell>
        </row>
        <row r="488">
          <cell r="A488">
            <v>7132230016</v>
          </cell>
          <cell r="B488" t="str">
            <v>L.T.C.T. 100/5 Amps.</v>
          </cell>
          <cell r="C488" t="str">
            <v>Each</v>
          </cell>
          <cell r="D488">
            <v>527.46</v>
          </cell>
        </row>
        <row r="489">
          <cell r="A489">
            <v>7132230017</v>
          </cell>
          <cell r="B489" t="str">
            <v>Indoor Type 33 kV Metering Cubical CTPT Unit 50/5 A</v>
          </cell>
          <cell r="C489" t="str">
            <v>Each</v>
          </cell>
          <cell r="D489">
            <v>241605</v>
          </cell>
        </row>
        <row r="490">
          <cell r="A490">
            <v>7132230019</v>
          </cell>
          <cell r="B490" t="str">
            <v>L.T.C.T. 200/5 Amps.</v>
          </cell>
          <cell r="C490" t="str">
            <v>Each</v>
          </cell>
          <cell r="D490">
            <v>313.29000000000002</v>
          </cell>
        </row>
        <row r="491">
          <cell r="A491">
            <v>7132230021</v>
          </cell>
          <cell r="B491" t="str">
            <v>L.T.C.T. 300/5 Amps.</v>
          </cell>
          <cell r="C491" t="str">
            <v>Each</v>
          </cell>
          <cell r="D491">
            <v>306.8</v>
          </cell>
        </row>
        <row r="492">
          <cell r="A492">
            <v>7132230024</v>
          </cell>
          <cell r="B492" t="str">
            <v>L.T.C.T. 500/5 Amps.</v>
          </cell>
          <cell r="C492" t="str">
            <v>Each</v>
          </cell>
          <cell r="D492">
            <v>306.8</v>
          </cell>
        </row>
        <row r="493">
          <cell r="A493">
            <v>7132230039</v>
          </cell>
          <cell r="B493" t="str">
            <v>220 kV C.T. 800-400/1-1A</v>
          </cell>
          <cell r="C493" t="str">
            <v>No.</v>
          </cell>
          <cell r="D493">
            <v>676167.25</v>
          </cell>
        </row>
        <row r="494">
          <cell r="A494">
            <v>7132230043</v>
          </cell>
          <cell r="B494" t="str">
            <v xml:space="preserve">33 kV CT's (400-200/5) Amps. Oil filled </v>
          </cell>
          <cell r="C494" t="str">
            <v>Each</v>
          </cell>
          <cell r="D494">
            <v>14361.91</v>
          </cell>
        </row>
        <row r="495">
          <cell r="A495">
            <v>7132230065</v>
          </cell>
          <cell r="B495" t="str">
            <v>132 kV C.T. 600-300/1-1A</v>
          </cell>
          <cell r="C495" t="str">
            <v>No.</v>
          </cell>
          <cell r="D495">
            <v>371379.99</v>
          </cell>
        </row>
        <row r="496">
          <cell r="A496">
            <v>7132230075</v>
          </cell>
          <cell r="B496" t="str">
            <v>132 kV C.T. 150-75/1-1A</v>
          </cell>
          <cell r="C496" t="str">
            <v>No.</v>
          </cell>
          <cell r="D496">
            <v>595454.16</v>
          </cell>
        </row>
        <row r="497">
          <cell r="A497">
            <v>7132230076</v>
          </cell>
          <cell r="B497" t="str">
            <v>220 kV C.T. 150-75/1-1A</v>
          </cell>
          <cell r="C497" t="str">
            <v>No.</v>
          </cell>
          <cell r="D497">
            <v>849302.14</v>
          </cell>
        </row>
        <row r="498">
          <cell r="A498">
            <v>7132230077</v>
          </cell>
          <cell r="B498" t="str">
            <v>220 kV C.T. 300-150/1-1A</v>
          </cell>
          <cell r="C498" t="str">
            <v>No.</v>
          </cell>
          <cell r="D498">
            <v>611297.85</v>
          </cell>
        </row>
        <row r="499">
          <cell r="A499">
            <v>7132230078</v>
          </cell>
          <cell r="B499" t="str">
            <v>220 kV C.T. 600-300/1-1A</v>
          </cell>
          <cell r="C499" t="str">
            <v>No.</v>
          </cell>
          <cell r="D499">
            <v>685593.57</v>
          </cell>
        </row>
        <row r="500">
          <cell r="A500">
            <v>7132230088</v>
          </cell>
          <cell r="B500" t="str">
            <v>11 kV CTPT Unit 400-200/5 A</v>
          </cell>
          <cell r="C500" t="str">
            <v>Each</v>
          </cell>
          <cell r="D500">
            <v>43520.01</v>
          </cell>
        </row>
        <row r="501">
          <cell r="A501">
            <v>7132230089</v>
          </cell>
          <cell r="B501" t="str">
            <v>33 kV CTPT Unit 300-150/5 A</v>
          </cell>
          <cell r="C501" t="str">
            <v>Each</v>
          </cell>
          <cell r="D501">
            <v>90496.15</v>
          </cell>
        </row>
        <row r="502">
          <cell r="A502">
            <v>7132230185</v>
          </cell>
          <cell r="B502" t="str">
            <v>11 kV C.T. 200-100/5 Amps.</v>
          </cell>
          <cell r="C502" t="str">
            <v>Each</v>
          </cell>
          <cell r="D502">
            <v>13575.31</v>
          </cell>
        </row>
        <row r="503">
          <cell r="A503">
            <v>7132230188</v>
          </cell>
          <cell r="B503" t="str">
            <v>11 kV C.T. 300-150/5 Amps.</v>
          </cell>
          <cell r="C503" t="str">
            <v>Each</v>
          </cell>
          <cell r="D503">
            <v>13696.09</v>
          </cell>
        </row>
        <row r="504">
          <cell r="A504">
            <v>7132200005</v>
          </cell>
          <cell r="B504" t="str">
            <v>11 kV C.T. 500-250/5-5 Amps.</v>
          </cell>
          <cell r="C504" t="str">
            <v>Each</v>
          </cell>
          <cell r="D504">
            <v>18648.09</v>
          </cell>
        </row>
        <row r="505">
          <cell r="A505">
            <v>7132230263</v>
          </cell>
          <cell r="B505" t="str">
            <v>33 kV CT's (300-150/5) Amps oil filled</v>
          </cell>
          <cell r="C505" t="str">
            <v>Each</v>
          </cell>
          <cell r="D505">
            <v>17617.29</v>
          </cell>
        </row>
        <row r="506">
          <cell r="A506">
            <v>7132230265</v>
          </cell>
          <cell r="B506" t="str">
            <v>33 kV CT's (200-100/5-5) Amps oil filled</v>
          </cell>
          <cell r="C506" t="str">
            <v>Each</v>
          </cell>
          <cell r="D506">
            <v>17496.509999999998</v>
          </cell>
        </row>
        <row r="507">
          <cell r="A507">
            <v>7132230304</v>
          </cell>
          <cell r="B507" t="str">
            <v>33 kV CT's  (100-50/5) Amps. oil filled</v>
          </cell>
          <cell r="C507" t="str">
            <v>Each</v>
          </cell>
          <cell r="D507"/>
        </row>
        <row r="508">
          <cell r="A508">
            <v>7132230330</v>
          </cell>
          <cell r="B508" t="str">
            <v>132 kV C.T. 100-50/1-1A</v>
          </cell>
          <cell r="C508" t="str">
            <v>No.</v>
          </cell>
          <cell r="D508">
            <v>641883.84</v>
          </cell>
        </row>
        <row r="509">
          <cell r="A509">
            <v>7132230332</v>
          </cell>
          <cell r="B509" t="str">
            <v>132 kV C.T. 200-100/1-1A</v>
          </cell>
          <cell r="C509" t="str">
            <v>No.</v>
          </cell>
          <cell r="D509">
            <v>557622.04</v>
          </cell>
        </row>
        <row r="510">
          <cell r="A510">
            <v>7132230336</v>
          </cell>
          <cell r="B510" t="str">
            <v>132 kV C.T. 300-150/1-1A</v>
          </cell>
          <cell r="C510" t="str">
            <v>No.</v>
          </cell>
          <cell r="D510">
            <v>339900.34</v>
          </cell>
        </row>
        <row r="511">
          <cell r="A511">
            <v>7132230394</v>
          </cell>
          <cell r="B511" t="str">
            <v>11 kV CTPT Unit 7.5/5 A</v>
          </cell>
          <cell r="C511" t="str">
            <v>Each</v>
          </cell>
          <cell r="D511"/>
        </row>
        <row r="512">
          <cell r="A512">
            <v>7132230395</v>
          </cell>
          <cell r="B512" t="str">
            <v>11 kV CTPT Unit 10/5 A</v>
          </cell>
          <cell r="C512" t="str">
            <v>Each</v>
          </cell>
          <cell r="D512">
            <v>37882.47</v>
          </cell>
        </row>
        <row r="513">
          <cell r="A513">
            <v>7132230396</v>
          </cell>
          <cell r="B513" t="str">
            <v>11 kV CTPT Unit 15/5 A</v>
          </cell>
          <cell r="C513" t="str">
            <v>Each</v>
          </cell>
          <cell r="D513"/>
        </row>
        <row r="514">
          <cell r="A514">
            <v>7132230399</v>
          </cell>
          <cell r="B514" t="str">
            <v>11 kV CTPT Unit 300-150/5 A</v>
          </cell>
          <cell r="C514" t="str">
            <v>Each</v>
          </cell>
          <cell r="D514">
            <v>43516.09</v>
          </cell>
        </row>
        <row r="515">
          <cell r="A515">
            <v>7132230401</v>
          </cell>
          <cell r="B515" t="str">
            <v>11 kV CTPT Unit 25/5 A</v>
          </cell>
          <cell r="C515" t="str">
            <v>Each</v>
          </cell>
          <cell r="D515">
            <v>39210.11</v>
          </cell>
        </row>
        <row r="516">
          <cell r="A516">
            <v>7132230406</v>
          </cell>
          <cell r="B516" t="str">
            <v>11 kV CTPT Unit 75/5 A</v>
          </cell>
          <cell r="C516" t="str">
            <v>Each</v>
          </cell>
          <cell r="D516"/>
        </row>
        <row r="517">
          <cell r="A517">
            <v>7132230412</v>
          </cell>
          <cell r="B517" t="str">
            <v>11 kV CTPT Unit 200-100/5 A</v>
          </cell>
          <cell r="C517" t="str">
            <v>Each</v>
          </cell>
          <cell r="D517">
            <v>43031.06</v>
          </cell>
        </row>
        <row r="518">
          <cell r="A518">
            <v>7132230538</v>
          </cell>
          <cell r="B518" t="str">
            <v>11 kV CTPT Unit 50/5 A</v>
          </cell>
          <cell r="C518" t="str">
            <v>Each</v>
          </cell>
          <cell r="D518">
            <v>37910.03</v>
          </cell>
        </row>
        <row r="519">
          <cell r="A519">
            <v>7132230543</v>
          </cell>
          <cell r="B519" t="str">
            <v>132 kV C.T. 100/1 A</v>
          </cell>
          <cell r="C519" t="str">
            <v>No.</v>
          </cell>
          <cell r="D519">
            <v>537789.53</v>
          </cell>
        </row>
        <row r="520">
          <cell r="A520">
            <v>7132230544</v>
          </cell>
          <cell r="B520" t="str">
            <v>132 kV C.T. 200/1 A</v>
          </cell>
          <cell r="C520" t="str">
            <v>No.</v>
          </cell>
          <cell r="D520">
            <v>467268.92</v>
          </cell>
        </row>
        <row r="521">
          <cell r="A521">
            <v>7132230545</v>
          </cell>
          <cell r="B521" t="str">
            <v>220 kV C.T. 800/1 A</v>
          </cell>
          <cell r="C521" t="str">
            <v>No.</v>
          </cell>
          <cell r="D521">
            <v>566406.97</v>
          </cell>
        </row>
        <row r="522">
          <cell r="A522">
            <v>7132230418</v>
          </cell>
          <cell r="B522" t="str">
            <v>33 kV CTPT Unit 20/5 A</v>
          </cell>
          <cell r="C522" t="str">
            <v>Each</v>
          </cell>
          <cell r="D522">
            <v>71726.58</v>
          </cell>
        </row>
        <row r="523">
          <cell r="A523">
            <v>7132230427</v>
          </cell>
          <cell r="B523" t="str">
            <v>33 kV CTPT Unit 200-100/5 A</v>
          </cell>
          <cell r="C523" t="str">
            <v>Each</v>
          </cell>
          <cell r="D523">
            <v>87035.71</v>
          </cell>
        </row>
        <row r="524">
          <cell r="A524">
            <v>7132230447</v>
          </cell>
          <cell r="B524" t="str">
            <v>33 kV CTPT Unit 5/5 A</v>
          </cell>
          <cell r="C524" t="str">
            <v>Each</v>
          </cell>
          <cell r="D524"/>
        </row>
        <row r="525">
          <cell r="A525">
            <v>7132230448</v>
          </cell>
          <cell r="B525" t="str">
            <v>33 kV CTPT Unit 10/5 A</v>
          </cell>
          <cell r="C525" t="str">
            <v>Each</v>
          </cell>
          <cell r="D525">
            <v>75162.61</v>
          </cell>
        </row>
        <row r="526">
          <cell r="A526">
            <v>7132230449</v>
          </cell>
          <cell r="B526" t="str">
            <v>33 kV CTPT Unit 30/5 A</v>
          </cell>
          <cell r="C526" t="str">
            <v>Each</v>
          </cell>
          <cell r="D526"/>
        </row>
        <row r="527">
          <cell r="A527">
            <v>7132230450</v>
          </cell>
          <cell r="B527" t="str">
            <v>33 kV CTPT Unit 50/5 A</v>
          </cell>
          <cell r="C527" t="str">
            <v>Each</v>
          </cell>
          <cell r="D527">
            <v>70267.47</v>
          </cell>
        </row>
        <row r="528">
          <cell r="A528">
            <v>7132230453</v>
          </cell>
          <cell r="B528" t="str">
            <v>33 kV CTPT Unit 100 /5A</v>
          </cell>
          <cell r="C528" t="str">
            <v>Each</v>
          </cell>
          <cell r="D528">
            <v>67159.44</v>
          </cell>
        </row>
        <row r="529">
          <cell r="A529">
            <v>7132230455</v>
          </cell>
          <cell r="B529" t="str">
            <v>33 kV CTPT Unit 200/5A</v>
          </cell>
          <cell r="C529" t="str">
            <v>Each</v>
          </cell>
          <cell r="D529">
            <v>66812.039999999994</v>
          </cell>
        </row>
        <row r="530">
          <cell r="A530">
            <v>7132230458</v>
          </cell>
          <cell r="B530" t="str">
            <v>33 kV CTPT Unit 400/5A</v>
          </cell>
          <cell r="C530" t="str">
            <v>Each</v>
          </cell>
          <cell r="D530">
            <v>65431.45</v>
          </cell>
        </row>
        <row r="531">
          <cell r="A531">
            <v>7132230457</v>
          </cell>
          <cell r="B531" t="str">
            <v>33 kV CTPT Unit 400-200/5 A</v>
          </cell>
          <cell r="C531" t="str">
            <v>Each</v>
          </cell>
          <cell r="D531">
            <v>89135.32</v>
          </cell>
        </row>
        <row r="532">
          <cell r="A532">
            <v>7132230471</v>
          </cell>
          <cell r="B532" t="str">
            <v xml:space="preserve">11 kV 3 PH Residual Voltage Transformer </v>
          </cell>
          <cell r="C532" t="str">
            <v>Each</v>
          </cell>
          <cell r="D532">
            <v>40265.449999999997</v>
          </cell>
        </row>
        <row r="533">
          <cell r="A533">
            <v>7132230473</v>
          </cell>
          <cell r="B533" t="str">
            <v>11 kV PT Station Type</v>
          </cell>
          <cell r="C533" t="str">
            <v>No.</v>
          </cell>
          <cell r="D533"/>
        </row>
        <row r="534">
          <cell r="A534">
            <v>7132230056</v>
          </cell>
          <cell r="B534" t="str">
            <v>11 kV Single Phase PT's (Oil filled)</v>
          </cell>
          <cell r="C534" t="str">
            <v>Each</v>
          </cell>
          <cell r="D534">
            <v>10892.11</v>
          </cell>
        </row>
        <row r="535">
          <cell r="A535">
            <v>7132230057</v>
          </cell>
          <cell r="B535" t="str">
            <v>33 kV Single Phase PT's (Oil filled)</v>
          </cell>
          <cell r="C535" t="str">
            <v>Each</v>
          </cell>
          <cell r="D535">
            <v>20431.150000000001</v>
          </cell>
        </row>
        <row r="536">
          <cell r="A536">
            <v>7132230501</v>
          </cell>
          <cell r="B536" t="str">
            <v>132 kV P.T.</v>
          </cell>
          <cell r="C536" t="str">
            <v>No.</v>
          </cell>
          <cell r="D536">
            <v>401271.5</v>
          </cell>
        </row>
        <row r="537">
          <cell r="A537">
            <v>7132230511</v>
          </cell>
          <cell r="B537" t="str">
            <v>220 kV P.T.</v>
          </cell>
          <cell r="C537" t="str">
            <v>No.</v>
          </cell>
          <cell r="D537">
            <v>737533.13</v>
          </cell>
        </row>
        <row r="538">
          <cell r="A538">
            <v>7132401672</v>
          </cell>
          <cell r="B538" t="str">
            <v>Small Steel Almirah 50''</v>
          </cell>
          <cell r="C538" t="str">
            <v>No.</v>
          </cell>
          <cell r="D538">
            <v>6370</v>
          </cell>
        </row>
        <row r="539">
          <cell r="A539">
            <v>7132404015</v>
          </cell>
          <cell r="B539" t="str">
            <v>Safety belts</v>
          </cell>
          <cell r="C539" t="str">
            <v>Nos.</v>
          </cell>
          <cell r="D539">
            <v>666.3</v>
          </cell>
        </row>
        <row r="540">
          <cell r="A540">
            <v>7132404016</v>
          </cell>
          <cell r="B540" t="str">
            <v>Safety helmets</v>
          </cell>
          <cell r="C540" t="str">
            <v>Nos.</v>
          </cell>
          <cell r="D540">
            <v>155.22</v>
          </cell>
        </row>
        <row r="541">
          <cell r="A541">
            <v>7132404366</v>
          </cell>
          <cell r="B541" t="str">
            <v xml:space="preserve">Battery </v>
          </cell>
          <cell r="C541" t="str">
            <v>No.</v>
          </cell>
          <cell r="D541">
            <v>70801.23</v>
          </cell>
        </row>
        <row r="542">
          <cell r="A542">
            <v>7132406022</v>
          </cell>
          <cell r="B542" t="str">
            <v>T.W. Meter Board, 300x300x75 mm, coated with varnish/SMC board</v>
          </cell>
          <cell r="C542" t="str">
            <v>Nos.</v>
          </cell>
          <cell r="D542">
            <v>188.91</v>
          </cell>
        </row>
        <row r="543">
          <cell r="A543">
            <v>7132406420</v>
          </cell>
          <cell r="B543" t="str">
            <v>Meter Box (GI Plain Sheet) for 3 Phase LT CT operated meter</v>
          </cell>
          <cell r="C543" t="str">
            <v>Each</v>
          </cell>
          <cell r="D543">
            <v>3292.5</v>
          </cell>
        </row>
        <row r="544">
          <cell r="A544">
            <v>7132406793</v>
          </cell>
          <cell r="B544" t="str">
            <v>Pilfer proof SMC/FRPP/PPO LTCT meter box</v>
          </cell>
          <cell r="C544" t="str">
            <v>Each</v>
          </cell>
          <cell r="D544">
            <v>4118.68</v>
          </cell>
        </row>
        <row r="545">
          <cell r="A545">
            <v>7132406795</v>
          </cell>
          <cell r="B545" t="str">
            <v>Pilfer proof Single Compartment SMC meter box for LTCT meters 150/5A with CT</v>
          </cell>
          <cell r="C545" t="str">
            <v>Each</v>
          </cell>
          <cell r="D545">
            <v>4889.21</v>
          </cell>
        </row>
        <row r="546">
          <cell r="A546">
            <v>7132406794</v>
          </cell>
          <cell r="B546" t="str">
            <v>Pilfer proof Single Compartment SMC meter box for LTCT meters 300/5A with CT</v>
          </cell>
          <cell r="C546" t="str">
            <v>Each</v>
          </cell>
          <cell r="D546">
            <v>4464.3100000000004</v>
          </cell>
        </row>
        <row r="547">
          <cell r="A547">
            <v>7132406425</v>
          </cell>
          <cell r="B547" t="str">
            <v>Universal Meter Box for HT meters.</v>
          </cell>
          <cell r="C547" t="str">
            <v>Each</v>
          </cell>
          <cell r="D547"/>
        </row>
        <row r="548">
          <cell r="A548">
            <v>7132404529</v>
          </cell>
          <cell r="B548" t="str">
            <v>Sheet Metal deep drawn HT Meter Box</v>
          </cell>
          <cell r="C548" t="str">
            <v>Each</v>
          </cell>
          <cell r="D548">
            <v>4194.37</v>
          </cell>
        </row>
        <row r="549">
          <cell r="A549">
            <v>7132406791</v>
          </cell>
          <cell r="B549" t="str">
            <v>Sheet Metal deep Drawn Meter Box for LTCT operated meter</v>
          </cell>
          <cell r="C549" t="str">
            <v>Each</v>
          </cell>
          <cell r="D549">
            <v>6051.04</v>
          </cell>
        </row>
        <row r="550">
          <cell r="A550">
            <v>7132406721</v>
          </cell>
          <cell r="B550" t="str">
            <v>CT operated electronic static meters with DLMS.</v>
          </cell>
          <cell r="C550" t="str">
            <v>Each</v>
          </cell>
          <cell r="D550">
            <v>2679.62</v>
          </cell>
        </row>
        <row r="551">
          <cell r="A551">
            <v>7132409830</v>
          </cell>
          <cell r="B551" t="str">
            <v xml:space="preserve">Office Chair cane seat &amp; back with full arms rest </v>
          </cell>
          <cell r="C551" t="str">
            <v>No.</v>
          </cell>
          <cell r="D551">
            <v>4500</v>
          </cell>
        </row>
        <row r="552">
          <cell r="A552">
            <v>7132411894</v>
          </cell>
          <cell r="B552" t="str">
            <v>Rubber Hand gloves 15 kV (Seamless)</v>
          </cell>
          <cell r="C552" t="str">
            <v>Pair</v>
          </cell>
          <cell r="D552">
            <v>531</v>
          </cell>
        </row>
        <row r="553">
          <cell r="A553">
            <v>7132421002</v>
          </cell>
          <cell r="B553" t="str">
            <v xml:space="preserve">Fire fighting equipments CO2 fire extinguisher of 2 Kg Capacity)  </v>
          </cell>
          <cell r="C553" t="str">
            <v>No</v>
          </cell>
          <cell r="D553">
            <v>6265.94</v>
          </cell>
        </row>
        <row r="554">
          <cell r="A554">
            <v>7132427634</v>
          </cell>
          <cell r="B554" t="str">
            <v>Rain Coats with Hoods</v>
          </cell>
          <cell r="C554" t="str">
            <v>Nos.</v>
          </cell>
          <cell r="D554">
            <v>830.8</v>
          </cell>
        </row>
        <row r="555">
          <cell r="A555">
            <v>7132427635</v>
          </cell>
          <cell r="B555" t="str">
            <v>Gum Boots</v>
          </cell>
          <cell r="C555" t="str">
            <v>Nos.</v>
          </cell>
          <cell r="D555">
            <v>594.4</v>
          </cell>
        </row>
        <row r="556">
          <cell r="A556">
            <v>7132438002</v>
          </cell>
          <cell r="B556" t="str">
            <v>Silica gel</v>
          </cell>
          <cell r="C556" t="str">
            <v>Kg</v>
          </cell>
          <cell r="D556">
            <v>197.24</v>
          </cell>
        </row>
        <row r="557">
          <cell r="A557">
            <v>7132444005</v>
          </cell>
          <cell r="B557" t="str">
            <v>Poly Carbonate seals for meter</v>
          </cell>
          <cell r="C557" t="str">
            <v>Each</v>
          </cell>
          <cell r="D557">
            <v>5.75</v>
          </cell>
        </row>
        <row r="558">
          <cell r="A558">
            <v>7132444007</v>
          </cell>
          <cell r="B558" t="str">
            <v>Grounding Sticks (Galvanised Earthing Rods 25 mm, 3 Mtr. long)</v>
          </cell>
          <cell r="C558" t="str">
            <v>Set.</v>
          </cell>
          <cell r="D558">
            <v>1179.8399999999999</v>
          </cell>
        </row>
        <row r="559">
          <cell r="A559">
            <v>7132448003</v>
          </cell>
          <cell r="B559" t="str">
            <v xml:space="preserve">Electrically insulated 11 kV mats infront of electrical control panel </v>
          </cell>
          <cell r="C559" t="str">
            <v>No</v>
          </cell>
          <cell r="D559">
            <v>5352.28</v>
          </cell>
        </row>
        <row r="560">
          <cell r="A560">
            <v>7132455002</v>
          </cell>
          <cell r="B560" t="str">
            <v>T.W. plate 300x300x25 mm with 20 mm dia holes at the corners and coated with two coats of varnish on one side/SMC board</v>
          </cell>
          <cell r="C560" t="str">
            <v>Nos.</v>
          </cell>
          <cell r="D560">
            <v>395.13</v>
          </cell>
        </row>
        <row r="561">
          <cell r="A561">
            <v>7132457798</v>
          </cell>
          <cell r="B561" t="str">
            <v xml:space="preserve">Transformer Oil In Barrel </v>
          </cell>
          <cell r="C561" t="str">
            <v>KL</v>
          </cell>
          <cell r="D561">
            <v>113370.62</v>
          </cell>
        </row>
        <row r="562">
          <cell r="A562">
            <v>7132457798</v>
          </cell>
          <cell r="B562" t="str">
            <v xml:space="preserve">Transformer Oil In Tanker </v>
          </cell>
          <cell r="C562" t="str">
            <v>KL</v>
          </cell>
          <cell r="D562">
            <v>104733.02</v>
          </cell>
        </row>
        <row r="563">
          <cell r="A563">
            <v>7132494004</v>
          </cell>
          <cell r="B563" t="str">
            <v>Fabricated Transformer Oil Storage Tank (10 Kl Capacity)</v>
          </cell>
          <cell r="C563" t="str">
            <v xml:space="preserve">No. </v>
          </cell>
          <cell r="D563">
            <v>469999.99440000003</v>
          </cell>
        </row>
        <row r="564">
          <cell r="A564">
            <v>7132459005</v>
          </cell>
          <cell r="B564" t="str">
            <v>Poly Carbonate seal double anker type</v>
          </cell>
          <cell r="C564" t="str">
            <v>Each</v>
          </cell>
          <cell r="D564">
            <v>7.04</v>
          </cell>
        </row>
        <row r="565">
          <cell r="A565">
            <v>7132461004</v>
          </cell>
          <cell r="B565" t="str">
            <v>HDPE Pipe 200 mm ID; 240 mm OD</v>
          </cell>
          <cell r="C565" t="str">
            <v>Mtr.</v>
          </cell>
          <cell r="D565">
            <v>1449.18</v>
          </cell>
        </row>
        <row r="566">
          <cell r="A566">
            <v>7132461005</v>
          </cell>
          <cell r="B566" t="str">
            <v>Jointing arrangement of HDPE Pipe</v>
          </cell>
          <cell r="C566" t="str">
            <v>Nos.</v>
          </cell>
          <cell r="D566">
            <v>535.1</v>
          </cell>
        </row>
        <row r="567">
          <cell r="A567">
            <v>7132468558</v>
          </cell>
          <cell r="B567" t="str">
            <v>Battery charger</v>
          </cell>
          <cell r="C567" t="str">
            <v>Each</v>
          </cell>
          <cell r="D567">
            <v>13992.98</v>
          </cell>
        </row>
        <row r="568">
          <cell r="A568">
            <v>7132475019</v>
          </cell>
          <cell r="B568" t="str">
            <v>Files of sizes</v>
          </cell>
          <cell r="C568" t="str">
            <v>Set.</v>
          </cell>
          <cell r="D568">
            <v>375.5</v>
          </cell>
        </row>
        <row r="569">
          <cell r="A569">
            <v>7132475019</v>
          </cell>
          <cell r="B569" t="str">
            <v>Black Cambric tape 25 mm wide 7 mm thick and in rolls of 50 Mtr.</v>
          </cell>
          <cell r="C569" t="str">
            <v>Roll</v>
          </cell>
          <cell r="D569">
            <v>153.6</v>
          </cell>
        </row>
        <row r="570">
          <cell r="A570">
            <v>7132476007</v>
          </cell>
          <cell r="B570" t="str">
            <v>PVC lnsulation Tapes 19 mm wide and in rolls of 10 Mtrs</v>
          </cell>
          <cell r="C570" t="str">
            <v>Roll</v>
          </cell>
          <cell r="D570">
            <v>17.59</v>
          </cell>
        </row>
        <row r="571">
          <cell r="A571">
            <v>7132476008</v>
          </cell>
          <cell r="B571" t="str">
            <v>Cotton Tapes 19 mm wide and in rolls of 50 Mtrs</v>
          </cell>
          <cell r="C571" t="str">
            <v>Roll</v>
          </cell>
          <cell r="D571">
            <v>83.25</v>
          </cell>
        </row>
        <row r="572">
          <cell r="A572">
            <v>7132478004</v>
          </cell>
          <cell r="B572" t="str">
            <v>Tong tester Digital (1000 A, 500 V) with associated accessories</v>
          </cell>
          <cell r="C572" t="str">
            <v>Nos.</v>
          </cell>
          <cell r="D572">
            <v>1706.14</v>
          </cell>
        </row>
        <row r="573">
          <cell r="A573">
            <v>7132478011</v>
          </cell>
          <cell r="B573" t="str">
            <v>Hand Torch 5 cell</v>
          </cell>
          <cell r="C573" t="str">
            <v>Nos.</v>
          </cell>
          <cell r="D573">
            <v>702.63</v>
          </cell>
        </row>
        <row r="574">
          <cell r="A574">
            <v>7132478012</v>
          </cell>
          <cell r="B574" t="str">
            <v>Hand Torch 3 cell</v>
          </cell>
          <cell r="C574" t="str">
            <v>Nos.</v>
          </cell>
          <cell r="D574">
            <v>460.66</v>
          </cell>
        </row>
        <row r="575">
          <cell r="A575">
            <v>7132478012</v>
          </cell>
          <cell r="B575" t="str">
            <v>Cotton Waste</v>
          </cell>
          <cell r="C575" t="str">
            <v>Kg</v>
          </cell>
          <cell r="D575">
            <v>100.3</v>
          </cell>
        </row>
        <row r="576">
          <cell r="A576">
            <v>7132490006</v>
          </cell>
          <cell r="B576" t="str">
            <v xml:space="preserve">Fire fighting equipments (dry chemical powder type 5 Kg capacity) </v>
          </cell>
          <cell r="C576" t="str">
            <v>No</v>
          </cell>
          <cell r="D576">
            <v>5603.44</v>
          </cell>
        </row>
        <row r="577">
          <cell r="A577">
            <v>7132490052</v>
          </cell>
          <cell r="B577" t="str">
            <v>Monoplast</v>
          </cell>
          <cell r="C577" t="str">
            <v>Kg</v>
          </cell>
          <cell r="D577">
            <v>72.099999999999994</v>
          </cell>
        </row>
        <row r="578">
          <cell r="A578">
            <v>7132490053</v>
          </cell>
          <cell r="B578" t="str">
            <v>Bitumen compound</v>
          </cell>
          <cell r="C578" t="str">
            <v>Kg</v>
          </cell>
          <cell r="D578">
            <v>129.78</v>
          </cell>
        </row>
        <row r="579">
          <cell r="A579">
            <v>7132498006</v>
          </cell>
          <cell r="B579" t="str">
            <v>River sand</v>
          </cell>
          <cell r="C579" t="str">
            <v>Cmt</v>
          </cell>
          <cell r="D579">
            <v>714</v>
          </cell>
        </row>
        <row r="580">
          <cell r="A580">
            <v>7130310027</v>
          </cell>
          <cell r="B580" t="str">
            <v>11 kV Covered Conductor 50 Sqmm XLPE insulation</v>
          </cell>
          <cell r="C580" t="str">
            <v>Mtr.</v>
          </cell>
          <cell r="D580">
            <v>315.25</v>
          </cell>
        </row>
        <row r="581">
          <cell r="A581">
            <v>7130310029</v>
          </cell>
          <cell r="B581" t="str">
            <v>11 kV Covered Conductor 70 Sqmm XLPE insulation</v>
          </cell>
          <cell r="C581" t="str">
            <v>Mtr.</v>
          </cell>
          <cell r="D581">
            <v>350.77</v>
          </cell>
        </row>
        <row r="582">
          <cell r="A582">
            <v>7130310002</v>
          </cell>
          <cell r="B582" t="str">
            <v>11 kV Covered Conductor 99 Sqmm XLPE insulation</v>
          </cell>
          <cell r="C582" t="str">
            <v>Mtr.</v>
          </cell>
          <cell r="D582">
            <v>389.66</v>
          </cell>
        </row>
        <row r="583">
          <cell r="A583">
            <v>7130310047</v>
          </cell>
          <cell r="B583" t="str">
            <v>33 kV Covered Conductor 157 Sqmm XLPE insulation</v>
          </cell>
          <cell r="C583" t="str">
            <v>Mtr.</v>
          </cell>
          <cell r="D583">
            <v>640.36</v>
          </cell>
        </row>
        <row r="584">
          <cell r="A584">
            <v>7130310048</v>
          </cell>
          <cell r="B584" t="str">
            <v>33 kV Covered Conductor 241 Sqmm XLPE insulation</v>
          </cell>
          <cell r="C584" t="str">
            <v>Mtr.</v>
          </cell>
          <cell r="D584">
            <v>762.55</v>
          </cell>
        </row>
        <row r="585">
          <cell r="A585">
            <v>7130310045</v>
          </cell>
          <cell r="B585" t="str">
            <v>33 kV Covered Conductor 70 Sqmm XLPE insulation</v>
          </cell>
          <cell r="C585" t="str">
            <v>Mtr.</v>
          </cell>
          <cell r="D585">
            <v>474.03</v>
          </cell>
        </row>
        <row r="586">
          <cell r="A586">
            <v>7130310046</v>
          </cell>
          <cell r="B586" t="str">
            <v>33 kV Covered Conductor 99 Sqmm XLPE insulation</v>
          </cell>
          <cell r="C586" t="str">
            <v>Mtr.</v>
          </cell>
          <cell r="D586">
            <v>518.15</v>
          </cell>
        </row>
        <row r="587">
          <cell r="A587"/>
          <cell r="B587" t="str">
            <v>ACCESSORIES FOR COVERED CONDUCTOR :-</v>
          </cell>
          <cell r="C587"/>
          <cell r="D587"/>
        </row>
        <row r="588">
          <cell r="A588">
            <v>7130320050</v>
          </cell>
          <cell r="B588" t="str">
            <v>(i) Tension / anchoring Clamp with tracking protection IPC</v>
          </cell>
          <cell r="C588" t="str">
            <v>No</v>
          </cell>
          <cell r="D588">
            <v>1475</v>
          </cell>
        </row>
        <row r="589">
          <cell r="A589">
            <v>7130320051</v>
          </cell>
          <cell r="B589" t="str">
            <v>(ii) Alignment tie (non-metallic)</v>
          </cell>
          <cell r="C589" t="str">
            <v>No</v>
          </cell>
          <cell r="D589">
            <v>826</v>
          </cell>
        </row>
        <row r="590">
          <cell r="A590">
            <v>7130320052</v>
          </cell>
          <cell r="B590" t="str">
            <v>(iii) Mechanical conductor with heat shrunk sleeve for bare to covered</v>
          </cell>
          <cell r="C590" t="str">
            <v>No</v>
          </cell>
          <cell r="D590">
            <v>1604.8</v>
          </cell>
        </row>
        <row r="591">
          <cell r="A591">
            <v>7130320054</v>
          </cell>
          <cell r="B591" t="str">
            <v>(iv) IPC for Networking / Branching / Looping CC to CC</v>
          </cell>
          <cell r="C591" t="str">
            <v>No</v>
          </cell>
          <cell r="D591">
            <v>1593</v>
          </cell>
        </row>
        <row r="592">
          <cell r="A592">
            <v>7130320055</v>
          </cell>
          <cell r="B592" t="str">
            <v xml:space="preserve">(v) IPC with Aluminium Bail for earthing </v>
          </cell>
          <cell r="C592" t="str">
            <v>No</v>
          </cell>
          <cell r="D592">
            <v>3304</v>
          </cell>
        </row>
        <row r="593">
          <cell r="A593">
            <v>7130320056</v>
          </cell>
          <cell r="B593" t="str">
            <v>(vi) Mid span joint</v>
          </cell>
          <cell r="C593" t="str">
            <v>No</v>
          </cell>
          <cell r="D593">
            <v>3540</v>
          </cell>
        </row>
        <row r="594">
          <cell r="A594">
            <v>7130320057</v>
          </cell>
          <cell r="B594" t="str">
            <v xml:space="preserve">(vii) IPC with Aluminium Bail &amp; Transformer Tap (Line this) </v>
          </cell>
          <cell r="C594" t="str">
            <v>No</v>
          </cell>
          <cell r="D594">
            <v>4010.8199999999997</v>
          </cell>
        </row>
        <row r="595">
          <cell r="A595">
            <v>7130320058</v>
          </cell>
          <cell r="B595" t="str">
            <v>(viii) Heat Shrinkable End Cap</v>
          </cell>
          <cell r="C595" t="str">
            <v>No</v>
          </cell>
          <cell r="D595">
            <v>96.76</v>
          </cell>
        </row>
        <row r="596">
          <cell r="A596">
            <v>7130320059</v>
          </cell>
          <cell r="B596" t="str">
            <v>(ix) Termination kit / Lug for Transformer Connection</v>
          </cell>
          <cell r="C596" t="str">
            <v>No</v>
          </cell>
          <cell r="D596">
            <v>1144.5999999999999</v>
          </cell>
        </row>
        <row r="597">
          <cell r="A597">
            <v>7130310025</v>
          </cell>
          <cell r="B597" t="str">
            <v>16 sq.mm Single Core PVC Sheathed Unarmoured Cables</v>
          </cell>
          <cell r="C597" t="str">
            <v>Km</v>
          </cell>
          <cell r="D597">
            <v>19913.86</v>
          </cell>
        </row>
        <row r="598">
          <cell r="A598">
            <v>7130310026</v>
          </cell>
          <cell r="B598" t="str">
            <v>25 sq.mm Single Core PVC Sheathed Unarmoured Cables</v>
          </cell>
          <cell r="C598" t="str">
            <v>Km</v>
          </cell>
          <cell r="D598">
            <v>30607.22</v>
          </cell>
        </row>
        <row r="599">
          <cell r="A599">
            <v>7130310034</v>
          </cell>
          <cell r="B599" t="str">
            <v>185 sq.mm Single Core PVC Sheathed Unarmoured Cables</v>
          </cell>
          <cell r="C599" t="str">
            <v>Km</v>
          </cell>
          <cell r="D599">
            <v>192781.31</v>
          </cell>
        </row>
        <row r="600">
          <cell r="A600">
            <v>7130310035</v>
          </cell>
          <cell r="B600" t="str">
            <v>300 sq.mm Single Core PVC Sheathed Unarmoured Cables</v>
          </cell>
          <cell r="C600" t="str">
            <v>Km</v>
          </cell>
          <cell r="D600">
            <v>248989.27</v>
          </cell>
        </row>
        <row r="601">
          <cell r="A601">
            <v>7131310168</v>
          </cell>
          <cell r="B601" t="str">
            <v>Spot Billing Machine</v>
          </cell>
          <cell r="C601" t="str">
            <v>Each</v>
          </cell>
          <cell r="D601">
            <v>12427</v>
          </cell>
        </row>
        <row r="602">
          <cell r="A602"/>
          <cell r="B602" t="str">
            <v>11 kV Oil Immersed 3 Phase CT-PT Unit of capacity --</v>
          </cell>
          <cell r="C602"/>
          <cell r="D602"/>
        </row>
        <row r="603">
          <cell r="A603">
            <v>7132230410</v>
          </cell>
          <cell r="B603" t="str">
            <v>11 kV CTPT Unit 200/5 Amp</v>
          </cell>
          <cell r="C603" t="str">
            <v>Each</v>
          </cell>
          <cell r="D603">
            <v>33682.730000000003</v>
          </cell>
        </row>
        <row r="604">
          <cell r="A604">
            <v>7132230403</v>
          </cell>
          <cell r="B604" t="str">
            <v>11 kV CTPT Unit 100/5 Amp</v>
          </cell>
          <cell r="C604" t="str">
            <v>Each</v>
          </cell>
          <cell r="D604">
            <v>36369.17</v>
          </cell>
        </row>
        <row r="605">
          <cell r="A605">
            <v>7131900012</v>
          </cell>
          <cell r="B605" t="str">
            <v>C&amp;R Panel with 3 O/C + 1 E/F relay and Master Trip</v>
          </cell>
          <cell r="C605" t="str">
            <v>Each</v>
          </cell>
          <cell r="D605">
            <v>40194.339999999997</v>
          </cell>
        </row>
        <row r="606">
          <cell r="A606">
            <v>7131900014</v>
          </cell>
          <cell r="B606" t="str">
            <v>Transformer Auxiliary panel with auxiliary protection relay</v>
          </cell>
          <cell r="C606" t="str">
            <v>Each</v>
          </cell>
          <cell r="D606">
            <v>11800</v>
          </cell>
        </row>
        <row r="607">
          <cell r="A607">
            <v>7131960919</v>
          </cell>
          <cell r="B607" t="str">
            <v>33 kV 2 feeder control panel (Static Relays)</v>
          </cell>
          <cell r="C607" t="str">
            <v>Each</v>
          </cell>
          <cell r="D607">
            <v>39481.129999999997</v>
          </cell>
        </row>
        <row r="608">
          <cell r="A608">
            <v>7130870040</v>
          </cell>
          <cell r="B608" t="str">
            <v>G.I.Strip 25x3 mm</v>
          </cell>
          <cell r="C608" t="str">
            <v>Kg</v>
          </cell>
          <cell r="D608">
            <v>101.05</v>
          </cell>
        </row>
        <row r="609">
          <cell r="A609">
            <v>7130640039</v>
          </cell>
          <cell r="B609" t="str">
            <v>M.S.Strip 25x3 mm. (0.6 kg/Mtr.)</v>
          </cell>
          <cell r="C609" t="str">
            <v>Kg</v>
          </cell>
          <cell r="D609">
            <v>48.22</v>
          </cell>
        </row>
        <row r="610">
          <cell r="A610">
            <v>7132444005</v>
          </cell>
          <cell r="B610" t="str">
            <v>Numerical Poly Carbonate seals</v>
          </cell>
          <cell r="C610" t="str">
            <v>No</v>
          </cell>
          <cell r="D610">
            <v>10.82</v>
          </cell>
        </row>
        <row r="611">
          <cell r="A611">
            <v>7130820013</v>
          </cell>
          <cell r="B611" t="str">
            <v>33 kV Polymer Disc Insulator (45 kN)</v>
          </cell>
          <cell r="C611" t="str">
            <v>No</v>
          </cell>
          <cell r="D611">
            <v>216.4</v>
          </cell>
        </row>
        <row r="612">
          <cell r="A612">
            <v>7131930110</v>
          </cell>
          <cell r="B612" t="str">
            <v>D.O.Fuse Polymer unit 11 kV</v>
          </cell>
          <cell r="C612" t="str">
            <v>Each</v>
          </cell>
          <cell r="D612">
            <v>1609.44</v>
          </cell>
        </row>
        <row r="613">
          <cell r="A613">
            <v>7131930111</v>
          </cell>
          <cell r="B613" t="str">
            <v>D.O.Fuse Polymer unit 33 kV</v>
          </cell>
          <cell r="C613" t="str">
            <v>Each</v>
          </cell>
          <cell r="D613">
            <v>2303.35</v>
          </cell>
        </row>
        <row r="614">
          <cell r="A614">
            <v>7130800001</v>
          </cell>
          <cell r="B614" t="str">
            <v>PCC Pole 200 kG; 9.0 Mtr. Long</v>
          </cell>
          <cell r="C614" t="str">
            <v>Each</v>
          </cell>
          <cell r="D614">
            <v>3096.2</v>
          </cell>
        </row>
        <row r="615">
          <cell r="A615">
            <v>7130800002</v>
          </cell>
          <cell r="B615" t="str">
            <v>PCC Pole 365 kG; 11 Mtr. Long</v>
          </cell>
          <cell r="C615" t="str">
            <v>Each</v>
          </cell>
          <cell r="D615">
            <v>7656.89</v>
          </cell>
        </row>
        <row r="616">
          <cell r="A616">
            <v>7130820001</v>
          </cell>
          <cell r="B616" t="str">
            <v>11 kV Polymer Post Insulator</v>
          </cell>
          <cell r="C616" t="str">
            <v>Nos.</v>
          </cell>
          <cell r="D616">
            <v>284.27999999999997</v>
          </cell>
        </row>
        <row r="617">
          <cell r="A617">
            <v>7130820002</v>
          </cell>
          <cell r="B617" t="str">
            <v>33 kV Polymer Post Insulator</v>
          </cell>
          <cell r="C617" t="str">
            <v>Nos.</v>
          </cell>
          <cell r="D617">
            <v>733.96</v>
          </cell>
        </row>
        <row r="618">
          <cell r="A618">
            <v>7130820010</v>
          </cell>
          <cell r="B618" t="str">
            <v>Silicon rubber composite insulator / 11 kV  45 kN Polymeric Insulator</v>
          </cell>
          <cell r="C618" t="str">
            <v>Nos.</v>
          </cell>
          <cell r="D618">
            <v>118.97</v>
          </cell>
        </row>
        <row r="619">
          <cell r="A619">
            <v>7131930220</v>
          </cell>
          <cell r="B619" t="str">
            <v>Polymer A.B.Switch with complete fitting 11 kV</v>
          </cell>
          <cell r="C619" t="str">
            <v>Each</v>
          </cell>
          <cell r="D619">
            <v>8991.89</v>
          </cell>
        </row>
        <row r="620">
          <cell r="A620">
            <v>7131930320</v>
          </cell>
          <cell r="B620" t="str">
            <v>Polymer A.B.Switch with complete fitting 33 kV</v>
          </cell>
          <cell r="C620" t="str">
            <v>Each</v>
          </cell>
          <cell r="D620">
            <v>14411.18</v>
          </cell>
        </row>
        <row r="621">
          <cell r="A621">
            <v>7130800033</v>
          </cell>
          <cell r="B621" t="str">
            <v>200 Kg 8.0 Meter long PCC Pole</v>
          </cell>
          <cell r="C621" t="str">
            <v>No</v>
          </cell>
          <cell r="D621">
            <v>2596.21</v>
          </cell>
        </row>
        <row r="622">
          <cell r="A622">
            <v>7130311023</v>
          </cell>
          <cell r="B622" t="str">
            <v>2.5 sqmm. Twin Core PVC insulated single phase armoured service Cable</v>
          </cell>
          <cell r="C622" t="str">
            <v>Per Mtr.</v>
          </cell>
          <cell r="D622">
            <v>29.03</v>
          </cell>
        </row>
        <row r="623">
          <cell r="A623">
            <v>7130311024</v>
          </cell>
          <cell r="B623" t="str">
            <v>4.0 sqmm. Twin Core PVC insulated single phase armoured service Cable</v>
          </cell>
          <cell r="C623" t="str">
            <v>Per Mtr.</v>
          </cell>
          <cell r="D623">
            <v>34.840000000000003</v>
          </cell>
        </row>
        <row r="624">
          <cell r="A624">
            <v>7130311025</v>
          </cell>
          <cell r="B624" t="str">
            <v>6.0 sqmm. Twin Core PVC insulated single phase armoured service Cable</v>
          </cell>
          <cell r="C624" t="str">
            <v>Per Mtr.</v>
          </cell>
          <cell r="D624">
            <v>50.8</v>
          </cell>
        </row>
        <row r="625">
          <cell r="A625">
            <v>7130311026</v>
          </cell>
          <cell r="B625" t="str">
            <v>6.0 sqmm. Four Core PVC insulated three phase Armoured service Cable</v>
          </cell>
          <cell r="C625" t="str">
            <v>Per Mtr.</v>
          </cell>
          <cell r="D625">
            <v>60.96</v>
          </cell>
        </row>
        <row r="626">
          <cell r="A626">
            <v>7130311027</v>
          </cell>
          <cell r="B626" t="str">
            <v>8.0 sqmm. Four Core PVC insulated three phase Armoured service Cable</v>
          </cell>
          <cell r="C626" t="str">
            <v>Per Mtr.</v>
          </cell>
          <cell r="D626">
            <v>74.03</v>
          </cell>
        </row>
        <row r="627">
          <cell r="A627">
            <v>7130311028</v>
          </cell>
          <cell r="B627" t="str">
            <v>10 sqmm. Four Core PVC insulated three phase Armoured service Cable</v>
          </cell>
          <cell r="C627" t="str">
            <v>Per Mtr.</v>
          </cell>
          <cell r="D627">
            <v>88.55</v>
          </cell>
        </row>
        <row r="628">
          <cell r="A628">
            <v>7130311029</v>
          </cell>
          <cell r="B628" t="str">
            <v>16 sqmm. Four Core PVC insulated three phase Armoured service Cable</v>
          </cell>
          <cell r="C628" t="str">
            <v>Per Mtr.</v>
          </cell>
          <cell r="D628">
            <v>116.13</v>
          </cell>
        </row>
        <row r="629">
          <cell r="A629">
            <v>7130311030</v>
          </cell>
          <cell r="B629" t="str">
            <v>25 sqmm. Four Core PVC insulated three phase Armoured service Cable</v>
          </cell>
          <cell r="C629" t="str">
            <v>Per Mtr.</v>
          </cell>
          <cell r="D629">
            <v>148.06</v>
          </cell>
        </row>
        <row r="630">
          <cell r="A630">
            <v>7130311085</v>
          </cell>
          <cell r="B630" t="str">
            <v>240 sq.mm Single Core PVC Sheathed Unarmoured Cables</v>
          </cell>
          <cell r="C630" t="str">
            <v>Km</v>
          </cell>
          <cell r="D630">
            <v>202413.9</v>
          </cell>
        </row>
        <row r="631">
          <cell r="A631">
            <v>7132210017</v>
          </cell>
          <cell r="B631" t="str">
            <v>16 kVA, Aluminium wound ISI Marked, 11/0.433 kV Distribution Transformer having energy efficiency level '1' (Without Box)</v>
          </cell>
          <cell r="C631" t="str">
            <v>Each</v>
          </cell>
          <cell r="D631">
            <v>75035.14</v>
          </cell>
        </row>
        <row r="632">
          <cell r="A632">
            <v>7132210018</v>
          </cell>
          <cell r="B632" t="str">
            <v>25 kVA, Aluminium wound ISI Marked, 11/0.433 kV Distribution Transformer having energy efficiency level '1' (Without Box)</v>
          </cell>
          <cell r="C632" t="str">
            <v>Each</v>
          </cell>
          <cell r="D632">
            <v>62449.99</v>
          </cell>
        </row>
        <row r="633">
          <cell r="A633">
            <v>7132210019</v>
          </cell>
          <cell r="B633" t="str">
            <v>63 kVA, Aluminium wound ISI Marked, 11/0.433 kV Distribution Transformer having energy efficiency level '1' (Without Box)</v>
          </cell>
          <cell r="C633" t="str">
            <v>Each</v>
          </cell>
          <cell r="D633">
            <v>120435.39</v>
          </cell>
        </row>
        <row r="634">
          <cell r="A634">
            <v>7132210020</v>
          </cell>
          <cell r="B634" t="str">
            <v>100 kVA, Aluminium wound ISI Marked, 11/0.433 kV Distribution Transformer having energy efficiency level '1' (Without Box)</v>
          </cell>
          <cell r="C634" t="str">
            <v>Each</v>
          </cell>
          <cell r="D634">
            <v>158302.13</v>
          </cell>
        </row>
        <row r="635">
          <cell r="A635">
            <v>7132210021</v>
          </cell>
          <cell r="B635" t="str">
            <v>200 kVA, Aluminium wound ISI Marked, 11/0.433 kV Distribution Transformer having energy efficiency level '1' (Without Box)</v>
          </cell>
          <cell r="C635" t="str">
            <v>Each</v>
          </cell>
          <cell r="D635">
            <v>291828.78999999998</v>
          </cell>
        </row>
        <row r="636">
          <cell r="A636">
            <v>7132220081</v>
          </cell>
          <cell r="B636" t="str">
            <v>315 kVA, Copper wound ISI Marked, 11/0.433 kV Distribution Transformer having energy efficiency level '1' (Without Box)</v>
          </cell>
          <cell r="C636" t="str">
            <v>Each</v>
          </cell>
          <cell r="D636">
            <v>802876.84</v>
          </cell>
        </row>
        <row r="637">
          <cell r="A637">
            <v>7132220082</v>
          </cell>
          <cell r="B637" t="str">
            <v>500 kVA, Copper wound ISI Marked, 11/0.433 kV Distribution Transformer having energy efficiency level '1' (Without Box)</v>
          </cell>
          <cell r="C637" t="str">
            <v>Each</v>
          </cell>
          <cell r="D637">
            <v>1367612.66</v>
          </cell>
        </row>
        <row r="638">
          <cell r="A638">
            <v>7132210022</v>
          </cell>
          <cell r="B638" t="str">
            <v>25 kVA, Aluminium wound ISI Marked, 11/0.433 kV Distribution Transformer having energy efficiency level '1' (With Secondary Terminal Box)</v>
          </cell>
          <cell r="C638" t="str">
            <v>Each</v>
          </cell>
          <cell r="D638">
            <v>63311.74</v>
          </cell>
        </row>
        <row r="639">
          <cell r="A639">
            <v>7132210023</v>
          </cell>
          <cell r="B639" t="str">
            <v>63 kVA, Aluminium wound ISI Marked, 11/0.433 kV Distribution Transformer having energy efficiency level '1' (With Secondary Terminal Box)</v>
          </cell>
          <cell r="C639" t="str">
            <v>Each</v>
          </cell>
          <cell r="D639">
            <v>112071.49</v>
          </cell>
        </row>
        <row r="640">
          <cell r="A640">
            <v>7132210024</v>
          </cell>
          <cell r="B640" t="str">
            <v>100 kVA, Aluminium wound ISI Marked, 11/0.433 kV Distribution Transformer having energy efficiency level '1' (With Secondary Terminal Box)</v>
          </cell>
          <cell r="C640" t="str">
            <v>Each</v>
          </cell>
          <cell r="D640">
            <v>159217.31</v>
          </cell>
        </row>
        <row r="641">
          <cell r="A641">
            <v>7132210025</v>
          </cell>
          <cell r="B641" t="str">
            <v>200 kVA, Aluminium wound ISI Marked, 11/0.433 kV Distribution Transformer having energy efficiency level '1' (With Secondary Terminal Box)</v>
          </cell>
          <cell r="C641" t="str">
            <v>Each</v>
          </cell>
          <cell r="D641">
            <v>292905.98</v>
          </cell>
        </row>
        <row r="642">
          <cell r="A642">
            <v>7132210027</v>
          </cell>
          <cell r="B642" t="str">
            <v>315 kVA, Copper wound ISI Marked, 11/0.433 kV Distribution Transformer having energy efficiency level '1' (With Secondary Terminal Box)</v>
          </cell>
          <cell r="C642" t="str">
            <v>Each</v>
          </cell>
          <cell r="D642">
            <v>807894.82</v>
          </cell>
        </row>
        <row r="643">
          <cell r="A643">
            <v>7130640008</v>
          </cell>
          <cell r="B643" t="str">
            <v xml:space="preserve">RCC Block (with 6 mm MS Bar) </v>
          </cell>
          <cell r="C643" t="str">
            <v>Each</v>
          </cell>
          <cell r="D643">
            <v>158</v>
          </cell>
        </row>
        <row r="644">
          <cell r="A644">
            <v>7131210011</v>
          </cell>
          <cell r="B644" t="str">
            <v>LED 9 Watt Lamp (without holder)</v>
          </cell>
          <cell r="C644" t="str">
            <v>Each</v>
          </cell>
          <cell r="D644">
            <v>75.900000000000006</v>
          </cell>
        </row>
        <row r="645">
          <cell r="A645">
            <v>7131210009</v>
          </cell>
          <cell r="B645" t="str">
            <v xml:space="preserve">LED Tube Light, 20 Watt </v>
          </cell>
          <cell r="C645" t="str">
            <v>Set</v>
          </cell>
          <cell r="D645">
            <v>238.54</v>
          </cell>
        </row>
        <row r="646">
          <cell r="A646">
            <v>7131210030</v>
          </cell>
          <cell r="B646" t="str">
            <v>18 W LED Street Light complete set</v>
          </cell>
          <cell r="C646" t="str">
            <v>Set</v>
          </cell>
          <cell r="D646">
            <v>2455.36</v>
          </cell>
        </row>
        <row r="647">
          <cell r="A647">
            <v>7131210031</v>
          </cell>
          <cell r="B647" t="str">
            <v>35 W LED Street Light complete set</v>
          </cell>
          <cell r="C647" t="str">
            <v>Set</v>
          </cell>
          <cell r="D647">
            <v>3171.81</v>
          </cell>
        </row>
        <row r="648">
          <cell r="A648">
            <v>7131210032</v>
          </cell>
          <cell r="B648" t="str">
            <v>70 W LED Street Light complete set</v>
          </cell>
          <cell r="C648" t="str">
            <v>Set</v>
          </cell>
          <cell r="D648">
            <v>4486.92</v>
          </cell>
        </row>
        <row r="649">
          <cell r="A649">
            <v>7131210033</v>
          </cell>
          <cell r="B649" t="str">
            <v>110 W LED Street Light complete set</v>
          </cell>
          <cell r="C649" t="str">
            <v>Set</v>
          </cell>
          <cell r="D649">
            <v>6097.72</v>
          </cell>
        </row>
        <row r="650">
          <cell r="A650">
            <v>7131210034</v>
          </cell>
          <cell r="B650" t="str">
            <v>190 W LED Street Light complete set</v>
          </cell>
          <cell r="C650" t="str">
            <v>Set</v>
          </cell>
          <cell r="D650">
            <v>10754.05</v>
          </cell>
        </row>
        <row r="651">
          <cell r="A651">
            <v>7131210035</v>
          </cell>
          <cell r="B651" t="str">
            <v>190 W LED Flood Light complete set</v>
          </cell>
          <cell r="C651" t="str">
            <v>Set</v>
          </cell>
          <cell r="D651">
            <v>10433.469999999999</v>
          </cell>
        </row>
        <row r="652">
          <cell r="A652">
            <v>7131210036</v>
          </cell>
          <cell r="B652" t="str">
            <v>110 W LED Flood Light complete set</v>
          </cell>
          <cell r="C652" t="str">
            <v>Set</v>
          </cell>
          <cell r="D652">
            <v>6967.79</v>
          </cell>
        </row>
        <row r="653">
          <cell r="A653">
            <v>7131210023</v>
          </cell>
          <cell r="B653" t="str">
            <v>LED Lamps with complete fitting-24 W</v>
          </cell>
          <cell r="C653" t="str">
            <v>Nos.</v>
          </cell>
          <cell r="D653"/>
        </row>
        <row r="654">
          <cell r="A654">
            <v>7131210024</v>
          </cell>
          <cell r="B654" t="str">
            <v>LED Lamps with complete fitting-48 W</v>
          </cell>
          <cell r="C654" t="str">
            <v>Nos.</v>
          </cell>
          <cell r="D654"/>
        </row>
        <row r="655">
          <cell r="A655">
            <v>7131210025</v>
          </cell>
          <cell r="B655" t="str">
            <v>LED Lamps with complete fitting-60 W</v>
          </cell>
          <cell r="C655" t="str">
            <v>Nos.</v>
          </cell>
          <cell r="D655"/>
        </row>
        <row r="656">
          <cell r="A656">
            <v>7131941763</v>
          </cell>
          <cell r="B656" t="str">
            <v>3 Way RMU, 2OD + 1VL, One Incomer + One Breaker + One Outgoing, 350 MVA, 650 Amps.</v>
          </cell>
          <cell r="C656" t="str">
            <v>Unit</v>
          </cell>
          <cell r="D656">
            <v>918793.22</v>
          </cell>
        </row>
        <row r="657">
          <cell r="A657">
            <v>7131941764</v>
          </cell>
          <cell r="B657" t="str">
            <v>4 Way RMU, 2OD + 2VL, (One Incomer + Two  Breakers + One Outgoing), 350 MVA, 650 Amps.</v>
          </cell>
          <cell r="C657" t="str">
            <v>Unit</v>
          </cell>
          <cell r="D657">
            <v>1305117.19</v>
          </cell>
        </row>
        <row r="658">
          <cell r="A658">
            <v>7131941765</v>
          </cell>
          <cell r="B658" t="str">
            <v>5 Way RMU, 2OD + 3VL, (One Incomer + Three Breakers + One Outgoing), 350 MVA, 650 Amps.</v>
          </cell>
          <cell r="C658" t="str">
            <v>Unit</v>
          </cell>
          <cell r="D658">
            <v>1684560.04</v>
          </cell>
        </row>
        <row r="659">
          <cell r="A659">
            <v>7131941766</v>
          </cell>
          <cell r="B659" t="str">
            <v>6 Way RMU, 2OD + 4VL,(One Incomer + Four Breakers + One Outgoing), 350 MVA, 650 Amps.</v>
          </cell>
          <cell r="C659" t="str">
            <v>Unit</v>
          </cell>
          <cell r="D659">
            <v>2064002.89</v>
          </cell>
        </row>
        <row r="660">
          <cell r="A660">
            <v>7131941767</v>
          </cell>
          <cell r="B660" t="str">
            <v>1OD for RMU</v>
          </cell>
          <cell r="C660" t="str">
            <v>Unit</v>
          </cell>
          <cell r="D660">
            <v>330600.2</v>
          </cell>
        </row>
        <row r="661">
          <cell r="A661">
            <v>7131941768</v>
          </cell>
          <cell r="B661" t="str">
            <v>1VL for 350 MVA, 650 Amps RMU</v>
          </cell>
          <cell r="C661" t="str">
            <v>Unit</v>
          </cell>
          <cell r="D661">
            <v>386323.98</v>
          </cell>
        </row>
        <row r="662">
          <cell r="A662">
            <v>7132230028</v>
          </cell>
          <cell r="B662" t="str">
            <v>Indoor Type 33 kV Metering Cubical CTPT Unit 10/5 A</v>
          </cell>
          <cell r="C662" t="str">
            <v>Each</v>
          </cell>
          <cell r="D662">
            <v>241605</v>
          </cell>
        </row>
        <row r="663">
          <cell r="A663">
            <v>7132230029</v>
          </cell>
          <cell r="B663" t="str">
            <v>Indoor Type 33 kV Metering Cubical CTPT Unit 25/5 A</v>
          </cell>
          <cell r="C663" t="str">
            <v>Each</v>
          </cell>
          <cell r="D663">
            <v>241605</v>
          </cell>
        </row>
        <row r="664">
          <cell r="A664">
            <v>7132230030</v>
          </cell>
          <cell r="B664" t="str">
            <v>Indoor Type 33 kV Metering Cubical CTPT Unit 200/5 A</v>
          </cell>
          <cell r="C664" t="str">
            <v>Each</v>
          </cell>
          <cell r="D664">
            <v>241605</v>
          </cell>
        </row>
        <row r="665">
          <cell r="A665">
            <v>7132230031</v>
          </cell>
          <cell r="B665" t="str">
            <v>Indoor Type 11 kV Metering Cubical CTPT Unit 10/5 A</v>
          </cell>
          <cell r="C665" t="str">
            <v>Each</v>
          </cell>
          <cell r="D665">
            <v>115227</v>
          </cell>
        </row>
        <row r="666">
          <cell r="A666">
            <v>7132230020</v>
          </cell>
          <cell r="B666" t="str">
            <v>Indoor Type 11 kV Metering Cubical CT-PT Units 15/5 A</v>
          </cell>
          <cell r="C666" t="str">
            <v>Each</v>
          </cell>
          <cell r="D666">
            <v>115227</v>
          </cell>
        </row>
        <row r="667">
          <cell r="A667">
            <v>7132230010</v>
          </cell>
          <cell r="B667" t="str">
            <v>Indoor Type 11 kV Metering Cubical CTPT Unit 25/5 A</v>
          </cell>
          <cell r="C667" t="str">
            <v>Each</v>
          </cell>
          <cell r="D667">
            <v>115227</v>
          </cell>
        </row>
        <row r="668">
          <cell r="A668">
            <v>7132230027</v>
          </cell>
          <cell r="B668" t="str">
            <v>Indoor Type 11 kV 50/5 A Metering Cubical CT-PT Units</v>
          </cell>
          <cell r="C668" t="str">
            <v>Each</v>
          </cell>
          <cell r="D668">
            <v>115228.98</v>
          </cell>
        </row>
        <row r="669">
          <cell r="A669">
            <v>7131980004</v>
          </cell>
          <cell r="B669" t="str">
            <v>(0+1) TYPE - MEANS 11 KV GAS (SF6) INSULATED RMU WITH ONE 630 A LOAD BREAK SWITCH.</v>
          </cell>
          <cell r="C669" t="str">
            <v>No.</v>
          </cell>
          <cell r="D669">
            <v>279236.31</v>
          </cell>
        </row>
        <row r="670">
          <cell r="A670">
            <v>7131980005</v>
          </cell>
          <cell r="B670" t="str">
            <v>(0+3) TYPE - MEANS 11 KV GAS (SF6) INSULATED RMU WITH THREE 630 A LOAD BREAK SWITCHES.</v>
          </cell>
          <cell r="C670" t="str">
            <v>No.</v>
          </cell>
          <cell r="D670">
            <v>516344.85</v>
          </cell>
        </row>
        <row r="671">
          <cell r="A671">
            <v>7131980006</v>
          </cell>
          <cell r="B671" t="str">
            <v>(0+4) TYPE - MEANS 11 KV GAS (SF6) INSULATED RMU WITH FOUR 630 A LOAD BREAK SWITCHES.</v>
          </cell>
          <cell r="C671" t="str">
            <v>No.</v>
          </cell>
          <cell r="D671">
            <v>626468.5</v>
          </cell>
        </row>
        <row r="672">
          <cell r="A672">
            <v>7131980007</v>
          </cell>
          <cell r="B672" t="str">
            <v>(0+2)+BC+(0+2) TYPE - MEANS 11 KV GAS (SF6) INSULATED RMU WITH FOUR NOS. 630 A LOAD BREAK SWITCHES AND ONE BUS COUPLER IN BETWEEN AFTER ISOLATOR.</v>
          </cell>
          <cell r="C672" t="str">
            <v>No.</v>
          </cell>
          <cell r="D672">
            <v>998272.19</v>
          </cell>
        </row>
        <row r="673">
          <cell r="A673">
            <v>7131980008</v>
          </cell>
          <cell r="B673" t="str">
            <v>(0+2)+BC+(0+2)+BC+(0+2) TYPE - MEANS 11 KV GAS (SF6) INSULATED RMU WITH SIX NOS. 630 A LOAD BREAK SWITCHES AND ONE BUS COUPLER WITH LBS IN BETWEEN AFTER ISOLATOR.</v>
          </cell>
          <cell r="C673" t="str">
            <v>No.</v>
          </cell>
          <cell r="D673">
            <v>1578740.89</v>
          </cell>
        </row>
        <row r="674">
          <cell r="A674">
            <v>7131941001</v>
          </cell>
          <cell r="B674" t="str">
            <v>Feeder Remote Terminal Unit (FRTU)  with accessories Multifunction Transducer (MFT), Contact Multiplication Relay (CMR), Heavy Duty Relay &amp; software.</v>
          </cell>
          <cell r="C674" t="str">
            <v>No.</v>
          </cell>
          <cell r="D674">
            <v>94400</v>
          </cell>
        </row>
        <row r="675">
          <cell r="A675">
            <v>7131941002</v>
          </cell>
          <cell r="B675" t="str">
            <v>Compact arrangement of RMU+FRTU+ LT Distribution Box in a closed chamber for 11/0.433 kV Distribution sub-station (excluding Distribution Transformer) with Transformer in top &amp; RMU+FRTU+ LT Distribution Box in bottom, compatible upto 650 kVA.</v>
          </cell>
          <cell r="C675" t="str">
            <v>No.</v>
          </cell>
          <cell r="D675">
            <v>1519767</v>
          </cell>
        </row>
        <row r="676">
          <cell r="A676">
            <v>7131941003</v>
          </cell>
          <cell r="B676" t="str">
            <v>Compact arrangement of RMU+FRTU+ LT Distribution Box in a closed chamber for 11/0.433 kV Distribution sub-station (excluding Distribution Transformer) with Transformer in top &amp; RMU+LT Distribution Box in bottom, compatible upto 650 kVA.</v>
          </cell>
          <cell r="C676" t="str">
            <v>No.</v>
          </cell>
          <cell r="D676">
            <v>1237749.0000000002</v>
          </cell>
        </row>
        <row r="677">
          <cell r="A677">
            <v>7131980001</v>
          </cell>
          <cell r="B677" t="str">
            <v>12 kV, Outdoor type Vacuum Capacitor switches</v>
          </cell>
          <cell r="C677" t="str">
            <v>No.</v>
          </cell>
          <cell r="D677">
            <v>81847.289999999994</v>
          </cell>
        </row>
        <row r="678">
          <cell r="A678">
            <v>7131920028</v>
          </cell>
          <cell r="B678" t="str">
            <v>AC Distribution board for AC/DC Supply</v>
          </cell>
          <cell r="C678" t="str">
            <v>No.</v>
          </cell>
          <cell r="D678">
            <v>11773.41</v>
          </cell>
        </row>
        <row r="679">
          <cell r="A679">
            <v>7132486843</v>
          </cell>
          <cell r="B679" t="str">
            <v>Chem Rod Earthing electrode (Chemical Earthing) [As per specification given in Schedule-C-20]</v>
          </cell>
          <cell r="C679" t="str">
            <v>Job</v>
          </cell>
          <cell r="D679">
            <v>10520.67</v>
          </cell>
        </row>
        <row r="680">
          <cell r="A680">
            <v>7130840003</v>
          </cell>
          <cell r="B680" t="str">
            <v>Surge Arrestor</v>
          </cell>
          <cell r="C680" t="str">
            <v>No.</v>
          </cell>
          <cell r="D680">
            <v>1059.5999999999999</v>
          </cell>
        </row>
        <row r="681">
          <cell r="A681">
            <v>7131950396</v>
          </cell>
          <cell r="B681" t="str">
            <v>Ground connection for Messenger Wire</v>
          </cell>
          <cell r="C681" t="str">
            <v>No.</v>
          </cell>
          <cell r="D681">
            <v>160.99</v>
          </cell>
        </row>
        <row r="682">
          <cell r="A682">
            <v>7132406800</v>
          </cell>
          <cell r="B682" t="str">
            <v>33/11 kV S/S (Name Plate) Board</v>
          </cell>
          <cell r="C682" t="str">
            <v>Job</v>
          </cell>
          <cell r="D682">
            <v>12278.85</v>
          </cell>
        </row>
        <row r="683">
          <cell r="A683">
            <v>7131210840</v>
          </cell>
          <cell r="B683" t="str">
            <v>11 kV Fault Passage Indicator for Overhead line</v>
          </cell>
          <cell r="C683" t="str">
            <v>No.</v>
          </cell>
          <cell r="D683">
            <v>15852.14</v>
          </cell>
        </row>
        <row r="684">
          <cell r="A684">
            <v>7132455003</v>
          </cell>
          <cell r="B684" t="str">
            <v>SMC Meter Board 350x200x40 mm (minimum) thickness 2.5 mm</v>
          </cell>
          <cell r="C684" t="str">
            <v>No.</v>
          </cell>
          <cell r="D684">
            <v>155.38999999999999</v>
          </cell>
        </row>
        <row r="685">
          <cell r="A685">
            <v>7132455004</v>
          </cell>
          <cell r="B685" t="str">
            <v>SMC Board 200x150x40 mm (minimum) thickness 2.5 mm</v>
          </cell>
          <cell r="C685" t="str">
            <v>No.</v>
          </cell>
          <cell r="D685">
            <v>122.09</v>
          </cell>
        </row>
        <row r="686">
          <cell r="A686">
            <v>7131920004</v>
          </cell>
          <cell r="B686" t="str">
            <v>Piano type ISI mark 250V/5A switch.</v>
          </cell>
          <cell r="C686" t="str">
            <v>No.</v>
          </cell>
          <cell r="D686">
            <v>13.2</v>
          </cell>
        </row>
        <row r="687">
          <cell r="A687">
            <v>7131920005</v>
          </cell>
          <cell r="B687" t="str">
            <v>250V/5A ISI mark 3 pin Socket</v>
          </cell>
          <cell r="C687" t="str">
            <v>No.</v>
          </cell>
          <cell r="D687">
            <v>32.99</v>
          </cell>
        </row>
        <row r="688">
          <cell r="A688">
            <v>7131920006</v>
          </cell>
          <cell r="B688" t="str">
            <v>250V/5A ISI mark holder.</v>
          </cell>
          <cell r="C688" t="str">
            <v>No.</v>
          </cell>
          <cell r="D688">
            <v>19.79</v>
          </cell>
        </row>
        <row r="689">
          <cell r="A689">
            <v>7131390482</v>
          </cell>
          <cell r="B689" t="str">
            <v>Earthing terminal (having suitable size of 10 mm Dia GI bolt with 3 nos.
 nuts &amp; washers) along with Staples/ Nut-Bolts/ Nails</v>
          </cell>
          <cell r="C689" t="str">
            <v>No.</v>
          </cell>
          <cell r="D689">
            <v>55.5</v>
          </cell>
        </row>
        <row r="690">
          <cell r="A690">
            <v>7130310081</v>
          </cell>
          <cell r="B690" t="str">
            <v>Internal wiring using 1.5 sqmm copper multistrands PVC insulated ISI marked cable (Average cable length 6 Mtr.)</v>
          </cell>
          <cell r="C690" t="str">
            <v>Mtr</v>
          </cell>
          <cell r="D690">
            <v>9.15</v>
          </cell>
        </row>
        <row r="691">
          <cell r="A691">
            <v>7132461006</v>
          </cell>
          <cell r="B691" t="str">
            <v>25 mm Dia PVC pipe or equivalent for internal house wiring (3 Mtr)</v>
          </cell>
          <cell r="C691" t="str">
            <v>Feet</v>
          </cell>
          <cell r="D691">
            <v>6.35</v>
          </cell>
        </row>
        <row r="692">
          <cell r="A692">
            <v>7132498054</v>
          </cell>
          <cell r="B692" t="str">
            <v>Bhatta brick</v>
          </cell>
          <cell r="C692" t="str">
            <v>No.</v>
          </cell>
          <cell r="D692">
            <v>6</v>
          </cell>
        </row>
        <row r="693">
          <cell r="A693">
            <v>7131397216</v>
          </cell>
          <cell r="B693" t="str">
            <v>Meter Sealing Wire</v>
          </cell>
          <cell r="C693" t="str">
            <v>Kg</v>
          </cell>
          <cell r="D693">
            <v>233.77</v>
          </cell>
        </row>
        <row r="694">
          <cell r="A694">
            <v>7132010551</v>
          </cell>
          <cell r="B694" t="str">
            <v>Hand Operated type 25 sq.mm. to 400 sq.mm Crimping Tool</v>
          </cell>
          <cell r="C694" t="str">
            <v>No.</v>
          </cell>
          <cell r="D694">
            <v>9846.82</v>
          </cell>
        </row>
        <row r="695">
          <cell r="A695">
            <v>7132010552</v>
          </cell>
          <cell r="B695" t="str">
            <v>Hydraulic type Crimping Tool with suitable Dies for crimping Lugs of size up to 400 sq.mm.</v>
          </cell>
          <cell r="C695" t="str">
            <v>Set</v>
          </cell>
          <cell r="D695">
            <v>12000.69</v>
          </cell>
        </row>
        <row r="696">
          <cell r="A696">
            <v>7132478005</v>
          </cell>
          <cell r="B696" t="str">
            <v>RECHARGEABLE L.E.D. HAND TORCH</v>
          </cell>
          <cell r="C696" t="str">
            <v>No.</v>
          </cell>
          <cell r="D696">
            <v>826.05</v>
          </cell>
        </row>
        <row r="697">
          <cell r="A697">
            <v>7132089020</v>
          </cell>
          <cell r="B697" t="str">
            <v>Cable separator in RCC Pipe with Angle Cross of 50x50x6 mm Angle @ 2 No. in one pipe</v>
          </cell>
          <cell r="C697" t="str">
            <v>No.</v>
          </cell>
          <cell r="D697">
            <v>880.24</v>
          </cell>
        </row>
        <row r="698">
          <cell r="A698">
            <v>7132200004</v>
          </cell>
          <cell r="B698" t="str">
            <v>11 kV Capacitor Unit with Expulsion Tube</v>
          </cell>
          <cell r="C698" t="str">
            <v>Each</v>
          </cell>
          <cell r="D698">
            <v>129.96</v>
          </cell>
        </row>
        <row r="699">
          <cell r="A699">
            <v>7131310032</v>
          </cell>
          <cell r="B699" t="str">
            <v>ABT Meter Accuracy class: 0.2s, C.T. Ratio: _/1A, P.T.Ratio: _/110V</v>
          </cell>
          <cell r="C699" t="str">
            <v>No.</v>
          </cell>
          <cell r="D699">
            <v>270267.2</v>
          </cell>
        </row>
        <row r="700">
          <cell r="A700"/>
          <cell r="B700" t="str">
            <v>Cost of Galvanization</v>
          </cell>
          <cell r="C700" t="str">
            <v>MT</v>
          </cell>
          <cell r="D700">
            <v>32130.22</v>
          </cell>
        </row>
        <row r="701">
          <cell r="A701"/>
          <cell r="B701"/>
          <cell r="C701"/>
          <cell r="D701"/>
        </row>
        <row r="702">
          <cell r="A702"/>
          <cell r="B702"/>
          <cell r="C702"/>
          <cell r="D702"/>
        </row>
        <row r="703">
          <cell r="A703"/>
          <cell r="B703"/>
          <cell r="C703"/>
          <cell r="D703"/>
        </row>
        <row r="704">
          <cell r="A704"/>
          <cell r="B704"/>
          <cell r="C704"/>
          <cell r="D704"/>
        </row>
        <row r="705">
          <cell r="A705"/>
          <cell r="B705"/>
          <cell r="C705"/>
          <cell r="D705"/>
        </row>
        <row r="706">
          <cell r="A706"/>
          <cell r="B706" t="str">
            <v>Total entries pending</v>
          </cell>
          <cell r="C706">
            <v>718</v>
          </cell>
        </row>
        <row r="707">
          <cell r="A707"/>
          <cell r="B707" t="str">
            <v>99 complete as on 07.07.2023</v>
          </cell>
          <cell r="C707">
            <v>142</v>
          </cell>
          <cell r="D707"/>
        </row>
        <row r="708">
          <cell r="A708"/>
          <cell r="B708" t="str">
            <v>Balance as on 07.07.2023 evening</v>
          </cell>
          <cell r="C708">
            <v>576</v>
          </cell>
          <cell r="D708"/>
        </row>
        <row r="709">
          <cell r="A709"/>
          <cell r="B709" t="str">
            <v>Entries done on 08.07.2023</v>
          </cell>
          <cell r="C709">
            <v>101</v>
          </cell>
          <cell r="D709"/>
        </row>
        <row r="710">
          <cell r="A710"/>
          <cell r="B710" t="str">
            <v>Balance as on 08.07.2023 evening</v>
          </cell>
          <cell r="C710">
            <v>475</v>
          </cell>
          <cell r="D710"/>
        </row>
        <row r="711">
          <cell r="A711"/>
          <cell r="B711" t="str">
            <v>Entries done on 14.07.2023</v>
          </cell>
          <cell r="C711">
            <v>60</v>
          </cell>
          <cell r="D711"/>
        </row>
        <row r="712">
          <cell r="A712"/>
          <cell r="B712" t="str">
            <v>complete as on 14.07.23</v>
          </cell>
          <cell r="C712">
            <v>303</v>
          </cell>
          <cell r="D712"/>
        </row>
        <row r="713">
          <cell r="A713"/>
          <cell r="B713" t="str">
            <v>Balance as on 14.07.2023 evening</v>
          </cell>
          <cell r="C713">
            <v>415</v>
          </cell>
          <cell r="D713"/>
        </row>
        <row r="714">
          <cell r="A714"/>
          <cell r="B714" t="str">
            <v>Entries done on 16.07.2023</v>
          </cell>
          <cell r="C714">
            <v>24</v>
          </cell>
          <cell r="D714"/>
        </row>
        <row r="715">
          <cell r="A715"/>
          <cell r="B715" t="str">
            <v>Balance as on 16.07.2023 evening</v>
          </cell>
          <cell r="C715">
            <v>391</v>
          </cell>
          <cell r="D715"/>
        </row>
        <row r="716">
          <cell r="A716"/>
          <cell r="B716" t="str">
            <v>Entries done on 19.07.2023</v>
          </cell>
          <cell r="C716">
            <v>88</v>
          </cell>
          <cell r="D716"/>
        </row>
        <row r="717">
          <cell r="A717"/>
          <cell r="B717" t="str">
            <v>Balance as on 19.07.2023 evening</v>
          </cell>
          <cell r="C717">
            <v>303</v>
          </cell>
          <cell r="D717"/>
        </row>
        <row r="718">
          <cell r="A718"/>
          <cell r="B718" t="str">
            <v>Entries done on 23.07.2023</v>
          </cell>
          <cell r="C718">
            <v>51</v>
          </cell>
          <cell r="D718"/>
        </row>
        <row r="719">
          <cell r="A719"/>
          <cell r="B719" t="str">
            <v>Balance as on 23.07.2023 evening</v>
          </cell>
          <cell r="C719">
            <v>252</v>
          </cell>
          <cell r="D719"/>
        </row>
        <row r="720">
          <cell r="A720"/>
          <cell r="B720" t="str">
            <v>Entries done on 26.07.2023</v>
          </cell>
          <cell r="C720">
            <v>14</v>
          </cell>
          <cell r="D720"/>
        </row>
        <row r="721">
          <cell r="A721"/>
          <cell r="B721" t="str">
            <v>Balance as on 26.07.2023 evening</v>
          </cell>
          <cell r="C721">
            <v>238</v>
          </cell>
          <cell r="D721"/>
        </row>
        <row r="722">
          <cell r="A722"/>
          <cell r="B722" t="str">
            <v>Entries done on 28.08.2023</v>
          </cell>
          <cell r="C722">
            <v>87</v>
          </cell>
          <cell r="D722"/>
        </row>
        <row r="723">
          <cell r="A723"/>
          <cell r="B723" t="str">
            <v>Balance as on 28.08.2023 evening</v>
          </cell>
          <cell r="C723">
            <v>151</v>
          </cell>
          <cell r="D723"/>
        </row>
        <row r="724">
          <cell r="A724"/>
          <cell r="B724" t="str">
            <v>Entries done on 14.12.2023</v>
          </cell>
          <cell r="C724">
            <v>118</v>
          </cell>
          <cell r="D724"/>
        </row>
        <row r="725">
          <cell r="A725"/>
          <cell r="B725" t="str">
            <v>Balance as on 14.12.2023 evening</v>
          </cell>
          <cell r="C725">
            <v>33</v>
          </cell>
          <cell r="D725"/>
        </row>
        <row r="726">
          <cell r="A726"/>
          <cell r="B726"/>
          <cell r="C726"/>
          <cell r="D726"/>
        </row>
        <row r="727">
          <cell r="A727"/>
          <cell r="B727"/>
          <cell r="C727"/>
          <cell r="D727"/>
        </row>
        <row r="728">
          <cell r="A728"/>
          <cell r="B728"/>
          <cell r="C728"/>
          <cell r="D728"/>
        </row>
        <row r="729">
          <cell r="A729"/>
          <cell r="B729"/>
          <cell r="C729"/>
          <cell r="D729"/>
        </row>
        <row r="730">
          <cell r="A730"/>
          <cell r="B730"/>
          <cell r="C730"/>
          <cell r="D730"/>
        </row>
        <row r="731">
          <cell r="A731"/>
          <cell r="B731"/>
          <cell r="C731"/>
          <cell r="D731"/>
        </row>
        <row r="732">
          <cell r="A732"/>
          <cell r="B732"/>
          <cell r="C732"/>
          <cell r="D732"/>
        </row>
        <row r="733">
          <cell r="A733"/>
          <cell r="B733"/>
          <cell r="C733"/>
          <cell r="D733"/>
        </row>
        <row r="734">
          <cell r="A734"/>
          <cell r="B734"/>
          <cell r="C734"/>
          <cell r="D734"/>
        </row>
        <row r="735">
          <cell r="A735"/>
          <cell r="B735"/>
          <cell r="C735"/>
          <cell r="D735"/>
        </row>
        <row r="736">
          <cell r="A736"/>
          <cell r="B736"/>
          <cell r="C736"/>
          <cell r="D736"/>
        </row>
        <row r="737">
          <cell r="A737"/>
          <cell r="B737"/>
          <cell r="C737"/>
          <cell r="D737"/>
        </row>
        <row r="738">
          <cell r="A738"/>
          <cell r="B738"/>
          <cell r="C738"/>
          <cell r="D738"/>
        </row>
        <row r="739">
          <cell r="A739"/>
          <cell r="B739"/>
          <cell r="C739"/>
          <cell r="D739"/>
        </row>
        <row r="740">
          <cell r="A740"/>
          <cell r="B740"/>
          <cell r="C740"/>
          <cell r="D740"/>
        </row>
        <row r="741">
          <cell r="A741"/>
          <cell r="B741"/>
          <cell r="C741"/>
          <cell r="D741"/>
        </row>
        <row r="742">
          <cell r="A742"/>
          <cell r="B742"/>
          <cell r="C742"/>
          <cell r="D742"/>
        </row>
        <row r="743">
          <cell r="A743"/>
          <cell r="B743"/>
          <cell r="C743"/>
          <cell r="D743"/>
        </row>
        <row r="744">
          <cell r="A744"/>
          <cell r="B744"/>
          <cell r="C744"/>
          <cell r="D744"/>
        </row>
        <row r="745">
          <cell r="A745"/>
          <cell r="B745"/>
          <cell r="C745"/>
          <cell r="D745"/>
        </row>
        <row r="746">
          <cell r="A746"/>
          <cell r="B746"/>
          <cell r="C746"/>
          <cell r="D746"/>
        </row>
        <row r="747">
          <cell r="A747"/>
          <cell r="B747"/>
          <cell r="C747"/>
          <cell r="D747"/>
        </row>
        <row r="748">
          <cell r="A748"/>
          <cell r="B748"/>
          <cell r="C748"/>
          <cell r="D748"/>
        </row>
        <row r="749">
          <cell r="A749"/>
          <cell r="B749"/>
          <cell r="C749"/>
          <cell r="D749"/>
        </row>
        <row r="750">
          <cell r="A750"/>
          <cell r="B750"/>
          <cell r="C750"/>
          <cell r="D750"/>
        </row>
        <row r="751">
          <cell r="A751"/>
          <cell r="B751"/>
          <cell r="C751"/>
          <cell r="D751"/>
        </row>
        <row r="752">
          <cell r="A752"/>
          <cell r="B752"/>
          <cell r="C752"/>
          <cell r="D752"/>
        </row>
        <row r="753">
          <cell r="A753"/>
          <cell r="B753"/>
          <cell r="C753"/>
          <cell r="D753"/>
        </row>
        <row r="754">
          <cell r="A754"/>
          <cell r="B754"/>
          <cell r="C754"/>
          <cell r="D754"/>
        </row>
        <row r="755">
          <cell r="A755"/>
          <cell r="B755"/>
          <cell r="C755"/>
          <cell r="D755"/>
        </row>
        <row r="756">
          <cell r="A756"/>
          <cell r="B756"/>
          <cell r="C756"/>
          <cell r="D756"/>
        </row>
        <row r="757">
          <cell r="A757"/>
          <cell r="B757"/>
          <cell r="C757"/>
          <cell r="D757"/>
        </row>
        <row r="758">
          <cell r="A758"/>
          <cell r="B758"/>
          <cell r="C758"/>
          <cell r="D758"/>
        </row>
        <row r="759">
          <cell r="A759"/>
          <cell r="B759"/>
          <cell r="C759"/>
          <cell r="D759"/>
        </row>
        <row r="760">
          <cell r="A760"/>
          <cell r="B760"/>
          <cell r="C760"/>
          <cell r="D760"/>
        </row>
        <row r="761">
          <cell r="A761"/>
          <cell r="B761"/>
          <cell r="C761"/>
          <cell r="D761"/>
        </row>
        <row r="762">
          <cell r="A762"/>
          <cell r="B762"/>
          <cell r="C762"/>
          <cell r="D762"/>
        </row>
        <row r="763">
          <cell r="A763"/>
          <cell r="B763"/>
          <cell r="C763"/>
          <cell r="D763"/>
        </row>
        <row r="764">
          <cell r="A764"/>
          <cell r="B764"/>
          <cell r="C764"/>
          <cell r="D764"/>
        </row>
        <row r="765">
          <cell r="A765"/>
          <cell r="B765"/>
          <cell r="C765"/>
          <cell r="D765"/>
        </row>
        <row r="766">
          <cell r="A766"/>
          <cell r="B766"/>
          <cell r="C766"/>
          <cell r="D766"/>
        </row>
        <row r="767">
          <cell r="A767"/>
          <cell r="B767"/>
          <cell r="C767"/>
          <cell r="D767"/>
        </row>
        <row r="768">
          <cell r="A768"/>
          <cell r="B768"/>
          <cell r="C768"/>
          <cell r="D768"/>
        </row>
        <row r="769">
          <cell r="A769"/>
          <cell r="B769"/>
          <cell r="C769"/>
          <cell r="D769"/>
        </row>
        <row r="770">
          <cell r="A770"/>
          <cell r="B770"/>
          <cell r="C770"/>
          <cell r="D770"/>
        </row>
        <row r="771">
          <cell r="A771"/>
          <cell r="B771"/>
          <cell r="C771"/>
          <cell r="D771"/>
        </row>
        <row r="772">
          <cell r="A772"/>
          <cell r="B772"/>
          <cell r="C772"/>
          <cell r="D77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RATIVE"/>
      <sheetName val="SOR RATE"/>
      <sheetName val="A-1"/>
      <sheetName val="A-2 (A)"/>
      <sheetName val="A-2 (B)"/>
      <sheetName val="A-3"/>
      <sheetName val="A-3 (A)"/>
      <sheetName val="A-3 (B)"/>
      <sheetName val="A-4"/>
      <sheetName val="A-5"/>
      <sheetName val="A-6"/>
      <sheetName val="A-7"/>
      <sheetName val="A-8"/>
      <sheetName val="A-9"/>
      <sheetName val="A-10"/>
      <sheetName val="A-11"/>
      <sheetName val="B-1"/>
      <sheetName val="B-2"/>
      <sheetName val="B-3"/>
      <sheetName val="B-4"/>
      <sheetName val="B-5"/>
      <sheetName val="B-6"/>
      <sheetName val="B-8"/>
      <sheetName val="B-9"/>
      <sheetName val="C-1"/>
      <sheetName val="C-2"/>
      <sheetName val="C-3"/>
      <sheetName val="C-3 (A)"/>
      <sheetName val="C-3 (B)"/>
      <sheetName val="C-3 (C)"/>
      <sheetName val="C-3 (D)"/>
      <sheetName val="C-3 (E)"/>
      <sheetName val="C-4"/>
      <sheetName val="C-5"/>
      <sheetName val="C-6"/>
      <sheetName val="C-7(A-1)"/>
      <sheetName val="C-7(A-2)"/>
      <sheetName val="C-7(B-1)"/>
      <sheetName val="C-7 (B-1) A"/>
      <sheetName val="C-7 (B-1) B"/>
      <sheetName val="C-7(B-2)"/>
      <sheetName val="C-8"/>
      <sheetName val="C-9"/>
      <sheetName val="C-9 (A)"/>
      <sheetName val="C-10"/>
      <sheetName val="C-11"/>
      <sheetName val="C-12"/>
      <sheetName val="C-13"/>
      <sheetName val="C-14"/>
      <sheetName val="C-15"/>
      <sheetName val="C-16"/>
      <sheetName val="C-17"/>
      <sheetName val="C-18"/>
      <sheetName val="C-19"/>
      <sheetName val="C-20"/>
      <sheetName val="C-21"/>
      <sheetName val="D-1"/>
      <sheetName val="D-2"/>
      <sheetName val="D-3"/>
      <sheetName val="D-4"/>
      <sheetName val="D-5"/>
      <sheetName val="D-6 (1)"/>
      <sheetName val="D-6 (2)"/>
      <sheetName val="D-6 (3)"/>
      <sheetName val="D-6 (4)"/>
      <sheetName val="D-6 (B)"/>
      <sheetName val="D-7"/>
      <sheetName val="D-8"/>
      <sheetName val="D-9"/>
      <sheetName val="D-10"/>
      <sheetName val="D-11"/>
      <sheetName val="D-12"/>
      <sheetName val="D-13"/>
      <sheetName val="D-14"/>
      <sheetName val="E-1"/>
      <sheetName val="E-2"/>
      <sheetName val="E-3"/>
      <sheetName val="E-4"/>
      <sheetName val="E-5"/>
      <sheetName val="E-6"/>
      <sheetName val="Sheet2"/>
    </sheetNames>
    <sheetDataSet>
      <sheetData sheetId="0"/>
      <sheetData sheetId="1"/>
      <sheetData sheetId="2">
        <row r="1">
          <cell r="B1" t="str">
            <v>RATE OF STOCK MATERIALS IN SoR OF 2020-21</v>
          </cell>
        </row>
        <row r="2">
          <cell r="B2" t="str">
            <v>RATE OF ALL MATERIALS ARE INCLUSIVE OF G.S.T. UNLESS MENTIONED SPECIFICALLY IN REMARKS COLUMN</v>
          </cell>
        </row>
        <row r="3">
          <cell r="A3" t="str">
            <v xml:space="preserve">Material Code </v>
          </cell>
          <cell r="B3" t="str">
            <v>Description</v>
          </cell>
          <cell r="C3" t="str">
            <v>Unit</v>
          </cell>
          <cell r="D3" t="str">
            <v>Unit rate for 2020-21</v>
          </cell>
        </row>
        <row r="4">
          <cell r="A4">
            <v>7130200201</v>
          </cell>
          <cell r="B4" t="str">
            <v>1:1.5:3 Ratio</v>
          </cell>
          <cell r="C4" t="str">
            <v>Cmt</v>
          </cell>
          <cell r="D4">
            <v>4072.99</v>
          </cell>
        </row>
        <row r="5">
          <cell r="A5">
            <v>7130200202</v>
          </cell>
          <cell r="B5" t="str">
            <v>1:3:6 Ratio</v>
          </cell>
          <cell r="C5" t="str">
            <v>Cmt</v>
          </cell>
          <cell r="D5">
            <v>2970</v>
          </cell>
        </row>
        <row r="6">
          <cell r="A6">
            <v>7130200204</v>
          </cell>
          <cell r="B6" t="str">
            <v>Route &amp; joint indicating stone with M.S. anchor rod</v>
          </cell>
          <cell r="C6" t="str">
            <v>Nos.</v>
          </cell>
          <cell r="D6">
            <v>182.51</v>
          </cell>
        </row>
        <row r="7">
          <cell r="A7">
            <v>7130200401</v>
          </cell>
          <cell r="B7" t="str">
            <v>Cement in 50 kg bags</v>
          </cell>
          <cell r="C7" t="str">
            <v>Bags</v>
          </cell>
          <cell r="D7">
            <v>263.68</v>
          </cell>
        </row>
        <row r="8">
          <cell r="A8">
            <v>7130201343</v>
          </cell>
          <cell r="B8" t="str">
            <v>Cable covering tiles 250x250x40 mm</v>
          </cell>
          <cell r="C8" t="str">
            <v>Each</v>
          </cell>
          <cell r="D8">
            <v>33</v>
          </cell>
        </row>
        <row r="9">
          <cell r="A9">
            <v>7130210809</v>
          </cell>
          <cell r="B9" t="str">
            <v>Aluminium Paint</v>
          </cell>
          <cell r="C9" t="str">
            <v>Ltr.</v>
          </cell>
          <cell r="D9">
            <v>337.79</v>
          </cell>
        </row>
        <row r="10">
          <cell r="A10">
            <v>7130211121</v>
          </cell>
          <cell r="B10" t="str">
            <v>Grey Enamel Paint smoke/battle ship</v>
          </cell>
          <cell r="C10" t="str">
            <v>Ltr</v>
          </cell>
          <cell r="D10">
            <v>258.61</v>
          </cell>
        </row>
        <row r="11">
          <cell r="A11">
            <v>7130211158</v>
          </cell>
          <cell r="B11" t="str">
            <v>Red Oxide Paint</v>
          </cell>
          <cell r="C11" t="str">
            <v>Ltr.</v>
          </cell>
          <cell r="D11">
            <v>151.18</v>
          </cell>
        </row>
        <row r="12">
          <cell r="A12">
            <v>7130300025</v>
          </cell>
          <cell r="B12" t="str">
            <v>LT 3 phase 5 Wire Aerial Bunched Cable of Size 3X70+1x16+1x50</v>
          </cell>
          <cell r="C12" t="str">
            <v>km</v>
          </cell>
          <cell r="D12">
            <v>155583.69</v>
          </cell>
        </row>
        <row r="13">
          <cell r="A13">
            <v>7130310007</v>
          </cell>
          <cell r="B13" t="str">
            <v>70 Sqmm.</v>
          </cell>
          <cell r="C13" t="str">
            <v>Km.</v>
          </cell>
          <cell r="D13">
            <v>50954.95</v>
          </cell>
        </row>
        <row r="14">
          <cell r="A14">
            <v>7130310008</v>
          </cell>
          <cell r="B14" t="str">
            <v>120 Sqmm.</v>
          </cell>
          <cell r="C14" t="str">
            <v>Km.</v>
          </cell>
          <cell r="D14">
            <v>89898.08</v>
          </cell>
        </row>
        <row r="15">
          <cell r="A15">
            <v>7130310020</v>
          </cell>
          <cell r="B15" t="str">
            <v>3x400 Sq.mm.</v>
          </cell>
          <cell r="C15" t="str">
            <v>km</v>
          </cell>
          <cell r="D15">
            <v>2205469.91</v>
          </cell>
        </row>
        <row r="16">
          <cell r="A16">
            <v>7130310021</v>
          </cell>
          <cell r="B16" t="str">
            <v>35 Sqmm.</v>
          </cell>
          <cell r="C16" t="str">
            <v>Km.</v>
          </cell>
          <cell r="D16">
            <v>27670.91</v>
          </cell>
        </row>
        <row r="17">
          <cell r="A17">
            <v>7130310022</v>
          </cell>
          <cell r="B17" t="str">
            <v>50 Sqmm.</v>
          </cell>
          <cell r="C17" t="str">
            <v>Km.</v>
          </cell>
          <cell r="D17">
            <v>34866.699999999997</v>
          </cell>
        </row>
        <row r="18">
          <cell r="A18">
            <v>7130310031</v>
          </cell>
          <cell r="B18" t="str">
            <v>LT 3 phase 5 Wire Aerial Bunched Cable of Size 3X16+1X16+1x25</v>
          </cell>
          <cell r="C18" t="str">
            <v>km</v>
          </cell>
          <cell r="D18">
            <v>62452.44</v>
          </cell>
        </row>
        <row r="19">
          <cell r="A19">
            <v>7130310032</v>
          </cell>
          <cell r="B19" t="str">
            <v>LT 3 phase 5 Wire Aerial Bunched Cable of Size 3X25+1X16+1x25</v>
          </cell>
          <cell r="C19" t="str">
            <v>km</v>
          </cell>
          <cell r="D19">
            <v>71551.91</v>
          </cell>
        </row>
        <row r="20">
          <cell r="A20">
            <v>7130310033</v>
          </cell>
          <cell r="B20" t="str">
            <v>LT 3 phase 5 Wire Aerial Bunched Cable of Size 3X35+1x16+1x25</v>
          </cell>
          <cell r="C20" t="str">
            <v>km</v>
          </cell>
          <cell r="D20">
            <v>87860.5</v>
          </cell>
        </row>
        <row r="21">
          <cell r="A21">
            <v>7130310038</v>
          </cell>
          <cell r="B21" t="str">
            <v>2.5 Sqmm.</v>
          </cell>
          <cell r="C21" t="str">
            <v>Per Mtr.</v>
          </cell>
          <cell r="D21">
            <v>7.07</v>
          </cell>
        </row>
        <row r="22">
          <cell r="A22">
            <v>7130310039</v>
          </cell>
          <cell r="B22" t="str">
            <v>6.0 Sqmm.</v>
          </cell>
          <cell r="C22" t="str">
            <v>Per Mtr.</v>
          </cell>
          <cell r="D22">
            <v>29.82</v>
          </cell>
        </row>
        <row r="23">
          <cell r="A23">
            <v>7130310040</v>
          </cell>
          <cell r="B23" t="str">
            <v>10 Sq.mm.</v>
          </cell>
          <cell r="C23" t="str">
            <v>Per Mtr.</v>
          </cell>
          <cell r="D23">
            <v>61.79</v>
          </cell>
        </row>
        <row r="24">
          <cell r="A24">
            <v>7130310041</v>
          </cell>
          <cell r="B24" t="str">
            <v>150 Sqmm.</v>
          </cell>
          <cell r="C24" t="str">
            <v>Km.</v>
          </cell>
          <cell r="D24">
            <v>100475.81</v>
          </cell>
        </row>
        <row r="25">
          <cell r="A25">
            <v>7130310042</v>
          </cell>
          <cell r="B25" t="str">
            <v>16.0 Sqmm.</v>
          </cell>
          <cell r="C25" t="str">
            <v>km</v>
          </cell>
          <cell r="D25">
            <v>40342.76</v>
          </cell>
        </row>
        <row r="26">
          <cell r="A26">
            <v>7130310044</v>
          </cell>
          <cell r="B26" t="str">
            <v>10 Sq.mm.</v>
          </cell>
          <cell r="C26" t="str">
            <v>km</v>
          </cell>
          <cell r="D26">
            <v>55178.13</v>
          </cell>
        </row>
        <row r="27">
          <cell r="A27">
            <v>7130310048</v>
          </cell>
          <cell r="B27" t="str">
            <v>25 Sq.mm.</v>
          </cell>
          <cell r="C27" t="str">
            <v>km</v>
          </cell>
          <cell r="D27">
            <v>87690.86</v>
          </cell>
        </row>
        <row r="28">
          <cell r="A28">
            <v>7130310049</v>
          </cell>
          <cell r="B28" t="str">
            <v>120 Sq.mm.</v>
          </cell>
          <cell r="C28" t="str">
            <v>km</v>
          </cell>
        </row>
        <row r="29">
          <cell r="A29">
            <v>7130310050</v>
          </cell>
          <cell r="B29" t="str">
            <v xml:space="preserve">400 Sqmm. </v>
          </cell>
          <cell r="C29" t="str">
            <v>km</v>
          </cell>
        </row>
        <row r="30">
          <cell r="A30">
            <v>7130310051</v>
          </cell>
          <cell r="B30" t="str">
            <v>3x95 Sq.mm.</v>
          </cell>
          <cell r="C30" t="str">
            <v>km</v>
          </cell>
          <cell r="D30">
            <v>944388.73</v>
          </cell>
        </row>
        <row r="31">
          <cell r="A31">
            <v>7130310052</v>
          </cell>
          <cell r="B31" t="str">
            <v>3x150 Sq.mm.</v>
          </cell>
          <cell r="C31" t="str">
            <v>km</v>
          </cell>
          <cell r="D31">
            <v>1159291.05</v>
          </cell>
        </row>
        <row r="32">
          <cell r="A32">
            <v>7130310053</v>
          </cell>
          <cell r="B32" t="str">
            <v>3x185 Sq.mm.</v>
          </cell>
          <cell r="C32" t="str">
            <v>km</v>
          </cell>
          <cell r="D32">
            <v>1325023.33</v>
          </cell>
        </row>
        <row r="33">
          <cell r="A33">
            <v>7130310054</v>
          </cell>
          <cell r="B33" t="str">
            <v>3x240 Sq.mm.</v>
          </cell>
          <cell r="C33" t="str">
            <v>km</v>
          </cell>
          <cell r="D33">
            <v>1684904.07</v>
          </cell>
        </row>
        <row r="34">
          <cell r="A34">
            <v>7130310055</v>
          </cell>
          <cell r="B34" t="str">
            <v>33 kV AB Cable Straight thru' joint kit suitable for 35-70 sqmm</v>
          </cell>
          <cell r="C34" t="str">
            <v>Set</v>
          </cell>
          <cell r="D34">
            <v>18950.72</v>
          </cell>
        </row>
        <row r="35">
          <cell r="A35">
            <v>7130310056</v>
          </cell>
          <cell r="B35" t="str">
            <v>33 kV AB Cable Straight thru' joint kit suitable for 95-120 sqmm</v>
          </cell>
          <cell r="C35" t="str">
            <v>Set</v>
          </cell>
          <cell r="D35">
            <v>27072.45</v>
          </cell>
        </row>
        <row r="36">
          <cell r="A36">
            <v>7130310057</v>
          </cell>
          <cell r="B36" t="str">
            <v xml:space="preserve">11 kV 3 phase Aerial Bunched Cable 3x35 + 35 Sq mm </v>
          </cell>
          <cell r="C36" t="str">
            <v>km</v>
          </cell>
          <cell r="D36">
            <v>440140</v>
          </cell>
        </row>
        <row r="37">
          <cell r="A37">
            <v>7130310058</v>
          </cell>
          <cell r="B37" t="str">
            <v xml:space="preserve">11 kV 3 phase Aerial Bunched Cable 3x70 + 70 Sq mm </v>
          </cell>
          <cell r="C37" t="str">
            <v>km</v>
          </cell>
          <cell r="D37">
            <v>545160</v>
          </cell>
        </row>
        <row r="38">
          <cell r="A38">
            <v>7130310059</v>
          </cell>
          <cell r="B38" t="str">
            <v xml:space="preserve">11 kV 3 phase Aerial Bunched Cable 3x95 + 95 Sq mm </v>
          </cell>
          <cell r="C38" t="str">
            <v>km</v>
          </cell>
          <cell r="D38">
            <v>623040</v>
          </cell>
        </row>
        <row r="39">
          <cell r="A39">
            <v>7130310060</v>
          </cell>
          <cell r="B39" t="str">
            <v xml:space="preserve">11 kV 3 phase Aerial Bunched Cable 3x120 + 120 Sq mm </v>
          </cell>
          <cell r="C39" t="str">
            <v>km</v>
          </cell>
          <cell r="D39">
            <v>763460</v>
          </cell>
        </row>
        <row r="40">
          <cell r="A40">
            <v>7130310061</v>
          </cell>
          <cell r="B40" t="str">
            <v>11 kV AB Cable Straight thru' joint kit suitable for 35-70 sqmm</v>
          </cell>
          <cell r="C40" t="str">
            <v>Set</v>
          </cell>
          <cell r="D40">
            <v>4136.07</v>
          </cell>
        </row>
        <row r="41">
          <cell r="A41">
            <v>7130310062</v>
          </cell>
          <cell r="B41" t="str">
            <v>11 kV AB Cable Straight thru' joint kit suitable for 95-120 sqmm</v>
          </cell>
          <cell r="C41" t="str">
            <v>Set</v>
          </cell>
          <cell r="D41">
            <v>4352.5600000000004</v>
          </cell>
        </row>
        <row r="42">
          <cell r="A42">
            <v>7130310063</v>
          </cell>
          <cell r="B42" t="str">
            <v>LT 1 phase 3 Wire Aerial Bunched Cable of Size 1X25+1X16+1x25</v>
          </cell>
          <cell r="C42" t="str">
            <v>km</v>
          </cell>
          <cell r="D42">
            <v>39223.339999999997</v>
          </cell>
        </row>
        <row r="43">
          <cell r="A43">
            <v>7130310065</v>
          </cell>
          <cell r="B43" t="str">
            <v>LT 3 phase 5 Wire Aerial Bunched Cable of Size 3X50+1x16+1x35</v>
          </cell>
          <cell r="C43" t="str">
            <v>km</v>
          </cell>
          <cell r="D43">
            <v>112447.19</v>
          </cell>
        </row>
        <row r="44">
          <cell r="A44">
            <v>7130310066</v>
          </cell>
          <cell r="B44" t="str">
            <v>LT 3 phase 5 Wire Aerial Bunched Cable of Size 3X50+1X25+1x35</v>
          </cell>
          <cell r="C44" t="str">
            <v>km</v>
          </cell>
          <cell r="D44">
            <v>109962.96</v>
          </cell>
        </row>
        <row r="45">
          <cell r="A45">
            <v>7130310070</v>
          </cell>
          <cell r="B45" t="str">
            <v>LT 3 phase 4 Wire Aerial Bunched Cable of Size 3X16+1x25</v>
          </cell>
          <cell r="C45" t="str">
            <v>km</v>
          </cell>
          <cell r="D45">
            <v>47723.59</v>
          </cell>
        </row>
        <row r="46">
          <cell r="A46">
            <v>7130310073</v>
          </cell>
          <cell r="B46" t="str">
            <v>LT 3 phase 4 Wire Aerial Bunched Cable of Size 3X25+1x25</v>
          </cell>
          <cell r="C46" t="str">
            <v>km</v>
          </cell>
          <cell r="D46">
            <v>51193.82</v>
          </cell>
        </row>
        <row r="47">
          <cell r="A47">
            <v>7130310075</v>
          </cell>
          <cell r="B47" t="str">
            <v>3x240 Sq.mm.</v>
          </cell>
          <cell r="C47" t="str">
            <v>km</v>
          </cell>
          <cell r="D47">
            <v>2018156.83</v>
          </cell>
        </row>
        <row r="48">
          <cell r="A48">
            <v>7130310076</v>
          </cell>
          <cell r="B48" t="str">
            <v>70 Sq.mm</v>
          </cell>
          <cell r="C48" t="str">
            <v>km</v>
          </cell>
          <cell r="D48">
            <v>538584.18999999994</v>
          </cell>
        </row>
        <row r="49">
          <cell r="A49">
            <v>7130310077</v>
          </cell>
          <cell r="B49" t="str">
            <v>95 Sq.mm</v>
          </cell>
          <cell r="C49" t="str">
            <v>km</v>
          </cell>
          <cell r="D49">
            <v>544914.13</v>
          </cell>
        </row>
        <row r="50">
          <cell r="A50">
            <v>7130310078</v>
          </cell>
          <cell r="B50" t="str">
            <v>120 Sq.mm</v>
          </cell>
          <cell r="C50" t="str">
            <v>km</v>
          </cell>
          <cell r="D50">
            <v>812576.78</v>
          </cell>
        </row>
        <row r="51">
          <cell r="A51">
            <v>7130310079</v>
          </cell>
          <cell r="B51" t="str">
            <v>240 Sq.mm</v>
          </cell>
          <cell r="C51" t="str">
            <v>km</v>
          </cell>
          <cell r="D51">
            <v>984525.89</v>
          </cell>
        </row>
        <row r="52">
          <cell r="A52">
            <v>7130310080</v>
          </cell>
          <cell r="B52" t="str">
            <v>400 Sq.mm</v>
          </cell>
          <cell r="C52" t="str">
            <v>km</v>
          </cell>
          <cell r="D52">
            <v>1516901.37</v>
          </cell>
        </row>
        <row r="53">
          <cell r="A53">
            <v>7130310082</v>
          </cell>
          <cell r="B53" t="str">
            <v>PVC Insulated 1100 Volts grade Aluminium Twin Core Single Phase 4.0 sq.mm. Unarmoured service cable.</v>
          </cell>
          <cell r="C53" t="str">
            <v>Per Mtr.</v>
          </cell>
          <cell r="D53">
            <v>15.06</v>
          </cell>
        </row>
        <row r="54">
          <cell r="A54">
            <v>7130310083</v>
          </cell>
          <cell r="B54" t="str">
            <v>PVC Insulated 1100 Volts grade 70 SQMM, 4 CORE, ARMOURED AL. CABLE</v>
          </cell>
          <cell r="C54" t="str">
            <v>km</v>
          </cell>
          <cell r="D54">
            <v>325012.15000000002</v>
          </cell>
        </row>
        <row r="55">
          <cell r="A55">
            <v>7130310084</v>
          </cell>
          <cell r="B55" t="str">
            <v>PVC Insulated 1100 Volts grade 95 SQMM, 4 CORE, ARMOURED AL. CABLE</v>
          </cell>
          <cell r="C55" t="str">
            <v>km</v>
          </cell>
          <cell r="D55">
            <v>396305.14</v>
          </cell>
        </row>
        <row r="56">
          <cell r="A56">
            <v>7130310085</v>
          </cell>
          <cell r="B56" t="str">
            <v>PVC Insulated 1100 Volts grade 150 SQMM, 4 CORE, ARMOURED AL. CABLE</v>
          </cell>
          <cell r="C56" t="str">
            <v>km</v>
          </cell>
          <cell r="D56">
            <v>598301.93999999994</v>
          </cell>
        </row>
        <row r="57">
          <cell r="A57">
            <v>7130310086</v>
          </cell>
          <cell r="B57" t="str">
            <v>PVC Insulated 1100 Volts grade 300 SQMM, 4 CORE, ARMOURED AL. CABLE</v>
          </cell>
          <cell r="C57" t="str">
            <v>km</v>
          </cell>
          <cell r="D57">
            <v>1142784.6599999999</v>
          </cell>
        </row>
        <row r="58">
          <cell r="A58">
            <v>7130310087</v>
          </cell>
          <cell r="B58" t="str">
            <v>PVC Insulated 1100 Volts grade 400 SQMM, 4 CORE, ARMOURED AL. CABLE</v>
          </cell>
          <cell r="C58" t="str">
            <v>km</v>
          </cell>
          <cell r="D58">
            <v>1452419.89</v>
          </cell>
        </row>
        <row r="59">
          <cell r="A59">
            <v>7130310088</v>
          </cell>
          <cell r="B59" t="str">
            <v>33 kV AB Cable Straight thru' joint kit suitable for 185 sqmm</v>
          </cell>
          <cell r="C59" t="str">
            <v>Set</v>
          </cell>
          <cell r="D59">
            <v>35997.06</v>
          </cell>
        </row>
        <row r="60">
          <cell r="A60">
            <v>7130310089</v>
          </cell>
          <cell r="B60" t="str">
            <v>33 kV XLPE UG Cable Straight through heat shrinkable cable jointing kit with lugs for 3 core 120-240 sq mm XLPE cable</v>
          </cell>
          <cell r="C60" t="str">
            <v>Set</v>
          </cell>
          <cell r="D60">
            <v>60702.14</v>
          </cell>
        </row>
        <row r="61">
          <cell r="A61">
            <v>7130310090</v>
          </cell>
          <cell r="B61" t="str">
            <v>33 kV XLPE UG Cable Straight through heat shrinkable cable jointing kit with lugs for 3 core 300-400 sq mm XLPE cable</v>
          </cell>
          <cell r="C61" t="str">
            <v>No</v>
          </cell>
          <cell r="D61">
            <v>67975.73</v>
          </cell>
        </row>
        <row r="62">
          <cell r="A62">
            <v>7130310652</v>
          </cell>
          <cell r="B62" t="str">
            <v>2 Core (UNARMOURED)</v>
          </cell>
          <cell r="C62" t="str">
            <v>Km.</v>
          </cell>
          <cell r="D62">
            <v>36898.370000000003</v>
          </cell>
        </row>
        <row r="63">
          <cell r="A63">
            <v>7130310652</v>
          </cell>
          <cell r="B63" t="str">
            <v>2 Core (ARMOURED)</v>
          </cell>
          <cell r="C63" t="str">
            <v>Km.</v>
          </cell>
        </row>
        <row r="64">
          <cell r="A64">
            <v>7130310654</v>
          </cell>
          <cell r="B64" t="str">
            <v>4 Core (UNARMOURED)</v>
          </cell>
          <cell r="C64" t="str">
            <v>Km.</v>
          </cell>
          <cell r="D64">
            <v>64162.75</v>
          </cell>
        </row>
        <row r="65">
          <cell r="A65">
            <v>7130310654</v>
          </cell>
          <cell r="B65" t="str">
            <v>4 Core (ARMOURED)</v>
          </cell>
          <cell r="C65" t="str">
            <v>Km.</v>
          </cell>
        </row>
        <row r="66">
          <cell r="A66">
            <v>7130310658</v>
          </cell>
          <cell r="B66" t="str">
            <v>8 Core (UNARMOURED)</v>
          </cell>
          <cell r="C66" t="str">
            <v>Km.</v>
          </cell>
          <cell r="D66">
            <v>121935.1</v>
          </cell>
        </row>
        <row r="67">
          <cell r="A67">
            <v>7130310681</v>
          </cell>
          <cell r="B67" t="str">
            <v>10 Core (UNARMOURED)</v>
          </cell>
          <cell r="C67" t="str">
            <v>Km.</v>
          </cell>
          <cell r="D67">
            <v>152383.57999999999</v>
          </cell>
        </row>
        <row r="68">
          <cell r="A68">
            <v>7130310660</v>
          </cell>
          <cell r="B68" t="str">
            <v>10 Core (ARMOURED)</v>
          </cell>
          <cell r="C68" t="str">
            <v>Km.</v>
          </cell>
          <cell r="D68">
            <v>188959.94</v>
          </cell>
        </row>
        <row r="69">
          <cell r="A69">
            <v>7130310662</v>
          </cell>
          <cell r="B69" t="str">
            <v>12 Core (UNARMOURED)</v>
          </cell>
          <cell r="C69" t="str">
            <v>Km.</v>
          </cell>
          <cell r="D69">
            <v>157029.04999999999</v>
          </cell>
        </row>
        <row r="70">
          <cell r="A70">
            <v>7130311008</v>
          </cell>
          <cell r="B70" t="str">
            <v>16 Sq.mm.</v>
          </cell>
          <cell r="C70" t="str">
            <v>KM</v>
          </cell>
          <cell r="D70">
            <v>17400.259999999998</v>
          </cell>
        </row>
        <row r="71">
          <cell r="A71">
            <v>7130311009</v>
          </cell>
          <cell r="B71" t="str">
            <v>50 Sq.mm.</v>
          </cell>
          <cell r="C71" t="str">
            <v>KM</v>
          </cell>
          <cell r="D71">
            <v>41138.559999999998</v>
          </cell>
        </row>
        <row r="72">
          <cell r="A72">
            <v>7130311010</v>
          </cell>
          <cell r="B72" t="str">
            <v>70 Sq.mm</v>
          </cell>
          <cell r="C72" t="str">
            <v>KM</v>
          </cell>
          <cell r="D72">
            <v>55560.58</v>
          </cell>
        </row>
        <row r="73">
          <cell r="A73">
            <v>7130311011</v>
          </cell>
          <cell r="B73" t="str">
            <v>150 Sq.mm</v>
          </cell>
          <cell r="C73" t="str">
            <v>KM</v>
          </cell>
          <cell r="D73">
            <v>106554.43</v>
          </cell>
        </row>
        <row r="74">
          <cell r="A74">
            <v>7130311012</v>
          </cell>
          <cell r="B74" t="str">
            <v>300 Sq.mm</v>
          </cell>
          <cell r="C74" t="str">
            <v>KM</v>
          </cell>
          <cell r="D74">
            <v>208018.88</v>
          </cell>
        </row>
        <row r="75">
          <cell r="A75">
            <v>7130311013</v>
          </cell>
          <cell r="B75" t="str">
            <v>400 Sq.mm</v>
          </cell>
          <cell r="C75" t="str">
            <v>KM</v>
          </cell>
          <cell r="D75">
            <v>258214.34</v>
          </cell>
        </row>
        <row r="76">
          <cell r="A76">
            <v>7130311054</v>
          </cell>
          <cell r="B76" t="str">
            <v xml:space="preserve">  70 Sqmm.</v>
          </cell>
          <cell r="C76" t="str">
            <v>km</v>
          </cell>
        </row>
        <row r="77">
          <cell r="A77">
            <v>7130311057</v>
          </cell>
          <cell r="B77" t="str">
            <v>150 Sqmm.</v>
          </cell>
          <cell r="C77" t="str">
            <v>km</v>
          </cell>
        </row>
        <row r="78">
          <cell r="A78">
            <v>7130311061</v>
          </cell>
          <cell r="B78" t="str">
            <v>300 Sqmm.</v>
          </cell>
          <cell r="C78" t="str">
            <v>km</v>
          </cell>
        </row>
        <row r="79">
          <cell r="A79">
            <v>7130311084</v>
          </cell>
          <cell r="B79" t="str">
            <v>16.0 Sqmm.</v>
          </cell>
          <cell r="C79" t="str">
            <v>km</v>
          </cell>
          <cell r="D79">
            <v>58062.16</v>
          </cell>
        </row>
        <row r="80">
          <cell r="A80">
            <v>7130320037</v>
          </cell>
          <cell r="B80" t="str">
            <v>33 kV ABC Termination kit 35-70 sqmm</v>
          </cell>
          <cell r="C80" t="str">
            <v>Set</v>
          </cell>
          <cell r="D80">
            <v>10828.99</v>
          </cell>
        </row>
        <row r="81">
          <cell r="A81">
            <v>7130320038</v>
          </cell>
          <cell r="B81" t="str">
            <v>33 kV ABC Termination kit 95-120 sqmm</v>
          </cell>
          <cell r="C81" t="str">
            <v>Set</v>
          </cell>
          <cell r="D81">
            <v>13536.23</v>
          </cell>
        </row>
        <row r="82">
          <cell r="A82">
            <v>7130320039</v>
          </cell>
          <cell r="B82" t="str">
            <v>33 kV ABC Termination kit 185 sqmm</v>
          </cell>
          <cell r="C82" t="str">
            <v>Set</v>
          </cell>
          <cell r="D82">
            <v>16243.47</v>
          </cell>
        </row>
        <row r="83">
          <cell r="A83">
            <v>7130320040</v>
          </cell>
          <cell r="B83" t="str">
            <v>33 kV ABC Termination kit 240 sqmm</v>
          </cell>
          <cell r="C83" t="str">
            <v>Set</v>
          </cell>
          <cell r="D83">
            <v>18950.72</v>
          </cell>
        </row>
        <row r="84">
          <cell r="A84">
            <v>7130320041</v>
          </cell>
          <cell r="B84" t="str">
            <v>33 kV ABC Termination kit 300 sqmm</v>
          </cell>
          <cell r="C84" t="str">
            <v>Set</v>
          </cell>
          <cell r="D84">
            <v>20304.349999999999</v>
          </cell>
        </row>
        <row r="85">
          <cell r="A85">
            <v>7130320042</v>
          </cell>
          <cell r="B85" t="str">
            <v>33 kV ABC Termination kit 400 sqmm</v>
          </cell>
          <cell r="C85" t="str">
            <v>Set</v>
          </cell>
          <cell r="D85">
            <v>24365.21</v>
          </cell>
        </row>
        <row r="86">
          <cell r="A86">
            <v>7130320043</v>
          </cell>
          <cell r="B86" t="str">
            <v>Straight line Suspension Assembly (Suitable for all size cable)</v>
          </cell>
          <cell r="C86" t="str">
            <v>Each</v>
          </cell>
          <cell r="D86">
            <v>852.29</v>
          </cell>
        </row>
        <row r="87">
          <cell r="A87">
            <v>7130320044</v>
          </cell>
          <cell r="B87" t="str">
            <v>Dead-end Assembly (Suitable for all size cable)</v>
          </cell>
          <cell r="C87" t="str">
            <v>Each</v>
          </cell>
          <cell r="D87">
            <v>920.64</v>
          </cell>
        </row>
        <row r="88">
          <cell r="A88">
            <v>7130320045</v>
          </cell>
          <cell r="B88" t="str">
            <v>Cable tie for AB Cable</v>
          </cell>
          <cell r="C88" t="str">
            <v>Each</v>
          </cell>
          <cell r="D88">
            <v>27.35</v>
          </cell>
        </row>
        <row r="89">
          <cell r="A89">
            <v>7130320047</v>
          </cell>
          <cell r="B89" t="str">
            <v>11 kV ABC-T Jointing kit 95-120 sqmm</v>
          </cell>
          <cell r="C89" t="str">
            <v>No</v>
          </cell>
          <cell r="D89">
            <v>4107.04</v>
          </cell>
        </row>
        <row r="90">
          <cell r="A90">
            <v>7130320048</v>
          </cell>
          <cell r="B90" t="str">
            <v>11 kV ABC Termination kit 35-70 sqmm</v>
          </cell>
          <cell r="C90" t="str">
            <v>Set</v>
          </cell>
          <cell r="D90">
            <v>2619.5100000000002</v>
          </cell>
        </row>
        <row r="91">
          <cell r="A91">
            <v>7130320049</v>
          </cell>
          <cell r="B91" t="str">
            <v>11 kV ABC Termination kit 95-120 sqmm</v>
          </cell>
          <cell r="C91" t="str">
            <v>Set</v>
          </cell>
          <cell r="D91">
            <v>2759.66</v>
          </cell>
        </row>
        <row r="92">
          <cell r="A92">
            <v>7130320053</v>
          </cell>
          <cell r="B92" t="str">
            <v>Cable tie (UV protected black colour) for AB Cable</v>
          </cell>
          <cell r="C92" t="str">
            <v>No</v>
          </cell>
          <cell r="D92">
            <v>5.72</v>
          </cell>
        </row>
        <row r="93">
          <cell r="A93">
            <v>7130352010</v>
          </cell>
          <cell r="B93" t="str">
            <v>End terminating jointing kit for 400 sqmm XLPE cable</v>
          </cell>
          <cell r="C93" t="str">
            <v>Set</v>
          </cell>
          <cell r="D93">
            <v>36281.69</v>
          </cell>
        </row>
        <row r="94">
          <cell r="A94">
            <v>7130352030</v>
          </cell>
          <cell r="B94" t="str">
            <v>10 Sq.mm, 4 Core</v>
          </cell>
          <cell r="C94" t="str">
            <v>Set</v>
          </cell>
          <cell r="D94">
            <v>878.49</v>
          </cell>
        </row>
        <row r="95">
          <cell r="A95">
            <v>7130352031</v>
          </cell>
          <cell r="B95" t="str">
            <v>16 Sq.mm, 4 Core</v>
          </cell>
          <cell r="C95" t="str">
            <v>Set</v>
          </cell>
          <cell r="D95">
            <v>878.49</v>
          </cell>
        </row>
        <row r="96">
          <cell r="A96">
            <v>7130352032</v>
          </cell>
          <cell r="B96" t="str">
            <v>25 Sq.mm, 4 Core</v>
          </cell>
          <cell r="C96" t="str">
            <v>Set</v>
          </cell>
          <cell r="D96">
            <v>943.43</v>
          </cell>
        </row>
        <row r="97">
          <cell r="A97">
            <v>7130352033</v>
          </cell>
          <cell r="B97" t="str">
            <v>70 Sq.mm, 3.5 Core</v>
          </cell>
          <cell r="C97" t="str">
            <v>Set</v>
          </cell>
          <cell r="D97">
            <v>1326.28</v>
          </cell>
        </row>
        <row r="98">
          <cell r="A98">
            <v>7130352034</v>
          </cell>
          <cell r="B98" t="str">
            <v>150 Sq.mm, 3.5 Core</v>
          </cell>
          <cell r="C98" t="str">
            <v>Set</v>
          </cell>
          <cell r="D98">
            <v>1976.88</v>
          </cell>
        </row>
        <row r="99">
          <cell r="A99">
            <v>7130352035</v>
          </cell>
          <cell r="B99" t="str">
            <v>300 Sq.mm, 3.5 Core</v>
          </cell>
          <cell r="C99" t="str">
            <v>Set</v>
          </cell>
          <cell r="D99">
            <v>3194.92</v>
          </cell>
        </row>
        <row r="100">
          <cell r="A100">
            <v>7130352036</v>
          </cell>
          <cell r="B100" t="str">
            <v>400 Sq.mm, 3.5 Core</v>
          </cell>
          <cell r="C100" t="str">
            <v>Set</v>
          </cell>
          <cell r="D100">
            <v>4082.52</v>
          </cell>
        </row>
        <row r="101">
          <cell r="A101">
            <v>7130352037</v>
          </cell>
          <cell r="B101" t="str">
            <v>End terminating jointing kit upto 240 sqmm XLPE cable</v>
          </cell>
          <cell r="C101" t="str">
            <v>Set</v>
          </cell>
          <cell r="D101">
            <v>24460.080000000002</v>
          </cell>
        </row>
        <row r="102">
          <cell r="A102">
            <v>7130352038</v>
          </cell>
          <cell r="B102" t="str">
            <v>3x50 Sq.mm</v>
          </cell>
          <cell r="C102" t="str">
            <v>Set</v>
          </cell>
          <cell r="D102">
            <v>14620.96</v>
          </cell>
        </row>
        <row r="103">
          <cell r="A103">
            <v>7130352039</v>
          </cell>
          <cell r="B103" t="str">
            <v>3x95 Sq.mm</v>
          </cell>
          <cell r="C103" t="str">
            <v>Set</v>
          </cell>
          <cell r="D103">
            <v>14620.96</v>
          </cell>
        </row>
        <row r="104">
          <cell r="A104">
            <v>7130352040</v>
          </cell>
          <cell r="B104" t="str">
            <v>3x150 Sq.mm</v>
          </cell>
          <cell r="C104" t="str">
            <v>Set</v>
          </cell>
          <cell r="D104">
            <v>19358.63</v>
          </cell>
        </row>
        <row r="105">
          <cell r="A105">
            <v>7130352041</v>
          </cell>
          <cell r="B105" t="str">
            <v>3x240 Sq. mm</v>
          </cell>
          <cell r="C105" t="str">
            <v>Set</v>
          </cell>
          <cell r="D105">
            <v>21172.01</v>
          </cell>
        </row>
        <row r="106">
          <cell r="A106">
            <v>7130352042</v>
          </cell>
          <cell r="B106" t="str">
            <v>3x400 Sq. mm</v>
          </cell>
          <cell r="C106" t="str">
            <v>Set</v>
          </cell>
          <cell r="D106">
            <v>21172.01</v>
          </cell>
        </row>
        <row r="107">
          <cell r="A107">
            <v>7130352043</v>
          </cell>
          <cell r="B107" t="str">
            <v>3x95 Sq.mm</v>
          </cell>
          <cell r="C107" t="str">
            <v>Set</v>
          </cell>
          <cell r="D107">
            <v>7600.25</v>
          </cell>
        </row>
        <row r="108">
          <cell r="A108">
            <v>7130352044</v>
          </cell>
          <cell r="B108" t="str">
            <v>3x240 Sq. mm</v>
          </cell>
          <cell r="C108" t="str">
            <v>Set</v>
          </cell>
          <cell r="D108">
            <v>9174.7900000000009</v>
          </cell>
        </row>
        <row r="109">
          <cell r="A109">
            <v>7130352045</v>
          </cell>
          <cell r="B109" t="str">
            <v>3x400 Sq. mm</v>
          </cell>
          <cell r="C109" t="str">
            <v>Set</v>
          </cell>
          <cell r="D109">
            <v>9438.7199999999993</v>
          </cell>
        </row>
        <row r="110">
          <cell r="A110">
            <v>7130352046</v>
          </cell>
          <cell r="B110" t="str">
            <v>Marshelling Box (with 10 No. connectors)</v>
          </cell>
          <cell r="C110" t="str">
            <v>No.</v>
          </cell>
          <cell r="D110">
            <v>3227.81</v>
          </cell>
        </row>
        <row r="111">
          <cell r="A111">
            <v>7130354274</v>
          </cell>
          <cell r="B111" t="str">
            <v>10 Sq mm</v>
          </cell>
          <cell r="C111" t="str">
            <v>Nos.</v>
          </cell>
          <cell r="D111">
            <v>2.21</v>
          </cell>
        </row>
        <row r="112">
          <cell r="A112">
            <v>7130354275</v>
          </cell>
          <cell r="B112" t="str">
            <v>16 Sq mm</v>
          </cell>
          <cell r="C112" t="str">
            <v>Nos.</v>
          </cell>
          <cell r="D112">
            <v>2.21</v>
          </cell>
        </row>
        <row r="113">
          <cell r="A113">
            <v>7130354276</v>
          </cell>
          <cell r="B113" t="str">
            <v>25 Sq mm</v>
          </cell>
          <cell r="C113" t="str">
            <v>Nos.</v>
          </cell>
          <cell r="D113">
            <v>4.41</v>
          </cell>
        </row>
        <row r="114">
          <cell r="A114">
            <v>7130354277</v>
          </cell>
          <cell r="B114" t="str">
            <v>32 Sq mm</v>
          </cell>
          <cell r="C114" t="str">
            <v>Nos.</v>
          </cell>
          <cell r="D114">
            <v>5.52</v>
          </cell>
        </row>
        <row r="115">
          <cell r="A115">
            <v>7130354278</v>
          </cell>
          <cell r="B115" t="str">
            <v>50 Sq mm</v>
          </cell>
          <cell r="C115" t="str">
            <v>Nos.</v>
          </cell>
          <cell r="D115">
            <v>8.84</v>
          </cell>
        </row>
        <row r="116">
          <cell r="A116">
            <v>7130354279</v>
          </cell>
          <cell r="B116" t="str">
            <v>70 Sq mm</v>
          </cell>
          <cell r="C116" t="str">
            <v>Nos.</v>
          </cell>
          <cell r="D116">
            <v>13.25</v>
          </cell>
        </row>
        <row r="117">
          <cell r="A117">
            <v>7130354280</v>
          </cell>
          <cell r="B117" t="str">
            <v>95 Sq mm</v>
          </cell>
          <cell r="C117" t="str">
            <v>Nos.</v>
          </cell>
          <cell r="D117">
            <v>16.559999999999999</v>
          </cell>
        </row>
        <row r="118">
          <cell r="A118">
            <v>7130354281</v>
          </cell>
          <cell r="B118" t="str">
            <v>120 Sq mm</v>
          </cell>
          <cell r="C118" t="str">
            <v>Nos.</v>
          </cell>
          <cell r="D118">
            <v>23.19</v>
          </cell>
        </row>
        <row r="119">
          <cell r="A119">
            <v>7130354282</v>
          </cell>
          <cell r="B119" t="str">
            <v>150 Sq mm</v>
          </cell>
          <cell r="C119" t="str">
            <v>Nos.</v>
          </cell>
          <cell r="D119">
            <v>26.5</v>
          </cell>
        </row>
        <row r="120">
          <cell r="A120">
            <v>7130354283</v>
          </cell>
          <cell r="B120" t="str">
            <v>185 Sq mm</v>
          </cell>
          <cell r="C120" t="str">
            <v>Nos.</v>
          </cell>
          <cell r="D120">
            <v>41.95</v>
          </cell>
        </row>
        <row r="121">
          <cell r="A121">
            <v>7130354284</v>
          </cell>
          <cell r="B121" t="str">
            <v>225 Sq mm</v>
          </cell>
          <cell r="C121" t="str">
            <v>Nos.</v>
          </cell>
          <cell r="D121">
            <v>47.47</v>
          </cell>
        </row>
        <row r="122">
          <cell r="A122">
            <v>7130354285</v>
          </cell>
          <cell r="B122" t="str">
            <v>240 Sq mm</v>
          </cell>
          <cell r="C122" t="str">
            <v>Nos.</v>
          </cell>
          <cell r="D122">
            <v>68.45</v>
          </cell>
        </row>
        <row r="123">
          <cell r="A123">
            <v>7130354286</v>
          </cell>
          <cell r="B123" t="str">
            <v>300 Sq mm</v>
          </cell>
          <cell r="C123" t="str">
            <v>Nos.</v>
          </cell>
          <cell r="D123">
            <v>80.59</v>
          </cell>
        </row>
        <row r="124">
          <cell r="A124">
            <v>7130354287</v>
          </cell>
          <cell r="B124" t="str">
            <v>400 Sq mm</v>
          </cell>
          <cell r="C124" t="str">
            <v>Nos.</v>
          </cell>
          <cell r="D124">
            <v>103.78</v>
          </cell>
        </row>
        <row r="125">
          <cell r="A125">
            <v>7130354442</v>
          </cell>
          <cell r="B125" t="str">
            <v>Pre-Insulated Bimetallic crimping lugs for Transformer connector</v>
          </cell>
          <cell r="C125" t="str">
            <v>Nos.</v>
          </cell>
          <cell r="D125">
            <v>702.79</v>
          </cell>
        </row>
        <row r="126">
          <cell r="A126">
            <v>7130390003</v>
          </cell>
          <cell r="B126" t="str">
            <v xml:space="preserve">Piercing connector suitable for 95- 16 sqmm to 10-2.5 sqmm. for street light and service connection. </v>
          </cell>
          <cell r="C126" t="str">
            <v>Nos.</v>
          </cell>
          <cell r="D126">
            <v>86.28</v>
          </cell>
        </row>
        <row r="127">
          <cell r="A127">
            <v>7130390004</v>
          </cell>
          <cell r="B127" t="str">
            <v xml:space="preserve">Piercing connector suitable for 95- 16 sqmm to 50-16 sqmm. cable for Distribution Box. </v>
          </cell>
          <cell r="C127" t="str">
            <v>Nos.</v>
          </cell>
          <cell r="D127">
            <v>112.4</v>
          </cell>
        </row>
        <row r="128">
          <cell r="A128">
            <v>7130390005</v>
          </cell>
          <cell r="B128" t="str">
            <v>Piercing connector suitable for 95- 16 sqmm to 95-16 sqmm. for Tee connection.</v>
          </cell>
          <cell r="C128" t="str">
            <v>Nos.</v>
          </cell>
          <cell r="D128">
            <v>156.66999999999999</v>
          </cell>
        </row>
        <row r="129">
          <cell r="A129">
            <v>7130390006</v>
          </cell>
          <cell r="B129" t="str">
            <v>Universal distribution connector</v>
          </cell>
          <cell r="C129" t="str">
            <v>Each</v>
          </cell>
          <cell r="D129">
            <v>127.35</v>
          </cell>
        </row>
        <row r="130">
          <cell r="A130">
            <v>7130390007</v>
          </cell>
          <cell r="B130" t="str">
            <v xml:space="preserve">Straight through joints </v>
          </cell>
          <cell r="C130" t="str">
            <v>Nos.</v>
          </cell>
          <cell r="D130">
            <v>179.97</v>
          </cell>
        </row>
        <row r="131">
          <cell r="A131">
            <v>7130390019</v>
          </cell>
          <cell r="B131" t="str">
            <v>End cap for 50/70 Sq.mm</v>
          </cell>
          <cell r="C131" t="str">
            <v>Nos.</v>
          </cell>
          <cell r="D131">
            <v>30.76</v>
          </cell>
        </row>
        <row r="132">
          <cell r="A132">
            <v>7130640040</v>
          </cell>
          <cell r="B132" t="str">
            <v>M.S. ANGLE 35 x 35 x 5 mm</v>
          </cell>
          <cell r="C132" t="str">
            <v>MT</v>
          </cell>
          <cell r="D132">
            <v>31403.22</v>
          </cell>
        </row>
        <row r="133">
          <cell r="A133">
            <v>7130600023</v>
          </cell>
          <cell r="B133" t="str">
            <v>50 x 50 x 6 mm</v>
          </cell>
          <cell r="C133" t="str">
            <v>MT</v>
          </cell>
          <cell r="D133">
            <v>37033.019999999997</v>
          </cell>
        </row>
        <row r="134">
          <cell r="A134">
            <v>7130600032</v>
          </cell>
          <cell r="B134" t="str">
            <v>65 x 65 x 6 mm</v>
          </cell>
          <cell r="C134" t="str">
            <v>MT</v>
          </cell>
          <cell r="D134">
            <v>37033.019999999997</v>
          </cell>
        </row>
        <row r="135">
          <cell r="A135">
            <v>7130600051</v>
          </cell>
          <cell r="B135" t="str">
            <v>75 x 75 x 6 mm</v>
          </cell>
          <cell r="C135" t="str">
            <v>MT</v>
          </cell>
          <cell r="D135">
            <v>37033.019999999997</v>
          </cell>
        </row>
        <row r="136">
          <cell r="A136">
            <v>7130600166</v>
          </cell>
          <cell r="B136" t="str">
            <v>75x40 mm</v>
          </cell>
          <cell r="C136" t="str">
            <v>MT</v>
          </cell>
          <cell r="D136">
            <v>37033.019999999997</v>
          </cell>
        </row>
        <row r="137">
          <cell r="A137">
            <v>7130600173</v>
          </cell>
          <cell r="B137" t="str">
            <v>50x6 mm</v>
          </cell>
          <cell r="C137" t="str">
            <v>MT</v>
          </cell>
          <cell r="D137">
            <v>41976.33</v>
          </cell>
        </row>
        <row r="138">
          <cell r="A138">
            <v>7130600230</v>
          </cell>
          <cell r="B138" t="str">
            <v>100x50 mm</v>
          </cell>
          <cell r="C138" t="str">
            <v>MT</v>
          </cell>
          <cell r="D138">
            <v>37033.019999999997</v>
          </cell>
        </row>
        <row r="139">
          <cell r="A139">
            <v>7130600495</v>
          </cell>
          <cell r="B139" t="str">
            <v>65x8 mm</v>
          </cell>
          <cell r="C139" t="str">
            <v>MT</v>
          </cell>
          <cell r="D139">
            <v>41976.33</v>
          </cell>
        </row>
        <row r="140">
          <cell r="A140">
            <v>7130600635</v>
          </cell>
          <cell r="B140" t="str">
            <v>125 x 70 mm</v>
          </cell>
          <cell r="C140" t="str">
            <v>MT</v>
          </cell>
        </row>
        <row r="141">
          <cell r="A141">
            <v>7130600675</v>
          </cell>
          <cell r="B141" t="str">
            <v>175 x 85 mm</v>
          </cell>
          <cell r="C141" t="str">
            <v>MT</v>
          </cell>
          <cell r="D141">
            <v>44915.519999999997</v>
          </cell>
        </row>
        <row r="142">
          <cell r="A142">
            <v>7130601070</v>
          </cell>
          <cell r="B142" t="str">
            <v>52 kgs per mtr/105 lbs yard</v>
          </cell>
          <cell r="C142" t="str">
            <v>MT</v>
          </cell>
          <cell r="D142">
            <v>55700.28</v>
          </cell>
        </row>
        <row r="143">
          <cell r="A143">
            <v>7130601072</v>
          </cell>
          <cell r="B143" t="str">
            <v>60 kgs per mtr</v>
          </cell>
          <cell r="C143" t="str">
            <v>MT</v>
          </cell>
          <cell r="D143">
            <v>55700.28</v>
          </cell>
        </row>
        <row r="144">
          <cell r="A144">
            <v>7130601958</v>
          </cell>
          <cell r="B144" t="str">
            <v xml:space="preserve"> 37.1 Kg/Mtr.; 13 Mtr. Length</v>
          </cell>
          <cell r="C144" t="str">
            <v>MT</v>
          </cell>
          <cell r="D144">
            <v>42026.879999999997</v>
          </cell>
        </row>
        <row r="145">
          <cell r="A145">
            <v>7130601965</v>
          </cell>
          <cell r="B145" t="str">
            <v xml:space="preserve"> 37.1 Kg/Mtr.; 11 Mtr. Length</v>
          </cell>
          <cell r="C145" t="str">
            <v>MT</v>
          </cell>
          <cell r="D145">
            <v>41613.879999999997</v>
          </cell>
        </row>
        <row r="146">
          <cell r="A146">
            <v>7130600012</v>
          </cell>
          <cell r="B146" t="str">
            <v>Wide Parallel Flange Beam (WPB) 13 Meter long (160x160 mm) ; 30.44 Kg/Mtr.</v>
          </cell>
          <cell r="C146" t="str">
            <v>MT</v>
          </cell>
          <cell r="D146">
            <v>46064.09</v>
          </cell>
        </row>
        <row r="147">
          <cell r="A147">
            <v>7130600011</v>
          </cell>
          <cell r="B147" t="str">
            <v>Wide Parallel Flange Beam (WPB) 11 Meter long (160x160 mm) ; 30.44 Kg/Mtr.</v>
          </cell>
          <cell r="C147" t="str">
            <v>MT</v>
          </cell>
          <cell r="D147">
            <v>45401.55</v>
          </cell>
        </row>
        <row r="148">
          <cell r="A148">
            <v>7130610206</v>
          </cell>
          <cell r="B148" t="str">
            <v>Barbed wire</v>
          </cell>
          <cell r="C148" t="str">
            <v>MT</v>
          </cell>
          <cell r="D148">
            <v>69631.12</v>
          </cell>
        </row>
        <row r="149">
          <cell r="A149">
            <v>7130620013</v>
          </cell>
          <cell r="B149" t="str">
            <v>I-Bolt (big size)</v>
          </cell>
          <cell r="C149" t="str">
            <v>No</v>
          </cell>
          <cell r="D149">
            <v>123.44</v>
          </cell>
        </row>
        <row r="150">
          <cell r="A150">
            <v>7130620049</v>
          </cell>
          <cell r="B150" t="str">
            <v>12x65 mm</v>
          </cell>
          <cell r="C150" t="str">
            <v>Kg</v>
          </cell>
          <cell r="D150">
            <v>69</v>
          </cell>
        </row>
        <row r="151">
          <cell r="A151">
            <v>7130620133</v>
          </cell>
          <cell r="B151" t="str">
            <v>16x40 mm</v>
          </cell>
          <cell r="C151" t="str">
            <v>Kg</v>
          </cell>
          <cell r="D151">
            <v>95.45</v>
          </cell>
        </row>
        <row r="152">
          <cell r="A152">
            <v>7130620140</v>
          </cell>
          <cell r="B152" t="str">
            <v>16x65 mm</v>
          </cell>
          <cell r="C152" t="str">
            <v>Kg</v>
          </cell>
          <cell r="D152">
            <v>95.45</v>
          </cell>
        </row>
        <row r="153">
          <cell r="A153">
            <v>7130620573</v>
          </cell>
          <cell r="B153" t="str">
            <v>12x100 mm</v>
          </cell>
          <cell r="C153" t="str">
            <v>Kg</v>
          </cell>
          <cell r="D153">
            <v>69</v>
          </cell>
        </row>
        <row r="154">
          <cell r="A154">
            <v>7130620575</v>
          </cell>
          <cell r="B154" t="str">
            <v>12x120 mm</v>
          </cell>
          <cell r="C154" t="str">
            <v>Kg</v>
          </cell>
          <cell r="D154">
            <v>70.150000000000006</v>
          </cell>
        </row>
        <row r="155">
          <cell r="A155">
            <v>7130620577</v>
          </cell>
          <cell r="B155" t="str">
            <v>12x140 mm</v>
          </cell>
          <cell r="C155" t="str">
            <v>Kg</v>
          </cell>
          <cell r="D155">
            <v>70.150000000000006</v>
          </cell>
        </row>
        <row r="156">
          <cell r="A156">
            <v>7130620609</v>
          </cell>
          <cell r="B156" t="str">
            <v>16x40 mm</v>
          </cell>
          <cell r="C156" t="str">
            <v>Kg</v>
          </cell>
          <cell r="D156">
            <v>69</v>
          </cell>
        </row>
        <row r="157">
          <cell r="A157">
            <v>7130620614</v>
          </cell>
          <cell r="B157" t="str">
            <v>16x65 mm</v>
          </cell>
          <cell r="C157" t="str">
            <v>Kg</v>
          </cell>
          <cell r="D157">
            <v>67.849999999999994</v>
          </cell>
        </row>
        <row r="158">
          <cell r="A158">
            <v>7130620619</v>
          </cell>
          <cell r="B158" t="str">
            <v>16x90 mm</v>
          </cell>
          <cell r="C158" t="str">
            <v>Kg</v>
          </cell>
          <cell r="D158">
            <v>67.849999999999994</v>
          </cell>
        </row>
        <row r="159">
          <cell r="A159">
            <v>7130620621</v>
          </cell>
          <cell r="B159" t="str">
            <v>16x100 mm</v>
          </cell>
          <cell r="C159" t="str">
            <v>Kg</v>
          </cell>
          <cell r="D159">
            <v>66.7</v>
          </cell>
        </row>
        <row r="160">
          <cell r="A160">
            <v>7130620625</v>
          </cell>
          <cell r="B160" t="str">
            <v>16x140 mm</v>
          </cell>
          <cell r="C160" t="str">
            <v>Kg</v>
          </cell>
          <cell r="D160">
            <v>66.7</v>
          </cell>
        </row>
        <row r="161">
          <cell r="A161">
            <v>7130620627</v>
          </cell>
          <cell r="B161" t="str">
            <v>16x160 mm</v>
          </cell>
          <cell r="C161" t="str">
            <v>Kg</v>
          </cell>
          <cell r="D161">
            <v>66.7</v>
          </cell>
        </row>
        <row r="162">
          <cell r="A162">
            <v>7130620631</v>
          </cell>
          <cell r="B162" t="str">
            <v>16x200 mm</v>
          </cell>
          <cell r="C162" t="str">
            <v>Kg</v>
          </cell>
          <cell r="D162">
            <v>66.7</v>
          </cell>
        </row>
        <row r="163">
          <cell r="A163">
            <v>7130620636</v>
          </cell>
          <cell r="B163" t="str">
            <v>16x300 mm</v>
          </cell>
          <cell r="C163" t="str">
            <v>Kg</v>
          </cell>
          <cell r="D163">
            <v>66.7</v>
          </cell>
        </row>
        <row r="164">
          <cell r="A164">
            <v>7130620637</v>
          </cell>
          <cell r="B164" t="str">
            <v>16x250 mm</v>
          </cell>
          <cell r="C164" t="str">
            <v>Kg</v>
          </cell>
          <cell r="D164">
            <v>66.7</v>
          </cell>
        </row>
        <row r="165">
          <cell r="A165">
            <v>7130620713</v>
          </cell>
          <cell r="B165" t="str">
            <v>20x75 mm</v>
          </cell>
          <cell r="C165" t="str">
            <v>Kg</v>
          </cell>
          <cell r="D165">
            <v>66.7</v>
          </cell>
        </row>
        <row r="166">
          <cell r="A166">
            <v>7130620716</v>
          </cell>
          <cell r="B166" t="str">
            <v>20x90 mm</v>
          </cell>
          <cell r="C166" t="str">
            <v>Kg</v>
          </cell>
          <cell r="D166">
            <v>66.7</v>
          </cell>
        </row>
        <row r="167">
          <cell r="A167">
            <v>7130620719</v>
          </cell>
          <cell r="B167" t="str">
            <v>20x110 mm</v>
          </cell>
          <cell r="C167" t="str">
            <v>Kg</v>
          </cell>
          <cell r="D167">
            <v>66.7</v>
          </cell>
        </row>
        <row r="168">
          <cell r="A168">
            <v>7130620829</v>
          </cell>
          <cell r="B168" t="str">
            <v>24x120 mm</v>
          </cell>
          <cell r="C168" t="str">
            <v>Kg</v>
          </cell>
          <cell r="D168">
            <v>66.7</v>
          </cell>
        </row>
        <row r="169">
          <cell r="A169">
            <v>7130621892</v>
          </cell>
          <cell r="B169" t="str">
            <v>Foundation bolt</v>
          </cell>
          <cell r="C169" t="str">
            <v>No</v>
          </cell>
          <cell r="D169">
            <v>413.23</v>
          </cell>
        </row>
        <row r="170">
          <cell r="A170">
            <v>7130622922</v>
          </cell>
          <cell r="B170" t="str">
            <v>G.I. Spring Washer</v>
          </cell>
          <cell r="C170" t="str">
            <v>Kg</v>
          </cell>
          <cell r="D170">
            <v>147.80000000000001</v>
          </cell>
        </row>
        <row r="171">
          <cell r="A171">
            <v>7130640027</v>
          </cell>
          <cell r="B171" t="str">
            <v>G.I. Pipe 200 mm for 400 sqmm cable of dia 105 mm</v>
          </cell>
          <cell r="C171" t="str">
            <v>RM</v>
          </cell>
          <cell r="D171">
            <v>1069.93</v>
          </cell>
        </row>
        <row r="172">
          <cell r="A172">
            <v>7130640028</v>
          </cell>
          <cell r="B172" t="str">
            <v>G.I. bend 200 mm</v>
          </cell>
          <cell r="C172" t="str">
            <v>Nos.</v>
          </cell>
          <cell r="D172">
            <v>927.03</v>
          </cell>
        </row>
        <row r="173">
          <cell r="A173">
            <v>7130640029</v>
          </cell>
          <cell r="B173" t="str">
            <v>Caping of HDPE Pipe on both end of pipe with concreting and bricks work.</v>
          </cell>
          <cell r="C173" t="str">
            <v>Cmt</v>
          </cell>
          <cell r="D173">
            <v>3733.72</v>
          </cell>
        </row>
        <row r="174">
          <cell r="A174">
            <v>7130640030</v>
          </cell>
          <cell r="B174" t="str">
            <v>Caping of RCC Pipe on both end of pipe with Concreting and Bricks work</v>
          </cell>
          <cell r="C174" t="str">
            <v>Cmt</v>
          </cell>
          <cell r="D174">
            <v>3734.11</v>
          </cell>
        </row>
        <row r="175">
          <cell r="A175">
            <v>7130640031</v>
          </cell>
          <cell r="B175" t="str">
            <v>RCC Pipe Type NP-3 (2.5 mtr long) on first class bedding - 600 mm</v>
          </cell>
          <cell r="C175" t="str">
            <v>RM</v>
          </cell>
          <cell r="D175">
            <v>2459</v>
          </cell>
        </row>
        <row r="176">
          <cell r="A176">
            <v>7130640036</v>
          </cell>
          <cell r="B176" t="str">
            <v>RCC Pipe Type NP-3 (2.5 mtr long) on first class bedding - 900 mm</v>
          </cell>
          <cell r="C176" t="str">
            <v>RM</v>
          </cell>
          <cell r="D176">
            <v>4874</v>
          </cell>
        </row>
        <row r="177">
          <cell r="A177">
            <v>7130640037</v>
          </cell>
          <cell r="B177" t="str">
            <v>M.S.Pipe 200 mm dia with collars</v>
          </cell>
          <cell r="C177" t="str">
            <v>RM (medium)</v>
          </cell>
          <cell r="D177">
            <v>1327.43</v>
          </cell>
        </row>
        <row r="178">
          <cell r="A178">
            <v>7130640038</v>
          </cell>
          <cell r="B178" t="str">
            <v>M.S.Pipe 200 mm dia with collars</v>
          </cell>
          <cell r="C178" t="str">
            <v>RM (light)</v>
          </cell>
          <cell r="D178">
            <v>1036.6600000000001</v>
          </cell>
        </row>
        <row r="179">
          <cell r="A179">
            <v>7130640171</v>
          </cell>
          <cell r="B179" t="str">
            <v>G.I. Bend 40 mm</v>
          </cell>
          <cell r="C179" t="str">
            <v>Each</v>
          </cell>
          <cell r="D179">
            <v>103.27</v>
          </cell>
        </row>
        <row r="180">
          <cell r="A180">
            <v>7130641396</v>
          </cell>
          <cell r="B180" t="str">
            <v>Gl Pipe 40 mm</v>
          </cell>
          <cell r="C180" t="str">
            <v>Per Mtr</v>
          </cell>
          <cell r="D180">
            <v>213.38</v>
          </cell>
        </row>
        <row r="181">
          <cell r="A181">
            <v>7130642039</v>
          </cell>
          <cell r="B181" t="str">
            <v>GI earthing pipe of 40 mm dia 3.04 mtr long with 12 mm hole at 18 places at equal distance trapered casing at lower end.</v>
          </cell>
          <cell r="C181" t="str">
            <v>No</v>
          </cell>
          <cell r="D181">
            <v>841.82</v>
          </cell>
        </row>
        <row r="182">
          <cell r="A182">
            <v>7130642041</v>
          </cell>
          <cell r="B182" t="str">
            <v xml:space="preserve">25 mm dia 2500 mm long GI rod earth electrodes </v>
          </cell>
          <cell r="C182" t="str">
            <v>No</v>
          </cell>
          <cell r="D182">
            <v>4278.6499999999996</v>
          </cell>
        </row>
        <row r="183">
          <cell r="A183">
            <v>7130650001</v>
          </cell>
          <cell r="B183" t="str">
            <v>Providing, Fabricating and fixing 8 SWG Chain link fencing 75 x 75 mm Size Gl Chain link Mesh fencing made out of 65 x 65 x 6 mm MS angle as per drawing no. 04-01/ST/62 R2 Date 05.06.2007</v>
          </cell>
          <cell r="C183" t="str">
            <v>RM</v>
          </cell>
          <cell r="D183">
            <v>2024.88</v>
          </cell>
        </row>
        <row r="184">
          <cell r="A184">
            <v>7130670027</v>
          </cell>
          <cell r="B184" t="str">
            <v>Wall mounting type holder for Hydrometer</v>
          </cell>
          <cell r="C184" t="str">
            <v>Nos.</v>
          </cell>
          <cell r="D184">
            <v>138</v>
          </cell>
        </row>
        <row r="185">
          <cell r="A185">
            <v>7130797532</v>
          </cell>
          <cell r="B185" t="str">
            <v xml:space="preserve">Anchor clamp assembly (consisting of GI Pole Clamp, GI Flat type I-hook &amp; Nylon Cable tie). </v>
          </cell>
          <cell r="C185" t="str">
            <v>Nos.</v>
          </cell>
          <cell r="D185">
            <v>628.24</v>
          </cell>
        </row>
        <row r="186">
          <cell r="A186">
            <v>7130797533</v>
          </cell>
          <cell r="B186" t="str">
            <v xml:space="preserve">Suspension clamp assembly (consisting of GI Pole Clamp, GI Flat type I-hook &amp; Nylon Cable tie). </v>
          </cell>
          <cell r="C186" t="str">
            <v>Nos.</v>
          </cell>
          <cell r="D186">
            <v>455.99</v>
          </cell>
        </row>
        <row r="187">
          <cell r="A187">
            <v>7130800012</v>
          </cell>
          <cell r="B187" t="str">
            <v>140 Kg; 8.0 Mtr long</v>
          </cell>
          <cell r="C187" t="str">
            <v>Each</v>
          </cell>
          <cell r="D187">
            <v>2255.1999999999998</v>
          </cell>
        </row>
        <row r="188">
          <cell r="A188">
            <v>7130800014</v>
          </cell>
          <cell r="B188" t="str">
            <v>410-SP-29, 9 Mtrs. Long.</v>
          </cell>
          <cell r="C188" t="str">
            <v>Each</v>
          </cell>
        </row>
        <row r="189">
          <cell r="A189">
            <v>7130800033</v>
          </cell>
          <cell r="B189" t="str">
            <v>280 Kg; 9.1 Mtr long</v>
          </cell>
          <cell r="C189" t="str">
            <v>Each</v>
          </cell>
          <cell r="D189">
            <v>4402.6499999999996</v>
          </cell>
        </row>
        <row r="190">
          <cell r="A190">
            <v>7130800068</v>
          </cell>
          <cell r="B190" t="str">
            <v>410-SP-60, 12 Mtrs. Long.</v>
          </cell>
          <cell r="C190" t="str">
            <v>Each</v>
          </cell>
        </row>
        <row r="191">
          <cell r="A191">
            <v>7130800672</v>
          </cell>
          <cell r="B191" t="str">
            <v>350 Kg; 7.0 Mtr long</v>
          </cell>
          <cell r="C191" t="str">
            <v>Each</v>
          </cell>
        </row>
        <row r="192">
          <cell r="A192">
            <v>7130810005</v>
          </cell>
          <cell r="B192" t="str">
            <v>Through Bolt</v>
          </cell>
          <cell r="C192" t="str">
            <v>No</v>
          </cell>
          <cell r="D192">
            <v>86.83</v>
          </cell>
        </row>
        <row r="193">
          <cell r="A193">
            <v>7130810006</v>
          </cell>
          <cell r="B193" t="str">
            <v>D.C. Cross arm 3.8 Mtr 100 x 50 mm.</v>
          </cell>
          <cell r="C193" t="str">
            <v>Set</v>
          </cell>
          <cell r="D193">
            <v>6090.51</v>
          </cell>
        </row>
        <row r="194">
          <cell r="A194">
            <v>7130810026</v>
          </cell>
          <cell r="B194" t="str">
            <v>Stay clamp for 140 kG PCC Pole</v>
          </cell>
          <cell r="C194" t="str">
            <v>Pair</v>
          </cell>
          <cell r="D194">
            <v>143.99</v>
          </cell>
        </row>
        <row r="195">
          <cell r="A195">
            <v>7130810026</v>
          </cell>
          <cell r="B195" t="str">
            <v>Stay clamp HT per pair</v>
          </cell>
          <cell r="C195" t="str">
            <v>Pair</v>
          </cell>
          <cell r="D195">
            <v>268.72000000000003</v>
          </cell>
        </row>
        <row r="196">
          <cell r="A196">
            <v>7130810060</v>
          </cell>
          <cell r="B196" t="str">
            <v>LT U CLAMP</v>
          </cell>
          <cell r="C196" t="str">
            <v>No.</v>
          </cell>
          <cell r="D196">
            <v>71.989999999999995</v>
          </cell>
        </row>
        <row r="197">
          <cell r="A197">
            <v>7130810076</v>
          </cell>
          <cell r="B197" t="str">
            <v>Strain Plate (50x6 mm) for 11 kV</v>
          </cell>
          <cell r="C197" t="str">
            <v>No.</v>
          </cell>
          <cell r="D197">
            <v>70.02</v>
          </cell>
        </row>
        <row r="198">
          <cell r="A198">
            <v>7130810077</v>
          </cell>
          <cell r="B198" t="str">
            <v>Pole Clamp</v>
          </cell>
          <cell r="C198" t="str">
            <v>No.</v>
          </cell>
          <cell r="D198">
            <v>461.28</v>
          </cell>
        </row>
        <row r="199">
          <cell r="A199">
            <v>7130810102</v>
          </cell>
          <cell r="B199" t="str">
            <v>Service Ring</v>
          </cell>
          <cell r="C199" t="str">
            <v>No.</v>
          </cell>
          <cell r="D199">
            <v>366.57</v>
          </cell>
        </row>
        <row r="200">
          <cell r="A200">
            <v>7130810193</v>
          </cell>
          <cell r="B200" t="str">
            <v>Stay Clamp for 280 kG. PCC Pole</v>
          </cell>
          <cell r="C200" t="str">
            <v>Pair</v>
          </cell>
          <cell r="D200">
            <v>268.72000000000003</v>
          </cell>
        </row>
        <row r="201">
          <cell r="A201">
            <v>7130810201</v>
          </cell>
          <cell r="B201" t="str">
            <v>Stay Clamp Rail "A" type</v>
          </cell>
          <cell r="C201" t="str">
            <v>Pair</v>
          </cell>
          <cell r="D201">
            <v>285.95999999999998</v>
          </cell>
        </row>
        <row r="202">
          <cell r="A202">
            <v>7130810216</v>
          </cell>
          <cell r="B202" t="str">
            <v>Stay Clamp for R.S.Joist "A" type</v>
          </cell>
          <cell r="C202" t="str">
            <v>Pair</v>
          </cell>
          <cell r="D202">
            <v>285.95999999999998</v>
          </cell>
        </row>
        <row r="203">
          <cell r="A203">
            <v>7130810251</v>
          </cell>
          <cell r="B203" t="str">
            <v>Stay Clamp Rail "B" type</v>
          </cell>
          <cell r="C203" t="str">
            <v>Pair</v>
          </cell>
          <cell r="D203">
            <v>285.95999999999998</v>
          </cell>
        </row>
        <row r="204">
          <cell r="A204">
            <v>7130810361</v>
          </cell>
          <cell r="B204" t="str">
            <v>Back Clamp Rail for H-Beam</v>
          </cell>
          <cell r="C204" t="str">
            <v>Pair</v>
          </cell>
          <cell r="D204">
            <v>285.95999999999998</v>
          </cell>
        </row>
        <row r="205">
          <cell r="A205">
            <v>7130810413</v>
          </cell>
          <cell r="B205" t="str">
            <v>L.T. 3 Pin Cross Arm 50x50x6 mm</v>
          </cell>
          <cell r="C205" t="str">
            <v>No.</v>
          </cell>
          <cell r="D205">
            <v>552.87</v>
          </cell>
        </row>
        <row r="206">
          <cell r="A206">
            <v>7130810441</v>
          </cell>
          <cell r="B206" t="str">
            <v>L.T. 4 Pin Cross Arm 50x50x6 mm</v>
          </cell>
          <cell r="C206" t="str">
            <v>No.</v>
          </cell>
          <cell r="D206">
            <v>658.44</v>
          </cell>
        </row>
        <row r="207">
          <cell r="A207">
            <v>7130810461</v>
          </cell>
          <cell r="B207" t="str">
            <v>L.T. 5 Pin Cross Arm 50x50x6 mm</v>
          </cell>
          <cell r="C207" t="str">
            <v>No.</v>
          </cell>
          <cell r="D207">
            <v>764</v>
          </cell>
        </row>
        <row r="208">
          <cell r="A208">
            <v>7130810495</v>
          </cell>
          <cell r="B208" t="str">
            <v>11 kV Cross Arm Cleat type</v>
          </cell>
          <cell r="C208" t="str">
            <v>No.</v>
          </cell>
          <cell r="D208">
            <v>937.55</v>
          </cell>
        </row>
        <row r="209">
          <cell r="A209">
            <v>7130810509</v>
          </cell>
          <cell r="B209" t="str">
            <v>D.O. Mounting Channel 75x40 mm</v>
          </cell>
          <cell r="C209" t="str">
            <v>No.</v>
          </cell>
          <cell r="D209">
            <v>1485.95</v>
          </cell>
        </row>
        <row r="210">
          <cell r="A210">
            <v>7130810511</v>
          </cell>
          <cell r="B210" t="str">
            <v>11 kV Guarding Channel 100x50 mm</v>
          </cell>
          <cell r="C210" t="str">
            <v>Set</v>
          </cell>
          <cell r="D210">
            <v>2223.11</v>
          </cell>
        </row>
        <row r="211">
          <cell r="A211">
            <v>7130810512</v>
          </cell>
          <cell r="B211" t="str">
            <v>D.C.Cross arm 4' Centre 100x50 mm Channel 2 Nos.</v>
          </cell>
          <cell r="C211" t="str">
            <v>Set</v>
          </cell>
          <cell r="D211">
            <v>3524.76</v>
          </cell>
        </row>
        <row r="212">
          <cell r="A212">
            <v>7130810512</v>
          </cell>
          <cell r="B212" t="str">
            <v xml:space="preserve">D.C.Cross arm 4' Centre 75x40 mm Channel </v>
          </cell>
          <cell r="C212" t="str">
            <v>Set</v>
          </cell>
          <cell r="D212">
            <v>2560.37</v>
          </cell>
        </row>
        <row r="213">
          <cell r="A213">
            <v>7130810512</v>
          </cell>
          <cell r="B213" t="str">
            <v xml:space="preserve">D.C.Cross arm 4' Centre Angle 100x100x6 mm  </v>
          </cell>
          <cell r="C213" t="str">
            <v>Set</v>
          </cell>
          <cell r="D213">
            <v>3598.13</v>
          </cell>
        </row>
        <row r="214">
          <cell r="A214">
            <v>7130810517</v>
          </cell>
          <cell r="B214" t="str">
            <v>D.C.Cross arm 8' Centre 100x50 mm  Channel</v>
          </cell>
          <cell r="C214" t="str">
            <v>Set</v>
          </cell>
          <cell r="D214">
            <v>4067.8</v>
          </cell>
        </row>
        <row r="215">
          <cell r="A215">
            <v>7130810595</v>
          </cell>
          <cell r="B215" t="str">
            <v>33 kV Cross Arm 75x75x6 mm</v>
          </cell>
          <cell r="C215" t="str">
            <v>No.</v>
          </cell>
          <cell r="D215">
            <v>2086.23</v>
          </cell>
        </row>
        <row r="216">
          <cell r="A216">
            <v>7130810608</v>
          </cell>
          <cell r="B216" t="str">
            <v>D.C.Cross arm 5' Centre 100x50 mm M.S.Channel</v>
          </cell>
          <cell r="C216" t="str">
            <v>Set</v>
          </cell>
          <cell r="D216">
            <v>4810.32</v>
          </cell>
        </row>
        <row r="217">
          <cell r="A217">
            <v>7130810624</v>
          </cell>
          <cell r="B217" t="str">
            <v>Strain Plate (65x8 mm) for 33 kV</v>
          </cell>
          <cell r="C217" t="str">
            <v>No.</v>
          </cell>
          <cell r="D217">
            <v>92.65</v>
          </cell>
        </row>
        <row r="218">
          <cell r="A218">
            <v>7130810676</v>
          </cell>
          <cell r="B218" t="str">
            <v>33 kV Top Channel 75x75x6 mm</v>
          </cell>
          <cell r="C218" t="str">
            <v>No.</v>
          </cell>
          <cell r="D218">
            <v>347.11</v>
          </cell>
        </row>
        <row r="219">
          <cell r="A219">
            <v>7130810679</v>
          </cell>
          <cell r="B219" t="str">
            <v>11 kV Top Clamp Angle type 65x65x6 mm</v>
          </cell>
          <cell r="C219" t="str">
            <v>No.</v>
          </cell>
          <cell r="D219">
            <v>263.01</v>
          </cell>
        </row>
        <row r="220">
          <cell r="A220">
            <v>7130810681</v>
          </cell>
          <cell r="B220" t="str">
            <v>Single Pole Cut Point Fitting 100x50 mm</v>
          </cell>
          <cell r="C220" t="str">
            <v>Set</v>
          </cell>
          <cell r="D220">
            <v>2886.91</v>
          </cell>
        </row>
        <row r="221">
          <cell r="A221">
            <v>7130810684</v>
          </cell>
          <cell r="B221" t="str">
            <v>D.C.Cross Arm 5.2 Mtr. Channel</v>
          </cell>
          <cell r="C221" t="str">
            <v>No.</v>
          </cell>
          <cell r="D221">
            <v>7565.72</v>
          </cell>
        </row>
        <row r="222">
          <cell r="A222">
            <v>7130810692</v>
          </cell>
          <cell r="B222" t="str">
            <v>Stay Clamp Rail for H-Beam</v>
          </cell>
          <cell r="C222" t="str">
            <v>Pair</v>
          </cell>
          <cell r="D222">
            <v>298.12</v>
          </cell>
        </row>
        <row r="223">
          <cell r="A223">
            <v>7130820008</v>
          </cell>
          <cell r="B223" t="str">
            <v>11 kV Pin insulator with Pin</v>
          </cell>
          <cell r="C223" t="str">
            <v>Each</v>
          </cell>
          <cell r="D223">
            <v>128.59</v>
          </cell>
        </row>
        <row r="224">
          <cell r="A224">
            <v>7130820009</v>
          </cell>
          <cell r="B224" t="str">
            <v>33 kV Pin insulator with Pin</v>
          </cell>
          <cell r="C224" t="str">
            <v>Each</v>
          </cell>
          <cell r="D224">
            <v>316.82</v>
          </cell>
        </row>
        <row r="225">
          <cell r="A225">
            <v>7130820010</v>
          </cell>
          <cell r="B225" t="str">
            <v>11 kV Disc Insulator</v>
          </cell>
          <cell r="C225" t="str">
            <v>Each</v>
          </cell>
          <cell r="D225">
            <v>115.83</v>
          </cell>
        </row>
        <row r="226">
          <cell r="A226">
            <v>7130820011</v>
          </cell>
          <cell r="B226" t="str">
            <v>33 kV Composite Disc insulator</v>
          </cell>
          <cell r="C226" t="str">
            <v>Each</v>
          </cell>
          <cell r="D226">
            <v>220.13</v>
          </cell>
        </row>
        <row r="227">
          <cell r="A227">
            <v>7130820018</v>
          </cell>
          <cell r="B227" t="str">
            <v>Split insulator</v>
          </cell>
          <cell r="C227" t="str">
            <v>Pair</v>
          </cell>
          <cell r="D227">
            <v>4.3</v>
          </cell>
        </row>
        <row r="228">
          <cell r="A228">
            <v>7130820026</v>
          </cell>
          <cell r="B228" t="str">
            <v>11 kV Post Insulator</v>
          </cell>
          <cell r="C228" t="str">
            <v>Nos.</v>
          </cell>
          <cell r="D228">
            <v>458.36</v>
          </cell>
        </row>
        <row r="229">
          <cell r="A229">
            <v>7130820027</v>
          </cell>
          <cell r="B229" t="str">
            <v>33 kV Post Insulator</v>
          </cell>
          <cell r="C229" t="str">
            <v>Nos.</v>
          </cell>
          <cell r="D229">
            <v>1874.46</v>
          </cell>
        </row>
        <row r="230">
          <cell r="A230">
            <v>7130820029</v>
          </cell>
          <cell r="B230" t="str">
            <v>Cable tie for AB Cable</v>
          </cell>
          <cell r="C230" t="str">
            <v>Each</v>
          </cell>
          <cell r="D230">
            <v>34.18</v>
          </cell>
        </row>
        <row r="231">
          <cell r="A231">
            <v>7130820030</v>
          </cell>
          <cell r="B231" t="str">
            <v xml:space="preserve">Disc insulator </v>
          </cell>
          <cell r="C231" t="str">
            <v>Each</v>
          </cell>
          <cell r="D231">
            <v>234.77</v>
          </cell>
        </row>
        <row r="232">
          <cell r="A232">
            <v>7130820071</v>
          </cell>
          <cell r="B232" t="str">
            <v>11 kV Pin insulator</v>
          </cell>
          <cell r="C232" t="str">
            <v>Each</v>
          </cell>
          <cell r="D232">
            <v>46.24</v>
          </cell>
        </row>
        <row r="233">
          <cell r="A233">
            <v>7130820075</v>
          </cell>
          <cell r="B233" t="str">
            <v xml:space="preserve">33 kV Pin insulator </v>
          </cell>
          <cell r="C233" t="str">
            <v>Each</v>
          </cell>
          <cell r="D233">
            <v>235.68</v>
          </cell>
        </row>
        <row r="234">
          <cell r="A234">
            <v>7130820101</v>
          </cell>
          <cell r="B234" t="str">
            <v>65 x 50 mm.</v>
          </cell>
          <cell r="C234" t="str">
            <v>Each</v>
          </cell>
          <cell r="D234">
            <v>12.03</v>
          </cell>
        </row>
        <row r="235">
          <cell r="A235">
            <v>7130820106</v>
          </cell>
          <cell r="B235" t="str">
            <v>90 x 75 mm.</v>
          </cell>
          <cell r="C235" t="str">
            <v>Each</v>
          </cell>
          <cell r="D235">
            <v>12.94</v>
          </cell>
        </row>
        <row r="236">
          <cell r="A236">
            <v>7130820117</v>
          </cell>
          <cell r="B236" t="str">
            <v>Stay insulator</v>
          </cell>
          <cell r="C236" t="str">
            <v>Each</v>
          </cell>
          <cell r="D236">
            <v>11.46</v>
          </cell>
        </row>
        <row r="237">
          <cell r="A237">
            <v>7130820155</v>
          </cell>
          <cell r="B237" t="str">
            <v>GI Pin for 11 kV Pin insulator.</v>
          </cell>
          <cell r="C237" t="str">
            <v>Each</v>
          </cell>
          <cell r="D237">
            <v>75.81</v>
          </cell>
        </row>
        <row r="238">
          <cell r="A238">
            <v>7130820158</v>
          </cell>
          <cell r="B238" t="str">
            <v>GI Pin for 33 kV Pin insulator.</v>
          </cell>
          <cell r="C238" t="str">
            <v>Each</v>
          </cell>
          <cell r="D238">
            <v>252.28</v>
          </cell>
        </row>
        <row r="239">
          <cell r="A239">
            <v>7130820201</v>
          </cell>
          <cell r="B239" t="str">
            <v>Aluminium bobbin.</v>
          </cell>
          <cell r="C239" t="str">
            <v>Each</v>
          </cell>
          <cell r="D239">
            <v>36.200000000000003</v>
          </cell>
        </row>
        <row r="240">
          <cell r="A240">
            <v>7130820206</v>
          </cell>
          <cell r="B240" t="str">
            <v>For 65 x 50 mm insulators</v>
          </cell>
          <cell r="C240" t="str">
            <v>Each</v>
          </cell>
          <cell r="D240">
            <v>37.950000000000003</v>
          </cell>
        </row>
        <row r="241">
          <cell r="A241">
            <v>7130820216</v>
          </cell>
          <cell r="B241" t="str">
            <v>For 90 x 75 mm insulators</v>
          </cell>
          <cell r="C241" t="str">
            <v>Each</v>
          </cell>
          <cell r="D241">
            <v>43.21</v>
          </cell>
        </row>
        <row r="242">
          <cell r="A242">
            <v>7130820241</v>
          </cell>
          <cell r="B242" t="str">
            <v>Strain H/W up to Rabbit.</v>
          </cell>
          <cell r="C242" t="str">
            <v>Each</v>
          </cell>
          <cell r="D242">
            <v>127.16</v>
          </cell>
        </row>
        <row r="243">
          <cell r="A243">
            <v>7130820248</v>
          </cell>
          <cell r="B243" t="str">
            <v>Strain H/W for Raccoon &amp; Dog.</v>
          </cell>
          <cell r="C243" t="str">
            <v>Each</v>
          </cell>
          <cell r="D243">
            <v>264.18</v>
          </cell>
        </row>
        <row r="244">
          <cell r="A244">
            <v>7130820312</v>
          </cell>
          <cell r="B244" t="str">
            <v>Suspension H/W suitable for Panther Conductor.</v>
          </cell>
          <cell r="C244" t="str">
            <v>Set</v>
          </cell>
          <cell r="D244">
            <v>2263.64</v>
          </cell>
        </row>
        <row r="245">
          <cell r="A245">
            <v>7130830006</v>
          </cell>
          <cell r="B245" t="str">
            <v>Aluminium binding wire and tape.</v>
          </cell>
          <cell r="C245" t="str">
            <v>Kg</v>
          </cell>
          <cell r="D245">
            <v>158.05000000000001</v>
          </cell>
        </row>
        <row r="246">
          <cell r="A246">
            <v>7130830025</v>
          </cell>
          <cell r="B246" t="str">
            <v>0.02 Sq.inch (20/22 Sqmm Al. Eq.) (Squirrel)</v>
          </cell>
          <cell r="C246" t="str">
            <v>Km</v>
          </cell>
        </row>
        <row r="247">
          <cell r="A247">
            <v>7130830026</v>
          </cell>
          <cell r="B247" t="str">
            <v>0.03 Sq.inch (30/34 Sqmm Al. Eq.) (Weasel)</v>
          </cell>
          <cell r="C247" t="str">
            <v>Km</v>
          </cell>
        </row>
        <row r="248">
          <cell r="A248">
            <v>7130830027</v>
          </cell>
          <cell r="B248" t="str">
            <v>0.05 Sq.inch (50/55 Sqmm Al. Eq.) (Rabbit)</v>
          </cell>
          <cell r="C248" t="str">
            <v>Km</v>
          </cell>
        </row>
        <row r="249">
          <cell r="A249">
            <v>7130830028</v>
          </cell>
          <cell r="B249" t="str">
            <v>0.075 Sq.inch (80 Sqmm Al. Eq.) (Raccoon)</v>
          </cell>
          <cell r="C249" t="str">
            <v>Km</v>
          </cell>
        </row>
        <row r="250">
          <cell r="A250">
            <v>7130830050</v>
          </cell>
          <cell r="B250" t="str">
            <v>Jointing sleeve for Raccoon Conductor.</v>
          </cell>
          <cell r="C250" t="str">
            <v>Each</v>
          </cell>
          <cell r="D250">
            <v>36.75</v>
          </cell>
        </row>
        <row r="251">
          <cell r="A251">
            <v>7130830051</v>
          </cell>
          <cell r="B251" t="str">
            <v>Jointing sleeve for Dog Conductor.</v>
          </cell>
          <cell r="C251" t="str">
            <v>Each</v>
          </cell>
          <cell r="D251">
            <v>143.43</v>
          </cell>
        </row>
        <row r="252">
          <cell r="A252">
            <v>7130830052</v>
          </cell>
          <cell r="B252" t="str">
            <v>Bimetallic clamp for Power Transformer</v>
          </cell>
          <cell r="C252" t="str">
            <v>Each</v>
          </cell>
          <cell r="D252">
            <v>614.16</v>
          </cell>
        </row>
        <row r="253">
          <cell r="A253">
            <v>7130830053</v>
          </cell>
          <cell r="B253" t="str">
            <v>0.02 Sq.inch (20 Sqmm Al. Eq.) (Squirrel)</v>
          </cell>
          <cell r="C253" t="str">
            <v>Km</v>
          </cell>
          <cell r="D253">
            <v>14000.78</v>
          </cell>
        </row>
        <row r="254">
          <cell r="A254">
            <v>7130830054</v>
          </cell>
          <cell r="B254" t="str">
            <v>Bimetallic clamp for VCB</v>
          </cell>
          <cell r="C254" t="str">
            <v>Each</v>
          </cell>
          <cell r="D254">
            <v>358.66</v>
          </cell>
        </row>
        <row r="255">
          <cell r="A255">
            <v>7130830055</v>
          </cell>
          <cell r="B255" t="str">
            <v>0.03 Sq.inch (30 Sqmm Al. Eq.) (Weasel)</v>
          </cell>
          <cell r="C255" t="str">
            <v>Km</v>
          </cell>
          <cell r="D255">
            <v>20421.169999999998</v>
          </cell>
        </row>
        <row r="256">
          <cell r="A256">
            <v>7130830056</v>
          </cell>
          <cell r="B256" t="str">
            <v>Bimetallic clamp for CT-PT Unit</v>
          </cell>
          <cell r="C256" t="str">
            <v>Each</v>
          </cell>
          <cell r="D256">
            <v>358.66</v>
          </cell>
        </row>
        <row r="257">
          <cell r="A257">
            <v>7130830057</v>
          </cell>
          <cell r="B257" t="str">
            <v>0.05 Sq.inch (50 Sqmm Al. Eq.) (Rabbit)</v>
          </cell>
          <cell r="C257" t="str">
            <v>Km</v>
          </cell>
          <cell r="D257">
            <v>33620.39</v>
          </cell>
        </row>
        <row r="258">
          <cell r="A258">
            <v>7130830058</v>
          </cell>
          <cell r="B258" t="str">
            <v>Bimetallic clamp for Distribution Transformer (HT)</v>
          </cell>
          <cell r="C258" t="str">
            <v>Each</v>
          </cell>
          <cell r="D258">
            <v>182.33</v>
          </cell>
        </row>
        <row r="259">
          <cell r="A259">
            <v>7130830060</v>
          </cell>
          <cell r="B259" t="str">
            <v>0.075 Sq.inch (80 Sqmm Al. Eq.) (Raccoon)</v>
          </cell>
          <cell r="C259" t="str">
            <v>Km</v>
          </cell>
          <cell r="D259">
            <v>49696.17</v>
          </cell>
        </row>
        <row r="260">
          <cell r="A260">
            <v>7130830063</v>
          </cell>
          <cell r="B260" t="str">
            <v>0.10 Sq.inch (100 Sqmm Al. Eq.) (Dog)</v>
          </cell>
          <cell r="C260" t="str">
            <v>Km</v>
          </cell>
          <cell r="D260">
            <v>65832.399999999994</v>
          </cell>
        </row>
        <row r="261">
          <cell r="A261">
            <v>7130830070</v>
          </cell>
          <cell r="B261" t="str">
            <v>0.2 Sq inch ( 130 Sqmm Al.Eq.)(Panther)</v>
          </cell>
          <cell r="C261" t="str">
            <v>Km</v>
          </cell>
          <cell r="D261">
            <v>145691.06</v>
          </cell>
        </row>
        <row r="262">
          <cell r="A262">
            <v>7130830084</v>
          </cell>
          <cell r="B262" t="str">
            <v>0.10 Sq.inch (100 Sqmm Al. Eq.) (Dog)</v>
          </cell>
          <cell r="C262" t="str">
            <v>Km</v>
          </cell>
        </row>
        <row r="263">
          <cell r="A263">
            <v>7130830585</v>
          </cell>
          <cell r="B263" t="str">
            <v>T-Clamp for Dog Conductor.</v>
          </cell>
          <cell r="C263" t="str">
            <v>Each</v>
          </cell>
          <cell r="D263">
            <v>271.45</v>
          </cell>
        </row>
        <row r="264">
          <cell r="A264">
            <v>7130830586</v>
          </cell>
          <cell r="B264" t="str">
            <v>T-Clamp for Raccoon Conductor.</v>
          </cell>
          <cell r="C264" t="str">
            <v>Each</v>
          </cell>
          <cell r="D264">
            <v>216.92</v>
          </cell>
        </row>
        <row r="265">
          <cell r="A265">
            <v>7130830586</v>
          </cell>
          <cell r="B265" t="str">
            <v>T-Clamp for Panther Conductor.</v>
          </cell>
          <cell r="C265" t="str">
            <v>Each</v>
          </cell>
          <cell r="D265">
            <v>317.68</v>
          </cell>
        </row>
        <row r="266">
          <cell r="A266">
            <v>7130830603</v>
          </cell>
          <cell r="B266" t="str">
            <v>Bimetallic clamp for Distribution Transformer (LT)</v>
          </cell>
          <cell r="C266" t="str">
            <v>Each</v>
          </cell>
          <cell r="D266">
            <v>267.49</v>
          </cell>
        </row>
        <row r="267">
          <cell r="A267">
            <v>7130830854</v>
          </cell>
          <cell r="B267" t="str">
            <v>Jointing sleeves for Weasel, Squirrel &amp; Rabbit Conductor.</v>
          </cell>
          <cell r="C267" t="str">
            <v>Each</v>
          </cell>
          <cell r="D267">
            <v>29.63</v>
          </cell>
        </row>
        <row r="268">
          <cell r="A268">
            <v>7130830971</v>
          </cell>
          <cell r="B268" t="str">
            <v>Jointing sleeves for Panther Conductor.</v>
          </cell>
          <cell r="C268" t="str">
            <v>Each</v>
          </cell>
          <cell r="D268">
            <v>221.67</v>
          </cell>
        </row>
        <row r="269">
          <cell r="A269">
            <v>7130840021</v>
          </cell>
          <cell r="B269" t="str">
            <v>33 kV Polymer Lightning Arrestor</v>
          </cell>
          <cell r="C269" t="str">
            <v>Each</v>
          </cell>
          <cell r="D269">
            <v>2855.98</v>
          </cell>
        </row>
        <row r="270">
          <cell r="A270">
            <v>7130840029</v>
          </cell>
          <cell r="B270" t="str">
            <v>11 kV Polymer Lightning Arrestor</v>
          </cell>
          <cell r="C270" t="str">
            <v>Each</v>
          </cell>
          <cell r="D270">
            <v>301.68</v>
          </cell>
        </row>
        <row r="271">
          <cell r="A271">
            <v>7130850198</v>
          </cell>
          <cell r="B271" t="str">
            <v>GI Structure for complete Equipment</v>
          </cell>
          <cell r="C271" t="str">
            <v>Kg</v>
          </cell>
          <cell r="D271">
            <v>81.55</v>
          </cell>
        </row>
        <row r="272">
          <cell r="A272">
            <v>7130850201</v>
          </cell>
          <cell r="B272" t="str">
            <v>D Transformer Mounting 100x50 mm Channel</v>
          </cell>
          <cell r="C272" t="str">
            <v>Set</v>
          </cell>
          <cell r="D272">
            <v>4067.8</v>
          </cell>
        </row>
        <row r="273">
          <cell r="A273">
            <v>7130850201</v>
          </cell>
          <cell r="B273" t="str">
            <v>Transformer Mounting with Belting for Addl. X-Arm</v>
          </cell>
          <cell r="C273" t="str">
            <v>No.</v>
          </cell>
          <cell r="D273">
            <v>3930.03</v>
          </cell>
        </row>
        <row r="274">
          <cell r="A274">
            <v>7130860017</v>
          </cell>
          <cell r="B274" t="str">
            <v>I-Bolt - 16 mm</v>
          </cell>
          <cell r="C274" t="str">
            <v>No.</v>
          </cell>
          <cell r="D274">
            <v>104.62</v>
          </cell>
        </row>
        <row r="275">
          <cell r="A275">
            <v>7130860032</v>
          </cell>
          <cell r="B275" t="str">
            <v>Stay Set 16 mm (Painted) LT &amp; 11 KV</v>
          </cell>
          <cell r="C275" t="str">
            <v>Each</v>
          </cell>
          <cell r="D275">
            <v>469.06</v>
          </cell>
        </row>
        <row r="276">
          <cell r="A276">
            <v>7130860033</v>
          </cell>
          <cell r="B276" t="str">
            <v>Stay Set 20 mm (Painted)</v>
          </cell>
          <cell r="C276" t="str">
            <v>Each</v>
          </cell>
          <cell r="D276">
            <v>854.67</v>
          </cell>
        </row>
        <row r="277">
          <cell r="A277">
            <v>7130860076</v>
          </cell>
          <cell r="B277" t="str">
            <v>Stay Wire 7/4.00 mm (7/8 SWG)</v>
          </cell>
          <cell r="C277" t="str">
            <v>MT</v>
          </cell>
          <cell r="D277">
            <v>65906.39</v>
          </cell>
        </row>
        <row r="278">
          <cell r="A278">
            <v>7130860077</v>
          </cell>
          <cell r="B278" t="str">
            <v>Stay Wire 7/3.15 mm (7/10 SWG)</v>
          </cell>
          <cell r="C278" t="str">
            <v>MT</v>
          </cell>
          <cell r="D278">
            <v>66551.91</v>
          </cell>
        </row>
        <row r="279">
          <cell r="A279">
            <v>7130870010</v>
          </cell>
          <cell r="B279" t="str">
            <v>Earth spike</v>
          </cell>
          <cell r="C279" t="str">
            <v>No.</v>
          </cell>
          <cell r="D279">
            <v>789.29</v>
          </cell>
        </row>
        <row r="280">
          <cell r="A280">
            <v>7130870013</v>
          </cell>
          <cell r="B280" t="str">
            <v>Earthing coil (Coil of 115 turns of 50 mm dia. &amp; 2.5 Mtrs lead of 4.0 mm GI wire)</v>
          </cell>
          <cell r="C280" t="str">
            <v>Each</v>
          </cell>
          <cell r="D280">
            <v>108.51</v>
          </cell>
        </row>
        <row r="281">
          <cell r="A281">
            <v>7130870030</v>
          </cell>
          <cell r="B281" t="str">
            <v>Earthing Rod 25 mm 1.2 Mtr.</v>
          </cell>
          <cell r="C281" t="str">
            <v>No.</v>
          </cell>
          <cell r="D281">
            <v>338.6</v>
          </cell>
        </row>
        <row r="282">
          <cell r="A282">
            <v>7130870041</v>
          </cell>
          <cell r="B282" t="str">
            <v>G.I.Wire 3.15 mm (10 SWG)</v>
          </cell>
          <cell r="C282" t="str">
            <v>MT</v>
          </cell>
          <cell r="D282">
            <v>57704.75</v>
          </cell>
        </row>
        <row r="283">
          <cell r="A283">
            <v>7130870043</v>
          </cell>
          <cell r="B283" t="str">
            <v>G.I.Wire 4.0 mm (8 SWG)</v>
          </cell>
          <cell r="C283" t="str">
            <v>MT</v>
          </cell>
          <cell r="D283">
            <v>57663.57</v>
          </cell>
        </row>
        <row r="284">
          <cell r="A284">
            <v>7130870045</v>
          </cell>
          <cell r="B284" t="str">
            <v>G.I.Wire 5.0 mm (6 SWG)</v>
          </cell>
          <cell r="C284" t="str">
            <v>MT</v>
          </cell>
          <cell r="D284">
            <v>57663.57</v>
          </cell>
        </row>
        <row r="285">
          <cell r="A285">
            <v>7130870088</v>
          </cell>
          <cell r="B285" t="str">
            <v>Earthing set (Pipe earth as per DRG No.-G/008)</v>
          </cell>
          <cell r="C285" t="str">
            <v>Each</v>
          </cell>
          <cell r="D285">
            <v>2164.59</v>
          </cell>
        </row>
        <row r="286">
          <cell r="A286">
            <v>7130870318</v>
          </cell>
          <cell r="B286" t="str">
            <v>Tension hardware suitable for Panther Conductor.</v>
          </cell>
          <cell r="C286" t="str">
            <v>Set</v>
          </cell>
          <cell r="D286">
            <v>1040.28</v>
          </cell>
        </row>
        <row r="287">
          <cell r="A287">
            <v>7130877681</v>
          </cell>
          <cell r="B287" t="str">
            <v>Dead-end Assembly (Suitable for all size cable)</v>
          </cell>
          <cell r="C287" t="str">
            <v>Each</v>
          </cell>
          <cell r="D287">
            <v>2481.65</v>
          </cell>
        </row>
        <row r="288">
          <cell r="A288">
            <v>7130877683</v>
          </cell>
          <cell r="B288" t="str">
            <v>Straight line Suspension Assembly (Suitable for all size cable)</v>
          </cell>
          <cell r="C288" t="str">
            <v>Each</v>
          </cell>
          <cell r="D288">
            <v>2205.9</v>
          </cell>
        </row>
        <row r="289">
          <cell r="A289">
            <v>7130880006</v>
          </cell>
          <cell r="B289" t="str">
            <v>Cable marker for U/G cable</v>
          </cell>
          <cell r="C289" t="str">
            <v>No.</v>
          </cell>
          <cell r="D289">
            <v>130.54</v>
          </cell>
        </row>
        <row r="290">
          <cell r="A290">
            <v>7130880006</v>
          </cell>
          <cell r="B290" t="str">
            <v>Pad Connector (for Panther conductor)</v>
          </cell>
          <cell r="C290" t="str">
            <v>No.</v>
          </cell>
          <cell r="D290">
            <v>143.84</v>
          </cell>
        </row>
        <row r="291">
          <cell r="A291">
            <v>7130880041</v>
          </cell>
          <cell r="B291" t="str">
            <v>Danger board 33 kV &amp; 11 kV</v>
          </cell>
          <cell r="C291" t="str">
            <v>Each</v>
          </cell>
          <cell r="D291">
            <v>82.05</v>
          </cell>
        </row>
        <row r="292">
          <cell r="A292">
            <v>7130890004</v>
          </cell>
          <cell r="B292" t="str">
            <v>LT Feeder Piller box for 1 phase 8 connection made of M.S.Sheet.</v>
          </cell>
          <cell r="C292" t="str">
            <v>Nos.</v>
          </cell>
          <cell r="D292">
            <v>4715.01</v>
          </cell>
        </row>
        <row r="293">
          <cell r="A293">
            <v>7130890005</v>
          </cell>
          <cell r="B293" t="str">
            <v>LT Feeder Piller box for 1 phase 12 connection made of M.S.Sheet.</v>
          </cell>
          <cell r="C293" t="str">
            <v>Nos.</v>
          </cell>
          <cell r="D293">
            <v>5949.19</v>
          </cell>
        </row>
        <row r="294">
          <cell r="A294">
            <v>7130890006</v>
          </cell>
          <cell r="B294" t="str">
            <v xml:space="preserve">LT Feeder Piller box for 3 phase 4 connection made of M.S.Sheet. </v>
          </cell>
          <cell r="C294" t="str">
            <v>Nos.</v>
          </cell>
          <cell r="D294">
            <v>13492.76</v>
          </cell>
        </row>
        <row r="295">
          <cell r="A295">
            <v>7130890007</v>
          </cell>
          <cell r="B295" t="str">
            <v>LT Feeder Piller box for 3 phase 8 connection made of M.S.Sheet.</v>
          </cell>
          <cell r="C295" t="str">
            <v>Nos.</v>
          </cell>
          <cell r="D295">
            <v>14135.27</v>
          </cell>
        </row>
        <row r="296">
          <cell r="A296">
            <v>7130890008</v>
          </cell>
          <cell r="B296" t="str">
            <v>L.T.Line Spacers</v>
          </cell>
          <cell r="C296" t="str">
            <v>Nos.</v>
          </cell>
          <cell r="D296">
            <v>59.57</v>
          </cell>
        </row>
        <row r="297">
          <cell r="A297">
            <v>7130890973</v>
          </cell>
          <cell r="B297" t="str">
            <v xml:space="preserve">Stainless steel strap with buckle (for installation of Service Distribution Box) </v>
          </cell>
          <cell r="C297" t="str">
            <v>Set</v>
          </cell>
          <cell r="D297">
            <v>58.17</v>
          </cell>
        </row>
        <row r="298">
          <cell r="A298">
            <v>7131961526</v>
          </cell>
          <cell r="B298" t="str">
            <v>GSM Modem</v>
          </cell>
          <cell r="C298" t="str">
            <v>Nos.</v>
          </cell>
          <cell r="D298">
            <v>4366</v>
          </cell>
        </row>
        <row r="299">
          <cell r="A299">
            <v>7130893004</v>
          </cell>
          <cell r="B299" t="str">
            <v>Eye Hook</v>
          </cell>
          <cell r="C299" t="str">
            <v>No.</v>
          </cell>
          <cell r="D299">
            <v>187.93</v>
          </cell>
        </row>
        <row r="300">
          <cell r="A300">
            <v>7130897759</v>
          </cell>
          <cell r="B300" t="str">
            <v>33 kV Guarding Channel 100x50 mm</v>
          </cell>
          <cell r="C300" t="str">
            <v>Set</v>
          </cell>
          <cell r="D300">
            <v>2965.63</v>
          </cell>
        </row>
        <row r="301">
          <cell r="A301">
            <v>7131210001</v>
          </cell>
          <cell r="B301" t="str">
            <v>Panel lndication lamps</v>
          </cell>
          <cell r="C301" t="str">
            <v>Nos.</v>
          </cell>
          <cell r="D301">
            <v>123.35</v>
          </cell>
        </row>
        <row r="302">
          <cell r="A302">
            <v>7131210010</v>
          </cell>
          <cell r="B302" t="str">
            <v>LED 7 Watt lamp with holder</v>
          </cell>
          <cell r="C302" t="str">
            <v>Each</v>
          </cell>
        </row>
        <row r="303">
          <cell r="A303">
            <v>7131210018</v>
          </cell>
          <cell r="B303" t="str">
            <v>LED 12 Watt lamp with holder</v>
          </cell>
          <cell r="C303" t="str">
            <v>Each</v>
          </cell>
        </row>
        <row r="304">
          <cell r="A304">
            <v>7131210019</v>
          </cell>
          <cell r="B304" t="str">
            <v>LED 14 Watt lamp with holder</v>
          </cell>
          <cell r="C304" t="str">
            <v>Each</v>
          </cell>
        </row>
        <row r="305">
          <cell r="A305">
            <v>7131210020</v>
          </cell>
          <cell r="B305" t="str">
            <v>LED 15 Watt lamp with holder</v>
          </cell>
          <cell r="C305" t="str">
            <v>Each</v>
          </cell>
        </row>
        <row r="306">
          <cell r="A306">
            <v>7131210021</v>
          </cell>
          <cell r="B306" t="str">
            <v>LED  Lamps with COMPLETE FITTING - 15 W</v>
          </cell>
          <cell r="C306" t="str">
            <v>Nos.</v>
          </cell>
        </row>
        <row r="307">
          <cell r="A307">
            <v>7131210022</v>
          </cell>
          <cell r="B307" t="str">
            <v>LED  LAMPS WITH COMPLETE FITTING - 20 W</v>
          </cell>
          <cell r="C307" t="str">
            <v>Nos.</v>
          </cell>
        </row>
        <row r="308">
          <cell r="A308">
            <v>7131210852</v>
          </cell>
          <cell r="B308" t="str">
            <v>CFL 7 Watts</v>
          </cell>
          <cell r="C308" t="str">
            <v>Each</v>
          </cell>
        </row>
        <row r="309">
          <cell r="A309">
            <v>7131210881</v>
          </cell>
          <cell r="B309" t="str">
            <v xml:space="preserve">250 Watt Metal Halide  </v>
          </cell>
          <cell r="C309" t="str">
            <v>Each</v>
          </cell>
        </row>
        <row r="310">
          <cell r="A310">
            <v>7131220182</v>
          </cell>
          <cell r="B310" t="str">
            <v>Tube Light Rod (T5 type)</v>
          </cell>
          <cell r="C310" t="str">
            <v>Each</v>
          </cell>
        </row>
        <row r="311">
          <cell r="A311">
            <v>7131230003</v>
          </cell>
          <cell r="B311" t="str">
            <v xml:space="preserve">250 Watt Sodium Vapour </v>
          </cell>
          <cell r="C311" t="str">
            <v>Each</v>
          </cell>
        </row>
        <row r="312">
          <cell r="A312">
            <v>7131230116</v>
          </cell>
          <cell r="B312" t="str">
            <v xml:space="preserve">250 Watt Mercury Vapour </v>
          </cell>
          <cell r="C312" t="str">
            <v>Each</v>
          </cell>
        </row>
        <row r="313">
          <cell r="A313">
            <v>7131230128</v>
          </cell>
          <cell r="B313" t="str">
            <v>Mercury vapour lamp for Gate lighting 2 Nos</v>
          </cell>
          <cell r="C313" t="str">
            <v>Each</v>
          </cell>
        </row>
        <row r="314">
          <cell r="A314">
            <v>7131280006</v>
          </cell>
          <cell r="B314" t="str">
            <v>CFL 15 Watts</v>
          </cell>
          <cell r="C314" t="str">
            <v>Each</v>
          </cell>
        </row>
        <row r="315">
          <cell r="A315">
            <v>7131280007</v>
          </cell>
          <cell r="B315" t="str">
            <v>CFL 20 Watts</v>
          </cell>
          <cell r="C315" t="str">
            <v>Each</v>
          </cell>
        </row>
        <row r="316">
          <cell r="A316">
            <v>7131280008</v>
          </cell>
          <cell r="B316" t="str">
            <v>CFL 23 Watts</v>
          </cell>
          <cell r="C316" t="str">
            <v>Each</v>
          </cell>
        </row>
        <row r="317">
          <cell r="A317">
            <v>7131280009</v>
          </cell>
          <cell r="B317" t="str">
            <v xml:space="preserve">125 Watt Mercury Vapour </v>
          </cell>
          <cell r="C317" t="str">
            <v>Each</v>
          </cell>
        </row>
        <row r="318">
          <cell r="A318">
            <v>7131280010</v>
          </cell>
          <cell r="B318" t="str">
            <v>Halogen Filament (1000 Watts)</v>
          </cell>
          <cell r="C318" t="str">
            <v>Each</v>
          </cell>
        </row>
        <row r="319">
          <cell r="A319">
            <v>7131280011</v>
          </cell>
          <cell r="B319" t="str">
            <v>Search Light Unit with 1000 Watt Halogen Lamp.</v>
          </cell>
          <cell r="C319" t="str">
            <v>Each</v>
          </cell>
        </row>
        <row r="320">
          <cell r="A320">
            <v>7131280012</v>
          </cell>
          <cell r="B320" t="str">
            <v xml:space="preserve">Street Light fitting with tube light </v>
          </cell>
          <cell r="C320" t="str">
            <v>Each</v>
          </cell>
        </row>
        <row r="321">
          <cell r="A321">
            <v>7131280013</v>
          </cell>
          <cell r="B321" t="str">
            <v>Street Light fitting with CFL</v>
          </cell>
          <cell r="C321" t="str">
            <v>Each</v>
          </cell>
        </row>
        <row r="322">
          <cell r="A322">
            <v>7131280014</v>
          </cell>
          <cell r="B322" t="str">
            <v>HPSV lamp 150 watt</v>
          </cell>
          <cell r="C322" t="str">
            <v>Each</v>
          </cell>
        </row>
        <row r="323">
          <cell r="A323">
            <v>7131280015</v>
          </cell>
          <cell r="B323" t="str">
            <v>HPSV Choke 250 watt</v>
          </cell>
          <cell r="C323" t="str">
            <v>Each</v>
          </cell>
        </row>
        <row r="324">
          <cell r="A324">
            <v>7131280016</v>
          </cell>
          <cell r="B324" t="str">
            <v>150 Watt metal halide fitting / HPSV fitting</v>
          </cell>
          <cell r="C324" t="str">
            <v>Each</v>
          </cell>
        </row>
        <row r="325">
          <cell r="A325">
            <v>7131280017</v>
          </cell>
          <cell r="B325" t="str">
            <v>250 Watt metal halide fitting / HPSV fitting</v>
          </cell>
          <cell r="C325" t="str">
            <v>Each</v>
          </cell>
        </row>
        <row r="326">
          <cell r="A326">
            <v>7131280882</v>
          </cell>
          <cell r="B326" t="str">
            <v>CFL 11 Watts</v>
          </cell>
          <cell r="C326" t="str">
            <v>Each</v>
          </cell>
        </row>
        <row r="327">
          <cell r="A327">
            <v>7131300046</v>
          </cell>
          <cell r="B327" t="str">
            <v>Three Phase, 10-60 Amps. with poly carbonate Meter Box</v>
          </cell>
          <cell r="C327" t="str">
            <v>Each</v>
          </cell>
          <cell r="D327">
            <v>1778</v>
          </cell>
        </row>
        <row r="328">
          <cell r="A328">
            <v>7131300065</v>
          </cell>
          <cell r="B328" t="str">
            <v>3 Ø 4 Wire 0.2S accuracy class CT operated meter (for __/110 Volts; __/1 Amps; or __/5 Amps)</v>
          </cell>
          <cell r="C328" t="str">
            <v>Each</v>
          </cell>
          <cell r="D328">
            <v>1118385.1200000001</v>
          </cell>
        </row>
        <row r="329">
          <cell r="A329">
            <v>7131300067</v>
          </cell>
          <cell r="B329" t="str">
            <v>Specific gravity correction chart</v>
          </cell>
          <cell r="C329" t="str">
            <v>Nos.</v>
          </cell>
          <cell r="D329">
            <v>174.93</v>
          </cell>
        </row>
        <row r="330">
          <cell r="A330">
            <v>7131300082</v>
          </cell>
          <cell r="B330" t="str">
            <v>D.C.Volt meter range - 3V to + 5V</v>
          </cell>
          <cell r="C330" t="str">
            <v>Nos.</v>
          </cell>
          <cell r="D330">
            <v>809.99</v>
          </cell>
        </row>
        <row r="331">
          <cell r="A331">
            <v>7131300500</v>
          </cell>
          <cell r="B331" t="str">
            <v>Static 5.0-30 Amps Pilfer proof with transparent poly carbonate meter box.</v>
          </cell>
          <cell r="C331" t="str">
            <v>Each</v>
          </cell>
          <cell r="D331">
            <v>745</v>
          </cell>
        </row>
        <row r="332">
          <cell r="A332">
            <v>7131300881</v>
          </cell>
          <cell r="B332" t="str">
            <v xml:space="preserve">CMRI (Common Meter Reading Instrument) </v>
          </cell>
          <cell r="C332" t="str">
            <v>Each</v>
          </cell>
          <cell r="D332">
            <v>27872.32</v>
          </cell>
        </row>
        <row r="333">
          <cell r="A333">
            <v>7131310002</v>
          </cell>
          <cell r="B333" t="str">
            <v>CT operated electronic static bidirectional meter with DLMS for net metering</v>
          </cell>
          <cell r="C333" t="str">
            <v>Each</v>
          </cell>
          <cell r="D333">
            <v>6154.61</v>
          </cell>
        </row>
        <row r="334">
          <cell r="A334">
            <v>7131310005</v>
          </cell>
          <cell r="B334" t="str">
            <v>CT operated electronic static bidirectional meter with DLMS</v>
          </cell>
          <cell r="C334" t="str">
            <v>Each</v>
          </cell>
          <cell r="D334">
            <v>3060.78</v>
          </cell>
        </row>
        <row r="335">
          <cell r="A335">
            <v>7131310013</v>
          </cell>
          <cell r="B335" t="str">
            <v>3 Ø 4 Wire 0.5S, 5 Amp. Bulk consumer meter</v>
          </cell>
          <cell r="C335" t="str">
            <v>Each</v>
          </cell>
          <cell r="D335">
            <v>4495.8</v>
          </cell>
        </row>
        <row r="336">
          <cell r="A336">
            <v>7131310015</v>
          </cell>
          <cell r="B336" t="str">
            <v>CT operated electronic static meters with AMR (Composite Unit) with LTCTs / Modem / Meter / Meter Box.</v>
          </cell>
          <cell r="C336" t="str">
            <v>Each</v>
          </cell>
          <cell r="D336">
            <v>12647.59</v>
          </cell>
        </row>
        <row r="337">
          <cell r="A337">
            <v>7131310033</v>
          </cell>
          <cell r="B337" t="str">
            <v>3 Ø 4 Wire 0.5S, 5 Amp. with DLMS Protocol category A</v>
          </cell>
          <cell r="C337" t="str">
            <v>Each</v>
          </cell>
          <cell r="D337">
            <v>3720.97</v>
          </cell>
        </row>
        <row r="338">
          <cell r="A338">
            <v>7131310034</v>
          </cell>
          <cell r="B338" t="str">
            <v>3 Ø 4 Wire 0.5S, 5 Amp. with DLMS Protocol category B</v>
          </cell>
          <cell r="C338" t="str">
            <v>Each</v>
          </cell>
          <cell r="D338">
            <v>3720.97</v>
          </cell>
        </row>
        <row r="339">
          <cell r="A339">
            <v>7131310035</v>
          </cell>
          <cell r="B339" t="str">
            <v>3 Ø 3 Wire 0.2S, 1 Amp.  bulk consumer meter</v>
          </cell>
          <cell r="C339" t="str">
            <v>Each</v>
          </cell>
          <cell r="D339">
            <v>17494.95</v>
          </cell>
        </row>
        <row r="340">
          <cell r="A340">
            <v>7131310036</v>
          </cell>
          <cell r="B340" t="str">
            <v xml:space="preserve">3 Ø 4 Wire 0.2S, 1 Amp. bulk consumer meter </v>
          </cell>
          <cell r="C340" t="str">
            <v>Each</v>
          </cell>
          <cell r="D340">
            <v>17494.95</v>
          </cell>
        </row>
        <row r="341">
          <cell r="A341">
            <v>7131310042</v>
          </cell>
          <cell r="B341" t="str">
            <v>3 Ø 4 Wire 0.2S 5A bulk consumer meter</v>
          </cell>
          <cell r="C341" t="str">
            <v>Each</v>
          </cell>
          <cell r="D341">
            <v>17494.95</v>
          </cell>
        </row>
        <row r="342">
          <cell r="A342">
            <v>7131310037</v>
          </cell>
          <cell r="B342" t="str">
            <v>Test terminal Box (TTB)</v>
          </cell>
          <cell r="C342" t="str">
            <v>Each</v>
          </cell>
          <cell r="D342">
            <v>951.41</v>
          </cell>
        </row>
        <row r="343">
          <cell r="A343">
            <v>7131310997</v>
          </cell>
          <cell r="B343" t="str">
            <v>CT operated electronic static meters 100/5 Amp. With data storage.</v>
          </cell>
          <cell r="C343" t="str">
            <v>Each</v>
          </cell>
          <cell r="D343">
            <v>1850</v>
          </cell>
        </row>
        <row r="344">
          <cell r="A344">
            <v>7131320009</v>
          </cell>
          <cell r="B344" t="str">
            <v>Digital Multimeter Electronic Type</v>
          </cell>
          <cell r="C344" t="str">
            <v>Nos.</v>
          </cell>
          <cell r="D344">
            <v>3128.26</v>
          </cell>
        </row>
        <row r="345">
          <cell r="A345">
            <v>7131321603</v>
          </cell>
          <cell r="B345" t="str">
            <v>Earth resistance tester (20/200/2000 Ω) Digital</v>
          </cell>
          <cell r="C345" t="str">
            <v>Nos.</v>
          </cell>
          <cell r="D345">
            <v>4173.6000000000004</v>
          </cell>
        </row>
        <row r="346">
          <cell r="A346">
            <v>7131324780</v>
          </cell>
          <cell r="B346" t="str">
            <v>Megger 500 V</v>
          </cell>
          <cell r="C346" t="str">
            <v>Nos.</v>
          </cell>
          <cell r="D346">
            <v>3753.91</v>
          </cell>
        </row>
        <row r="347">
          <cell r="A347">
            <v>7131324806</v>
          </cell>
          <cell r="B347" t="str">
            <v>Megger up to 2.5 kV</v>
          </cell>
          <cell r="C347" t="str">
            <v>Nos.</v>
          </cell>
          <cell r="D347">
            <v>5657.72</v>
          </cell>
        </row>
        <row r="348">
          <cell r="A348">
            <v>7131329275</v>
          </cell>
          <cell r="B348" t="str">
            <v>Non Directional, 30-V, 5-Amps IDMT relay.</v>
          </cell>
          <cell r="C348" t="str">
            <v>Each</v>
          </cell>
          <cell r="D348">
            <v>6071.97</v>
          </cell>
        </row>
        <row r="349">
          <cell r="A349">
            <v>7131334001</v>
          </cell>
          <cell r="B349" t="str">
            <v>Set of 3 O.C. relays instantaneous high set feature numerical</v>
          </cell>
          <cell r="C349" t="str">
            <v>Nos.</v>
          </cell>
          <cell r="D349">
            <v>5596.74</v>
          </cell>
        </row>
        <row r="350">
          <cell r="A350">
            <v>7131334002</v>
          </cell>
          <cell r="B350" t="str">
            <v>Set of 2 O.C. + 1 earth fault relay without numerical instantaneous high set feature</v>
          </cell>
          <cell r="C350" t="str">
            <v>Nos.</v>
          </cell>
          <cell r="D350">
            <v>5596.74</v>
          </cell>
        </row>
        <row r="351">
          <cell r="A351">
            <v>7131399007</v>
          </cell>
          <cell r="B351" t="str">
            <v>Master trip relays</v>
          </cell>
          <cell r="C351" t="str">
            <v>Nos.</v>
          </cell>
          <cell r="D351">
            <v>965.24</v>
          </cell>
        </row>
        <row r="352">
          <cell r="A352">
            <v>7131300008</v>
          </cell>
          <cell r="B352" t="str">
            <v xml:space="preserve">Auxiliary Relay </v>
          </cell>
          <cell r="C352" t="str">
            <v>Nos.</v>
          </cell>
          <cell r="D352">
            <v>2304.54</v>
          </cell>
        </row>
        <row r="353">
          <cell r="A353">
            <v>7131338004</v>
          </cell>
          <cell r="B353" t="str">
            <v>Transformer Oil Dielectric Breakdown testkit</v>
          </cell>
          <cell r="C353" t="str">
            <v>Nos.</v>
          </cell>
          <cell r="D353">
            <v>63466.59</v>
          </cell>
        </row>
        <row r="354">
          <cell r="A354">
            <v>7131338025</v>
          </cell>
          <cell r="B354" t="str">
            <v>Neon tester</v>
          </cell>
          <cell r="C354" t="str">
            <v>Nos.</v>
          </cell>
          <cell r="D354">
            <v>63.84</v>
          </cell>
        </row>
        <row r="355">
          <cell r="A355">
            <v>7131387501</v>
          </cell>
          <cell r="B355" t="str">
            <v>Battery Hydrometer</v>
          </cell>
          <cell r="C355" t="str">
            <v>Nos.</v>
          </cell>
          <cell r="D355">
            <v>252.08</v>
          </cell>
        </row>
        <row r="356">
          <cell r="A356">
            <v>7131387502</v>
          </cell>
          <cell r="B356" t="str">
            <v>Thermometer (Wall Mounted)</v>
          </cell>
          <cell r="C356" t="str">
            <v>Nos.</v>
          </cell>
          <cell r="D356">
            <v>498.74</v>
          </cell>
        </row>
        <row r="357">
          <cell r="A357">
            <v>7131390014</v>
          </cell>
          <cell r="B357" t="str">
            <v>Earthing Coil for messenger wire</v>
          </cell>
          <cell r="C357" t="str">
            <v>Nos.</v>
          </cell>
          <cell r="D357">
            <v>197.69</v>
          </cell>
        </row>
        <row r="358">
          <cell r="A358">
            <v>7131390015</v>
          </cell>
          <cell r="B358" t="str">
            <v>Anchor sleeve for messenger wire</v>
          </cell>
          <cell r="C358" t="str">
            <v>Nos.</v>
          </cell>
          <cell r="D358">
            <v>34.18</v>
          </cell>
        </row>
        <row r="359">
          <cell r="A359">
            <v>7131390016</v>
          </cell>
          <cell r="B359" t="str">
            <v>Universal hook &amp; Bolts &amp; nuts</v>
          </cell>
          <cell r="C359" t="str">
            <v>Nos.</v>
          </cell>
          <cell r="D359">
            <v>478.92</v>
          </cell>
        </row>
        <row r="360">
          <cell r="A360">
            <v>7131820031</v>
          </cell>
          <cell r="B360" t="str">
            <v>LT Single Phase MCB 5 Amps.</v>
          </cell>
          <cell r="C360" t="str">
            <v>Each</v>
          </cell>
          <cell r="D360">
            <v>108.67</v>
          </cell>
        </row>
        <row r="361">
          <cell r="A361">
            <v>7131820032</v>
          </cell>
          <cell r="B361" t="str">
            <v>LT Single Phase MCB 6 to 16 Amps.</v>
          </cell>
          <cell r="C361" t="str">
            <v>Each</v>
          </cell>
          <cell r="D361">
            <v>108.67</v>
          </cell>
        </row>
        <row r="362">
          <cell r="A362">
            <v>7131820033</v>
          </cell>
          <cell r="B362" t="str">
            <v>LT Three Phase MCB 16 Amps.</v>
          </cell>
          <cell r="C362" t="str">
            <v>Each</v>
          </cell>
          <cell r="D362">
            <v>460.54</v>
          </cell>
        </row>
        <row r="363">
          <cell r="A363">
            <v>7131820034</v>
          </cell>
          <cell r="B363" t="str">
            <v>LT Three Phase MCB 32 Amps.</v>
          </cell>
          <cell r="C363" t="str">
            <v>Each</v>
          </cell>
          <cell r="D363">
            <v>460.54</v>
          </cell>
        </row>
        <row r="364">
          <cell r="A364">
            <v>7131820035</v>
          </cell>
          <cell r="B364" t="str">
            <v>ELCB-MCB Composite Unit 10 Amps. (100 mA DP)</v>
          </cell>
          <cell r="C364" t="str">
            <v>Each</v>
          </cell>
          <cell r="D364">
            <v>3067.73</v>
          </cell>
        </row>
        <row r="365">
          <cell r="A365">
            <v>7131820036</v>
          </cell>
          <cell r="B365" t="str">
            <v>ELCB-MCB Composite Unit 16 Amps. (100 mA DP)</v>
          </cell>
          <cell r="C365" t="str">
            <v>Each</v>
          </cell>
          <cell r="D365">
            <v>3323.82</v>
          </cell>
        </row>
        <row r="366">
          <cell r="A366">
            <v>7131820037</v>
          </cell>
          <cell r="B366" t="str">
            <v>ELCB-MCB Composite Unit 20 Amps. (100 mA DP)</v>
          </cell>
          <cell r="C366" t="str">
            <v>Each</v>
          </cell>
          <cell r="D366">
            <v>3323.82</v>
          </cell>
        </row>
        <row r="367">
          <cell r="A367">
            <v>7131820038</v>
          </cell>
          <cell r="B367" t="str">
            <v>MCCB 32 Amps. (10 kA TP)</v>
          </cell>
          <cell r="C367" t="str">
            <v>Each</v>
          </cell>
          <cell r="D367">
            <v>2428.58</v>
          </cell>
        </row>
        <row r="368">
          <cell r="A368">
            <v>7131820039</v>
          </cell>
          <cell r="B368" t="str">
            <v>MCCB 160 Amps. (10 kA TP)</v>
          </cell>
          <cell r="C368" t="str">
            <v>Each</v>
          </cell>
          <cell r="D368">
            <v>5560.88</v>
          </cell>
        </row>
        <row r="369">
          <cell r="A369">
            <v>7131900004</v>
          </cell>
          <cell r="B369" t="str">
            <v>Locally fabricated - 3 Phase fuse units 150 Amps. (Robust fuse for circuit base).</v>
          </cell>
          <cell r="C369" t="str">
            <v>Each</v>
          </cell>
          <cell r="D369">
            <v>702.1</v>
          </cell>
        </row>
        <row r="370">
          <cell r="A370">
            <v>7131900033</v>
          </cell>
          <cell r="B370" t="str">
            <v>D.O.Fuse element 11 kV (1.5 Amp. to 10 Amp.)</v>
          </cell>
          <cell r="C370" t="str">
            <v>No.</v>
          </cell>
          <cell r="D370">
            <v>7.4</v>
          </cell>
        </row>
        <row r="371">
          <cell r="A371">
            <v>7131900071</v>
          </cell>
          <cell r="B371" t="str">
            <v>H.R.C. Fuse 250 Amps.</v>
          </cell>
          <cell r="C371" t="str">
            <v>Each</v>
          </cell>
          <cell r="D371">
            <v>297.04000000000002</v>
          </cell>
        </row>
        <row r="372">
          <cell r="A372">
            <v>7131900072</v>
          </cell>
          <cell r="B372" t="str">
            <v>H.R.C. Fuse 400 Amps.</v>
          </cell>
          <cell r="C372" t="str">
            <v>Each</v>
          </cell>
          <cell r="D372">
            <v>456.67</v>
          </cell>
        </row>
        <row r="373">
          <cell r="A373">
            <v>7131900625</v>
          </cell>
          <cell r="B373" t="str">
            <v>D.O.Fuse element 33 kV (25 Amp.)</v>
          </cell>
          <cell r="C373" t="str">
            <v>No.</v>
          </cell>
          <cell r="D373">
            <v>12.67</v>
          </cell>
        </row>
        <row r="374">
          <cell r="A374">
            <v>7131900650</v>
          </cell>
          <cell r="B374" t="str">
            <v>D.O.Fuse element 33 kV (50 Amp.)</v>
          </cell>
          <cell r="C374" t="str">
            <v>No.</v>
          </cell>
          <cell r="D374">
            <v>13.73</v>
          </cell>
        </row>
        <row r="375">
          <cell r="A375">
            <v>7131900876</v>
          </cell>
          <cell r="B375" t="str">
            <v>H.R.C. Fuse Unit 100 Amps.</v>
          </cell>
          <cell r="C375" t="str">
            <v>Each</v>
          </cell>
          <cell r="D375">
            <v>292.82</v>
          </cell>
        </row>
        <row r="376">
          <cell r="A376">
            <v>7131900876</v>
          </cell>
          <cell r="B376" t="str">
            <v>H.R.C. Fuse 100 Amps.</v>
          </cell>
          <cell r="C376" t="str">
            <v>Each</v>
          </cell>
          <cell r="D376">
            <v>114.17</v>
          </cell>
        </row>
        <row r="377">
          <cell r="A377">
            <v>7131900880</v>
          </cell>
          <cell r="B377" t="str">
            <v>H.R.C. Fuse Unit 250 Amps.</v>
          </cell>
          <cell r="C377" t="str">
            <v>Each</v>
          </cell>
          <cell r="D377">
            <v>735.74</v>
          </cell>
        </row>
        <row r="378">
          <cell r="A378">
            <v>7131900881</v>
          </cell>
          <cell r="B378" t="str">
            <v>H.R.C. Fuse Unit 400 Amps.</v>
          </cell>
          <cell r="C378" t="str">
            <v>Each</v>
          </cell>
          <cell r="D378">
            <v>813.97</v>
          </cell>
        </row>
        <row r="379">
          <cell r="A379">
            <v>7131900969</v>
          </cell>
          <cell r="B379" t="str">
            <v>T.C. Fuse Wire 22 SWG</v>
          </cell>
          <cell r="C379" t="str">
            <v>Kg</v>
          </cell>
          <cell r="D379">
            <v>672.32</v>
          </cell>
        </row>
        <row r="380">
          <cell r="A380">
            <v>7131900971</v>
          </cell>
          <cell r="B380" t="str">
            <v>T.C. Fuse Wire 20 SWG</v>
          </cell>
          <cell r="C380" t="str">
            <v>Kg</v>
          </cell>
          <cell r="D380">
            <v>672.32</v>
          </cell>
        </row>
        <row r="381">
          <cell r="A381">
            <v>7131900973</v>
          </cell>
          <cell r="B381" t="str">
            <v>T.C. Fuse Wire 18 SWG</v>
          </cell>
          <cell r="C381" t="str">
            <v>Kg</v>
          </cell>
          <cell r="D381">
            <v>651.54999999999995</v>
          </cell>
        </row>
        <row r="382">
          <cell r="A382">
            <v>7131900975</v>
          </cell>
          <cell r="B382" t="str">
            <v>T.C. Fuse Wire 16 SWG</v>
          </cell>
          <cell r="C382" t="str">
            <v>Kg</v>
          </cell>
          <cell r="D382">
            <v>651.54999999999995</v>
          </cell>
        </row>
        <row r="383">
          <cell r="A383">
            <v>7131900977</v>
          </cell>
          <cell r="B383" t="str">
            <v>T.C. Fuse Wire 14 SWG</v>
          </cell>
          <cell r="C383" t="str">
            <v>Kg</v>
          </cell>
          <cell r="D383">
            <v>651.54999999999995</v>
          </cell>
        </row>
        <row r="384">
          <cell r="A384">
            <v>7131900979</v>
          </cell>
          <cell r="B384" t="str">
            <v>T.C. Fuse Wire 12 SWG</v>
          </cell>
          <cell r="C384" t="str">
            <v>Kg</v>
          </cell>
          <cell r="D384">
            <v>651.54999999999995</v>
          </cell>
        </row>
        <row r="385">
          <cell r="A385">
            <v>7131900981</v>
          </cell>
          <cell r="B385" t="str">
            <v>T.C. Fuse Wire 10 SWG</v>
          </cell>
          <cell r="C385" t="str">
            <v>Kg</v>
          </cell>
          <cell r="D385">
            <v>654.36</v>
          </cell>
        </row>
        <row r="386">
          <cell r="A386">
            <v>7131900974</v>
          </cell>
          <cell r="B386" t="str">
            <v>T.C. Fuse Wire 8 SWG</v>
          </cell>
          <cell r="C386" t="str">
            <v>Kg</v>
          </cell>
          <cell r="D386">
            <v>654.36</v>
          </cell>
        </row>
        <row r="387">
          <cell r="A387">
            <v>7131910653</v>
          </cell>
          <cell r="B387" t="str">
            <v>Porcelain Kit-kat fuse unit 32 Amps.</v>
          </cell>
          <cell r="C387" t="str">
            <v>Each</v>
          </cell>
          <cell r="D387">
            <v>45.83</v>
          </cell>
        </row>
        <row r="388">
          <cell r="A388">
            <v>7131910654</v>
          </cell>
          <cell r="B388" t="str">
            <v>Porcelain Kit-kat fuse unit 63 Amps.</v>
          </cell>
          <cell r="C388" t="str">
            <v>Each</v>
          </cell>
          <cell r="D388">
            <v>90.56</v>
          </cell>
        </row>
        <row r="389">
          <cell r="A389">
            <v>7131910655</v>
          </cell>
          <cell r="B389" t="str">
            <v>Porcelain Kit-kat fuse unit 16 Amps.</v>
          </cell>
          <cell r="C389" t="str">
            <v>Each</v>
          </cell>
          <cell r="D389">
            <v>26.19</v>
          </cell>
        </row>
        <row r="390">
          <cell r="A390">
            <v>7131910656</v>
          </cell>
          <cell r="B390" t="str">
            <v>Porcelain Kit-kat fuse unit 100 Amps.</v>
          </cell>
          <cell r="C390" t="str">
            <v>Each</v>
          </cell>
          <cell r="D390">
            <v>246.62</v>
          </cell>
        </row>
        <row r="391">
          <cell r="A391">
            <v>7131910657</v>
          </cell>
          <cell r="B391" t="str">
            <v>Porcelain Kit-kat fuse unit 200 Amps.</v>
          </cell>
          <cell r="C391" t="str">
            <v>Each</v>
          </cell>
          <cell r="D391">
            <v>474.95</v>
          </cell>
        </row>
        <row r="392">
          <cell r="A392">
            <v>7131910658</v>
          </cell>
          <cell r="B392" t="str">
            <v>Porcelain Kit-kat fuse unit 300 Amps.</v>
          </cell>
          <cell r="C392" t="str">
            <v>Each</v>
          </cell>
          <cell r="D392">
            <v>1052.32</v>
          </cell>
        </row>
        <row r="393">
          <cell r="A393">
            <v>7131920001</v>
          </cell>
          <cell r="B393" t="str">
            <v>Load break switches only without panel</v>
          </cell>
          <cell r="C393" t="str">
            <v>Unit</v>
          </cell>
          <cell r="D393">
            <v>44673.54</v>
          </cell>
        </row>
        <row r="394">
          <cell r="A394">
            <v>7131920002</v>
          </cell>
          <cell r="B394" t="str">
            <v>Load break switches with panel</v>
          </cell>
          <cell r="C394" t="str">
            <v>Unit</v>
          </cell>
          <cell r="D394">
            <v>97379.87</v>
          </cell>
        </row>
        <row r="395">
          <cell r="A395">
            <v>7131920003</v>
          </cell>
          <cell r="B395" t="str">
            <v>3 Way Load break switch</v>
          </cell>
          <cell r="C395" t="str">
            <v>Unit</v>
          </cell>
          <cell r="D395">
            <v>315034.68</v>
          </cell>
        </row>
        <row r="396">
          <cell r="A396">
            <v>7131920112</v>
          </cell>
          <cell r="B396" t="str">
            <v xml:space="preserve">11 kV Kiosk VCB </v>
          </cell>
          <cell r="C396" t="str">
            <v>Each</v>
          </cell>
          <cell r="D396">
            <v>310874.96000000002</v>
          </cell>
        </row>
        <row r="397">
          <cell r="A397">
            <v>7131920253</v>
          </cell>
          <cell r="B397" t="str">
            <v>TPN Switches 32 Amps.</v>
          </cell>
          <cell r="C397" t="str">
            <v>Each</v>
          </cell>
          <cell r="D397">
            <v>796.55</v>
          </cell>
        </row>
        <row r="398">
          <cell r="A398">
            <v>7131920254</v>
          </cell>
          <cell r="B398" t="str">
            <v>TPN Switches 63 Amps.</v>
          </cell>
          <cell r="C398" t="str">
            <v>Each</v>
          </cell>
          <cell r="D398">
            <v>1912.68</v>
          </cell>
        </row>
        <row r="399">
          <cell r="A399">
            <v>7131920256</v>
          </cell>
          <cell r="B399" t="str">
            <v>TPN Switches 100 Amps.</v>
          </cell>
          <cell r="C399" t="str">
            <v>Each</v>
          </cell>
          <cell r="D399">
            <v>3699.73</v>
          </cell>
        </row>
        <row r="400">
          <cell r="A400">
            <v>7131920258</v>
          </cell>
          <cell r="B400" t="str">
            <v>TPN Switches 200 Amps.</v>
          </cell>
          <cell r="C400" t="str">
            <v>Each</v>
          </cell>
          <cell r="D400">
            <v>5194.0200000000004</v>
          </cell>
        </row>
        <row r="401">
          <cell r="A401">
            <v>7131920259</v>
          </cell>
          <cell r="B401" t="str">
            <v>TPN Switches 300 Amps.</v>
          </cell>
          <cell r="C401" t="str">
            <v>Each</v>
          </cell>
          <cell r="D401">
            <v>7046.93</v>
          </cell>
        </row>
        <row r="402">
          <cell r="A402">
            <v>7131920260</v>
          </cell>
          <cell r="B402" t="str">
            <v>TPN Switches 400 Amps.</v>
          </cell>
          <cell r="C402" t="str">
            <v>Each</v>
          </cell>
          <cell r="D402">
            <v>10644.19</v>
          </cell>
        </row>
        <row r="403">
          <cell r="A403">
            <v>7131930109</v>
          </cell>
          <cell r="B403" t="str">
            <v>33 kV ; 600 Amps with earth switch.</v>
          </cell>
          <cell r="C403" t="str">
            <v>Each</v>
          </cell>
        </row>
        <row r="404">
          <cell r="A404">
            <v>7131930221</v>
          </cell>
          <cell r="B404" t="str">
            <v>11 kV Porcelain A.B. Switch</v>
          </cell>
          <cell r="C404" t="str">
            <v>Each</v>
          </cell>
          <cell r="D404">
            <v>8496</v>
          </cell>
        </row>
        <row r="405">
          <cell r="A405">
            <v>7131930321</v>
          </cell>
          <cell r="B405" t="str">
            <v>33 kV Porcelain A.B. Switch</v>
          </cell>
          <cell r="C405" t="str">
            <v>Each</v>
          </cell>
          <cell r="D405">
            <v>18863.48</v>
          </cell>
        </row>
        <row r="406">
          <cell r="A406">
            <v>7131930412</v>
          </cell>
          <cell r="B406" t="str">
            <v>11 kV Porcelain D.O. Fuse unit</v>
          </cell>
          <cell r="C406" t="str">
            <v>Each</v>
          </cell>
          <cell r="D406">
            <v>923.94</v>
          </cell>
        </row>
        <row r="407">
          <cell r="A407">
            <v>7131930415</v>
          </cell>
          <cell r="B407" t="str">
            <v>33 kV Porcelain D.O. Fuse unit</v>
          </cell>
          <cell r="C407" t="str">
            <v>Each</v>
          </cell>
          <cell r="D407">
            <v>2472.1</v>
          </cell>
        </row>
        <row r="408">
          <cell r="A408">
            <v>7131930663</v>
          </cell>
          <cell r="B408" t="str">
            <v>11 kV ; 600 Amps.</v>
          </cell>
          <cell r="C408" t="str">
            <v>Each</v>
          </cell>
          <cell r="D408">
            <v>24234.54</v>
          </cell>
        </row>
        <row r="409">
          <cell r="A409">
            <v>7131930752</v>
          </cell>
          <cell r="B409" t="str">
            <v>33 kV ; 600 Amps without earth switch.</v>
          </cell>
          <cell r="C409" t="str">
            <v>Each</v>
          </cell>
          <cell r="D409">
            <v>41940.5</v>
          </cell>
        </row>
        <row r="410">
          <cell r="A410">
            <v>7131931091</v>
          </cell>
          <cell r="B410" t="str">
            <v>11 kV, 400 Amp, Off Load Isolator with earth switch and mounting GI structure</v>
          </cell>
          <cell r="C410" t="str">
            <v>Set</v>
          </cell>
          <cell r="D410">
            <v>28667.79</v>
          </cell>
        </row>
        <row r="411">
          <cell r="A411">
            <v>7131931095</v>
          </cell>
          <cell r="B411" t="str">
            <v>Mounting GI structure for above isolator</v>
          </cell>
          <cell r="C411" t="str">
            <v>Set</v>
          </cell>
          <cell r="D411">
            <v>14104.17</v>
          </cell>
        </row>
        <row r="412">
          <cell r="A412">
            <v>7131940602</v>
          </cell>
          <cell r="B412" t="str">
            <v>MCCB 100 Amps. (10 kA TP)</v>
          </cell>
          <cell r="C412" t="str">
            <v>Each</v>
          </cell>
          <cell r="D412">
            <v>2556.62</v>
          </cell>
        </row>
        <row r="413">
          <cell r="A413">
            <v>7131940610</v>
          </cell>
          <cell r="B413" t="str">
            <v>MCCB 300 Amps. (35 kA TP)</v>
          </cell>
          <cell r="C413" t="str">
            <v>Each</v>
          </cell>
          <cell r="D413">
            <v>24287.94</v>
          </cell>
        </row>
        <row r="414">
          <cell r="A414">
            <v>7131940612</v>
          </cell>
          <cell r="B414" t="str">
            <v>MCCB 450 TO 500 Amps. (35 kA TP)</v>
          </cell>
          <cell r="C414" t="str">
            <v>Each</v>
          </cell>
          <cell r="D414">
            <v>24287.94</v>
          </cell>
        </row>
        <row r="415">
          <cell r="A415">
            <v>7131940871</v>
          </cell>
          <cell r="B415" t="str">
            <v>Indoor Type Automatic Control Unit along with APFC Relay</v>
          </cell>
          <cell r="C415" t="str">
            <v>No.</v>
          </cell>
          <cell r="D415">
            <v>48138.52</v>
          </cell>
        </row>
        <row r="416">
          <cell r="A416">
            <v>7131941762</v>
          </cell>
          <cell r="B416" t="str">
            <v>11 kV VCB without control panel &amp; CT's.</v>
          </cell>
          <cell r="C416" t="str">
            <v>Each</v>
          </cell>
          <cell r="D416">
            <v>114005.84</v>
          </cell>
        </row>
        <row r="417">
          <cell r="A417">
            <v>7131943380</v>
          </cell>
          <cell r="B417" t="str">
            <v>33 kV VCB without control panel &amp; CT's.</v>
          </cell>
          <cell r="C417" t="str">
            <v>Each</v>
          </cell>
          <cell r="D417">
            <v>232937.83</v>
          </cell>
        </row>
        <row r="418">
          <cell r="A418">
            <v>7131950010</v>
          </cell>
          <cell r="B418" t="str">
            <v>Distribution box 1 ph. 9 connectors along with 2 Nos. Steel Strap &amp; Buckles.</v>
          </cell>
          <cell r="C418" t="str">
            <v>Each</v>
          </cell>
          <cell r="D418">
            <v>1052.94</v>
          </cell>
        </row>
        <row r="419">
          <cell r="A419">
            <v>7131950012</v>
          </cell>
          <cell r="B419" t="str">
            <v>Distribution box 3 phase 5 connectors along with 2 Nos. Steel Strap &amp; Buckles.</v>
          </cell>
          <cell r="C419" t="str">
            <v>Each</v>
          </cell>
          <cell r="D419">
            <v>1268.3800000000001</v>
          </cell>
        </row>
        <row r="420">
          <cell r="A420">
            <v>7131950015</v>
          </cell>
          <cell r="B420" t="str">
            <v>L.T.Distribution Box for 500 kVA X'mer (800 A, isolator &amp; 12 SP MCCB of 150 A)</v>
          </cell>
          <cell r="C420" t="str">
            <v>Each</v>
          </cell>
          <cell r="D420">
            <v>42188.35</v>
          </cell>
        </row>
        <row r="421">
          <cell r="A421">
            <v>7131950016</v>
          </cell>
          <cell r="B421" t="str">
            <v>11 kV Sectionalizer.</v>
          </cell>
          <cell r="C421" t="str">
            <v>Each</v>
          </cell>
          <cell r="D421">
            <v>370096.39</v>
          </cell>
        </row>
        <row r="422">
          <cell r="A422">
            <v>7131950065</v>
          </cell>
          <cell r="B422" t="str">
            <v>L.T. Distribution Box for 63 kVA X'mer (200 A, isolator &amp; 6 SP MCCB of 100 A)</v>
          </cell>
          <cell r="C422" t="str">
            <v>Each</v>
          </cell>
          <cell r="D422">
            <v>15765.78</v>
          </cell>
        </row>
        <row r="423">
          <cell r="A423">
            <v>7131950105</v>
          </cell>
          <cell r="B423" t="str">
            <v>L.T. Distribution Box for 100 kVA X'mer (200 A, isolator &amp; 6 SP MCCB of 200 A)</v>
          </cell>
          <cell r="C423" t="str">
            <v>Each</v>
          </cell>
          <cell r="D423">
            <v>19708.05</v>
          </cell>
        </row>
        <row r="424">
          <cell r="A424">
            <v>7131950200</v>
          </cell>
          <cell r="B424" t="str">
            <v>L.T. Distribution Box for 200 kVA X'mer (400 A, isolator &amp; 6 SP MCCB of 120A)</v>
          </cell>
          <cell r="C424" t="str">
            <v>Each</v>
          </cell>
          <cell r="D424">
            <v>39414.449999999997</v>
          </cell>
        </row>
        <row r="425">
          <cell r="A425">
            <v>7131950207</v>
          </cell>
          <cell r="B425" t="str">
            <v>L.T. Distribution Box for 315 kVA X'mer (600 A, isolator &amp; 9 SP MCCB of 160A)</v>
          </cell>
          <cell r="C425" t="str">
            <v>Each</v>
          </cell>
          <cell r="D425">
            <v>33819.980000000003</v>
          </cell>
        </row>
        <row r="426">
          <cell r="A426">
            <v>7131950208</v>
          </cell>
          <cell r="B426" t="str">
            <v>SMC LT Distribution Box for 100 kVA Distribution Transformer</v>
          </cell>
          <cell r="C426" t="str">
            <v>Each</v>
          </cell>
          <cell r="D426">
            <v>19098.8</v>
          </cell>
        </row>
        <row r="427">
          <cell r="A427">
            <v>7131950209</v>
          </cell>
          <cell r="B427" t="str">
            <v>SMC LT Distribution Box for 315 kVA Distribution Transformer</v>
          </cell>
          <cell r="C427" t="str">
            <v>Each</v>
          </cell>
          <cell r="D427">
            <v>32774.480000000003</v>
          </cell>
        </row>
        <row r="428">
          <cell r="A428">
            <v>7131960006</v>
          </cell>
          <cell r="B428" t="str">
            <v>33 kV feeder control panel (Static Relays).</v>
          </cell>
          <cell r="C428" t="str">
            <v>Each</v>
          </cell>
          <cell r="D428">
            <v>23966.26</v>
          </cell>
        </row>
        <row r="429">
          <cell r="A429">
            <v>7131960007</v>
          </cell>
          <cell r="B429" t="str">
            <v>33 kV Transformer Control Panel (Static Relays)</v>
          </cell>
          <cell r="C429" t="str">
            <v>Each</v>
          </cell>
          <cell r="D429">
            <v>26461.040000000001</v>
          </cell>
        </row>
        <row r="430">
          <cell r="A430">
            <v>7131960008</v>
          </cell>
          <cell r="B430" t="str">
            <v>Feeder Control (Static Relays)</v>
          </cell>
          <cell r="C430" t="str">
            <v>Each</v>
          </cell>
          <cell r="D430">
            <v>23328.880000000001</v>
          </cell>
        </row>
        <row r="431">
          <cell r="A431">
            <v>7131960009</v>
          </cell>
          <cell r="B431" t="str">
            <v>Transformer Control (Static Relays)</v>
          </cell>
          <cell r="C431" t="str">
            <v>Each</v>
          </cell>
          <cell r="D431">
            <v>24579.62</v>
          </cell>
        </row>
        <row r="432">
          <cell r="A432">
            <v>7131960010</v>
          </cell>
          <cell r="B432" t="str">
            <v>11 kV Control &amp; Relay Panel for Capacitor Bank</v>
          </cell>
          <cell r="C432" t="str">
            <v>Each</v>
          </cell>
          <cell r="D432">
            <v>75528.56</v>
          </cell>
        </row>
        <row r="433">
          <cell r="A433">
            <v>7131960520</v>
          </cell>
          <cell r="B433" t="str">
            <v>2 Feeder Control (Static Relays)</v>
          </cell>
          <cell r="C433" t="str">
            <v>Each</v>
          </cell>
          <cell r="D433">
            <v>34939.800000000003</v>
          </cell>
        </row>
        <row r="434">
          <cell r="A434">
            <v>7131960522</v>
          </cell>
          <cell r="B434" t="str">
            <v>1 Transformer+1 Feeder (Static Relays)</v>
          </cell>
          <cell r="C434" t="str">
            <v>Each</v>
          </cell>
          <cell r="D434">
            <v>35164</v>
          </cell>
        </row>
        <row r="435">
          <cell r="A435">
            <v>7131960524</v>
          </cell>
          <cell r="B435" t="str">
            <v>1 Feeder + 1 Transformer (Static Relays)</v>
          </cell>
          <cell r="C435" t="str">
            <v>Each</v>
          </cell>
          <cell r="D435">
            <v>35683.199999999997</v>
          </cell>
        </row>
        <row r="436">
          <cell r="A436">
            <v>7132002234</v>
          </cell>
          <cell r="B436" t="str">
            <v>Allen keys set of 9 Pcs.(1.5mm; 2mm; 2.5mm; 3mm; 4mm; 5mm; 6mm; 8mm; 10mm) Black finish, box packing</v>
          </cell>
          <cell r="C436" t="str">
            <v>Nos.</v>
          </cell>
          <cell r="D436">
            <v>191.43</v>
          </cell>
        </row>
        <row r="437">
          <cell r="A437">
            <v>7132004003</v>
          </cell>
          <cell r="B437" t="str">
            <v>Hack saw frames + B185</v>
          </cell>
          <cell r="C437" t="str">
            <v>Nos.</v>
          </cell>
          <cell r="D437">
            <v>131.94999999999999</v>
          </cell>
        </row>
        <row r="438">
          <cell r="A438">
            <v>7132004004</v>
          </cell>
          <cell r="B438" t="str">
            <v>Hack saw blade 300x12.5 mm</v>
          </cell>
          <cell r="C438" t="str">
            <v>Nos.</v>
          </cell>
          <cell r="D438">
            <v>11.94</v>
          </cell>
        </row>
        <row r="439">
          <cell r="A439">
            <v>7132011171</v>
          </cell>
          <cell r="B439" t="str">
            <v>Cable Cutter</v>
          </cell>
          <cell r="C439" t="str">
            <v>Nos.</v>
          </cell>
          <cell r="D439">
            <v>486.48</v>
          </cell>
        </row>
        <row r="440">
          <cell r="A440">
            <v>7132013331</v>
          </cell>
          <cell r="B440" t="str">
            <v>Discharge Rod</v>
          </cell>
          <cell r="C440" t="str">
            <v>Nos.</v>
          </cell>
          <cell r="D440">
            <v>492.85</v>
          </cell>
        </row>
        <row r="441">
          <cell r="A441">
            <v>7132014014</v>
          </cell>
          <cell r="B441" t="str">
            <v>Portable drilling machine</v>
          </cell>
          <cell r="C441" t="str">
            <v>Nos.</v>
          </cell>
          <cell r="D441">
            <v>3037.77</v>
          </cell>
        </row>
        <row r="442">
          <cell r="A442">
            <v>7132028159</v>
          </cell>
          <cell r="B442" t="str">
            <v>Hammer 8 Lbs (3629 gm)</v>
          </cell>
          <cell r="C442" t="str">
            <v>Nos.</v>
          </cell>
          <cell r="D442">
            <v>1248.6300000000001</v>
          </cell>
        </row>
        <row r="443">
          <cell r="A443">
            <v>7132028160</v>
          </cell>
          <cell r="B443" t="str">
            <v>Hammer 2 Lbs (907 gm.)</v>
          </cell>
          <cell r="C443" t="str">
            <v>Nos.</v>
          </cell>
          <cell r="D443">
            <v>386.33</v>
          </cell>
        </row>
        <row r="444">
          <cell r="A444">
            <v>7132061858</v>
          </cell>
          <cell r="B444" t="str">
            <v>Combination Plier / Cutting Plier</v>
          </cell>
          <cell r="C444" t="str">
            <v>Nos.</v>
          </cell>
          <cell r="D444">
            <v>226.53</v>
          </cell>
        </row>
        <row r="445">
          <cell r="A445">
            <v>7132072006</v>
          </cell>
          <cell r="B445" t="str">
            <v>Screw driver 250 mm</v>
          </cell>
          <cell r="C445" t="str">
            <v>Nos.</v>
          </cell>
          <cell r="D445">
            <v>68.14</v>
          </cell>
        </row>
        <row r="446">
          <cell r="A446">
            <v>7132072007</v>
          </cell>
          <cell r="B446" t="str">
            <v>Screw driver 200 mm</v>
          </cell>
          <cell r="C446" t="str">
            <v>Nos.</v>
          </cell>
          <cell r="D446">
            <v>63.81</v>
          </cell>
        </row>
        <row r="447">
          <cell r="A447">
            <v>7132072008</v>
          </cell>
          <cell r="B447" t="str">
            <v>Screw driver 150 mm</v>
          </cell>
          <cell r="C447" t="str">
            <v>Nos.</v>
          </cell>
          <cell r="D447">
            <v>59.49</v>
          </cell>
        </row>
        <row r="448">
          <cell r="A448">
            <v>7132072522</v>
          </cell>
          <cell r="B448" t="str">
            <v xml:space="preserve">Screw driver Set </v>
          </cell>
          <cell r="C448" t="str">
            <v>Nos.</v>
          </cell>
        </row>
        <row r="449">
          <cell r="A449">
            <v>7132074032</v>
          </cell>
          <cell r="B449" t="str">
            <v>Ring Spanners  (6x7,8x9,10x11,12x13, 14x15,16x17,18x19,20x22x,21x23, 24x27,25x28,30x32)</v>
          </cell>
          <cell r="C449" t="str">
            <v>Set.</v>
          </cell>
          <cell r="D449">
            <v>1483.9</v>
          </cell>
        </row>
        <row r="450">
          <cell r="A450">
            <v>7132074033</v>
          </cell>
          <cell r="B450" t="str">
            <v xml:space="preserve">Tube Spanners </v>
          </cell>
          <cell r="C450" t="str">
            <v>Set.</v>
          </cell>
          <cell r="D450">
            <v>613.24</v>
          </cell>
        </row>
        <row r="451">
          <cell r="A451">
            <v>7132074034</v>
          </cell>
          <cell r="B451" t="str">
            <v>Double end spanner (6x7,8x9,10x11, 12x13,14x15,16x17,18x19,20x22x, 21x23,24x27,25x28,30x32)</v>
          </cell>
          <cell r="C451" t="str">
            <v>Set.</v>
          </cell>
          <cell r="D451">
            <v>701.93</v>
          </cell>
        </row>
        <row r="452">
          <cell r="A452">
            <v>7132074035</v>
          </cell>
          <cell r="B452" t="str">
            <v xml:space="preserve">Adjustable Screw Spanner 12 inches </v>
          </cell>
          <cell r="C452" t="str">
            <v>Nos.</v>
          </cell>
          <cell r="D452">
            <v>455.33</v>
          </cell>
        </row>
        <row r="453">
          <cell r="A453">
            <v>7132074036</v>
          </cell>
          <cell r="B453" t="str">
            <v>Box spanners (of size 32Af, 27A/F, 30 A/F &amp; tommy Bar)</v>
          </cell>
          <cell r="C453" t="str">
            <v>Set.</v>
          </cell>
          <cell r="D453">
            <v>1351.94</v>
          </cell>
        </row>
        <row r="454">
          <cell r="A454">
            <v>7132088614</v>
          </cell>
          <cell r="B454" t="str">
            <v>Pipe Wrench 24 inches size</v>
          </cell>
          <cell r="C454" t="str">
            <v>Nos.</v>
          </cell>
          <cell r="D454">
            <v>1126.9100000000001</v>
          </cell>
        </row>
        <row r="455">
          <cell r="A455">
            <v>7132088615</v>
          </cell>
          <cell r="B455" t="str">
            <v>Pipe Wrench 18 inches size</v>
          </cell>
          <cell r="C455" t="str">
            <v>Nos.</v>
          </cell>
          <cell r="D455">
            <v>618.45000000000005</v>
          </cell>
        </row>
        <row r="456">
          <cell r="A456">
            <v>7132200014</v>
          </cell>
          <cell r="B456" t="str">
            <v>1089 kVAR, 12.1 kV, 3-phase 50 Hz Outdoor type Capacitor bank having step as 363 kVAR + 726 kVAR 12.1 KV. Bank shall be complete with Capacitor units of 121 kVAR at 6.98 KV, including allied material such as suitable size of Aluminium busbars, Pin / Post insulators, Expulsion fuses, Cable Jointing Kit, Nuts &amp; Bolts etc.</v>
          </cell>
          <cell r="C456" t="str">
            <v>Each</v>
          </cell>
          <cell r="D456">
            <v>145733.6</v>
          </cell>
        </row>
        <row r="457">
          <cell r="A457">
            <v>7132200812</v>
          </cell>
          <cell r="B457" t="str">
            <v xml:space="preserve">  5 kVAR</v>
          </cell>
          <cell r="C457" t="str">
            <v>Each</v>
          </cell>
          <cell r="D457">
            <v>1588.65</v>
          </cell>
        </row>
        <row r="458">
          <cell r="A458">
            <v>7132200813</v>
          </cell>
          <cell r="B458" t="str">
            <v>10 kVAR</v>
          </cell>
          <cell r="C458" t="str">
            <v>Each</v>
          </cell>
          <cell r="D458">
            <v>3176.3</v>
          </cell>
        </row>
        <row r="459">
          <cell r="A459">
            <v>7132200814</v>
          </cell>
          <cell r="B459" t="str">
            <v>12 kVAR</v>
          </cell>
          <cell r="C459" t="str">
            <v>Each</v>
          </cell>
          <cell r="D459">
            <v>3816.53</v>
          </cell>
        </row>
        <row r="460">
          <cell r="A460">
            <v>7132200815</v>
          </cell>
          <cell r="B460" t="str">
            <v>20 kVAR</v>
          </cell>
          <cell r="C460" t="str">
            <v>Each</v>
          </cell>
          <cell r="D460">
            <v>6333.71</v>
          </cell>
        </row>
        <row r="461">
          <cell r="A461">
            <v>7132200826</v>
          </cell>
          <cell r="B461" t="str">
            <v>1815 kVAR 12.1 kV 3-phase 50 Hz Outdoor type Capacitor bank having step as 363 kvar+726 kvar+726 Kvar 12.1 kv Bank shall be complete with capacitor units of 121 kVAr at 6.98 kV including allied materials such as suitable size of aluminium busbars, pin/post insulators, expulsion fuses, cable jointing kit, nuts &amp; bolts etc.</v>
          </cell>
          <cell r="C461" t="str">
            <v>Each</v>
          </cell>
          <cell r="D461">
            <v>192706.3</v>
          </cell>
        </row>
        <row r="462">
          <cell r="A462">
            <v>7132210007</v>
          </cell>
          <cell r="B462" t="str">
            <v xml:space="preserve">16 kVA (4 Star) Aluminium Wound </v>
          </cell>
          <cell r="C462" t="str">
            <v>Each</v>
          </cell>
        </row>
        <row r="463">
          <cell r="A463">
            <v>7132210008</v>
          </cell>
          <cell r="B463" t="str">
            <v xml:space="preserve">25 kVA (4 Star) Aluminium Wound </v>
          </cell>
          <cell r="C463" t="str">
            <v>Each</v>
          </cell>
        </row>
        <row r="464">
          <cell r="A464">
            <v>7132210009</v>
          </cell>
          <cell r="B464" t="str">
            <v xml:space="preserve">63 kVA (4 Star) Aluminium Wound </v>
          </cell>
          <cell r="C464" t="str">
            <v>Each</v>
          </cell>
        </row>
        <row r="465">
          <cell r="A465">
            <v>7132210010</v>
          </cell>
          <cell r="B465" t="str">
            <v xml:space="preserve">100 kVA (4 Star) Aluminium Wound </v>
          </cell>
          <cell r="C465" t="str">
            <v>Each</v>
          </cell>
        </row>
        <row r="466">
          <cell r="A466">
            <v>7132210011</v>
          </cell>
          <cell r="B466" t="str">
            <v xml:space="preserve">200 kVA (4 Star) Aluminium Wound </v>
          </cell>
          <cell r="C466" t="str">
            <v>Each</v>
          </cell>
        </row>
        <row r="467">
          <cell r="A467">
            <v>7132210012</v>
          </cell>
          <cell r="B467" t="str">
            <v>315 kVA (CEA Design) Copper wound ISI Marked, 11/0.433 kV Distribution Transformer having energy efficiency level '2'</v>
          </cell>
          <cell r="C467" t="str">
            <v>Each</v>
          </cell>
        </row>
        <row r="468">
          <cell r="A468">
            <v>7132210015</v>
          </cell>
          <cell r="B468" t="str">
            <v>500 kVA [CEA Design] Copper Wound ISI Marked, 11/0.433 kV Distribution Transformer having energy efficiency level '2'</v>
          </cell>
          <cell r="C468" t="str">
            <v>Each</v>
          </cell>
        </row>
        <row r="469">
          <cell r="A469">
            <v>7132210106</v>
          </cell>
          <cell r="B469" t="str">
            <v>0.2% Reactor suitable for 363 kVAR step</v>
          </cell>
          <cell r="C469" t="str">
            <v>Set</v>
          </cell>
          <cell r="D469">
            <v>7076.99</v>
          </cell>
        </row>
        <row r="470">
          <cell r="A470">
            <v>7132210108</v>
          </cell>
          <cell r="B470" t="str">
            <v>0.2% Reactor suitable for 726 kVAR step</v>
          </cell>
          <cell r="C470" t="str">
            <v>Set</v>
          </cell>
          <cell r="D470">
            <v>8639.7199999999993</v>
          </cell>
        </row>
        <row r="471">
          <cell r="A471">
            <v>7132210215</v>
          </cell>
          <cell r="B471" t="str">
            <v>50 kVA (Copper winding)</v>
          </cell>
          <cell r="C471" t="str">
            <v>Each</v>
          </cell>
          <cell r="D471">
            <v>109974.67</v>
          </cell>
        </row>
        <row r="472">
          <cell r="A472">
            <v>7132220091</v>
          </cell>
          <cell r="B472" t="str">
            <v>Power Transformer 1600 kVA</v>
          </cell>
          <cell r="C472" t="str">
            <v>Each</v>
          </cell>
          <cell r="D472">
            <v>773589.21</v>
          </cell>
        </row>
        <row r="473">
          <cell r="A473">
            <v>7132220095</v>
          </cell>
          <cell r="B473" t="str">
            <v xml:space="preserve">Power Transformer 3150 kVA </v>
          </cell>
          <cell r="C473" t="str">
            <v>Each</v>
          </cell>
          <cell r="D473">
            <v>2297780.3199999998</v>
          </cell>
        </row>
        <row r="474">
          <cell r="A474">
            <v>7132220097</v>
          </cell>
          <cell r="B474" t="str">
            <v xml:space="preserve">Power Transformer 5000 kVA </v>
          </cell>
          <cell r="C474" t="str">
            <v>Each</v>
          </cell>
          <cell r="D474">
            <v>3245018.22</v>
          </cell>
        </row>
        <row r="475">
          <cell r="A475">
            <v>7132230015</v>
          </cell>
          <cell r="B475" t="str">
            <v>Indoor Type 33 kV Metering Cubical CTPT Unit 100 /5A</v>
          </cell>
          <cell r="C475" t="str">
            <v>Each</v>
          </cell>
          <cell r="D475">
            <v>228920</v>
          </cell>
        </row>
        <row r="476">
          <cell r="A476">
            <v>7132230016</v>
          </cell>
          <cell r="B476" t="str">
            <v>L.T.C.T. 100/5 Amps.</v>
          </cell>
          <cell r="C476" t="str">
            <v>Each</v>
          </cell>
          <cell r="D476">
            <v>351.55</v>
          </cell>
        </row>
        <row r="477">
          <cell r="A477">
            <v>7132230017</v>
          </cell>
          <cell r="B477" t="str">
            <v>Indoor Type 33 kV Metering Cubical CTPT Unit 50/5 A</v>
          </cell>
          <cell r="C477" t="str">
            <v>Each</v>
          </cell>
          <cell r="D477">
            <v>211286.82</v>
          </cell>
        </row>
        <row r="478">
          <cell r="A478">
            <v>7132230019</v>
          </cell>
          <cell r="B478" t="str">
            <v>L.T.C.T. 200/5 Amps.</v>
          </cell>
          <cell r="C478" t="str">
            <v>Each</v>
          </cell>
          <cell r="D478">
            <v>351.55</v>
          </cell>
        </row>
        <row r="479">
          <cell r="A479">
            <v>7132230021</v>
          </cell>
          <cell r="B479" t="str">
            <v>L.T.C.T. 300/5 Amps.</v>
          </cell>
          <cell r="C479" t="str">
            <v>Each</v>
          </cell>
          <cell r="D479">
            <v>281.47000000000003</v>
          </cell>
        </row>
        <row r="480">
          <cell r="A480">
            <v>7132230024</v>
          </cell>
          <cell r="B480" t="str">
            <v>L.T.C.T. 500/5 Amps.</v>
          </cell>
          <cell r="C480" t="str">
            <v>Each</v>
          </cell>
          <cell r="D480">
            <v>281.47000000000003</v>
          </cell>
        </row>
        <row r="481">
          <cell r="A481">
            <v>7132230039</v>
          </cell>
          <cell r="B481" t="str">
            <v>220 kV C.T. 800-400/1-1A</v>
          </cell>
          <cell r="C481" t="str">
            <v>No.</v>
          </cell>
          <cell r="D481">
            <v>472634.84</v>
          </cell>
        </row>
        <row r="482">
          <cell r="A482">
            <v>7132230043</v>
          </cell>
          <cell r="B482" t="str">
            <v xml:space="preserve">33 kV CT's (400-200/5) Amps. Oil filled </v>
          </cell>
          <cell r="C482" t="str">
            <v>Each</v>
          </cell>
          <cell r="D482">
            <v>18368.61</v>
          </cell>
        </row>
        <row r="483">
          <cell r="A483">
            <v>7132230065</v>
          </cell>
          <cell r="B483" t="str">
            <v>132 kV C.T. 600-300/1-1A</v>
          </cell>
          <cell r="C483" t="str">
            <v>No.</v>
          </cell>
          <cell r="D483">
            <v>316874.42</v>
          </cell>
        </row>
        <row r="484">
          <cell r="A484">
            <v>7132230075</v>
          </cell>
          <cell r="B484" t="str">
            <v>132 kV C.T. 150-75/1-1A</v>
          </cell>
          <cell r="C484" t="str">
            <v>No.</v>
          </cell>
          <cell r="D484">
            <v>361745.08</v>
          </cell>
        </row>
        <row r="485">
          <cell r="A485">
            <v>7132230076</v>
          </cell>
          <cell r="B485" t="str">
            <v>220 kV C.T. 150-75/1-1A</v>
          </cell>
          <cell r="C485" t="str">
            <v>No.</v>
          </cell>
          <cell r="D485">
            <v>796940.75</v>
          </cell>
        </row>
        <row r="486">
          <cell r="A486">
            <v>7132230077</v>
          </cell>
          <cell r="B486" t="str">
            <v>220 kV C.T. 300-150/1-1A</v>
          </cell>
          <cell r="C486" t="str">
            <v>No.</v>
          </cell>
          <cell r="D486">
            <v>521580.74</v>
          </cell>
        </row>
        <row r="487">
          <cell r="A487">
            <v>7132230078</v>
          </cell>
          <cell r="B487" t="str">
            <v>220 kV C.T. 600-300/1-1A</v>
          </cell>
          <cell r="C487" t="str">
            <v>No.</v>
          </cell>
          <cell r="D487">
            <v>482507.47</v>
          </cell>
        </row>
        <row r="488">
          <cell r="A488">
            <v>7132230088</v>
          </cell>
          <cell r="B488" t="str">
            <v>11 kV CTPT Unit 400-200/5 A</v>
          </cell>
          <cell r="C488" t="str">
            <v>Each</v>
          </cell>
          <cell r="D488">
            <v>33313.629999999997</v>
          </cell>
        </row>
        <row r="489">
          <cell r="A489">
            <v>7132230089</v>
          </cell>
          <cell r="B489" t="str">
            <v>33 kV CTPT Unit 300-150/5 A</v>
          </cell>
          <cell r="C489" t="str">
            <v>Each</v>
          </cell>
          <cell r="D489">
            <v>71005.77</v>
          </cell>
        </row>
        <row r="490">
          <cell r="A490">
            <v>7132230185</v>
          </cell>
          <cell r="B490" t="str">
            <v>11 kV C.T. 200-100/5 Amps.</v>
          </cell>
          <cell r="C490" t="str">
            <v>Each</v>
          </cell>
          <cell r="D490">
            <v>13230.25</v>
          </cell>
        </row>
        <row r="491">
          <cell r="A491">
            <v>7132230188</v>
          </cell>
          <cell r="B491" t="str">
            <v>11 kV C.T. 300-150/5 Amps.</v>
          </cell>
          <cell r="C491" t="str">
            <v>Each</v>
          </cell>
          <cell r="D491">
            <v>12874.05</v>
          </cell>
        </row>
        <row r="492">
          <cell r="A492">
            <v>7132230263</v>
          </cell>
          <cell r="B492" t="str">
            <v>33 kV CT's (300-150/5) Amps oil filled</v>
          </cell>
          <cell r="C492" t="str">
            <v>Each</v>
          </cell>
          <cell r="D492">
            <v>22405.16</v>
          </cell>
        </row>
        <row r="493">
          <cell r="A493">
            <v>7132230265</v>
          </cell>
          <cell r="B493" t="str">
            <v>33 kV CT's (200-100/5-5) Amps oil filled</v>
          </cell>
          <cell r="C493" t="str">
            <v>Each</v>
          </cell>
          <cell r="D493">
            <v>18853.39</v>
          </cell>
        </row>
        <row r="494">
          <cell r="A494">
            <v>7132230304</v>
          </cell>
          <cell r="B494" t="str">
            <v>33 kV CT's  (100-50/5) Amps. oil filled</v>
          </cell>
          <cell r="C494" t="str">
            <v>Each</v>
          </cell>
        </row>
        <row r="495">
          <cell r="A495">
            <v>7132230330</v>
          </cell>
          <cell r="B495" t="str">
            <v>132 kV C.T. 100-50/1-1A</v>
          </cell>
          <cell r="C495" t="str">
            <v>No.</v>
          </cell>
          <cell r="D495">
            <v>364009.16</v>
          </cell>
        </row>
        <row r="496">
          <cell r="A496">
            <v>7132230332</v>
          </cell>
          <cell r="B496" t="str">
            <v>132 kV C.T. 200-100/1-1A</v>
          </cell>
          <cell r="C496" t="str">
            <v>No.</v>
          </cell>
          <cell r="D496">
            <v>338761.65</v>
          </cell>
        </row>
        <row r="497">
          <cell r="A497">
            <v>7132230336</v>
          </cell>
          <cell r="B497" t="str">
            <v>132 kV C.T. 300-150/1-1A</v>
          </cell>
          <cell r="C497" t="str">
            <v>No.</v>
          </cell>
          <cell r="D497">
            <v>290014.88</v>
          </cell>
        </row>
        <row r="498">
          <cell r="A498">
            <v>7132230394</v>
          </cell>
          <cell r="B498" t="str">
            <v>11 kV CTPT Unit 7.5/5 A</v>
          </cell>
          <cell r="C498" t="str">
            <v>Each</v>
          </cell>
        </row>
        <row r="499">
          <cell r="A499">
            <v>7132230395</v>
          </cell>
          <cell r="B499" t="str">
            <v>11 kV CTPT Unit 10/5 A</v>
          </cell>
          <cell r="C499" t="str">
            <v>Each</v>
          </cell>
          <cell r="D499">
            <v>30932.5</v>
          </cell>
        </row>
        <row r="500">
          <cell r="A500">
            <v>7132230396</v>
          </cell>
          <cell r="B500" t="str">
            <v>11 kV CTPT Unit 15/5 A</v>
          </cell>
          <cell r="C500" t="str">
            <v>Each</v>
          </cell>
        </row>
        <row r="501">
          <cell r="A501">
            <v>7132230399</v>
          </cell>
          <cell r="B501" t="str">
            <v>11 kV CTPT Unit 300-150/5 A</v>
          </cell>
          <cell r="C501" t="str">
            <v>Each</v>
          </cell>
          <cell r="D501">
            <v>33310.629999999997</v>
          </cell>
        </row>
        <row r="502">
          <cell r="A502">
            <v>7132230401</v>
          </cell>
          <cell r="B502" t="str">
            <v>11 kV CTPT Unit 25/5 A</v>
          </cell>
          <cell r="C502" t="str">
            <v>Each</v>
          </cell>
          <cell r="D502">
            <v>30015.66</v>
          </cell>
        </row>
        <row r="503">
          <cell r="A503">
            <v>7132230406</v>
          </cell>
          <cell r="B503" t="str">
            <v>11 kV CTPT Unit 75/5 A</v>
          </cell>
          <cell r="C503" t="str">
            <v>Each</v>
          </cell>
        </row>
        <row r="504">
          <cell r="A504">
            <v>7132230412</v>
          </cell>
          <cell r="B504" t="str">
            <v>11 kV CTPT Unit 200-100/5 A</v>
          </cell>
          <cell r="C504" t="str">
            <v>Each</v>
          </cell>
          <cell r="D504">
            <v>32939.360000000001</v>
          </cell>
        </row>
        <row r="505">
          <cell r="A505">
            <v>7132230414</v>
          </cell>
          <cell r="B505" t="str">
            <v>11 kV CTPT Unit 50/5 A</v>
          </cell>
          <cell r="C505" t="str">
            <v>Each</v>
          </cell>
          <cell r="D505">
            <v>33978.04</v>
          </cell>
        </row>
        <row r="506">
          <cell r="A506">
            <v>7132230418</v>
          </cell>
          <cell r="B506" t="str">
            <v>33 kV CTPT Unit 20/5 A</v>
          </cell>
          <cell r="C506" t="str">
            <v>Each</v>
          </cell>
          <cell r="D506">
            <v>59115.16</v>
          </cell>
        </row>
        <row r="507">
          <cell r="A507">
            <v>7132230427</v>
          </cell>
          <cell r="B507" t="str">
            <v>33 kV CTPT Unit 200-100/5 A</v>
          </cell>
          <cell r="C507" t="str">
            <v>Each</v>
          </cell>
          <cell r="D507">
            <v>68290.62</v>
          </cell>
        </row>
        <row r="508">
          <cell r="A508">
            <v>7132230447</v>
          </cell>
          <cell r="B508" t="str">
            <v>33 kV CTPT Unit 5/5 A</v>
          </cell>
          <cell r="C508" t="str">
            <v>Each</v>
          </cell>
        </row>
        <row r="509">
          <cell r="A509">
            <v>7132230448</v>
          </cell>
          <cell r="B509" t="str">
            <v>33 kV CTPT Unit 10/5 A</v>
          </cell>
          <cell r="C509" t="str">
            <v>Each</v>
          </cell>
          <cell r="D509">
            <v>61152.32</v>
          </cell>
        </row>
        <row r="510">
          <cell r="A510">
            <v>7132230449</v>
          </cell>
          <cell r="B510" t="str">
            <v>33 kV CTPT Unit 30/5 A</v>
          </cell>
          <cell r="C510" t="str">
            <v>Each</v>
          </cell>
        </row>
        <row r="511">
          <cell r="A511">
            <v>7132230450</v>
          </cell>
          <cell r="B511" t="str">
            <v>33 kV CTPT Unit 50/5 A</v>
          </cell>
          <cell r="C511" t="str">
            <v>Each</v>
          </cell>
          <cell r="D511">
            <v>58215.94</v>
          </cell>
        </row>
        <row r="512">
          <cell r="A512">
            <v>7132230453</v>
          </cell>
          <cell r="B512" t="str">
            <v>33 kV CTPT Unit 100 /5A</v>
          </cell>
          <cell r="C512" t="str">
            <v>Each</v>
          </cell>
          <cell r="D512">
            <v>52421.38</v>
          </cell>
        </row>
        <row r="513">
          <cell r="A513">
            <v>7132230455</v>
          </cell>
          <cell r="B513" t="str">
            <v>33 kV CTPT Unit 200/5A</v>
          </cell>
          <cell r="C513" t="str">
            <v>Each</v>
          </cell>
          <cell r="D513">
            <v>52421.38</v>
          </cell>
        </row>
        <row r="514">
          <cell r="A514">
            <v>7132230457</v>
          </cell>
          <cell r="B514" t="str">
            <v>33 kV CTPT Unit 400-200/5 A</v>
          </cell>
          <cell r="C514" t="str">
            <v>Each</v>
          </cell>
          <cell r="D514">
            <v>69938.03</v>
          </cell>
        </row>
        <row r="515">
          <cell r="A515">
            <v>7132230471</v>
          </cell>
          <cell r="B515" t="str">
            <v xml:space="preserve">11 kV 3 PH Residual Voltage Transformer </v>
          </cell>
          <cell r="C515" t="str">
            <v>Each</v>
          </cell>
          <cell r="D515">
            <v>34355.9</v>
          </cell>
        </row>
        <row r="516">
          <cell r="A516">
            <v>7132230473</v>
          </cell>
          <cell r="B516" t="str">
            <v>11 kV PT Station Type</v>
          </cell>
          <cell r="C516" t="str">
            <v>No.</v>
          </cell>
        </row>
        <row r="517">
          <cell r="A517">
            <v>7132230056</v>
          </cell>
          <cell r="B517" t="str">
            <v>11 kV Single Phase PT's (Oil filled)</v>
          </cell>
          <cell r="C517" t="str">
            <v>Each</v>
          </cell>
          <cell r="D517">
            <v>9887.1299999999992</v>
          </cell>
        </row>
        <row r="518">
          <cell r="A518">
            <v>7132230057</v>
          </cell>
          <cell r="B518" t="str">
            <v>33 kV Single Phase PT's (Oil filled)</v>
          </cell>
          <cell r="C518" t="str">
            <v>Each</v>
          </cell>
          <cell r="D518">
            <v>15866.47</v>
          </cell>
        </row>
        <row r="519">
          <cell r="A519">
            <v>7132230501</v>
          </cell>
          <cell r="B519" t="str">
            <v>132 kV P.T.</v>
          </cell>
          <cell r="C519" t="str">
            <v>No.</v>
          </cell>
          <cell r="D519">
            <v>250458.14</v>
          </cell>
        </row>
        <row r="520">
          <cell r="A520">
            <v>7132230511</v>
          </cell>
          <cell r="B520" t="str">
            <v>220 kV P.T.</v>
          </cell>
          <cell r="C520" t="str">
            <v>No.</v>
          </cell>
          <cell r="D520">
            <v>510317.7</v>
          </cell>
        </row>
        <row r="521">
          <cell r="A521">
            <v>7132401672</v>
          </cell>
          <cell r="B521" t="str">
            <v>Small Steel Almirah 50''</v>
          </cell>
          <cell r="C521" t="str">
            <v>No.</v>
          </cell>
          <cell r="D521">
            <v>5300</v>
          </cell>
        </row>
        <row r="522">
          <cell r="A522">
            <v>7132404015</v>
          </cell>
          <cell r="B522" t="str">
            <v>Safety belts</v>
          </cell>
          <cell r="C522" t="str">
            <v>Nos.</v>
          </cell>
          <cell r="D522">
            <v>637</v>
          </cell>
        </row>
        <row r="523">
          <cell r="A523">
            <v>7132404016</v>
          </cell>
          <cell r="B523" t="str">
            <v>Safety helmets</v>
          </cell>
          <cell r="C523" t="str">
            <v>Nos.</v>
          </cell>
          <cell r="D523">
            <v>148.4</v>
          </cell>
        </row>
        <row r="524">
          <cell r="A524">
            <v>7132404366</v>
          </cell>
          <cell r="B524" t="str">
            <v xml:space="preserve">Battery </v>
          </cell>
          <cell r="C524" t="str">
            <v>No.</v>
          </cell>
          <cell r="D524">
            <v>54676.09</v>
          </cell>
        </row>
        <row r="525">
          <cell r="A525">
            <v>7132406022</v>
          </cell>
          <cell r="B525" t="str">
            <v>T.W. Meter Board, 300x300x75 mm, coated with varnish/SMC board</v>
          </cell>
          <cell r="C525" t="str">
            <v>Nos.</v>
          </cell>
          <cell r="D525">
            <v>156.5</v>
          </cell>
        </row>
        <row r="526">
          <cell r="A526">
            <v>7132406420</v>
          </cell>
          <cell r="B526" t="str">
            <v>Meter Box (GI Plain Sheet) for 3 Phase LT CT operated meter</v>
          </cell>
          <cell r="C526" t="str">
            <v>Each</v>
          </cell>
          <cell r="D526">
            <v>2743.09</v>
          </cell>
        </row>
        <row r="527">
          <cell r="A527">
            <v>7132406793</v>
          </cell>
          <cell r="B527" t="str">
            <v>Pilfer proof SMC/FRPP/PPO LTCT meter box</v>
          </cell>
          <cell r="C527" t="str">
            <v>Each</v>
          </cell>
          <cell r="D527">
            <v>3463.75</v>
          </cell>
        </row>
        <row r="528">
          <cell r="A528">
            <v>7132406795</v>
          </cell>
          <cell r="B528" t="str">
            <v>Pilfer proof SMC/FRPP/PPO LTCT meter box with LTCT 100/5A</v>
          </cell>
          <cell r="C528" t="str">
            <v>Each</v>
          </cell>
          <cell r="D528">
            <v>4073.36</v>
          </cell>
        </row>
        <row r="529">
          <cell r="A529">
            <v>7132406794</v>
          </cell>
          <cell r="B529" t="str">
            <v>Pilfer proof SMC meter box for LTCT meter box with LTCT 300/5A</v>
          </cell>
          <cell r="C529" t="str">
            <v>Each</v>
          </cell>
          <cell r="D529">
            <v>3719.36</v>
          </cell>
        </row>
        <row r="530">
          <cell r="A530">
            <v>7132406425</v>
          </cell>
          <cell r="B530" t="str">
            <v>Universal Meter Box for HT meters.</v>
          </cell>
          <cell r="C530" t="str">
            <v>Each</v>
          </cell>
          <cell r="D530">
            <v>3232.14</v>
          </cell>
        </row>
        <row r="531">
          <cell r="A531">
            <v>7132406721</v>
          </cell>
          <cell r="B531" t="str">
            <v>CT operated electronic static meters with DLMS.</v>
          </cell>
          <cell r="C531" t="str">
            <v>Each</v>
          </cell>
          <cell r="D531">
            <v>5375.44</v>
          </cell>
        </row>
        <row r="532">
          <cell r="A532">
            <v>7132409830</v>
          </cell>
          <cell r="B532" t="str">
            <v xml:space="preserve">Office Chair cane seat &amp; back with full arms rest </v>
          </cell>
          <cell r="C532" t="str">
            <v>No.</v>
          </cell>
          <cell r="D532">
            <v>4012</v>
          </cell>
        </row>
        <row r="533">
          <cell r="A533">
            <v>7132411894</v>
          </cell>
          <cell r="B533" t="str">
            <v>Rubber Hand gloves 15 kV (Seamless)</v>
          </cell>
          <cell r="C533" t="str">
            <v>Pair</v>
          </cell>
          <cell r="D533">
            <v>562.41</v>
          </cell>
        </row>
        <row r="534">
          <cell r="A534">
            <v>7132421002</v>
          </cell>
          <cell r="B534" t="str">
            <v xml:space="preserve">Fire fighting equipments CO2 fire extinguisher of 2 Kg Capacity)  </v>
          </cell>
          <cell r="C534" t="str">
            <v>No</v>
          </cell>
          <cell r="D534">
            <v>5990.38</v>
          </cell>
        </row>
        <row r="535">
          <cell r="A535">
            <v>7132427634</v>
          </cell>
          <cell r="B535" t="str">
            <v>Rain Coats with Hoods</v>
          </cell>
          <cell r="C535" t="str">
            <v>Nos.</v>
          </cell>
          <cell r="D535">
            <v>723.24</v>
          </cell>
        </row>
        <row r="536">
          <cell r="A536">
            <v>7132427635</v>
          </cell>
          <cell r="B536" t="str">
            <v>Gum Boots</v>
          </cell>
          <cell r="C536" t="str">
            <v>Nos.</v>
          </cell>
          <cell r="D536">
            <v>520.32000000000005</v>
          </cell>
        </row>
        <row r="537">
          <cell r="A537">
            <v>7132438002</v>
          </cell>
          <cell r="B537" t="str">
            <v>Silica gel</v>
          </cell>
          <cell r="C537" t="str">
            <v>Kg</v>
          </cell>
          <cell r="D537">
            <v>188.56</v>
          </cell>
        </row>
        <row r="538">
          <cell r="A538">
            <v>7132444005</v>
          </cell>
          <cell r="B538" t="str">
            <v>Poly Carbonate seals for meter</v>
          </cell>
          <cell r="C538" t="str">
            <v>Each</v>
          </cell>
          <cell r="D538">
            <v>5.29</v>
          </cell>
        </row>
        <row r="539">
          <cell r="A539">
            <v>7132444007</v>
          </cell>
          <cell r="B539" t="str">
            <v>Grounding Sticks (Galvanised Earthing Rods 25 mm, 3 Mtr. long)</v>
          </cell>
          <cell r="C539" t="str">
            <v>Set.</v>
          </cell>
          <cell r="D539">
            <v>994.63</v>
          </cell>
        </row>
        <row r="540">
          <cell r="A540">
            <v>7132448003</v>
          </cell>
          <cell r="B540" t="str">
            <v xml:space="preserve">Electrically insulated 11 kV mats infront of electrical control panel </v>
          </cell>
          <cell r="C540" t="str">
            <v>No</v>
          </cell>
          <cell r="D540">
            <v>4616.8</v>
          </cell>
        </row>
        <row r="541">
          <cell r="A541">
            <v>7132455002</v>
          </cell>
          <cell r="B541" t="str">
            <v>T.W. plate 300x300x25 mm with 20 mm dia holes at the corners and coated with two coats of varnish on one side/SMC board</v>
          </cell>
          <cell r="C541" t="str">
            <v>Nos.</v>
          </cell>
          <cell r="D541">
            <v>327.33999999999997</v>
          </cell>
        </row>
        <row r="542">
          <cell r="A542">
            <v>7132457798</v>
          </cell>
          <cell r="B542" t="str">
            <v xml:space="preserve">Transformer Oil In Barrel </v>
          </cell>
          <cell r="C542" t="str">
            <v>KL</v>
          </cell>
          <cell r="D542">
            <v>61193.38</v>
          </cell>
        </row>
        <row r="543">
          <cell r="A543">
            <v>7132457798</v>
          </cell>
          <cell r="B543" t="str">
            <v xml:space="preserve">Transformer Oil In Tanker </v>
          </cell>
          <cell r="C543" t="str">
            <v>KL</v>
          </cell>
          <cell r="D543">
            <v>69512.38</v>
          </cell>
        </row>
        <row r="544">
          <cell r="A544">
            <v>7132459005</v>
          </cell>
          <cell r="B544" t="str">
            <v>Poly Carbonate seal double anker type</v>
          </cell>
          <cell r="C544" t="str">
            <v>Each</v>
          </cell>
          <cell r="D544">
            <v>5.94</v>
          </cell>
        </row>
        <row r="545">
          <cell r="A545">
            <v>7132461004</v>
          </cell>
          <cell r="B545" t="str">
            <v>HDPE Pipe 200 mm ID; 240 mm OD</v>
          </cell>
          <cell r="C545" t="str">
            <v>Mtr.</v>
          </cell>
          <cell r="D545">
            <v>1084.6400000000001</v>
          </cell>
        </row>
        <row r="546">
          <cell r="A546">
            <v>7132461005</v>
          </cell>
          <cell r="B546" t="str">
            <v>Jointing arrangement of HDPE Pipe</v>
          </cell>
          <cell r="C546" t="str">
            <v>Nos.</v>
          </cell>
          <cell r="D546">
            <v>443.3</v>
          </cell>
        </row>
        <row r="547">
          <cell r="A547">
            <v>7132468558</v>
          </cell>
          <cell r="B547" t="str">
            <v>Battery charger</v>
          </cell>
          <cell r="C547" t="str">
            <v>Each</v>
          </cell>
          <cell r="D547">
            <v>10667.34</v>
          </cell>
        </row>
        <row r="548">
          <cell r="A548">
            <v>7132475019</v>
          </cell>
          <cell r="B548" t="str">
            <v>Files of sizes</v>
          </cell>
          <cell r="C548" t="str">
            <v>Set.</v>
          </cell>
          <cell r="D548">
            <v>358.99</v>
          </cell>
        </row>
        <row r="549">
          <cell r="A549">
            <v>7132475019</v>
          </cell>
          <cell r="B549" t="str">
            <v>Black Cambric tape 25 mm wide 7 mm thick and in rolls of 50 Mtr.</v>
          </cell>
          <cell r="C549" t="str">
            <v>Roll</v>
          </cell>
          <cell r="D549">
            <v>133.12</v>
          </cell>
        </row>
        <row r="550">
          <cell r="A550">
            <v>7132476007</v>
          </cell>
          <cell r="B550" t="str">
            <v>PVC lnsulation Tapes 19 mm wide and in rolls of 10 Mtrs</v>
          </cell>
          <cell r="C550" t="str">
            <v>Roll</v>
          </cell>
          <cell r="D550">
            <v>15.25</v>
          </cell>
        </row>
        <row r="551">
          <cell r="A551">
            <v>7132476008</v>
          </cell>
          <cell r="B551" t="str">
            <v>Cotton Tapes 19 mm wide and in rolls of 50 Mtrs</v>
          </cell>
          <cell r="C551" t="str">
            <v>Roll</v>
          </cell>
          <cell r="D551">
            <v>72.150000000000006</v>
          </cell>
        </row>
        <row r="552">
          <cell r="A552">
            <v>7132478004</v>
          </cell>
          <cell r="B552" t="str">
            <v>Tong tester Digital (1000 A, 500 V) with associated accessories</v>
          </cell>
          <cell r="C552" t="str">
            <v>Nos.</v>
          </cell>
          <cell r="D552">
            <v>1688.53</v>
          </cell>
        </row>
        <row r="553">
          <cell r="A553">
            <v>7132478011</v>
          </cell>
          <cell r="B553" t="str">
            <v>Hand Torch 5 cell</v>
          </cell>
          <cell r="C553" t="str">
            <v>Nos.</v>
          </cell>
          <cell r="D553">
            <v>607.74</v>
          </cell>
        </row>
        <row r="554">
          <cell r="A554">
            <v>7132478012</v>
          </cell>
          <cell r="B554" t="str">
            <v>Hand Torch 3 cell</v>
          </cell>
          <cell r="C554" t="str">
            <v>Nos.</v>
          </cell>
          <cell r="D554">
            <v>398.45</v>
          </cell>
        </row>
        <row r="555">
          <cell r="A555">
            <v>7132478012</v>
          </cell>
          <cell r="B555" t="str">
            <v>Cotton Waste</v>
          </cell>
          <cell r="C555" t="str">
            <v>Kg</v>
          </cell>
          <cell r="D555">
            <v>63.87</v>
          </cell>
        </row>
        <row r="556">
          <cell r="A556">
            <v>7132490006</v>
          </cell>
          <cell r="B556" t="str">
            <v xml:space="preserve">Fire fighting equipments (dry chemical powder type 5 Kg capacity) </v>
          </cell>
          <cell r="C556" t="str">
            <v>No</v>
          </cell>
          <cell r="D556">
            <v>5357.02</v>
          </cell>
        </row>
        <row r="557">
          <cell r="A557">
            <v>7132490052</v>
          </cell>
          <cell r="B557" t="str">
            <v>Monoplast</v>
          </cell>
          <cell r="C557" t="str">
            <v>Kg</v>
          </cell>
          <cell r="D557">
            <v>59.73</v>
          </cell>
        </row>
        <row r="558">
          <cell r="A558">
            <v>7132490053</v>
          </cell>
          <cell r="B558" t="str">
            <v>Bitumen compound</v>
          </cell>
          <cell r="C558" t="str">
            <v>Kg</v>
          </cell>
          <cell r="D558">
            <v>107.52</v>
          </cell>
        </row>
        <row r="559">
          <cell r="A559">
            <v>7132498006</v>
          </cell>
          <cell r="B559" t="str">
            <v>River sand</v>
          </cell>
          <cell r="C559" t="str">
            <v>Cmt</v>
          </cell>
          <cell r="D559">
            <v>892.5</v>
          </cell>
        </row>
        <row r="560">
          <cell r="A560">
            <v>7130310027</v>
          </cell>
          <cell r="B560" t="str">
            <v>11 kV Covered Conductor 50 Sqmm XLPE insulation</v>
          </cell>
          <cell r="C560" t="str">
            <v>Mtr.</v>
          </cell>
          <cell r="D560">
            <v>359.9</v>
          </cell>
        </row>
        <row r="561">
          <cell r="A561">
            <v>7130310029</v>
          </cell>
          <cell r="B561" t="str">
            <v>11 kV Covered Conductor 70 Sqmm XLPE insulation</v>
          </cell>
          <cell r="C561" t="str">
            <v>Mtr.</v>
          </cell>
          <cell r="D561">
            <v>402.38</v>
          </cell>
        </row>
        <row r="562">
          <cell r="A562">
            <v>7130310043</v>
          </cell>
          <cell r="B562" t="str">
            <v>11 kV Covered Conductor 99 Sqmm XLPE insulation</v>
          </cell>
          <cell r="C562" t="str">
            <v>Mtr.</v>
          </cell>
          <cell r="D562">
            <v>444.86</v>
          </cell>
        </row>
        <row r="563">
          <cell r="A563">
            <v>7130310047</v>
          </cell>
          <cell r="B563" t="str">
            <v>33 kV Covered Conductor 157 Sqmm XLPE insulation</v>
          </cell>
          <cell r="C563" t="str">
            <v>Mtr.</v>
          </cell>
          <cell r="D563">
            <v>667.88</v>
          </cell>
        </row>
        <row r="564">
          <cell r="A564">
            <v>7130310048</v>
          </cell>
          <cell r="B564" t="str">
            <v>33 kV Covered Conductor 241 Sqmm XLPE insulation</v>
          </cell>
          <cell r="C564" t="str">
            <v>Mtr.</v>
          </cell>
          <cell r="D564">
            <v>795.32</v>
          </cell>
        </row>
        <row r="565">
          <cell r="A565">
            <v>7130310045</v>
          </cell>
          <cell r="B565" t="str">
            <v>33 kV Covered Conductor 70 Sqmm XLPE insulation</v>
          </cell>
          <cell r="C565" t="str">
            <v>Mtr.</v>
          </cell>
          <cell r="D565">
            <v>494.42</v>
          </cell>
        </row>
        <row r="566">
          <cell r="A566">
            <v>7130310046</v>
          </cell>
          <cell r="B566" t="str">
            <v>33 kV Covered Conductor 99 Sqmm XLPE insulation</v>
          </cell>
          <cell r="C566" t="str">
            <v>Mtr.</v>
          </cell>
          <cell r="D566">
            <v>540.44000000000005</v>
          </cell>
        </row>
        <row r="567">
          <cell r="A567">
            <v>7130310025</v>
          </cell>
          <cell r="B567" t="str">
            <v>16 sq.mm Single Core PVC Sheathed Unarmoured Cables</v>
          </cell>
          <cell r="C567" t="str">
            <v>Km</v>
          </cell>
          <cell r="D567">
            <v>12654.12</v>
          </cell>
        </row>
        <row r="568">
          <cell r="A568">
            <v>7130310026</v>
          </cell>
          <cell r="B568" t="str">
            <v>25 sq.mm Single Core PVC Sheathed Unarmoured Cables</v>
          </cell>
          <cell r="C568" t="str">
            <v>Km</v>
          </cell>
          <cell r="D568">
            <v>20231.95</v>
          </cell>
        </row>
        <row r="569">
          <cell r="A569">
            <v>7130310034</v>
          </cell>
          <cell r="B569" t="str">
            <v>185 sq.mm Single Core PVC Sheathed Unarmoured Cables</v>
          </cell>
          <cell r="C569" t="str">
            <v>Km</v>
          </cell>
          <cell r="D569">
            <v>131396.79999999999</v>
          </cell>
        </row>
        <row r="570">
          <cell r="A570">
            <v>7130310035</v>
          </cell>
          <cell r="B570" t="str">
            <v>300 sq.mm Single Core PVC Sheathed Unarmoured Cables</v>
          </cell>
          <cell r="C570" t="str">
            <v>Km</v>
          </cell>
          <cell r="D570">
            <v>192294.97</v>
          </cell>
        </row>
        <row r="571">
          <cell r="A571">
            <v>7131310168</v>
          </cell>
          <cell r="B571" t="str">
            <v>Spot Billing Machine</v>
          </cell>
          <cell r="C571" t="str">
            <v>Each</v>
          </cell>
          <cell r="D571">
            <v>12298.72</v>
          </cell>
        </row>
        <row r="572">
          <cell r="B572" t="str">
            <v>11 kV Oil Immersed 3 Phase CT-PT Unit of capacity --</v>
          </cell>
        </row>
        <row r="573">
          <cell r="A573">
            <v>7132230410</v>
          </cell>
          <cell r="B573" t="str">
            <v>200/5 Amp</v>
          </cell>
          <cell r="C573" t="str">
            <v>Each</v>
          </cell>
        </row>
        <row r="574">
          <cell r="A574">
            <v>7132230403</v>
          </cell>
          <cell r="B574" t="str">
            <v>100/5 Amp</v>
          </cell>
          <cell r="C574" t="str">
            <v>Each</v>
          </cell>
        </row>
        <row r="575">
          <cell r="A575">
            <v>7131960919</v>
          </cell>
          <cell r="B575" t="str">
            <v>33 kV 2 feeder control panel (Static Relays)</v>
          </cell>
          <cell r="C575" t="str">
            <v>Each</v>
          </cell>
          <cell r="D575">
            <v>35518</v>
          </cell>
        </row>
        <row r="576">
          <cell r="A576">
            <v>7130870040</v>
          </cell>
          <cell r="B576" t="str">
            <v>G.I.Strip 25x3 mm</v>
          </cell>
          <cell r="C576" t="str">
            <v>Kg</v>
          </cell>
          <cell r="D576">
            <v>85.19</v>
          </cell>
        </row>
        <row r="577">
          <cell r="A577">
            <v>7130640039</v>
          </cell>
          <cell r="B577" t="str">
            <v>M.S.Strip 25x3 mm. (0.6 kg/Mtr.)</v>
          </cell>
          <cell r="C577" t="str">
            <v>Kg</v>
          </cell>
          <cell r="D577">
            <v>35.04</v>
          </cell>
        </row>
        <row r="578">
          <cell r="A578">
            <v>7132444005</v>
          </cell>
          <cell r="B578" t="str">
            <v>Numerical Poly Carbonate seals</v>
          </cell>
          <cell r="C578" t="str">
            <v>No</v>
          </cell>
          <cell r="D578">
            <v>9.1300000000000008</v>
          </cell>
        </row>
        <row r="579">
          <cell r="A579">
            <v>7130820013</v>
          </cell>
          <cell r="B579" t="str">
            <v>33 kV Polymer Disc Insulator (45 kN)</v>
          </cell>
          <cell r="C579" t="str">
            <v>No</v>
          </cell>
          <cell r="D579">
            <v>213.45</v>
          </cell>
        </row>
        <row r="580">
          <cell r="A580">
            <v>7131930110</v>
          </cell>
          <cell r="B580" t="str">
            <v>D.O.Fuse Polymer unit 11 kV</v>
          </cell>
          <cell r="C580" t="str">
            <v>Each</v>
          </cell>
          <cell r="D580">
            <v>1567.1</v>
          </cell>
        </row>
        <row r="581">
          <cell r="A581">
            <v>7131930111</v>
          </cell>
          <cell r="B581" t="str">
            <v>D.O.Fuse Polymer unit 33 kV</v>
          </cell>
          <cell r="C581" t="str">
            <v>Each</v>
          </cell>
          <cell r="D581">
            <v>2242.7600000000002</v>
          </cell>
        </row>
        <row r="582">
          <cell r="A582">
            <v>7130800001</v>
          </cell>
          <cell r="B582" t="str">
            <v>PCC Pole 200 kG; 9.0 Mtr. Long</v>
          </cell>
          <cell r="C582" t="str">
            <v>Each</v>
          </cell>
          <cell r="D582">
            <v>3046.2</v>
          </cell>
        </row>
        <row r="583">
          <cell r="A583">
            <v>7130800002</v>
          </cell>
          <cell r="B583" t="str">
            <v>PCC Pole 365 kG; 11 Mtr. Long</v>
          </cell>
          <cell r="C583" t="str">
            <v>Each</v>
          </cell>
          <cell r="D583">
            <v>7605.2</v>
          </cell>
        </row>
        <row r="584">
          <cell r="A584">
            <v>7130820001</v>
          </cell>
          <cell r="B584" t="str">
            <v>11 kV Polymer Post Insulator</v>
          </cell>
          <cell r="C584" t="str">
            <v>Nos.</v>
          </cell>
          <cell r="D584">
            <v>232.72</v>
          </cell>
        </row>
        <row r="585">
          <cell r="A585">
            <v>7130820002</v>
          </cell>
          <cell r="B585" t="str">
            <v>33 kV Polymer Post Insulator</v>
          </cell>
          <cell r="C585" t="str">
            <v>Nos.</v>
          </cell>
          <cell r="D585">
            <v>806.73</v>
          </cell>
        </row>
        <row r="586">
          <cell r="A586">
            <v>7130820010</v>
          </cell>
          <cell r="B586" t="str">
            <v>Silicon rubber composite insulator / 11 kV  45 kN Polymeric Insulator</v>
          </cell>
          <cell r="C586" t="str">
            <v>Nos.</v>
          </cell>
          <cell r="D586">
            <v>115.83</v>
          </cell>
        </row>
        <row r="587">
          <cell r="A587">
            <v>7131930107</v>
          </cell>
          <cell r="B587" t="str">
            <v>Polymer A.B.Switch with complete fitting 11 kV</v>
          </cell>
          <cell r="C587" t="str">
            <v>Each</v>
          </cell>
        </row>
        <row r="588">
          <cell r="A588">
            <v>7131930108</v>
          </cell>
          <cell r="B588" t="str">
            <v>Polymer A.B.Switch with complete fitting 33 kV</v>
          </cell>
          <cell r="C588" t="str">
            <v>Each</v>
          </cell>
        </row>
        <row r="589">
          <cell r="A589">
            <v>7130800033</v>
          </cell>
          <cell r="B589" t="str">
            <v>200 Kg 8.0 Meter long PCC Pole</v>
          </cell>
          <cell r="C589" t="str">
            <v>No</v>
          </cell>
          <cell r="D589">
            <v>2552.9499999999998</v>
          </cell>
        </row>
        <row r="590">
          <cell r="A590">
            <v>7130311023</v>
          </cell>
          <cell r="B590" t="str">
            <v>2.5 sqmm. Twin Core PVC insulated single phase armoured service Cable</v>
          </cell>
          <cell r="C590" t="str">
            <v>Per Mtr.</v>
          </cell>
          <cell r="D590">
            <v>22.89</v>
          </cell>
        </row>
        <row r="591">
          <cell r="A591">
            <v>7130311024</v>
          </cell>
          <cell r="B591" t="str">
            <v>4.0 sqmm. Twin Core PVC insulated single phase armoured service Cable</v>
          </cell>
          <cell r="C591" t="str">
            <v>Per Mtr.</v>
          </cell>
          <cell r="D591">
            <v>27.46</v>
          </cell>
        </row>
        <row r="592">
          <cell r="A592">
            <v>7130311025</v>
          </cell>
          <cell r="B592" t="str">
            <v>6.0 sqmm. Twin Core PVC insulated single phase armoured service Cable</v>
          </cell>
          <cell r="C592" t="str">
            <v>Per Mtr.</v>
          </cell>
          <cell r="D592">
            <v>40.049999999999997</v>
          </cell>
        </row>
        <row r="593">
          <cell r="A593">
            <v>7130311026</v>
          </cell>
          <cell r="B593" t="str">
            <v>6.0 sqmm. Four Core PVC insulated three phase Armoured service Cable</v>
          </cell>
          <cell r="C593" t="str">
            <v>Per Mtr.</v>
          </cell>
          <cell r="D593">
            <v>48.06</v>
          </cell>
        </row>
        <row r="594">
          <cell r="A594">
            <v>7130311027</v>
          </cell>
          <cell r="B594" t="str">
            <v>8.0 sqmm. Four Core PVC insulated three phase Armoured service Cable</v>
          </cell>
          <cell r="C594" t="str">
            <v>Per Mtr.</v>
          </cell>
          <cell r="D594">
            <v>58.36</v>
          </cell>
        </row>
        <row r="595">
          <cell r="A595">
            <v>7130311028</v>
          </cell>
          <cell r="B595" t="str">
            <v>10 sqmm. Four Core PVC insulated three phase Armoured service Cable</v>
          </cell>
          <cell r="C595" t="str">
            <v>Per Mtr.</v>
          </cell>
          <cell r="D595">
            <v>69.8</v>
          </cell>
        </row>
        <row r="596">
          <cell r="A596">
            <v>7130311029</v>
          </cell>
          <cell r="B596" t="str">
            <v>16 sqmm. Four Core PVC insulated three phase Armoured service Cable</v>
          </cell>
          <cell r="C596" t="str">
            <v>Per Mtr.</v>
          </cell>
          <cell r="D596">
            <v>91.55</v>
          </cell>
        </row>
        <row r="597">
          <cell r="A597">
            <v>7130311030</v>
          </cell>
          <cell r="B597" t="str">
            <v>25 sqmm. Four Core PVC insulated three phase Armoured service Cable</v>
          </cell>
          <cell r="C597" t="str">
            <v>Per Mtr.</v>
          </cell>
          <cell r="D597">
            <v>116.72</v>
          </cell>
        </row>
        <row r="598">
          <cell r="A598">
            <v>7130311085</v>
          </cell>
          <cell r="B598" t="str">
            <v>240 sq.mm Single Core PVC Sheathed Unarmoured Cables</v>
          </cell>
          <cell r="C598" t="str">
            <v>Km</v>
          </cell>
          <cell r="D598">
            <v>128661.63</v>
          </cell>
        </row>
        <row r="599">
          <cell r="A599">
            <v>7132210017</v>
          </cell>
          <cell r="B599" t="str">
            <v>16 kVA, Aluminium wound ISI Marked, 11/0.433 kV Distribution Transformer having energy efficiency level '2'</v>
          </cell>
          <cell r="C599" t="str">
            <v>Each</v>
          </cell>
          <cell r="D599">
            <v>45245</v>
          </cell>
        </row>
        <row r="600">
          <cell r="A600">
            <v>7132210018</v>
          </cell>
          <cell r="B600" t="str">
            <v>25 kVA, Aluminium wound ISI Marked, 11/0.433 kV Distribution Transformer having energy efficiency level '2'</v>
          </cell>
          <cell r="C600" t="str">
            <v>Each</v>
          </cell>
          <cell r="D600">
            <v>47999.67</v>
          </cell>
        </row>
        <row r="601">
          <cell r="A601">
            <v>7132210019</v>
          </cell>
          <cell r="B601" t="str">
            <v>63 kVA, Aluminium wound ISI Marked, 11/0.433 kV Distribution Transformer having energy efficiency level '2'</v>
          </cell>
          <cell r="C601" t="str">
            <v>Each</v>
          </cell>
          <cell r="D601">
            <v>86145.23</v>
          </cell>
        </row>
        <row r="602">
          <cell r="A602">
            <v>7132210020</v>
          </cell>
          <cell r="B602" t="str">
            <v>100 kVA, Aluminium wound ISI Marked, 11/0.433 kV Distribution Transformer having energy efficiency level '2'</v>
          </cell>
          <cell r="C602" t="str">
            <v>Each</v>
          </cell>
          <cell r="D602">
            <v>114478.87</v>
          </cell>
        </row>
        <row r="603">
          <cell r="A603">
            <v>7132210021</v>
          </cell>
          <cell r="B603" t="str">
            <v>200 kVA, Aluminium wound ISI Marked, 11/0.433 kV Distribution Transformer having energy efficiency level '2'</v>
          </cell>
          <cell r="C603" t="str">
            <v>Each</v>
          </cell>
          <cell r="D603">
            <v>208627.46</v>
          </cell>
        </row>
        <row r="604">
          <cell r="A604">
            <v>7132220081</v>
          </cell>
          <cell r="B604" t="str">
            <v>315 kVA, Copper wound ISI Marked, 11/0.433 kV Distribution Transformer having energy efficiency level '2'</v>
          </cell>
          <cell r="C604" t="str">
            <v>Each</v>
          </cell>
          <cell r="D604">
            <v>467837.1</v>
          </cell>
        </row>
        <row r="605">
          <cell r="A605">
            <v>7132220082</v>
          </cell>
          <cell r="B605" t="str">
            <v>500 kVA, Copper wound ISI Marked, 11/0.433 kV Distribution Transformer having energy efficiency level '2'</v>
          </cell>
          <cell r="C605" t="str">
            <v>Each</v>
          </cell>
          <cell r="D605">
            <v>844517.92</v>
          </cell>
        </row>
        <row r="606">
          <cell r="A606">
            <v>7130640008</v>
          </cell>
          <cell r="B606" t="str">
            <v xml:space="preserve">RCC Block (with 6 mm MS Bar) </v>
          </cell>
          <cell r="C606" t="str">
            <v>Each</v>
          </cell>
          <cell r="D606">
            <v>158</v>
          </cell>
        </row>
        <row r="607">
          <cell r="A607">
            <v>7131210011</v>
          </cell>
          <cell r="B607" t="str">
            <v>LED 9 Watt Lamp (without holder)</v>
          </cell>
          <cell r="C607" t="str">
            <v>Each</v>
          </cell>
          <cell r="D607">
            <v>71.19</v>
          </cell>
        </row>
        <row r="608">
          <cell r="A608">
            <v>7131210009</v>
          </cell>
          <cell r="B608" t="str">
            <v xml:space="preserve">LED Tube Light, 20 Watt </v>
          </cell>
          <cell r="C608" t="str">
            <v>Set</v>
          </cell>
          <cell r="D608">
            <v>223.74</v>
          </cell>
        </row>
        <row r="609">
          <cell r="A609">
            <v>7131210030</v>
          </cell>
          <cell r="B609" t="str">
            <v>18 W LED Street Light complete set</v>
          </cell>
          <cell r="C609" t="str">
            <v>Set</v>
          </cell>
          <cell r="D609">
            <v>2303</v>
          </cell>
        </row>
        <row r="610">
          <cell r="A610">
            <v>7131210031</v>
          </cell>
          <cell r="B610" t="str">
            <v>35 W LED Street Light complete set</v>
          </cell>
          <cell r="C610" t="str">
            <v>Set</v>
          </cell>
          <cell r="D610">
            <v>2974.99</v>
          </cell>
        </row>
        <row r="611">
          <cell r="A611">
            <v>7131210032</v>
          </cell>
          <cell r="B611" t="str">
            <v>70 W LED Street Light complete set</v>
          </cell>
          <cell r="C611" t="str">
            <v>Set</v>
          </cell>
          <cell r="D611">
            <v>4208.49</v>
          </cell>
        </row>
        <row r="612">
          <cell r="A612">
            <v>7131210033</v>
          </cell>
          <cell r="B612" t="str">
            <v>110 W LED Street Light complete set</v>
          </cell>
          <cell r="C612" t="str">
            <v>Set</v>
          </cell>
          <cell r="D612">
            <v>5719.34</v>
          </cell>
        </row>
        <row r="613">
          <cell r="A613">
            <v>7131210034</v>
          </cell>
          <cell r="B613" t="str">
            <v>190 W LED Street Light complete set</v>
          </cell>
          <cell r="C613" t="str">
            <v>Set</v>
          </cell>
          <cell r="D613">
            <v>10086.719999999999</v>
          </cell>
        </row>
        <row r="614">
          <cell r="A614">
            <v>7131210035</v>
          </cell>
          <cell r="B614" t="str">
            <v>190 W LED Flood Light complete set</v>
          </cell>
          <cell r="C614" t="str">
            <v>Set</v>
          </cell>
          <cell r="D614">
            <v>9786.0300000000007</v>
          </cell>
        </row>
        <row r="615">
          <cell r="A615">
            <v>7131210036</v>
          </cell>
          <cell r="B615" t="str">
            <v>110 W LED Flood Light complete set</v>
          </cell>
          <cell r="C615" t="str">
            <v>Set</v>
          </cell>
          <cell r="D615">
            <v>6535.41</v>
          </cell>
        </row>
        <row r="616">
          <cell r="A616">
            <v>7131210023</v>
          </cell>
          <cell r="B616" t="str">
            <v>LED Lamps with complete fitting-24 W</v>
          </cell>
          <cell r="C616" t="str">
            <v>Nos.</v>
          </cell>
        </row>
        <row r="617">
          <cell r="A617">
            <v>7131210024</v>
          </cell>
          <cell r="B617" t="str">
            <v>LED Lamps with complete fitting-48 W</v>
          </cell>
          <cell r="C617" t="str">
            <v>Nos.</v>
          </cell>
        </row>
        <row r="618">
          <cell r="A618">
            <v>7131210025</v>
          </cell>
          <cell r="B618" t="str">
            <v>LED Lamps with complete fitting-60 W</v>
          </cell>
          <cell r="C618" t="str">
            <v>Nos.</v>
          </cell>
        </row>
        <row r="619">
          <cell r="A619">
            <v>7131941763</v>
          </cell>
          <cell r="B619" t="str">
            <v>3 Way RMU, 2OD + 1VL, One Incomer + One Breaker + One Outgoing, 350 MVA, 650 Amps.</v>
          </cell>
          <cell r="C619" t="str">
            <v>Unit</v>
          </cell>
          <cell r="D619">
            <v>783946.57</v>
          </cell>
        </row>
        <row r="620">
          <cell r="A620">
            <v>7131941764</v>
          </cell>
          <cell r="B620" t="str">
            <v>4 Way RMU, 2OD + 2VL, (One Incomer + Two  Breakers + One Outgoing), 350 MVA, 650 Amps.</v>
          </cell>
          <cell r="C620" t="str">
            <v>Unit</v>
          </cell>
          <cell r="D620">
            <v>1113571.72</v>
          </cell>
        </row>
        <row r="621">
          <cell r="A621">
            <v>7131941765</v>
          </cell>
          <cell r="B621" t="str">
            <v>5 Way RMU, 2OD + 3VL, (One Incomer + Three Breakers + One Outgoing), 350 MVA, 650 Amps.</v>
          </cell>
          <cell r="C621" t="str">
            <v>Unit</v>
          </cell>
          <cell r="D621">
            <v>1437325.65</v>
          </cell>
        </row>
        <row r="622">
          <cell r="A622">
            <v>7131941766</v>
          </cell>
          <cell r="B622" t="str">
            <v>6 Way RMU, 2OD + 4VL,(One Incomer + Four Breakers + One Outgoing), 350 MVA, 650 Amps.</v>
          </cell>
          <cell r="C622" t="str">
            <v>Unit</v>
          </cell>
          <cell r="D622">
            <v>1761079.59</v>
          </cell>
        </row>
        <row r="623">
          <cell r="A623">
            <v>7131941767</v>
          </cell>
          <cell r="B623" t="str">
            <v>1OD for RMU</v>
          </cell>
          <cell r="C623" t="str">
            <v>Unit</v>
          </cell>
          <cell r="D623">
            <v>282079.67</v>
          </cell>
        </row>
        <row r="624">
          <cell r="A624">
            <v>7131941768</v>
          </cell>
          <cell r="B624" t="str">
            <v>1VL for 350 MVA, 650 Amps RMU</v>
          </cell>
          <cell r="C624" t="str">
            <v>Unit</v>
          </cell>
          <cell r="D624">
            <v>329625.15000000002</v>
          </cell>
        </row>
        <row r="625">
          <cell r="A625">
            <v>7132230009</v>
          </cell>
          <cell r="B625" t="str">
            <v>Indoor Type 33 kV Metering Cubical CTPT Unit 10/5 A</v>
          </cell>
          <cell r="C625" t="str">
            <v>Each</v>
          </cell>
          <cell r="D625">
            <v>211286.82</v>
          </cell>
        </row>
        <row r="626">
          <cell r="A626">
            <v>7132230011</v>
          </cell>
          <cell r="B626" t="str">
            <v>Indoor Type 33 kV Metering Cubical CTPT Unit 25/5 A</v>
          </cell>
          <cell r="C626" t="str">
            <v>Each</v>
          </cell>
          <cell r="D626">
            <v>211286.82</v>
          </cell>
        </row>
        <row r="627">
          <cell r="A627">
            <v>7132230012</v>
          </cell>
          <cell r="B627" t="str">
            <v>Indoor Type 33 kV Metering Cubical CTPT Unit 200/5 A</v>
          </cell>
          <cell r="C627" t="str">
            <v>Each</v>
          </cell>
          <cell r="D627">
            <v>228912.83</v>
          </cell>
        </row>
        <row r="628">
          <cell r="A628">
            <v>7132230008</v>
          </cell>
          <cell r="B628" t="str">
            <v>Indoor Type 11 kV Metering Cubical CTPT Unit 10/5 A</v>
          </cell>
          <cell r="C628" t="str">
            <v>Each</v>
          </cell>
          <cell r="D628">
            <v>108558.6</v>
          </cell>
        </row>
        <row r="629">
          <cell r="A629">
            <v>7132230026</v>
          </cell>
          <cell r="B629" t="str">
            <v>Indoor Type 11 kV 15/5 A Metering Cubical CT-PT Units</v>
          </cell>
          <cell r="C629" t="str">
            <v>Each</v>
          </cell>
          <cell r="D629">
            <v>108560</v>
          </cell>
        </row>
        <row r="630">
          <cell r="A630">
            <v>7132230010</v>
          </cell>
          <cell r="B630" t="str">
            <v>Indoor Type 11 kV Metering Cubical CTPT Unit 25/5 A</v>
          </cell>
          <cell r="C630" t="str">
            <v>Each</v>
          </cell>
          <cell r="D630">
            <v>108560</v>
          </cell>
        </row>
        <row r="631">
          <cell r="A631">
            <v>7132230027</v>
          </cell>
          <cell r="B631" t="str">
            <v>Indoor Type 11 kV 50/5 A Metering Cubical CT-PT Units</v>
          </cell>
          <cell r="C631" t="str">
            <v>Each</v>
          </cell>
          <cell r="D631">
            <v>108558.6</v>
          </cell>
        </row>
        <row r="632">
          <cell r="A632">
            <v>7131980004</v>
          </cell>
          <cell r="B632" t="str">
            <v>(0+1) TYPE - MEANS 11 KV GAS (SF6) INSULATED RMU WITH ONE 630 A LOAD BREAK SWITCH.</v>
          </cell>
          <cell r="C632" t="str">
            <v>No.</v>
          </cell>
          <cell r="D632">
            <v>238254.21</v>
          </cell>
        </row>
        <row r="633">
          <cell r="A633">
            <v>7131980005</v>
          </cell>
          <cell r="B633" t="str">
            <v>(0+3) TYPE - MEANS 11 KV GAS (SF6) INSULATED RMU WITH THREE 630 A LOAD BREAK SWITCHES.</v>
          </cell>
          <cell r="C633" t="str">
            <v>No.</v>
          </cell>
          <cell r="D633">
            <v>440563.52</v>
          </cell>
        </row>
        <row r="634">
          <cell r="A634">
            <v>7131980006</v>
          </cell>
          <cell r="B634" t="str">
            <v>(0+4) TYPE - MEANS 11 KV GAS (SF6) INSULATED RMU WITH FOUR 630 A LOAD BREAK SWITCHES.</v>
          </cell>
          <cell r="C634" t="str">
            <v>No.</v>
          </cell>
          <cell r="D634">
            <v>534524.88</v>
          </cell>
        </row>
        <row r="635">
          <cell r="A635">
            <v>7131980007</v>
          </cell>
          <cell r="B635" t="str">
            <v>(0+2)+BC+(0+2) TYPE - MEANS 11 KV GAS (SF6) INSULATED RMU WITH FOUR NOS. 630 A LOAD BREAK SWITCHES AND ONE BUS COUPLER IN BETWEEN AFTER ISOLATOR.</v>
          </cell>
          <cell r="C635" t="str">
            <v>No.</v>
          </cell>
          <cell r="D635">
            <v>851760.81</v>
          </cell>
        </row>
        <row r="636">
          <cell r="A636">
            <v>7131980008</v>
          </cell>
          <cell r="B636" t="str">
            <v>(0+2)+BC+(0+2)+BC+(0+2) TYPE - MEANS 11 KV GAS (SF6) INSULATED RMU WITH SIX NOS. 630 A LOAD BREAK SWITCHES AND ONE BUS COUPLER WITH LBS IN BETWEEN AFTER ISOLATOR.</v>
          </cell>
          <cell r="C636" t="str">
            <v>No.</v>
          </cell>
          <cell r="D636">
            <v>1347037.04</v>
          </cell>
        </row>
        <row r="637">
          <cell r="A637">
            <v>7131980001</v>
          </cell>
          <cell r="B637" t="str">
            <v>12 kV, Outdoor type Vacuum Capacitor switches</v>
          </cell>
          <cell r="C637" t="str">
            <v>No.</v>
          </cell>
          <cell r="D637">
            <v>69834.98</v>
          </cell>
        </row>
        <row r="638">
          <cell r="A638">
            <v>7131920028</v>
          </cell>
          <cell r="B638" t="str">
            <v>AC Distribution board for AC/DC Supply</v>
          </cell>
          <cell r="C638" t="str">
            <v>No.</v>
          </cell>
          <cell r="D638">
            <v>11255.65</v>
          </cell>
        </row>
        <row r="639">
          <cell r="A639">
            <v>7132486843</v>
          </cell>
          <cell r="B639" t="str">
            <v>Chem Rod Earthing electrode (Chemical Earthing) [As per specification given in Schedule-C-20]</v>
          </cell>
          <cell r="C639" t="str">
            <v>Job</v>
          </cell>
          <cell r="D639">
            <v>8869.2199999999993</v>
          </cell>
        </row>
        <row r="640">
          <cell r="A640">
            <v>7130840003</v>
          </cell>
          <cell r="B640" t="str">
            <v>Surge Arrestor</v>
          </cell>
          <cell r="C640" t="str">
            <v>No.</v>
          </cell>
          <cell r="D640">
            <v>877.81</v>
          </cell>
        </row>
        <row r="641">
          <cell r="A641">
            <v>7131950396</v>
          </cell>
          <cell r="B641" t="str">
            <v>Ground connection for Messenger Wire</v>
          </cell>
          <cell r="C641" t="str">
            <v>No.</v>
          </cell>
          <cell r="D641">
            <v>133.37</v>
          </cell>
        </row>
        <row r="642">
          <cell r="A642">
            <v>7132406800</v>
          </cell>
          <cell r="B642" t="str">
            <v>33/11 kV S/S (Name Plate) Board</v>
          </cell>
          <cell r="C642" t="str">
            <v>Job</v>
          </cell>
          <cell r="D642">
            <v>8341.5499999999993</v>
          </cell>
        </row>
        <row r="643">
          <cell r="A643">
            <v>7131210840</v>
          </cell>
          <cell r="B643" t="str">
            <v>11 kV Fault Passage Indicator for Overhead line</v>
          </cell>
          <cell r="C643" t="str">
            <v>No.</v>
          </cell>
          <cell r="D643">
            <v>15688.51</v>
          </cell>
        </row>
        <row r="644">
          <cell r="A644">
            <v>7132455003</v>
          </cell>
          <cell r="B644" t="str">
            <v>SMC Meter Board 350x200x40 mm (minimum) thickness 2.5 mm</v>
          </cell>
          <cell r="C644" t="str">
            <v>No.</v>
          </cell>
          <cell r="D644">
            <v>148.56</v>
          </cell>
        </row>
        <row r="645">
          <cell r="A645">
            <v>7132455004</v>
          </cell>
          <cell r="B645" t="str">
            <v>SMC Board 200x150x40 mm (minimum) thickness 2.5 mm</v>
          </cell>
          <cell r="C645" t="str">
            <v>No.</v>
          </cell>
          <cell r="D645">
            <v>116.72</v>
          </cell>
        </row>
        <row r="646">
          <cell r="A646">
            <v>7131920004</v>
          </cell>
          <cell r="B646" t="str">
            <v>Piano type ISI mark 250V/5A switch.</v>
          </cell>
          <cell r="C646" t="str">
            <v>No.</v>
          </cell>
          <cell r="D646">
            <v>10.93</v>
          </cell>
        </row>
        <row r="647">
          <cell r="A647">
            <v>7131920005</v>
          </cell>
          <cell r="B647" t="str">
            <v>250V/5A ISI mark 3 pin Socket</v>
          </cell>
          <cell r="C647" t="str">
            <v>No.</v>
          </cell>
          <cell r="D647">
            <v>27.33</v>
          </cell>
        </row>
        <row r="648">
          <cell r="A648">
            <v>7131920006</v>
          </cell>
          <cell r="B648" t="str">
            <v>250V/5A ISI mark holder.</v>
          </cell>
          <cell r="C648" t="str">
            <v>No.</v>
          </cell>
          <cell r="D648">
            <v>16.399999999999999</v>
          </cell>
        </row>
        <row r="649">
          <cell r="A649">
            <v>7131390482</v>
          </cell>
          <cell r="B649" t="str">
            <v>Earthing terminal (having suitable size of 10 mm Dia GI bolt with 3 nos.
 nuts &amp; washers) along with Staples/ Nut-Bolts/ Nails</v>
          </cell>
          <cell r="C649" t="str">
            <v>No.</v>
          </cell>
          <cell r="D649">
            <v>53.06</v>
          </cell>
        </row>
        <row r="650">
          <cell r="A650">
            <v>7130310081</v>
          </cell>
          <cell r="B650" t="str">
            <v>Internal wiring using 1.5 sqmm copper multistrands PVC insulated ISI marked cable (Average cable length 6 Mtr.)</v>
          </cell>
          <cell r="C650" t="str">
            <v>Mtr</v>
          </cell>
          <cell r="D650">
            <v>7.22</v>
          </cell>
        </row>
        <row r="651">
          <cell r="A651">
            <v>7132461006</v>
          </cell>
          <cell r="B651" t="str">
            <v>25 mm Dia PVC pipe or equivalent for internal house wiring (3 Mtr)</v>
          </cell>
          <cell r="C651" t="str">
            <v>Feet</v>
          </cell>
          <cell r="D651">
            <v>5.76</v>
          </cell>
        </row>
        <row r="652">
          <cell r="A652">
            <v>7132498054</v>
          </cell>
          <cell r="B652" t="str">
            <v>Bhatta brick</v>
          </cell>
          <cell r="C652" t="str">
            <v>No.</v>
          </cell>
          <cell r="D652">
            <v>6.15</v>
          </cell>
        </row>
        <row r="653">
          <cell r="A653">
            <v>7131397216</v>
          </cell>
          <cell r="B653" t="str">
            <v>Meter Sealing Wire</v>
          </cell>
          <cell r="C653" t="str">
            <v>Kg</v>
          </cell>
          <cell r="D653">
            <v>193.67</v>
          </cell>
        </row>
        <row r="654">
          <cell r="A654">
            <v>7132010551</v>
          </cell>
          <cell r="B654" t="str">
            <v>Hand Operated type 25 sq.mm. to 400 sq.mm Crimping Tool</v>
          </cell>
          <cell r="C654" t="str">
            <v>No.</v>
          </cell>
          <cell r="D654">
            <v>9374.76</v>
          </cell>
        </row>
        <row r="655">
          <cell r="A655">
            <v>7132010552</v>
          </cell>
          <cell r="B655" t="str">
            <v>Hydraulic type Crimping Tool with suitable Dies for crimping Lugs of size up to 400 sq.mm.</v>
          </cell>
          <cell r="C655" t="str">
            <v>Set</v>
          </cell>
          <cell r="D655">
            <v>10765.58</v>
          </cell>
        </row>
        <row r="656">
          <cell r="A656">
            <v>7132478005</v>
          </cell>
          <cell r="B656" t="str">
            <v>RECHARGEABLE L.E.D. HAND TORCH</v>
          </cell>
          <cell r="C656" t="str">
            <v>No.</v>
          </cell>
          <cell r="D656">
            <v>789.73</v>
          </cell>
        </row>
        <row r="657">
          <cell r="A657">
            <v>7132089020</v>
          </cell>
          <cell r="B657" t="str">
            <v>Cable separator in RCC Pipe with Angle Cross of 50x50x6 mm Angle @ 2 No. in one pipe</v>
          </cell>
          <cell r="C657" t="str">
            <v>No.</v>
          </cell>
          <cell r="D657">
            <v>597.98</v>
          </cell>
        </row>
        <row r="658">
          <cell r="A658">
            <v>7132200004</v>
          </cell>
          <cell r="B658" t="str">
            <v>11 kV Capacitor Unit with Expulsion Tube</v>
          </cell>
          <cell r="C658" t="str">
            <v>Each</v>
          </cell>
          <cell r="D658">
            <v>104.69</v>
          </cell>
        </row>
        <row r="659">
          <cell r="B659" t="str">
            <v xml:space="preserve">ABT Meter </v>
          </cell>
          <cell r="C659" t="str">
            <v>No.</v>
          </cell>
          <cell r="D659">
            <v>210322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SUMM PS"/>
      <sheetName val="EX. SUMM GEN"/>
      <sheetName val="Maintenance "/>
      <sheetName val="CENTRAL SECTOR"/>
      <sheetName val="SCH,ACT"/>
      <sheetName val="GP Ther"/>
      <sheetName val="GP Hyd"/>
      <sheetName val="Fuel Cons."/>
      <sheetName val="Unitwise TPI"/>
      <sheetName val="Stnwise TPI"/>
      <sheetName val="Monthwise TPI"/>
      <sheetName val="PLF aprsep"/>
      <sheetName val="PLF OctMar"/>
      <sheetName val="Monthwise Sp.oil Cons."/>
      <sheetName val="Oil Cons. Account"/>
      <sheetName val="CA"/>
      <sheetName val="TIME DURATION CAUSE ANALYSIS"/>
      <sheetName val="Ploss"/>
      <sheetName val="MCRH"/>
      <sheetName val="R.Hrs. Since Comm"/>
      <sheetName val="LEVEL"/>
      <sheetName val="EB"/>
      <sheetName val="MORNING,EVENING PEAK"/>
      <sheetName val="COMP,UNRESTRICTED DEMAND"/>
      <sheetName val="CSG 01-02"/>
      <sheetName val="CSD"/>
      <sheetName val="SUPPLY HRS"/>
      <sheetName val="MiniMicro"/>
      <sheetName val="MPSEB90-01MONTHLY GENPLF"/>
      <sheetName val="400KV LOD"/>
      <sheetName val="220KV"/>
      <sheetName val="Energy Audit At PS"/>
      <sheetName val="All India PLF 1991-92 onwards"/>
      <sheetName val="R_Hrs_ Since Comm"/>
      <sheetName val="STN WISE EMR"/>
      <sheetName val="BREAKUP OF OIL"/>
      <sheetName val="ATC Loss Red"/>
      <sheetName val="DLC"/>
      <sheetName val="dpc cost"/>
      <sheetName val="SUMMERY"/>
      <sheetName val="C.S.GENERATION"/>
      <sheetName val="A"/>
      <sheetName val="agl-pump-sets"/>
      <sheetName val="EG"/>
      <sheetName val="pump-sets(AI)"/>
      <sheetName val="installes-capacity"/>
      <sheetName val="per-capita"/>
      <sheetName val="towns&amp;villages"/>
      <sheetName val="EX_SUMM_PS"/>
      <sheetName val="EX__SUMM_GEN"/>
      <sheetName val="Maintenance_"/>
      <sheetName val="CENTRAL_SECTOR"/>
      <sheetName val="GP_Ther"/>
      <sheetName val="GP_Hyd"/>
      <sheetName val="Fuel_Cons_"/>
      <sheetName val="Unitwise_TPI"/>
      <sheetName val="Stnwise_TPI"/>
      <sheetName val="Monthwise_TPI"/>
      <sheetName val="PLF_aprsep"/>
      <sheetName val="PLF_OctMar"/>
      <sheetName val="Monthwise_Sp_oil_Cons_"/>
      <sheetName val="Oil_Cons__Account"/>
      <sheetName val="TIME_DURATION_CAUSE_ANALYSIS"/>
      <sheetName val="R_Hrs__Since_Comm"/>
      <sheetName val="MORNING,EVENING_PEAK"/>
      <sheetName val="COMP,UNRESTRICTED_DEMAND"/>
      <sheetName val="CSG_01-02"/>
      <sheetName val="SUPPLY_HRS"/>
      <sheetName val="MPSEB90-01MONTHLY_GENPLF"/>
      <sheetName val="400KV_LOD"/>
      <sheetName val="Energy_Audit_At_PS"/>
      <sheetName val="All_India_PLF_1991-92_onwards"/>
      <sheetName val="R_Hrs__Since_Comm1"/>
      <sheetName val="BREAKUP_OF_OIL"/>
      <sheetName val="STN_WISE_EMR"/>
      <sheetName val="C_S_GENERATION"/>
      <sheetName val="EX_SUMM_PS1"/>
      <sheetName val="EX__SUMM_GEN1"/>
      <sheetName val="Maintenance_1"/>
      <sheetName val="CENTRAL_SECTOR1"/>
      <sheetName val="GP_Ther1"/>
      <sheetName val="GP_Hyd1"/>
      <sheetName val="Fuel_Cons_1"/>
      <sheetName val="Unitwise_TPI1"/>
      <sheetName val="Stnwise_TPI1"/>
      <sheetName val="Monthwise_TPI1"/>
      <sheetName val="PLF_aprsep1"/>
      <sheetName val="PLF_OctMar1"/>
      <sheetName val="Monthwise_Sp_oil_Cons_1"/>
      <sheetName val="Oil_Cons__Account1"/>
      <sheetName val="TIME_DURATION_CAUSE_ANALYSIS1"/>
      <sheetName val="R_Hrs__Since_Comm2"/>
      <sheetName val="MORNING,EVENING_PEAK1"/>
      <sheetName val="COMP,UNRESTRICTED_DEMAND1"/>
      <sheetName val="CSG_01-021"/>
      <sheetName val="SUPPLY_HRS1"/>
      <sheetName val="MPSEB90-01MONTHLY_GENPLF1"/>
      <sheetName val="400KV_LOD1"/>
      <sheetName val="Energy_Audit_At_PS1"/>
      <sheetName val="All_India_PLF_1991-92_onwards1"/>
      <sheetName val="R_Hrs__Since_Comm3"/>
      <sheetName val="EX_SUMM_PS2"/>
      <sheetName val="EX__SUMM_GEN2"/>
      <sheetName val="Maintenance_2"/>
      <sheetName val="CENTRAL_SECTOR2"/>
      <sheetName val="GP_Ther2"/>
      <sheetName val="GP_Hyd2"/>
      <sheetName val="Fuel_Cons_2"/>
      <sheetName val="Unitwise_TPI2"/>
      <sheetName val="Stnwise_TPI2"/>
      <sheetName val="Monthwise_TPI2"/>
      <sheetName val="PLF_aprsep2"/>
      <sheetName val="PLF_OctMar2"/>
      <sheetName val="Monthwise_Sp_oil_Cons_2"/>
      <sheetName val="Oil_Cons__Account2"/>
      <sheetName val="TIME_DURATION_CAUSE_ANALYSIS2"/>
      <sheetName val="R_Hrs__Since_Comm4"/>
      <sheetName val="MORNING,EVENING_PEAK2"/>
      <sheetName val="COMP,UNRESTRICTED_DEMAND2"/>
      <sheetName val="CSG_01-022"/>
      <sheetName val="SUPPLY_HRS2"/>
      <sheetName val="MPSEB90-01MONTHLY_GENPLF2"/>
      <sheetName val="400KV_LOD2"/>
      <sheetName val="Energy_Audit_At_PS2"/>
      <sheetName val="All_India_PLF_1991-92_onwards2"/>
      <sheetName val="R_Hrs__Since_Comm5"/>
      <sheetName val="ATC_Loss_R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p 03-04"/>
    </sheetNames>
    <sheetDataSet>
      <sheetData sheetId="0" refreshError="1">
        <row r="721">
          <cell r="F721">
            <v>0.90799276391293349</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Thermal"/>
      <sheetName val="MPEB Performance"/>
      <sheetName val="Stationwise Thermal &amp; Hydel Gen"/>
      <sheetName val="Fuel Oil &amp; Aux. Cons."/>
      <sheetName val="TWELVE"/>
      <sheetName val="UGEN"/>
      <sheetName val="Yearly Thermal"/>
      <sheetName val="Yearly Hydel"/>
      <sheetName val="GPUF9196"/>
      <sheetName val="MPSEB90-01MONTHLY GENPLF"/>
      <sheetName val="UNITWISE GEN &amp; FACTORS (S)"/>
      <sheetName val="GENPLF"/>
      <sheetName val="TPI"/>
      <sheetName val="TPI98-99"/>
      <sheetName val="TPI99-00"/>
      <sheetName val="TPI00-01"/>
      <sheetName val="TARGET9197"/>
      <sheetName val="TARGET 97-98"/>
      <sheetName val="TARGET 98-99"/>
      <sheetName val="TARGET 99-00"/>
      <sheetName val="TARGET 00-01"/>
      <sheetName val="Executive Summary _Thermal"/>
      <sheetName val="Stationwise Thermal _ Hydel Gen"/>
      <sheetName val="BREAKUP OF OIL"/>
      <sheetName val="C.S.GENERATION"/>
      <sheetName val="data"/>
      <sheetName val="R.Hrs. Since Comm"/>
      <sheetName val="Salient1"/>
      <sheetName val="Sept "/>
      <sheetName val="04REL"/>
      <sheetName val="A"/>
      <sheetName val="agl-pump-sets"/>
      <sheetName val="EG"/>
      <sheetName val="pump-sets(AI)"/>
      <sheetName val="installes-capacity"/>
      <sheetName val="per-capita"/>
      <sheetName val="towns&amp;villages"/>
      <sheetName val="DLC"/>
      <sheetName val="Executive_Summary_-Thermal"/>
      <sheetName val="MPEB_Performance"/>
      <sheetName val="Stationwise_Thermal_&amp;_Hydel_Gen"/>
      <sheetName val="Fuel_Oil_&amp;_Aux__Cons_"/>
      <sheetName val="Yearly_Thermal"/>
      <sheetName val="Yearly_Hydel"/>
      <sheetName val="MPSEB90-01MONTHLY_GENPLF"/>
      <sheetName val="UNITWISE_GEN_&amp;_FACTORS_(S)"/>
      <sheetName val="TARGET_97-98"/>
      <sheetName val="TARGET_98-99"/>
      <sheetName val="TARGET_99-00"/>
      <sheetName val="TARGET_00-01"/>
      <sheetName val="Executive_Summary__Thermal"/>
      <sheetName val="Stationwise_Thermal___Hydel_Gen"/>
      <sheetName val="C_S_GENERATION"/>
      <sheetName val="BREAKUP_OF_OIL"/>
      <sheetName val="R_Hrs__Since_Comm"/>
      <sheetName val="Sept_"/>
      <sheetName val="A 3.7"/>
      <sheetName val="Cover"/>
      <sheetName val="Vol IV_b"/>
      <sheetName val="Coalmine"/>
      <sheetName val="Executive_Summary_-Thermal1"/>
      <sheetName val="MPEB_Performance1"/>
      <sheetName val="Stationwise_Thermal_&amp;_Hydel_Ge1"/>
      <sheetName val="Fuel_Oil_&amp;_Aux__Cons_1"/>
      <sheetName val="Yearly_Thermal1"/>
      <sheetName val="Yearly_Hydel1"/>
      <sheetName val="MPSEB90-01MONTHLY_GENPLF1"/>
      <sheetName val="UNITWISE_GEN_&amp;_FACTORS_(S)1"/>
      <sheetName val="TARGET_97-981"/>
      <sheetName val="TARGET_98-991"/>
      <sheetName val="TARGET_99-001"/>
      <sheetName val="TARGET_00-011"/>
      <sheetName val="Executive_Summary__Thermal1"/>
      <sheetName val="Stationwise_Thermal___Hydel_Ge1"/>
      <sheetName val="C_S_GENERATION1"/>
      <sheetName val="BREAKUP_OF_OIL1"/>
      <sheetName val="R_Hrs__Since_Comm1"/>
      <sheetName val="Sept_1"/>
      <sheetName val="Executive_Summary_-Thermal2"/>
      <sheetName val="MPEB_Performance2"/>
      <sheetName val="Stationwise_Thermal_&amp;_Hydel_Ge2"/>
      <sheetName val="Fuel_Oil_&amp;_Aux__Cons_2"/>
      <sheetName val="Yearly_Thermal2"/>
      <sheetName val="Yearly_Hydel2"/>
      <sheetName val="MPSEB90-01MONTHLY_GENPLF2"/>
      <sheetName val="UNITWISE_GEN_&amp;_FACTORS_(S)2"/>
      <sheetName val="TARGET_97-982"/>
      <sheetName val="TARGET_98-992"/>
      <sheetName val="TARGET_99-002"/>
      <sheetName val="TARGET_00-012"/>
      <sheetName val="Executive_Summary__Thermal2"/>
      <sheetName val="Stationwise_Thermal___Hydel_Ge2"/>
      <sheetName val="C_S_GENERATION2"/>
      <sheetName val="BREAKUP_OF_OIL2"/>
      <sheetName val="R_Hrs__Since_Comm2"/>
      <sheetName val="Sept_2"/>
      <sheetName val="Sheet1"/>
      <sheetName val="Sheet2"/>
      <sheetName val="Sheet3"/>
      <sheetName val="7.11 p1"/>
      <sheetName val="STN WISE EMR"/>
      <sheetName val="Schedule SS4-Old"/>
      <sheetName val="ZKOK6"/>
      <sheetName val="Lead "/>
      <sheetName val="Labour charges"/>
      <sheetName val="Newabstract"/>
      <sheetName val="A2-02-03"/>
      <sheetName val="cls"/>
      <sheetName val="Dom"/>
      <sheetName val="ATP"/>
      <sheetName val="Inputs"/>
      <sheetName val="all"/>
      <sheetName val="PART-III "/>
      <sheetName val="Lead statement-VJA"/>
      <sheetName val="Mortars"/>
      <sheetName val="SS-III &amp; SS-V"/>
      <sheetName val="Addl_40"/>
    </sheetNames>
    <sheetDataSet>
      <sheetData sheetId="0" refreshError="1">
        <row r="3">
          <cell r="A3" t="str">
            <v>STATION NAME</v>
          </cell>
        </row>
        <row r="4">
          <cell r="A4" t="str">
            <v xml:space="preserve"> </v>
          </cell>
          <cell r="B4" t="str">
            <v>P A R T I C U L A R S</v>
          </cell>
          <cell r="C4" t="str">
            <v>MW</v>
          </cell>
          <cell r="D4" t="str">
            <v>91-92</v>
          </cell>
          <cell r="E4" t="str">
            <v>92-93</v>
          </cell>
          <cell r="F4" t="str">
            <v>93-94</v>
          </cell>
          <cell r="G4" t="str">
            <v>94-95</v>
          </cell>
          <cell r="H4" t="str">
            <v xml:space="preserve">95-96 </v>
          </cell>
          <cell r="I4" t="str">
            <v>MKwh</v>
          </cell>
          <cell r="J4" t="str">
            <v>%</v>
          </cell>
          <cell r="K4" t="str">
            <v>MW</v>
          </cell>
          <cell r="L4" t="str">
            <v>OP.STOCK</v>
          </cell>
          <cell r="M4" t="str">
            <v>RECIEPT</v>
          </cell>
          <cell r="N4" t="str">
            <v>MT</v>
          </cell>
          <cell r="O4" t="str">
            <v>Kg/kWH</v>
          </cell>
          <cell r="P4" t="str">
            <v>KL</v>
          </cell>
          <cell r="Q4" t="str">
            <v>ml/KWH</v>
          </cell>
        </row>
        <row r="5">
          <cell r="A5">
            <v>1</v>
          </cell>
          <cell r="B5" t="str">
            <v>Thermal  Generation (Including 100 % Satpura )</v>
          </cell>
          <cell r="C5" t="str">
            <v>MU</v>
          </cell>
          <cell r="D5">
            <v>11579.92</v>
          </cell>
          <cell r="E5">
            <v>12363.2</v>
          </cell>
          <cell r="F5">
            <v>13331.49</v>
          </cell>
          <cell r="G5">
            <v>14781.19868</v>
          </cell>
          <cell r="H5">
            <v>16071.35</v>
          </cell>
          <cell r="I5" t="str">
            <v xml:space="preserve"> </v>
          </cell>
          <cell r="J5">
            <v>0</v>
          </cell>
          <cell r="K5">
            <v>57</v>
          </cell>
          <cell r="L5">
            <v>0</v>
          </cell>
          <cell r="M5">
            <v>0</v>
          </cell>
          <cell r="N5">
            <v>277748</v>
          </cell>
          <cell r="O5">
            <v>1.1912334877337452</v>
          </cell>
          <cell r="P5">
            <v>0</v>
          </cell>
          <cell r="Q5">
            <v>0</v>
          </cell>
        </row>
        <row r="6">
          <cell r="A6">
            <v>2</v>
          </cell>
          <cell r="B6" t="str">
            <v xml:space="preserve">Plan Target    </v>
          </cell>
          <cell r="C6" t="str">
            <v>MU</v>
          </cell>
          <cell r="D6">
            <v>13440</v>
          </cell>
          <cell r="E6">
            <v>13240</v>
          </cell>
          <cell r="F6">
            <v>14935</v>
          </cell>
          <cell r="G6">
            <v>14850</v>
          </cell>
          <cell r="H6">
            <v>16620</v>
          </cell>
          <cell r="I6" t="str">
            <v xml:space="preserve"> </v>
          </cell>
          <cell r="J6">
            <v>0</v>
          </cell>
          <cell r="K6">
            <v>60</v>
          </cell>
          <cell r="L6">
            <v>0</v>
          </cell>
          <cell r="M6">
            <v>0</v>
          </cell>
          <cell r="N6">
            <v>71743</v>
          </cell>
          <cell r="O6">
            <v>1.1081711461229535</v>
          </cell>
          <cell r="P6">
            <v>0</v>
          </cell>
          <cell r="Q6">
            <v>0</v>
          </cell>
        </row>
        <row r="7">
          <cell r="A7">
            <v>3</v>
          </cell>
          <cell r="B7" t="str">
            <v>ACHIEVEMENT Percentage of ( 2 )</v>
          </cell>
          <cell r="C7" t="str">
            <v>%</v>
          </cell>
          <cell r="D7">
            <v>86.160119047619048</v>
          </cell>
          <cell r="E7">
            <v>93.377643504531719</v>
          </cell>
          <cell r="F7">
            <v>89.26340810177436</v>
          </cell>
          <cell r="G7">
            <v>99.53669144781145</v>
          </cell>
          <cell r="H7">
            <v>96.698856799037301</v>
          </cell>
          <cell r="I7" t="str">
            <v xml:space="preserve"> </v>
          </cell>
          <cell r="J7">
            <v>0</v>
          </cell>
          <cell r="K7">
            <v>160</v>
          </cell>
          <cell r="L7">
            <v>0</v>
          </cell>
          <cell r="M7">
            <v>0</v>
          </cell>
          <cell r="N7">
            <v>588701</v>
          </cell>
          <cell r="O7">
            <v>0.93894701585377527</v>
          </cell>
          <cell r="P7">
            <v>7154</v>
          </cell>
          <cell r="Q7">
            <v>11.410252320648187</v>
          </cell>
        </row>
        <row r="8">
          <cell r="A8">
            <v>4</v>
          </cell>
          <cell r="B8" t="str">
            <v>Plant    Utilisation    Factor            **</v>
          </cell>
          <cell r="C8" t="str">
            <v>%</v>
          </cell>
          <cell r="D8">
            <v>49.14</v>
          </cell>
          <cell r="E8">
            <v>52.6</v>
          </cell>
          <cell r="F8">
            <v>56.03</v>
          </cell>
          <cell r="G8">
            <v>58.1673864745838</v>
          </cell>
          <cell r="H8">
            <v>59.2</v>
          </cell>
          <cell r="I8">
            <v>119</v>
          </cell>
          <cell r="J8">
            <v>11.529331976941336</v>
          </cell>
          <cell r="K8">
            <v>200</v>
          </cell>
          <cell r="L8">
            <v>0</v>
          </cell>
          <cell r="M8">
            <v>0</v>
          </cell>
          <cell r="N8">
            <v>983703</v>
          </cell>
          <cell r="O8">
            <v>0.95306205493387575</v>
          </cell>
          <cell r="P8">
            <v>4674</v>
          </cell>
          <cell r="Q8">
            <v>4.5284115680860335</v>
          </cell>
        </row>
        <row r="9">
          <cell r="A9">
            <v>5</v>
          </cell>
          <cell r="B9" t="str">
            <v>Plant    Availibility   Factor              **</v>
          </cell>
          <cell r="C9" t="str">
            <v>%</v>
          </cell>
          <cell r="D9">
            <v>66.92</v>
          </cell>
          <cell r="E9">
            <v>71.400000000000006</v>
          </cell>
          <cell r="F9">
            <v>72.040000000000006</v>
          </cell>
          <cell r="G9">
            <v>75.44</v>
          </cell>
          <cell r="H9">
            <v>75.3</v>
          </cell>
          <cell r="I9">
            <v>126</v>
          </cell>
          <cell r="J9">
            <v>12.357181385769627</v>
          </cell>
          <cell r="K9">
            <v>176</v>
          </cell>
          <cell r="L9">
            <v>0</v>
          </cell>
          <cell r="M9">
            <v>0</v>
          </cell>
          <cell r="N9">
            <v>985516</v>
          </cell>
          <cell r="O9">
            <v>0.9665238071887412</v>
          </cell>
          <cell r="P9">
            <v>4737</v>
          </cell>
          <cell r="Q9">
            <v>4.6457117638405334</v>
          </cell>
        </row>
        <row r="10">
          <cell r="A10">
            <v>6</v>
          </cell>
          <cell r="B10" t="str">
            <v>Partial  Unavailability Factor         **</v>
          </cell>
          <cell r="C10" t="str">
            <v>%</v>
          </cell>
          <cell r="D10">
            <v>17.78</v>
          </cell>
          <cell r="E10">
            <v>18.8</v>
          </cell>
          <cell r="F10">
            <v>16</v>
          </cell>
          <cell r="G10">
            <v>17.272613525416201</v>
          </cell>
          <cell r="H10">
            <v>16.16</v>
          </cell>
          <cell r="I10">
            <v>91.84</v>
          </cell>
          <cell r="J10">
            <v>14.733059548254619</v>
          </cell>
          <cell r="K10">
            <v>146</v>
          </cell>
          <cell r="L10">
            <v>0</v>
          </cell>
          <cell r="M10">
            <v>0</v>
          </cell>
          <cell r="N10">
            <v>626484</v>
          </cell>
          <cell r="O10">
            <v>1.0050115503080082</v>
          </cell>
          <cell r="P10">
            <v>6372</v>
          </cell>
          <cell r="Q10">
            <v>10.222022587268993</v>
          </cell>
        </row>
        <row r="11">
          <cell r="A11" t="str">
            <v>a</v>
          </cell>
          <cell r="B11" t="str">
            <v>Main Boiler</v>
          </cell>
          <cell r="C11" t="str">
            <v>%</v>
          </cell>
          <cell r="D11">
            <v>0</v>
          </cell>
          <cell r="E11">
            <v>0.38</v>
          </cell>
          <cell r="F11">
            <v>0.24</v>
          </cell>
          <cell r="G11">
            <v>0.25</v>
          </cell>
          <cell r="H11">
            <v>2.4</v>
          </cell>
          <cell r="I11">
            <v>104.13</v>
          </cell>
          <cell r="J11">
            <v>14.347718253968255</v>
          </cell>
          <cell r="K11">
            <v>192</v>
          </cell>
          <cell r="L11">
            <v>0</v>
          </cell>
          <cell r="M11">
            <v>0</v>
          </cell>
          <cell r="N11">
            <v>745282</v>
          </cell>
          <cell r="O11">
            <v>1.0268986992945326</v>
          </cell>
          <cell r="P11">
            <v>7889</v>
          </cell>
          <cell r="Q11">
            <v>10.869984567901234</v>
          </cell>
        </row>
        <row r="12">
          <cell r="A12" t="str">
            <v>b</v>
          </cell>
          <cell r="B12" t="str">
            <v>Boiler Auxiliaries(Mainly Mills)</v>
          </cell>
          <cell r="C12" t="str">
            <v>%</v>
          </cell>
          <cell r="D12">
            <v>2.1352047355439101</v>
          </cell>
          <cell r="E12">
            <v>0.82</v>
          </cell>
          <cell r="F12">
            <v>1.03</v>
          </cell>
          <cell r="G12">
            <v>0.57999999999999996</v>
          </cell>
          <cell r="H12">
            <v>5.0999999999999996</v>
          </cell>
          <cell r="I12">
            <v>102.85735</v>
          </cell>
          <cell r="J12">
            <v>14.163777196364638</v>
          </cell>
          <cell r="K12">
            <v>164</v>
          </cell>
          <cell r="L12">
            <v>0</v>
          </cell>
          <cell r="M12">
            <v>0</v>
          </cell>
          <cell r="N12">
            <v>747152</v>
          </cell>
          <cell r="O12">
            <v>1.0288515560451665</v>
          </cell>
          <cell r="P12">
            <v>6596.07</v>
          </cell>
          <cell r="Q12">
            <v>9.0829936656568435</v>
          </cell>
        </row>
        <row r="13">
          <cell r="A13" t="str">
            <v>c</v>
          </cell>
          <cell r="B13" t="str">
            <v>Turbine</v>
          </cell>
          <cell r="C13" t="str">
            <v>%</v>
          </cell>
          <cell r="D13">
            <v>0.30946718340726254</v>
          </cell>
          <cell r="E13">
            <v>1.1200000000000001</v>
          </cell>
          <cell r="F13">
            <v>1.37</v>
          </cell>
          <cell r="G13">
            <v>0.28000000000000003</v>
          </cell>
          <cell r="H13">
            <v>0.8</v>
          </cell>
          <cell r="I13">
            <v>111.1</v>
          </cell>
          <cell r="J13">
            <v>13.938025341864257</v>
          </cell>
          <cell r="K13">
            <v>182</v>
          </cell>
          <cell r="L13">
            <v>0</v>
          </cell>
          <cell r="M13">
            <v>0</v>
          </cell>
          <cell r="N13">
            <v>830584</v>
          </cell>
          <cell r="O13">
            <v>1.0420072763768662</v>
          </cell>
          <cell r="P13">
            <v>10237</v>
          </cell>
          <cell r="Q13">
            <v>12.842805168736669</v>
          </cell>
        </row>
        <row r="14">
          <cell r="A14" t="str">
            <v>d</v>
          </cell>
          <cell r="B14" t="str">
            <v>Turbine Auxiliaries</v>
          </cell>
          <cell r="C14" t="str">
            <v>%</v>
          </cell>
          <cell r="D14">
            <v>1.1834191455446403</v>
          </cell>
          <cell r="E14">
            <v>0.81</v>
          </cell>
          <cell r="F14">
            <v>0.54</v>
          </cell>
          <cell r="G14">
            <v>0.21</v>
          </cell>
          <cell r="H14">
            <v>0.6</v>
          </cell>
          <cell r="I14">
            <v>127</v>
          </cell>
          <cell r="J14">
            <v>12.480345911949685</v>
          </cell>
          <cell r="K14">
            <v>192</v>
          </cell>
          <cell r="L14">
            <v>0</v>
          </cell>
          <cell r="M14">
            <v>0</v>
          </cell>
          <cell r="N14">
            <v>1055897</v>
          </cell>
          <cell r="O14">
            <v>1.0376346305031448</v>
          </cell>
          <cell r="P14">
            <v>6774</v>
          </cell>
          <cell r="Q14">
            <v>6.6568396226415096</v>
          </cell>
        </row>
        <row r="15">
          <cell r="A15" t="str">
            <v>e</v>
          </cell>
          <cell r="B15" t="str">
            <v>Generator</v>
          </cell>
          <cell r="C15" t="str">
            <v>%</v>
          </cell>
          <cell r="D15">
            <v>0.23316136939653051</v>
          </cell>
          <cell r="E15">
            <v>0.36</v>
          </cell>
          <cell r="F15">
            <v>0.69</v>
          </cell>
          <cell r="G15">
            <v>0.93</v>
          </cell>
          <cell r="H15">
            <v>0.3</v>
          </cell>
          <cell r="I15">
            <v>128.80000000000001</v>
          </cell>
          <cell r="J15">
            <v>11.592115921159214</v>
          </cell>
          <cell r="K15">
            <v>196</v>
          </cell>
          <cell r="L15">
            <v>0</v>
          </cell>
          <cell r="M15">
            <v>0</v>
          </cell>
          <cell r="N15">
            <v>1098156</v>
          </cell>
          <cell r="O15">
            <v>0.98835028350283505</v>
          </cell>
          <cell r="P15">
            <v>6387</v>
          </cell>
          <cell r="Q15">
            <v>5.7483574835748366</v>
          </cell>
        </row>
        <row r="16">
          <cell r="A16" t="str">
            <v>f</v>
          </cell>
          <cell r="B16" t="str">
            <v>Electrical</v>
          </cell>
          <cell r="C16" t="str">
            <v>%</v>
          </cell>
          <cell r="D16">
            <v>0.46916617012716505</v>
          </cell>
          <cell r="E16">
            <v>0.28000000000000003</v>
          </cell>
          <cell r="F16">
            <v>0.28999999999999998</v>
          </cell>
          <cell r="G16">
            <v>1.78</v>
          </cell>
          <cell r="H16">
            <v>0.8</v>
          </cell>
          <cell r="I16">
            <v>132.66300000000001</v>
          </cell>
          <cell r="J16">
            <v>11.803283064193247</v>
          </cell>
          <cell r="K16">
            <v>190</v>
          </cell>
          <cell r="L16">
            <v>0</v>
          </cell>
          <cell r="M16">
            <v>0</v>
          </cell>
          <cell r="N16">
            <v>1049273</v>
          </cell>
          <cell r="O16">
            <v>0.93355843231460478</v>
          </cell>
          <cell r="P16">
            <v>5874</v>
          </cell>
          <cell r="Q16">
            <v>5.2262111303883625</v>
          </cell>
        </row>
        <row r="17">
          <cell r="A17" t="str">
            <v>g</v>
          </cell>
          <cell r="B17" t="str">
            <v>Coal related (Quality ,Quantity ,Handling ,wet coal)</v>
          </cell>
          <cell r="C17" t="str">
            <v>%</v>
          </cell>
          <cell r="D17">
            <v>3.0365300291812445</v>
          </cell>
          <cell r="E17">
            <v>0.33</v>
          </cell>
          <cell r="F17">
            <v>0.12</v>
          </cell>
          <cell r="G17">
            <v>0.47</v>
          </cell>
          <cell r="H17">
            <v>5.8</v>
          </cell>
          <cell r="I17">
            <v>98.7</v>
          </cell>
          <cell r="J17">
            <v>11.927636587753327</v>
          </cell>
          <cell r="K17">
            <v>188</v>
          </cell>
          <cell r="L17">
            <v>0</v>
          </cell>
          <cell r="M17">
            <v>0</v>
          </cell>
          <cell r="N17">
            <v>770211</v>
          </cell>
          <cell r="O17">
            <v>0.93077982815502303</v>
          </cell>
          <cell r="P17">
            <v>3594</v>
          </cell>
          <cell r="Q17">
            <v>4.3432549033825181</v>
          </cell>
        </row>
        <row r="18">
          <cell r="A18" t="str">
            <v>h</v>
          </cell>
          <cell r="B18" t="str">
            <v>Others</v>
          </cell>
          <cell r="C18" t="str">
            <v>%</v>
          </cell>
          <cell r="D18">
            <v>2.2070544258220908</v>
          </cell>
          <cell r="E18">
            <v>3.85</v>
          </cell>
          <cell r="F18">
            <v>1.23</v>
          </cell>
          <cell r="G18">
            <v>1</v>
          </cell>
          <cell r="H18">
            <v>0.5</v>
          </cell>
          <cell r="I18">
            <v>123.9</v>
          </cell>
          <cell r="J18">
            <v>12.5</v>
          </cell>
          <cell r="K18">
            <v>172</v>
          </cell>
          <cell r="L18">
            <v>0</v>
          </cell>
          <cell r="M18">
            <v>0</v>
          </cell>
          <cell r="N18">
            <v>945093</v>
          </cell>
          <cell r="O18">
            <v>0.95</v>
          </cell>
          <cell r="P18">
            <v>4874</v>
          </cell>
          <cell r="Q18">
            <v>4.9162800080693971</v>
          </cell>
        </row>
        <row r="19">
          <cell r="A19">
            <v>7</v>
          </cell>
          <cell r="B19" t="str">
            <v xml:space="preserve">Planned  Outage         Rate          </v>
          </cell>
          <cell r="C19" t="str">
            <v>MU</v>
          </cell>
          <cell r="D19">
            <v>3672.14</v>
          </cell>
          <cell r="E19">
            <v>3192.88</v>
          </cell>
          <cell r="F19">
            <v>3765.67</v>
          </cell>
          <cell r="G19">
            <v>2144.02</v>
          </cell>
          <cell r="H19">
            <v>3421.66</v>
          </cell>
          <cell r="I19">
            <v>107.73</v>
          </cell>
          <cell r="J19">
            <v>12.12</v>
          </cell>
          <cell r="K19">
            <v>180</v>
          </cell>
          <cell r="L19">
            <v>0</v>
          </cell>
          <cell r="M19">
            <v>0</v>
          </cell>
          <cell r="N19">
            <v>852784</v>
          </cell>
          <cell r="O19">
            <v>0.95899999999999996</v>
          </cell>
          <cell r="P19">
            <v>3494</v>
          </cell>
          <cell r="Q19">
            <v>3.93</v>
          </cell>
        </row>
        <row r="20">
          <cell r="A20" t="str">
            <v>a</v>
          </cell>
          <cell r="B20">
            <v>0</v>
          </cell>
          <cell r="C20" t="str">
            <v>No</v>
          </cell>
          <cell r="D20">
            <v>18</v>
          </cell>
          <cell r="E20">
            <v>23</v>
          </cell>
          <cell r="F20">
            <v>20</v>
          </cell>
          <cell r="G20">
            <v>24</v>
          </cell>
          <cell r="H20">
            <v>23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b</v>
          </cell>
          <cell r="B21" t="str">
            <v xml:space="preserve">                                                       **</v>
          </cell>
          <cell r="C21" t="str">
            <v>%</v>
          </cell>
          <cell r="D21">
            <v>16</v>
          </cell>
          <cell r="E21">
            <v>13.59</v>
          </cell>
          <cell r="F21">
            <v>16.079999999999998</v>
          </cell>
          <cell r="G21">
            <v>12.209376208374712</v>
          </cell>
          <cell r="H21">
            <v>12.6</v>
          </cell>
          <cell r="I21" t="str">
            <v xml:space="preserve"> </v>
          </cell>
          <cell r="J21">
            <v>0</v>
          </cell>
          <cell r="K21">
            <v>212</v>
          </cell>
          <cell r="L21">
            <v>0</v>
          </cell>
          <cell r="M21">
            <v>0</v>
          </cell>
          <cell r="N21">
            <v>978858</v>
          </cell>
          <cell r="O21">
            <v>0.9104724167759578</v>
          </cell>
          <cell r="P21">
            <v>19275</v>
          </cell>
          <cell r="Q21">
            <v>17.928398024388205</v>
          </cell>
        </row>
        <row r="22">
          <cell r="A22">
            <v>8</v>
          </cell>
          <cell r="B22" t="str">
            <v xml:space="preserve">Forced   Outage   </v>
          </cell>
          <cell r="C22" t="str">
            <v>MU</v>
          </cell>
          <cell r="D22">
            <v>4054.2</v>
          </cell>
          <cell r="E22">
            <v>3528.19</v>
          </cell>
          <cell r="F22">
            <v>2780.85</v>
          </cell>
          <cell r="G22">
            <v>3161.67</v>
          </cell>
          <cell r="H22">
            <v>3281.99</v>
          </cell>
          <cell r="I22">
            <v>114</v>
          </cell>
          <cell r="J22">
            <v>9.5494182393888369</v>
          </cell>
          <cell r="K22">
            <v>224</v>
          </cell>
          <cell r="L22">
            <v>0</v>
          </cell>
          <cell r="M22">
            <v>0</v>
          </cell>
          <cell r="N22">
            <v>1094158</v>
          </cell>
          <cell r="O22">
            <v>0.916541435260808</v>
          </cell>
          <cell r="P22">
            <v>18208</v>
          </cell>
          <cell r="Q22">
            <v>15.252263798490523</v>
          </cell>
        </row>
        <row r="23">
          <cell r="A23" t="str">
            <v>a</v>
          </cell>
          <cell r="B23" t="str">
            <v>90-91</v>
          </cell>
          <cell r="C23" t="str">
            <v>No</v>
          </cell>
          <cell r="D23">
            <v>838</v>
          </cell>
          <cell r="E23">
            <v>793</v>
          </cell>
          <cell r="F23">
            <v>756</v>
          </cell>
          <cell r="G23">
            <v>935</v>
          </cell>
          <cell r="H23">
            <v>1031</v>
          </cell>
          <cell r="I23">
            <v>113</v>
          </cell>
          <cell r="J23">
            <v>9.9372108975148166</v>
          </cell>
          <cell r="K23">
            <v>215</v>
          </cell>
          <cell r="L23">
            <v>0</v>
          </cell>
          <cell r="M23">
            <v>0</v>
          </cell>
          <cell r="N23">
            <v>1065421</v>
          </cell>
          <cell r="O23">
            <v>0.93693036917178185</v>
          </cell>
          <cell r="P23">
            <v>14929</v>
          </cell>
          <cell r="Q23">
            <v>13.128550574247672</v>
          </cell>
        </row>
        <row r="24">
          <cell r="A24" t="str">
            <v>b</v>
          </cell>
          <cell r="B24" t="str">
            <v xml:space="preserve">                                                      **</v>
          </cell>
          <cell r="C24" t="str">
            <v>%</v>
          </cell>
          <cell r="D24">
            <v>17.079999999999998</v>
          </cell>
          <cell r="E24">
            <v>15.01</v>
          </cell>
          <cell r="F24">
            <v>11.88</v>
          </cell>
          <cell r="G24">
            <v>12.35</v>
          </cell>
          <cell r="H24">
            <v>12.08</v>
          </cell>
          <cell r="I24">
            <v>93.49</v>
          </cell>
          <cell r="J24">
            <v>10.99106513049612</v>
          </cell>
          <cell r="K24">
            <v>218</v>
          </cell>
          <cell r="L24">
            <v>0</v>
          </cell>
          <cell r="M24">
            <v>0</v>
          </cell>
          <cell r="N24">
            <v>821535</v>
          </cell>
          <cell r="O24">
            <v>0.96583000235128147</v>
          </cell>
          <cell r="P24">
            <v>13865</v>
          </cell>
          <cell r="Q24">
            <v>16.300258640959321</v>
          </cell>
        </row>
        <row r="25">
          <cell r="A25" t="str">
            <v>c</v>
          </cell>
          <cell r="B25" t="str">
            <v>Boiler Tube Leakages</v>
          </cell>
          <cell r="C25" t="str">
            <v>MU</v>
          </cell>
          <cell r="D25">
            <v>1507</v>
          </cell>
          <cell r="E25">
            <v>1373.19</v>
          </cell>
          <cell r="F25">
            <v>1286</v>
          </cell>
          <cell r="G25">
            <v>1722</v>
          </cell>
          <cell r="H25">
            <v>2009.66</v>
          </cell>
          <cell r="I25">
            <v>93.94</v>
          </cell>
          <cell r="J25">
            <v>10.841941254544405</v>
          </cell>
          <cell r="K25">
            <v>220</v>
          </cell>
          <cell r="L25">
            <v>0</v>
          </cell>
          <cell r="M25">
            <v>0</v>
          </cell>
          <cell r="N25">
            <v>837244</v>
          </cell>
          <cell r="O25">
            <v>0.96629234231634831</v>
          </cell>
          <cell r="P25">
            <v>13463</v>
          </cell>
          <cell r="Q25">
            <v>15.538115298055283</v>
          </cell>
        </row>
        <row r="26">
          <cell r="A26" t="str">
            <v>d</v>
          </cell>
          <cell r="B26" t="str">
            <v>93-94</v>
          </cell>
          <cell r="C26" t="str">
            <v>No</v>
          </cell>
          <cell r="D26">
            <v>167</v>
          </cell>
          <cell r="E26">
            <v>188</v>
          </cell>
          <cell r="F26">
            <v>192</v>
          </cell>
          <cell r="G26">
            <v>240</v>
          </cell>
          <cell r="H26">
            <v>273</v>
          </cell>
          <cell r="I26">
            <v>106.832292</v>
          </cell>
          <cell r="J26">
            <v>10.580209698168929</v>
          </cell>
          <cell r="K26">
            <v>216</v>
          </cell>
          <cell r="L26">
            <v>0</v>
          </cell>
          <cell r="M26">
            <v>0</v>
          </cell>
          <cell r="N26">
            <v>1033657</v>
          </cell>
          <cell r="O26">
            <v>1.0236893369263482</v>
          </cell>
          <cell r="P26">
            <v>9864.48</v>
          </cell>
          <cell r="Q26">
            <v>9.7693557827434265</v>
          </cell>
        </row>
        <row r="27">
          <cell r="A27" t="str">
            <v>e</v>
          </cell>
          <cell r="B27" t="str">
            <v>94-95</v>
          </cell>
          <cell r="C27" t="str">
            <v>%</v>
          </cell>
          <cell r="D27">
            <v>6.3955985380519014</v>
          </cell>
          <cell r="E27">
            <v>5.829559290259148</v>
          </cell>
          <cell r="F27">
            <v>5.4781122578512509</v>
          </cell>
          <cell r="G27">
            <v>6.4055165111673595</v>
          </cell>
          <cell r="H27">
            <v>7.398106058932755</v>
          </cell>
          <cell r="I27">
            <v>121.3</v>
          </cell>
          <cell r="J27">
            <v>10.99728014505893</v>
          </cell>
          <cell r="K27">
            <v>217</v>
          </cell>
          <cell r="L27">
            <v>0</v>
          </cell>
          <cell r="M27">
            <v>0</v>
          </cell>
          <cell r="N27">
            <v>1127339</v>
          </cell>
          <cell r="O27">
            <v>1.0220661831368993</v>
          </cell>
          <cell r="P27">
            <v>19357</v>
          </cell>
          <cell r="Q27">
            <v>17.5494106980961</v>
          </cell>
        </row>
        <row r="28">
          <cell r="A28">
            <v>9</v>
          </cell>
          <cell r="B28" t="str">
            <v>Total          Coal           Consumption</v>
          </cell>
          <cell r="C28" t="str">
            <v>1000MT</v>
          </cell>
          <cell r="D28">
            <v>9628</v>
          </cell>
          <cell r="E28">
            <v>10365</v>
          </cell>
          <cell r="F28">
            <v>10889.111999999999</v>
          </cell>
          <cell r="G28">
            <v>12127.994971999999</v>
          </cell>
          <cell r="H28">
            <v>13030.226000000001</v>
          </cell>
          <cell r="I28">
            <v>119.5</v>
          </cell>
          <cell r="J28">
            <v>10.722296994167788</v>
          </cell>
          <cell r="K28">
            <v>214</v>
          </cell>
          <cell r="L28">
            <v>0</v>
          </cell>
          <cell r="M28">
            <v>0</v>
          </cell>
          <cell r="N28">
            <v>1148422</v>
          </cell>
          <cell r="O28">
            <v>1.0304369672498879</v>
          </cell>
          <cell r="P28">
            <v>9390</v>
          </cell>
          <cell r="Q28">
            <v>8.4253028263795429</v>
          </cell>
        </row>
        <row r="29">
          <cell r="A29">
            <v>10</v>
          </cell>
          <cell r="B29" t="str">
            <v xml:space="preserve">COST OF  Coal consumed @ Rs 800 /MT </v>
          </cell>
          <cell r="C29" t="str">
            <v>Cr Rs.</v>
          </cell>
          <cell r="D29">
            <v>770.24</v>
          </cell>
          <cell r="E29">
            <v>829.2</v>
          </cell>
          <cell r="F29">
            <v>871.12896000000001</v>
          </cell>
          <cell r="G29">
            <v>970.23959775999992</v>
          </cell>
          <cell r="H29">
            <v>1042.4180799999999</v>
          </cell>
          <cell r="I29">
            <v>130.69999999999999</v>
          </cell>
          <cell r="J29">
            <v>10.363967964475457</v>
          </cell>
          <cell r="K29">
            <v>217</v>
          </cell>
          <cell r="L29">
            <v>0</v>
          </cell>
          <cell r="M29">
            <v>0</v>
          </cell>
          <cell r="N29">
            <v>1215835</v>
          </cell>
          <cell r="O29">
            <v>0.96410673221790499</v>
          </cell>
          <cell r="P29">
            <v>7474</v>
          </cell>
          <cell r="Q29">
            <v>5.9265720402822932</v>
          </cell>
        </row>
        <row r="30">
          <cell r="A30">
            <v>11</v>
          </cell>
          <cell r="B30" t="str">
            <v>Specific    Coal           Consumption</v>
          </cell>
          <cell r="C30" t="str">
            <v>Kg/Kwh</v>
          </cell>
          <cell r="D30">
            <v>0.83</v>
          </cell>
          <cell r="E30">
            <v>0.8</v>
          </cell>
          <cell r="F30">
            <v>0.81679632209152919</v>
          </cell>
          <cell r="G30">
            <v>0.82050145151015585</v>
          </cell>
          <cell r="H30">
            <v>0.81</v>
          </cell>
          <cell r="I30">
            <v>139.19800000000001</v>
          </cell>
          <cell r="J30">
            <v>10.294415643003468</v>
          </cell>
          <cell r="K30">
            <v>213</v>
          </cell>
          <cell r="L30">
            <v>0</v>
          </cell>
          <cell r="M30">
            <v>0</v>
          </cell>
          <cell r="N30">
            <v>1152800</v>
          </cell>
          <cell r="O30">
            <v>0.85255552186485428</v>
          </cell>
          <cell r="P30">
            <v>6231</v>
          </cell>
          <cell r="Q30">
            <v>4.6081483837091488</v>
          </cell>
        </row>
        <row r="31">
          <cell r="A31">
            <v>12</v>
          </cell>
          <cell r="B31" t="str">
            <v>Total          Fuel Oil     Consumption</v>
          </cell>
          <cell r="C31" t="str">
            <v>1000KL</v>
          </cell>
          <cell r="D31">
            <v>147</v>
          </cell>
          <cell r="E31">
            <v>178</v>
          </cell>
          <cell r="F31">
            <v>144.66900000000001</v>
          </cell>
          <cell r="G31">
            <v>185.24459685843499</v>
          </cell>
          <cell r="H31">
            <v>124.101</v>
          </cell>
          <cell r="I31">
            <v>104.9</v>
          </cell>
          <cell r="J31">
            <v>10.818224944826023</v>
          </cell>
          <cell r="K31">
            <v>205</v>
          </cell>
          <cell r="L31">
            <v>0</v>
          </cell>
          <cell r="M31">
            <v>0</v>
          </cell>
          <cell r="N31">
            <v>842753</v>
          </cell>
          <cell r="O31">
            <v>0.86912216653259911</v>
          </cell>
          <cell r="P31">
            <v>4062</v>
          </cell>
          <cell r="Q31">
            <v>4.1890972093311056</v>
          </cell>
        </row>
        <row r="32">
          <cell r="A32">
            <v>13</v>
          </cell>
          <cell r="B32" t="str">
            <v>COST OF  Fuel oil consumed  @ Rs 7500 per MT</v>
          </cell>
          <cell r="C32" t="str">
            <v>Cr Rs.</v>
          </cell>
          <cell r="D32">
            <v>110.25</v>
          </cell>
          <cell r="E32">
            <v>133.5</v>
          </cell>
          <cell r="F32">
            <v>108.50174999999999</v>
          </cell>
          <cell r="G32">
            <v>138.93344764382627</v>
          </cell>
          <cell r="H32">
            <v>93.075749999999999</v>
          </cell>
          <cell r="I32">
            <v>136.1</v>
          </cell>
          <cell r="J32">
            <v>10.1</v>
          </cell>
          <cell r="K32">
            <v>208</v>
          </cell>
          <cell r="L32">
            <v>0</v>
          </cell>
          <cell r="M32">
            <v>0</v>
          </cell>
          <cell r="N32">
            <v>1212963</v>
          </cell>
          <cell r="O32">
            <v>0.9</v>
          </cell>
          <cell r="P32">
            <v>5019</v>
          </cell>
          <cell r="Q32">
            <v>3.72</v>
          </cell>
        </row>
        <row r="33">
          <cell r="A33">
            <v>14</v>
          </cell>
          <cell r="B33" t="str">
            <v xml:space="preserve">Specific    Fuel Oil      Consumption </v>
          </cell>
          <cell r="C33" t="str">
            <v>ml/Kwh</v>
          </cell>
          <cell r="D33">
            <v>12.72</v>
          </cell>
          <cell r="E33">
            <v>14.43</v>
          </cell>
          <cell r="F33">
            <v>10.851675244102497</v>
          </cell>
          <cell r="G33">
            <v>12.532447528026529</v>
          </cell>
          <cell r="H33">
            <v>7.72</v>
          </cell>
          <cell r="I33">
            <v>128.52000000000001</v>
          </cell>
          <cell r="J33">
            <v>9.93</v>
          </cell>
          <cell r="K33">
            <v>206</v>
          </cell>
          <cell r="L33">
            <v>0</v>
          </cell>
          <cell r="M33">
            <v>0</v>
          </cell>
          <cell r="N33">
            <v>1151942</v>
          </cell>
          <cell r="O33">
            <v>0.89</v>
          </cell>
          <cell r="P33">
            <v>5085</v>
          </cell>
          <cell r="Q33">
            <v>3.93</v>
          </cell>
        </row>
        <row r="34">
          <cell r="A34">
            <v>15</v>
          </cell>
          <cell r="B34" t="str">
            <v>Cost of  Fuels  per  Kwh  Generated</v>
          </cell>
          <cell r="C34" t="str">
            <v>Paise</v>
          </cell>
          <cell r="D34">
            <v>76.035931163600438</v>
          </cell>
          <cell r="E34">
            <v>77.868189465510554</v>
          </cell>
          <cell r="F34">
            <v>73.482462200399212</v>
          </cell>
          <cell r="G34">
            <v>75.039451766832357</v>
          </cell>
          <cell r="H34">
            <v>70.653294838330311</v>
          </cell>
          <cell r="I34">
            <v>127.8836</v>
          </cell>
          <cell r="J34">
            <v>10.301321710460989</v>
          </cell>
          <cell r="K34">
            <v>209.8</v>
          </cell>
          <cell r="L34">
            <v>0</v>
          </cell>
          <cell r="M34">
            <v>0</v>
          </cell>
          <cell r="N34">
            <v>1115258.6000000001</v>
          </cell>
          <cell r="O34">
            <v>0.89515688412307171</v>
          </cell>
          <cell r="P34">
            <v>5574.2</v>
          </cell>
          <cell r="Q34">
            <v>4.4747635266645087</v>
          </cell>
        </row>
        <row r="35">
          <cell r="A35">
            <v>16</v>
          </cell>
          <cell r="B35" t="str">
            <v>Thermal  Auxiliary Consumption   Total</v>
          </cell>
          <cell r="C35" t="str">
            <v>MU</v>
          </cell>
          <cell r="D35">
            <v>1235.3499999999999</v>
          </cell>
          <cell r="E35">
            <v>1288.0999999999999</v>
          </cell>
          <cell r="F35">
            <v>1394.5</v>
          </cell>
          <cell r="G35">
            <v>1558.7317929999999</v>
          </cell>
          <cell r="H35">
            <v>1648.2</v>
          </cell>
          <cell r="I35">
            <v>0</v>
          </cell>
          <cell r="J35">
            <v>0</v>
          </cell>
          <cell r="K35" t="str">
            <v xml:space="preserve"> </v>
          </cell>
          <cell r="L35" t="str">
            <v xml:space="preserve"> </v>
          </cell>
          <cell r="M35" t="str">
            <v xml:space="preserve"> </v>
          </cell>
          <cell r="N35">
            <v>1845307</v>
          </cell>
          <cell r="O35">
            <v>0.95352383412995734</v>
          </cell>
          <cell r="P35">
            <v>26429</v>
          </cell>
          <cell r="Q35">
            <v>13.656633509882445</v>
          </cell>
        </row>
        <row r="36">
          <cell r="A36">
            <v>17</v>
          </cell>
          <cell r="B36" t="str">
            <v>Thermal  Auxiliary Consumption   Percentage</v>
          </cell>
          <cell r="C36" t="str">
            <v>%</v>
          </cell>
          <cell r="D36">
            <v>10.67</v>
          </cell>
          <cell r="E36">
            <v>10.4</v>
          </cell>
          <cell r="F36">
            <v>10.449094587326698</v>
          </cell>
          <cell r="G36">
            <v>10.545367982294113</v>
          </cell>
          <cell r="H36">
            <v>10.255516804748822</v>
          </cell>
          <cell r="I36">
            <v>233</v>
          </cell>
          <cell r="J36">
            <v>10.171652085843506</v>
          </cell>
          <cell r="K36" t="str">
            <v xml:space="preserve"> </v>
          </cell>
          <cell r="L36">
            <v>126109</v>
          </cell>
          <cell r="M36">
            <v>2052076</v>
          </cell>
          <cell r="N36">
            <v>2149604</v>
          </cell>
          <cell r="O36">
            <v>0.93841304765397171</v>
          </cell>
          <cell r="P36">
            <v>22882</v>
          </cell>
          <cell r="Q36">
            <v>9.9891735205266574</v>
          </cell>
        </row>
        <row r="37">
          <cell r="A37">
            <v>18</v>
          </cell>
          <cell r="B37" t="str">
            <v>Cost of  Fuels  per  Kwh  sent out</v>
          </cell>
          <cell r="C37" t="str">
            <v>Paise</v>
          </cell>
          <cell r="D37">
            <v>85.116152725536196</v>
          </cell>
          <cell r="E37">
            <v>86.924723027331581</v>
          </cell>
          <cell r="F37">
            <v>82.066811650173122</v>
          </cell>
          <cell r="G37">
            <v>83.885484825402543</v>
          </cell>
          <cell r="H37">
            <v>78.727173328988457</v>
          </cell>
          <cell r="I37">
            <v>239</v>
          </cell>
          <cell r="J37">
            <v>11.081282832357346</v>
          </cell>
          <cell r="K37" t="str">
            <v xml:space="preserve"> </v>
          </cell>
          <cell r="L37">
            <v>140564</v>
          </cell>
          <cell r="M37">
            <v>1960713</v>
          </cell>
          <cell r="N37">
            <v>2050937</v>
          </cell>
          <cell r="O37">
            <v>0.9509210447006895</v>
          </cell>
          <cell r="P37">
            <v>19666</v>
          </cell>
          <cell r="Q37">
            <v>9.1181802586250864</v>
          </cell>
        </row>
        <row r="38">
          <cell r="A38" t="str">
            <v>Note :-</v>
          </cell>
          <cell r="B38" t="str">
            <v>91-92</v>
          </cell>
          <cell r="C38">
            <v>400</v>
          </cell>
          <cell r="D38">
            <v>2040</v>
          </cell>
          <cell r="E38">
            <v>1473.96</v>
          </cell>
          <cell r="F38">
            <v>72.252941176470586</v>
          </cell>
          <cell r="G38">
            <v>58.622000000000007</v>
          </cell>
          <cell r="H38">
            <v>41.950136612021858</v>
          </cell>
          <cell r="I38">
            <v>185.32999999999998</v>
          </cell>
          <cell r="J38">
            <v>12.573611224185187</v>
          </cell>
          <cell r="K38" t="str">
            <v xml:space="preserve"> </v>
          </cell>
          <cell r="L38">
            <v>106295</v>
          </cell>
          <cell r="M38">
            <v>1485028</v>
          </cell>
          <cell r="N38">
            <v>1448019</v>
          </cell>
          <cell r="O38">
            <v>0.98240047219734594</v>
          </cell>
          <cell r="P38">
            <v>20237</v>
          </cell>
          <cell r="Q38">
            <v>13.729680588347037</v>
          </cell>
        </row>
        <row r="39">
          <cell r="A39">
            <v>1</v>
          </cell>
          <cell r="B39" t="str">
            <v>In 1994-95 &amp;1999-2000specific oil consumption is more due to stablisation of both units of Sanjay Gandhi thermal Power Station.</v>
          </cell>
          <cell r="C39">
            <v>400</v>
          </cell>
          <cell r="D39">
            <v>1940</v>
          </cell>
          <cell r="E39">
            <v>1592.21</v>
          </cell>
          <cell r="F39">
            <v>82.072680412371128</v>
          </cell>
          <cell r="G39">
            <v>60.6</v>
          </cell>
          <cell r="H39">
            <v>45.439783105022833</v>
          </cell>
          <cell r="I39">
            <v>198.07</v>
          </cell>
          <cell r="J39">
            <v>12.439941967454041</v>
          </cell>
          <cell r="K39" t="str">
            <v xml:space="preserve"> </v>
          </cell>
          <cell r="L39">
            <v>138478</v>
          </cell>
          <cell r="M39">
            <v>1460489</v>
          </cell>
          <cell r="N39">
            <v>1582526</v>
          </cell>
          <cell r="O39">
            <v>0.99391788771581635</v>
          </cell>
          <cell r="P39">
            <v>21352</v>
          </cell>
          <cell r="Q39">
            <v>13.410291356039718</v>
          </cell>
        </row>
        <row r="40">
          <cell r="A40">
            <v>2</v>
          </cell>
          <cell r="B40" t="str">
            <v xml:space="preserve"> Heavy and unprcedented rains all over resulting in wet coal problems in thermal stations.</v>
          </cell>
          <cell r="C40">
            <v>400</v>
          </cell>
          <cell r="D40">
            <v>2050</v>
          </cell>
          <cell r="E40">
            <v>1735.9369999999999</v>
          </cell>
          <cell r="F40">
            <v>84.679853658536572</v>
          </cell>
          <cell r="G40">
            <v>64.925298630136979</v>
          </cell>
          <cell r="H40">
            <v>49.541581050228309</v>
          </cell>
          <cell r="I40">
            <v>209.68964199999999</v>
          </cell>
          <cell r="J40">
            <v>12.079334791527572</v>
          </cell>
          <cell r="K40" t="str">
            <v xml:space="preserve"> </v>
          </cell>
          <cell r="L40">
            <v>55118</v>
          </cell>
          <cell r="M40">
            <v>1778517</v>
          </cell>
          <cell r="N40">
            <v>1780809</v>
          </cell>
          <cell r="O40">
            <v>1.0258488643309061</v>
          </cell>
          <cell r="P40">
            <v>16460.55</v>
          </cell>
          <cell r="Q40">
            <v>9.482227753656959</v>
          </cell>
        </row>
        <row r="41">
          <cell r="A41">
            <v>3</v>
          </cell>
          <cell r="B41" t="str">
            <v>Considering SGTPS # 1 wef :  01.01.95  , # 2 wef : 01.04.95 ,.# 3 w.e.f : 01.09.99&amp; # 4 w.e.f : 01.04.2000.</v>
          </cell>
          <cell r="C41">
            <v>400</v>
          </cell>
          <cell r="D41">
            <v>2000</v>
          </cell>
          <cell r="E41">
            <v>1900.1</v>
          </cell>
          <cell r="F41">
            <v>95.004999999999995</v>
          </cell>
          <cell r="G41">
            <v>72.78</v>
          </cell>
          <cell r="H41">
            <v>54.226598173515981</v>
          </cell>
          <cell r="I41">
            <v>232.39999999999998</v>
          </cell>
          <cell r="J41">
            <v>12.230935213936107</v>
          </cell>
          <cell r="K41">
            <v>390</v>
          </cell>
          <cell r="L41">
            <v>55519</v>
          </cell>
          <cell r="M41">
            <v>1906808</v>
          </cell>
          <cell r="N41">
            <v>1957923</v>
          </cell>
          <cell r="O41">
            <v>1.0304315562338824</v>
          </cell>
          <cell r="P41">
            <v>29594</v>
          </cell>
          <cell r="Q41">
            <v>15.57496973843482</v>
          </cell>
        </row>
        <row r="42">
          <cell r="A42">
            <v>4</v>
          </cell>
          <cell r="B42" t="str">
            <v>Considering  Cost of Coal &amp; Fuel oil same for all the  years for comparision purpose .                                         .</v>
          </cell>
          <cell r="C42">
            <v>400</v>
          </cell>
          <cell r="D42">
            <v>2050</v>
          </cell>
          <cell r="E42">
            <v>2132.1</v>
          </cell>
          <cell r="F42">
            <v>104.00487804878048</v>
          </cell>
          <cell r="G42">
            <v>74</v>
          </cell>
          <cell r="H42">
            <v>60.681352459016395</v>
          </cell>
          <cell r="I42">
            <v>246.5</v>
          </cell>
          <cell r="J42">
            <v>11.561371417850946</v>
          </cell>
          <cell r="K42">
            <v>393</v>
          </cell>
          <cell r="L42">
            <v>66859</v>
          </cell>
          <cell r="M42">
            <v>1965681</v>
          </cell>
          <cell r="N42">
            <v>2204319</v>
          </cell>
          <cell r="O42">
            <v>1.0338722386379626</v>
          </cell>
          <cell r="P42">
            <v>16164</v>
          </cell>
          <cell r="Q42">
            <v>7.581257914731955</v>
          </cell>
        </row>
        <row r="43">
          <cell r="A43">
            <v>5</v>
          </cell>
          <cell r="B43" t="str">
            <v>Totals  may  not  tally  due  to  rounding  off.</v>
          </cell>
          <cell r="C43">
            <v>400</v>
          </cell>
          <cell r="D43">
            <v>2100</v>
          </cell>
          <cell r="E43">
            <v>2372.1999999999998</v>
          </cell>
          <cell r="F43">
            <v>112.96190476190475</v>
          </cell>
          <cell r="G43">
            <v>79.72</v>
          </cell>
          <cell r="H43">
            <v>67.699771689497709</v>
          </cell>
          <cell r="I43">
            <v>259.5</v>
          </cell>
          <cell r="J43">
            <v>10.939212545316584</v>
          </cell>
          <cell r="K43">
            <v>426</v>
          </cell>
          <cell r="L43">
            <v>76639</v>
          </cell>
          <cell r="M43">
            <v>2274395</v>
          </cell>
          <cell r="N43">
            <v>2313991</v>
          </cell>
          <cell r="O43">
            <v>0.97546201837956326</v>
          </cell>
          <cell r="P43">
            <v>13861</v>
          </cell>
          <cell r="Q43">
            <v>5.8430992327796982</v>
          </cell>
        </row>
        <row r="44">
          <cell r="B44" t="str">
            <v>97-98</v>
          </cell>
          <cell r="C44">
            <v>400</v>
          </cell>
          <cell r="D44">
            <v>2050</v>
          </cell>
          <cell r="E44">
            <v>2476.12</v>
          </cell>
          <cell r="F44">
            <v>120.78634146341463</v>
          </cell>
          <cell r="G44">
            <v>83.44</v>
          </cell>
          <cell r="H44">
            <v>70.665525114155244</v>
          </cell>
          <cell r="I44">
            <v>271.86099999999999</v>
          </cell>
          <cell r="J44">
            <v>10.97931441125632</v>
          </cell>
          <cell r="K44">
            <v>395</v>
          </cell>
          <cell r="L44">
            <v>22006</v>
          </cell>
          <cell r="M44">
            <v>2264444</v>
          </cell>
          <cell r="N44">
            <v>2202073</v>
          </cell>
          <cell r="O44">
            <v>0.8893240230683489</v>
          </cell>
          <cell r="P44">
            <v>12105</v>
          </cell>
          <cell r="Q44">
            <v>4.8886968321406075</v>
          </cell>
        </row>
        <row r="45">
          <cell r="A45" t="str">
            <v>EXECUTIVE SUMMARY</v>
          </cell>
          <cell r="B45" t="str">
            <v>98-99</v>
          </cell>
          <cell r="C45">
            <v>400</v>
          </cell>
          <cell r="D45">
            <v>2100</v>
          </cell>
          <cell r="E45">
            <v>1797.15</v>
          </cell>
          <cell r="F45">
            <v>85.578571428571422</v>
          </cell>
          <cell r="G45">
            <v>59.9</v>
          </cell>
          <cell r="H45">
            <v>51.288527397260275</v>
          </cell>
          <cell r="I45">
            <v>203.60000000000002</v>
          </cell>
          <cell r="J45">
            <v>11.329048771666251</v>
          </cell>
          <cell r="K45">
            <v>392</v>
          </cell>
          <cell r="L45">
            <v>82281</v>
          </cell>
          <cell r="M45">
            <v>1607171</v>
          </cell>
          <cell r="N45">
            <v>1612964</v>
          </cell>
          <cell r="O45">
            <v>0.89751217205019063</v>
          </cell>
          <cell r="P45">
            <v>7656</v>
          </cell>
          <cell r="Q45">
            <v>4.2600784575577997</v>
          </cell>
        </row>
        <row r="46">
          <cell r="A46" t="str">
            <v>96-97 to 00-01</v>
          </cell>
          <cell r="B46" t="str">
            <v>99-00</v>
          </cell>
          <cell r="C46">
            <v>400</v>
          </cell>
          <cell r="D46">
            <v>1900</v>
          </cell>
          <cell r="E46">
            <v>2340.6999999999998</v>
          </cell>
          <cell r="F46">
            <v>123.19473684210524</v>
          </cell>
          <cell r="G46">
            <v>81.099999999999994</v>
          </cell>
          <cell r="H46">
            <v>66.599999999999994</v>
          </cell>
          <cell r="I46">
            <v>260</v>
          </cell>
          <cell r="J46">
            <v>11.107788268466699</v>
          </cell>
          <cell r="K46">
            <v>395</v>
          </cell>
          <cell r="L46">
            <v>69143</v>
          </cell>
          <cell r="M46">
            <v>2183603</v>
          </cell>
          <cell r="N46">
            <v>2158056</v>
          </cell>
          <cell r="O46">
            <v>0.92</v>
          </cell>
          <cell r="P46">
            <v>9893</v>
          </cell>
          <cell r="Q46">
            <v>4.2300000000000004</v>
          </cell>
        </row>
        <row r="47">
          <cell r="A47" t="str">
            <v>THERMAL GENETRATION</v>
          </cell>
          <cell r="B47" t="str">
            <v>00-01</v>
          </cell>
          <cell r="C47">
            <v>400</v>
          </cell>
          <cell r="D47">
            <v>2000</v>
          </cell>
          <cell r="E47">
            <v>2182.83</v>
          </cell>
          <cell r="F47">
            <v>109.14149999999999</v>
          </cell>
          <cell r="G47">
            <v>74.38</v>
          </cell>
          <cell r="H47">
            <v>62.3</v>
          </cell>
          <cell r="I47">
            <v>236.25</v>
          </cell>
          <cell r="J47">
            <v>10.82</v>
          </cell>
          <cell r="K47">
            <v>379</v>
          </cell>
          <cell r="L47">
            <v>90525</v>
          </cell>
          <cell r="M47">
            <v>1943564</v>
          </cell>
          <cell r="N47">
            <v>2004726</v>
          </cell>
          <cell r="O47">
            <v>0.91800000000000004</v>
          </cell>
          <cell r="P47">
            <v>8579</v>
          </cell>
          <cell r="Q47">
            <v>3.93</v>
          </cell>
        </row>
        <row r="48">
          <cell r="A48" t="str">
            <v xml:space="preserve"> </v>
          </cell>
          <cell r="B48" t="str">
            <v>P A R T I C U L A R S</v>
          </cell>
          <cell r="C48">
            <v>0</v>
          </cell>
          <cell r="D48" t="str">
            <v>96-97</v>
          </cell>
          <cell r="E48" t="str">
            <v>97-98</v>
          </cell>
          <cell r="F48" t="str">
            <v>98-99</v>
          </cell>
          <cell r="G48" t="str">
            <v>99-00</v>
          </cell>
          <cell r="H48" t="str">
            <v>00-01</v>
          </cell>
          <cell r="I48">
            <v>246.2422</v>
          </cell>
          <cell r="J48">
            <v>11.035072799341171</v>
          </cell>
          <cell r="K48">
            <v>397.4</v>
          </cell>
          <cell r="L48">
            <v>68118.8</v>
          </cell>
          <cell r="M48">
            <v>2054635.4</v>
          </cell>
          <cell r="N48">
            <v>2058362</v>
          </cell>
          <cell r="O48">
            <v>0.92005964269962059</v>
          </cell>
          <cell r="P48">
            <v>10418.799999999999</v>
          </cell>
          <cell r="Q48">
            <v>4.6303749044956213</v>
          </cell>
        </row>
        <row r="49">
          <cell r="A49">
            <v>1</v>
          </cell>
          <cell r="B49" t="str">
            <v>Thermal  Generation (Including 100 % Satpura )</v>
          </cell>
          <cell r="C49" t="str">
            <v>MU</v>
          </cell>
          <cell r="D49">
            <v>16866.97</v>
          </cell>
          <cell r="E49">
            <v>17966.7</v>
          </cell>
          <cell r="F49">
            <v>18471.39</v>
          </cell>
          <cell r="G49">
            <v>20146.419999999998</v>
          </cell>
          <cell r="H49">
            <v>20415.89</v>
          </cell>
        </row>
        <row r="50">
          <cell r="A50">
            <v>2</v>
          </cell>
          <cell r="B50" t="str">
            <v xml:space="preserve">Plan Target    </v>
          </cell>
          <cell r="C50" t="str">
            <v>MU</v>
          </cell>
          <cell r="D50">
            <v>16950</v>
          </cell>
          <cell r="E50">
            <v>17200</v>
          </cell>
          <cell r="F50">
            <v>17500</v>
          </cell>
          <cell r="G50">
            <v>19010</v>
          </cell>
          <cell r="H50">
            <v>21860</v>
          </cell>
        </row>
        <row r="51">
          <cell r="A51">
            <v>3</v>
          </cell>
          <cell r="B51" t="str">
            <v>ACHIEVEMENT Percentage of ( 2 )</v>
          </cell>
          <cell r="C51" t="str">
            <v>%</v>
          </cell>
          <cell r="D51">
            <v>99.510147492625364</v>
          </cell>
          <cell r="E51">
            <v>104.45755813953488</v>
          </cell>
          <cell r="F51">
            <v>105.5508</v>
          </cell>
          <cell r="G51">
            <v>105.97801157285637</v>
          </cell>
          <cell r="H51">
            <v>93.393824336688013</v>
          </cell>
          <cell r="I51" t="str">
            <v>AUXILIARY CONSUMPTION</v>
          </cell>
          <cell r="K51" t="str">
            <v>MAXIMUM DEMAND</v>
          </cell>
          <cell r="L51" t="str">
            <v>COAL IN MT</v>
          </cell>
          <cell r="N51" t="str">
            <v>COAL CONSUMED</v>
          </cell>
          <cell r="P51" t="str">
            <v>FUEL OIL CONSUMPTION</v>
          </cell>
        </row>
        <row r="52">
          <cell r="A52">
            <v>4</v>
          </cell>
          <cell r="B52" t="str">
            <v>Plant    Utilisation    Factor            **</v>
          </cell>
          <cell r="C52" t="str">
            <v>%</v>
          </cell>
          <cell r="D52">
            <v>62.26</v>
          </cell>
          <cell r="E52">
            <v>66.319999999999993</v>
          </cell>
          <cell r="F52">
            <v>68.180000000000007</v>
          </cell>
          <cell r="G52">
            <v>69.42</v>
          </cell>
          <cell r="H52">
            <v>66.349999999999994</v>
          </cell>
          <cell r="I52" t="str">
            <v>MKwh</v>
          </cell>
          <cell r="J52" t="str">
            <v>%</v>
          </cell>
          <cell r="K52" t="str">
            <v>MW</v>
          </cell>
          <cell r="L52" t="str">
            <v>OP.STOCK</v>
          </cell>
          <cell r="M52" t="str">
            <v>RECIEPT</v>
          </cell>
          <cell r="N52" t="str">
            <v>MT</v>
          </cell>
          <cell r="O52" t="str">
            <v>Kg/kWH</v>
          </cell>
          <cell r="P52" t="str">
            <v>KL</v>
          </cell>
          <cell r="Q52" t="str">
            <v>ml/KWH</v>
          </cell>
        </row>
        <row r="53">
          <cell r="A53">
            <v>5</v>
          </cell>
          <cell r="B53" t="str">
            <v>Plant    Availibility   Factor              **</v>
          </cell>
          <cell r="C53" t="str">
            <v>%</v>
          </cell>
          <cell r="D53">
            <v>74.900000000000006</v>
          </cell>
          <cell r="E53">
            <v>76.290000000000006</v>
          </cell>
          <cell r="F53">
            <v>77.22</v>
          </cell>
          <cell r="G53">
            <v>79.09</v>
          </cell>
          <cell r="H53">
            <v>77.67</v>
          </cell>
          <cell r="I53" t="str">
            <v xml:space="preserve"> </v>
          </cell>
          <cell r="J53">
            <v>0</v>
          </cell>
          <cell r="K53">
            <v>420</v>
          </cell>
          <cell r="N53">
            <v>1641352</v>
          </cell>
          <cell r="O53">
            <v>0.79512466876910481</v>
          </cell>
          <cell r="P53">
            <v>8572</v>
          </cell>
          <cell r="Q53">
            <v>4.1525575627219311</v>
          </cell>
        </row>
        <row r="54">
          <cell r="A54">
            <v>6</v>
          </cell>
          <cell r="B54" t="str">
            <v>Partial  Unavailability Factor         **</v>
          </cell>
          <cell r="C54" t="str">
            <v>%</v>
          </cell>
          <cell r="D54">
            <v>12.64</v>
          </cell>
          <cell r="E54">
            <v>9.9700000000000006</v>
          </cell>
          <cell r="F54">
            <v>9.0399999999999991</v>
          </cell>
          <cell r="G54">
            <v>9.67</v>
          </cell>
          <cell r="H54">
            <v>11.32</v>
          </cell>
          <cell r="I54">
            <v>205</v>
          </cell>
          <cell r="J54">
            <v>8.6503730209634409</v>
          </cell>
          <cell r="K54">
            <v>430</v>
          </cell>
          <cell r="N54">
            <v>1805424</v>
          </cell>
          <cell r="O54">
            <v>0.76183371029267799</v>
          </cell>
          <cell r="P54">
            <v>10037</v>
          </cell>
          <cell r="Q54">
            <v>4.2353070249468319</v>
          </cell>
        </row>
        <row r="55">
          <cell r="A55" t="str">
            <v>a</v>
          </cell>
          <cell r="B55" t="str">
            <v>Main Boiler</v>
          </cell>
          <cell r="C55" t="str">
            <v>%</v>
          </cell>
          <cell r="D55">
            <v>1.4</v>
          </cell>
          <cell r="E55">
            <v>1.17</v>
          </cell>
          <cell r="F55">
            <v>1.91</v>
          </cell>
          <cell r="G55">
            <v>2.62</v>
          </cell>
          <cell r="H55">
            <v>4061.5740000000001</v>
          </cell>
          <cell r="I55">
            <v>212.26</v>
          </cell>
          <cell r="J55">
            <v>9.2593723553686562</v>
          </cell>
          <cell r="K55">
            <v>435</v>
          </cell>
          <cell r="N55">
            <v>1619831</v>
          </cell>
          <cell r="O55">
            <v>0.70661539535330098</v>
          </cell>
          <cell r="P55">
            <v>11371</v>
          </cell>
          <cell r="Q55">
            <v>4.9603468883867423</v>
          </cell>
        </row>
        <row r="56">
          <cell r="A56" t="str">
            <v>b</v>
          </cell>
          <cell r="B56" t="str">
            <v>Boiler Auxiliaries(Mainly Mills)</v>
          </cell>
          <cell r="C56" t="str">
            <v>%</v>
          </cell>
          <cell r="D56">
            <v>4.9000000000000004</v>
          </cell>
          <cell r="E56">
            <v>3.07</v>
          </cell>
          <cell r="F56">
            <v>1.57</v>
          </cell>
          <cell r="G56">
            <v>1.89</v>
          </cell>
          <cell r="H56">
            <v>25</v>
          </cell>
          <cell r="I56">
            <v>255</v>
          </cell>
          <cell r="J56">
            <v>9.7792197333149247</v>
          </cell>
          <cell r="K56">
            <v>415</v>
          </cell>
          <cell r="N56">
            <v>1954298</v>
          </cell>
          <cell r="O56">
            <v>0.74947096338736829</v>
          </cell>
          <cell r="P56">
            <v>14148</v>
          </cell>
          <cell r="Q56">
            <v>5.4257412073309625</v>
          </cell>
        </row>
        <row r="57">
          <cell r="A57" t="str">
            <v>c</v>
          </cell>
          <cell r="B57" t="str">
            <v>Turbine</v>
          </cell>
          <cell r="C57" t="str">
            <v>%</v>
          </cell>
          <cell r="D57">
            <v>1.1000000000000001</v>
          </cell>
          <cell r="E57">
            <v>0.98</v>
          </cell>
          <cell r="F57">
            <v>1.42</v>
          </cell>
          <cell r="G57">
            <v>1.06</v>
          </cell>
          <cell r="H57">
            <v>13.2</v>
          </cell>
          <cell r="I57">
            <v>224.43</v>
          </cell>
          <cell r="J57">
            <v>9.3276587962943722</v>
          </cell>
          <cell r="K57">
            <v>425</v>
          </cell>
          <cell r="N57">
            <v>1700511</v>
          </cell>
          <cell r="O57">
            <v>0.70675873935504785</v>
          </cell>
          <cell r="P57">
            <v>12383</v>
          </cell>
          <cell r="Q57">
            <v>5.1465668081144766</v>
          </cell>
        </row>
        <row r="58">
          <cell r="A58" t="str">
            <v>d</v>
          </cell>
          <cell r="B58" t="str">
            <v>Turbine Auxiliaries</v>
          </cell>
          <cell r="C58" t="str">
            <v>%</v>
          </cell>
          <cell r="D58">
            <v>0.9</v>
          </cell>
          <cell r="E58">
            <v>0.49</v>
          </cell>
          <cell r="F58">
            <v>0.42</v>
          </cell>
          <cell r="G58">
            <v>0.63</v>
          </cell>
          <cell r="H58">
            <v>2808.83</v>
          </cell>
          <cell r="I58">
            <v>254.25299999999999</v>
          </cell>
          <cell r="J58">
            <v>10.150225557906502</v>
          </cell>
          <cell r="K58">
            <v>440</v>
          </cell>
          <cell r="N58">
            <v>1734277</v>
          </cell>
          <cell r="O58">
            <v>0.69235378657830648</v>
          </cell>
          <cell r="P58">
            <v>10457.49</v>
          </cell>
          <cell r="Q58">
            <v>4.1748133658030255</v>
          </cell>
        </row>
        <row r="59">
          <cell r="A59" t="str">
            <v>e</v>
          </cell>
          <cell r="B59" t="str">
            <v>Generator</v>
          </cell>
          <cell r="C59" t="str">
            <v>%</v>
          </cell>
          <cell r="D59">
            <v>0.3</v>
          </cell>
          <cell r="E59">
            <v>0.27</v>
          </cell>
          <cell r="F59">
            <v>0.2</v>
          </cell>
          <cell r="G59">
            <v>0.48</v>
          </cell>
          <cell r="H59">
            <v>669</v>
          </cell>
          <cell r="I59">
            <v>253</v>
          </cell>
          <cell r="J59">
            <v>10.616869492236676</v>
          </cell>
          <cell r="K59">
            <v>420</v>
          </cell>
          <cell r="N59">
            <v>1601918</v>
          </cell>
          <cell r="O59">
            <v>0.6722274443978179</v>
          </cell>
          <cell r="P59">
            <v>12273</v>
          </cell>
          <cell r="Q59">
            <v>5.150230801510701</v>
          </cell>
        </row>
        <row r="60">
          <cell r="A60" t="str">
            <v>f</v>
          </cell>
          <cell r="B60" t="str">
            <v>Electrical</v>
          </cell>
          <cell r="C60" t="str">
            <v>%</v>
          </cell>
          <cell r="D60">
            <v>0.8</v>
          </cell>
          <cell r="E60">
            <v>1.96</v>
          </cell>
          <cell r="F60">
            <v>2.1</v>
          </cell>
          <cell r="G60">
            <v>0.81</v>
          </cell>
          <cell r="H60">
            <v>9.1300000000000008</v>
          </cell>
          <cell r="I60">
            <v>267.8</v>
          </cell>
          <cell r="J60">
            <v>10.159332321699544</v>
          </cell>
          <cell r="K60">
            <v>420</v>
          </cell>
          <cell r="N60">
            <v>1807464</v>
          </cell>
          <cell r="O60">
            <v>0.68568437025796658</v>
          </cell>
          <cell r="P60">
            <v>8827</v>
          </cell>
          <cell r="Q60">
            <v>3.3486342943854326</v>
          </cell>
        </row>
        <row r="61">
          <cell r="A61" t="str">
            <v>g</v>
          </cell>
          <cell r="B61" t="str">
            <v>Coal related (Quality ,Quantity ,Handling ,wet coal)</v>
          </cell>
          <cell r="C61" t="str">
            <v>%</v>
          </cell>
          <cell r="D61">
            <v>3.3</v>
          </cell>
          <cell r="E61">
            <v>2.4900000000000002</v>
          </cell>
          <cell r="F61">
            <v>1.19</v>
          </cell>
          <cell r="G61">
            <v>1.6</v>
          </cell>
          <cell r="H61">
            <v>1426.91</v>
          </cell>
          <cell r="I61">
            <v>250.7</v>
          </cell>
          <cell r="J61">
            <v>9.2423963133640559</v>
          </cell>
          <cell r="K61">
            <v>440</v>
          </cell>
          <cell r="N61">
            <v>1843079</v>
          </cell>
          <cell r="O61">
            <v>0.67947612903225807</v>
          </cell>
          <cell r="P61">
            <v>9072</v>
          </cell>
          <cell r="Q61">
            <v>3.3445161290322583</v>
          </cell>
        </row>
        <row r="62">
          <cell r="A62" t="str">
            <v>h</v>
          </cell>
          <cell r="B62" t="str">
            <v>Others</v>
          </cell>
          <cell r="C62" t="str">
            <v>%</v>
          </cell>
          <cell r="D62">
            <v>0.1</v>
          </cell>
          <cell r="E62">
            <v>0</v>
          </cell>
          <cell r="F62">
            <v>0</v>
          </cell>
          <cell r="G62">
            <v>0.2</v>
          </cell>
          <cell r="H62">
            <v>157</v>
          </cell>
          <cell r="I62">
            <v>268.755</v>
          </cell>
          <cell r="J62">
            <v>9.7471765448307366</v>
          </cell>
          <cell r="K62">
            <v>435</v>
          </cell>
          <cell r="N62">
            <v>1910941</v>
          </cell>
          <cell r="O62">
            <v>0.69305796334041769</v>
          </cell>
          <cell r="P62">
            <v>6239</v>
          </cell>
          <cell r="Q62">
            <v>2.2627536032147857</v>
          </cell>
        </row>
        <row r="63">
          <cell r="A63">
            <v>7</v>
          </cell>
          <cell r="B63" t="str">
            <v xml:space="preserve">Planned  Outage         Rate          </v>
          </cell>
          <cell r="C63" t="str">
            <v>MU</v>
          </cell>
          <cell r="D63">
            <v>4231.29</v>
          </cell>
          <cell r="E63">
            <v>3432.3410099999996</v>
          </cell>
          <cell r="F63">
            <v>3544</v>
          </cell>
          <cell r="G63">
            <v>3784.7</v>
          </cell>
          <cell r="H63">
            <v>4061.5740000000001</v>
          </cell>
          <cell r="I63">
            <v>266.60000000000002</v>
          </cell>
          <cell r="J63">
            <v>9.7890543244781458</v>
          </cell>
          <cell r="K63">
            <v>430</v>
          </cell>
          <cell r="N63">
            <v>2064016</v>
          </cell>
          <cell r="O63">
            <v>0.75786814518349888</v>
          </cell>
          <cell r="P63">
            <v>5152</v>
          </cell>
          <cell r="Q63">
            <v>1.8917182250454387</v>
          </cell>
        </row>
        <row r="64">
          <cell r="A64" t="str">
            <v>a</v>
          </cell>
          <cell r="B64" t="str">
            <v>99-00</v>
          </cell>
          <cell r="C64" t="str">
            <v>No</v>
          </cell>
          <cell r="D64">
            <v>24</v>
          </cell>
          <cell r="E64">
            <v>24</v>
          </cell>
          <cell r="F64">
            <v>20</v>
          </cell>
          <cell r="G64">
            <v>24</v>
          </cell>
          <cell r="H64">
            <v>24</v>
          </cell>
          <cell r="I64">
            <v>260.7</v>
          </cell>
          <cell r="J64">
            <v>10</v>
          </cell>
          <cell r="K64">
            <v>420</v>
          </cell>
          <cell r="N64">
            <v>2054539</v>
          </cell>
          <cell r="O64">
            <v>0.79</v>
          </cell>
          <cell r="P64">
            <v>3915</v>
          </cell>
          <cell r="Q64">
            <v>1.5</v>
          </cell>
        </row>
        <row r="65">
          <cell r="A65" t="str">
            <v>b</v>
          </cell>
          <cell r="B65" t="str">
            <v xml:space="preserve">                                                       **</v>
          </cell>
          <cell r="C65" t="str">
            <v>%</v>
          </cell>
          <cell r="D65">
            <v>15.62</v>
          </cell>
          <cell r="E65">
            <v>12.67</v>
          </cell>
          <cell r="F65">
            <v>13.08</v>
          </cell>
          <cell r="G65">
            <v>13.05</v>
          </cell>
          <cell r="H65">
            <v>13.2</v>
          </cell>
          <cell r="I65">
            <v>267.75</v>
          </cell>
          <cell r="J65">
            <v>9.59</v>
          </cell>
          <cell r="K65">
            <v>420</v>
          </cell>
          <cell r="N65">
            <v>2056216</v>
          </cell>
          <cell r="O65">
            <v>0.73599999999999999</v>
          </cell>
          <cell r="P65">
            <v>3523</v>
          </cell>
          <cell r="Q65">
            <v>1.26</v>
          </cell>
        </row>
        <row r="66">
          <cell r="A66">
            <v>8</v>
          </cell>
          <cell r="B66" t="str">
            <v xml:space="preserve">Forced   Outage   </v>
          </cell>
          <cell r="C66" t="str">
            <v>MU</v>
          </cell>
          <cell r="D66">
            <v>2568.61</v>
          </cell>
          <cell r="E66">
            <v>2988.0600899999995</v>
          </cell>
          <cell r="F66">
            <v>2626.63</v>
          </cell>
          <cell r="G66">
            <v>2200.5</v>
          </cell>
          <cell r="H66">
            <v>4061.5740000000001</v>
          </cell>
          <cell r="I66">
            <v>262.90099999999995</v>
          </cell>
          <cell r="J66">
            <v>9.6737254365345873</v>
          </cell>
          <cell r="K66">
            <v>429</v>
          </cell>
          <cell r="L66">
            <v>0</v>
          </cell>
          <cell r="M66">
            <v>0</v>
          </cell>
          <cell r="N66">
            <v>1985758.2</v>
          </cell>
          <cell r="O66">
            <v>0.73128044751123489</v>
          </cell>
          <cell r="P66">
            <v>5580.2</v>
          </cell>
          <cell r="Q66">
            <v>2.0517975914584965</v>
          </cell>
        </row>
        <row r="67">
          <cell r="A67" t="str">
            <v>a</v>
          </cell>
          <cell r="B67" t="str">
            <v>88-89</v>
          </cell>
          <cell r="C67" t="str">
            <v>No</v>
          </cell>
          <cell r="D67">
            <v>679</v>
          </cell>
          <cell r="E67">
            <v>662</v>
          </cell>
          <cell r="F67">
            <v>618</v>
          </cell>
          <cell r="G67">
            <v>570</v>
          </cell>
          <cell r="H67">
            <v>669</v>
          </cell>
          <cell r="I67" t="str">
            <v xml:space="preserve">  </v>
          </cell>
          <cell r="J67">
            <v>0</v>
          </cell>
          <cell r="K67">
            <v>405</v>
          </cell>
          <cell r="N67">
            <v>1243803</v>
          </cell>
          <cell r="O67">
            <v>0.79908707188425532</v>
          </cell>
          <cell r="P67">
            <v>10940</v>
          </cell>
          <cell r="Q67">
            <v>7.0284543182592047</v>
          </cell>
        </row>
        <row r="68">
          <cell r="A68" t="str">
            <v>b</v>
          </cell>
          <cell r="B68" t="str">
            <v xml:space="preserve">                                                      **</v>
          </cell>
          <cell r="C68" t="str">
            <v>%</v>
          </cell>
          <cell r="D68">
            <v>9.48</v>
          </cell>
          <cell r="E68">
            <v>11.03</v>
          </cell>
          <cell r="F68">
            <v>9.69</v>
          </cell>
          <cell r="G68">
            <v>7.84</v>
          </cell>
          <cell r="H68">
            <v>9.1300000000000008</v>
          </cell>
          <cell r="I68">
            <v>149</v>
          </cell>
          <cell r="J68">
            <v>8.8501882892407853</v>
          </cell>
          <cell r="K68">
            <v>420</v>
          </cell>
          <cell r="N68">
            <v>1297045</v>
          </cell>
          <cell r="O68">
            <v>0.77040889057841033</v>
          </cell>
          <cell r="P68">
            <v>6352</v>
          </cell>
          <cell r="Q68">
            <v>3.7729124841112394</v>
          </cell>
        </row>
        <row r="69">
          <cell r="A69" t="str">
            <v>c</v>
          </cell>
          <cell r="B69" t="str">
            <v>Boiler Tube Leakages</v>
          </cell>
          <cell r="C69" t="str">
            <v>MU</v>
          </cell>
          <cell r="D69">
            <v>1719</v>
          </cell>
          <cell r="E69">
            <v>1560.40128</v>
          </cell>
          <cell r="F69">
            <v>1408.83</v>
          </cell>
          <cell r="G69">
            <v>1466.97</v>
          </cell>
          <cell r="H69">
            <v>1426.91</v>
          </cell>
          <cell r="I69">
            <v>260.75</v>
          </cell>
          <cell r="J69">
            <v>9.4181854958137379</v>
          </cell>
          <cell r="K69">
            <v>420</v>
          </cell>
          <cell r="N69">
            <v>1963008</v>
          </cell>
          <cell r="O69">
            <v>0.70903062219621615</v>
          </cell>
          <cell r="P69">
            <v>7928</v>
          </cell>
          <cell r="Q69">
            <v>2.8635618259179796</v>
          </cell>
        </row>
        <row r="70">
          <cell r="A70" t="str">
            <v>d</v>
          </cell>
          <cell r="B70" t="str">
            <v>91-92</v>
          </cell>
          <cell r="C70" t="str">
            <v>No</v>
          </cell>
          <cell r="D70">
            <v>185</v>
          </cell>
          <cell r="E70">
            <v>197</v>
          </cell>
          <cell r="F70">
            <v>191</v>
          </cell>
          <cell r="G70">
            <v>184</v>
          </cell>
          <cell r="H70">
            <v>157</v>
          </cell>
          <cell r="I70">
            <v>189.16</v>
          </cell>
          <cell r="J70">
            <v>9.2642384527605142</v>
          </cell>
          <cell r="K70">
            <v>420</v>
          </cell>
          <cell r="N70">
            <v>1514144</v>
          </cell>
          <cell r="O70">
            <v>0.7415622260423248</v>
          </cell>
          <cell r="P70">
            <v>10879</v>
          </cell>
          <cell r="Q70">
            <v>5.3280635508343011</v>
          </cell>
        </row>
        <row r="71">
          <cell r="A71" t="str">
            <v>e</v>
          </cell>
          <cell r="B71" t="str">
            <v>92-93</v>
          </cell>
          <cell r="C71" t="str">
            <v>%</v>
          </cell>
          <cell r="D71">
            <v>6.34</v>
          </cell>
          <cell r="E71">
            <v>5.76</v>
          </cell>
          <cell r="F71">
            <v>5.2</v>
          </cell>
          <cell r="G71">
            <v>5.4</v>
          </cell>
          <cell r="H71">
            <v>4.6399999999999997</v>
          </cell>
          <cell r="I71">
            <v>229.96</v>
          </cell>
          <cell r="J71">
            <v>9.3963241723667323</v>
          </cell>
          <cell r="K71">
            <v>420</v>
          </cell>
          <cell r="N71">
            <v>1717518</v>
          </cell>
          <cell r="O71">
            <v>0.7017896982029469</v>
          </cell>
          <cell r="P71">
            <v>12666</v>
          </cell>
          <cell r="Q71">
            <v>5.1754149403025318</v>
          </cell>
        </row>
        <row r="72">
          <cell r="A72">
            <v>9</v>
          </cell>
          <cell r="B72" t="str">
            <v>Total          Coal           Consumption</v>
          </cell>
          <cell r="C72" t="str">
            <v>1000MT</v>
          </cell>
          <cell r="D72">
            <v>13482.3</v>
          </cell>
          <cell r="E72">
            <v>14265.226000000001</v>
          </cell>
          <cell r="F72">
            <v>14547.769</v>
          </cell>
          <cell r="G72">
            <v>15648.859</v>
          </cell>
          <cell r="H72">
            <v>16020.288</v>
          </cell>
          <cell r="I72">
            <v>241.17</v>
          </cell>
          <cell r="J72">
            <v>9.9037833709083287</v>
          </cell>
          <cell r="K72">
            <v>425</v>
          </cell>
          <cell r="N72">
            <v>1694854</v>
          </cell>
          <cell r="O72">
            <v>0.69600144550804266</v>
          </cell>
          <cell r="P72">
            <v>12366.135</v>
          </cell>
          <cell r="Q72">
            <v>5.0782237498614036</v>
          </cell>
        </row>
        <row r="73">
          <cell r="A73">
            <v>10</v>
          </cell>
          <cell r="B73" t="str">
            <v xml:space="preserve">COST OF  Coal consumed @ Rs 800 /MT </v>
          </cell>
          <cell r="C73" t="str">
            <v>Cr Rs.</v>
          </cell>
          <cell r="D73">
            <v>1078.5840000000001</v>
          </cell>
          <cell r="E73">
            <v>1141.2180800000001</v>
          </cell>
          <cell r="F73">
            <v>1163.82152</v>
          </cell>
          <cell r="G73">
            <v>1251.9087200000001</v>
          </cell>
          <cell r="H73">
            <v>1281.6230399999999</v>
          </cell>
          <cell r="I73">
            <v>207</v>
          </cell>
          <cell r="J73">
            <v>9.9903474903474905</v>
          </cell>
          <cell r="K73">
            <v>420</v>
          </cell>
          <cell r="N73">
            <v>1388587</v>
          </cell>
          <cell r="O73">
            <v>0.6701674710424711</v>
          </cell>
          <cell r="P73">
            <v>9236</v>
          </cell>
          <cell r="Q73">
            <v>4.4575289575289574</v>
          </cell>
        </row>
        <row r="74">
          <cell r="A74">
            <v>11</v>
          </cell>
          <cell r="B74" t="str">
            <v>Specific    Coal           Consumption</v>
          </cell>
          <cell r="C74" t="str">
            <v>Kg/Kwh</v>
          </cell>
          <cell r="D74">
            <v>0.8</v>
          </cell>
          <cell r="E74">
            <v>0.79</v>
          </cell>
          <cell r="F74">
            <v>0.79</v>
          </cell>
          <cell r="G74">
            <v>0.78</v>
          </cell>
          <cell r="H74">
            <v>0.78</v>
          </cell>
          <cell r="I74">
            <v>200</v>
          </cell>
          <cell r="J74">
            <v>9.8775187672856575</v>
          </cell>
          <cell r="K74">
            <v>420</v>
          </cell>
          <cell r="N74">
            <v>1377039</v>
          </cell>
          <cell r="O74">
            <v>0.68008642828921373</v>
          </cell>
          <cell r="P74">
            <v>6316</v>
          </cell>
          <cell r="Q74">
            <v>3.1193204267088106</v>
          </cell>
        </row>
        <row r="75">
          <cell r="A75">
            <v>12</v>
          </cell>
          <cell r="B75" t="str">
            <v>Total          Fuel Oil     Consumption</v>
          </cell>
          <cell r="C75" t="str">
            <v>1000KL</v>
          </cell>
          <cell r="D75">
            <v>86.83</v>
          </cell>
          <cell r="E75">
            <v>66.355000000000004</v>
          </cell>
          <cell r="F75">
            <v>51.347000000000001</v>
          </cell>
          <cell r="G75">
            <v>58.731999999999999</v>
          </cell>
          <cell r="H75">
            <v>65.579260000000005</v>
          </cell>
          <cell r="I75">
            <v>221.2</v>
          </cell>
          <cell r="J75">
            <v>10.051804053439971</v>
          </cell>
          <cell r="K75">
            <v>415</v>
          </cell>
          <cell r="N75">
            <v>1498328</v>
          </cell>
          <cell r="O75">
            <v>0.68087248932109423</v>
          </cell>
          <cell r="P75">
            <v>8360</v>
          </cell>
          <cell r="Q75">
            <v>3.7989639189312006</v>
          </cell>
        </row>
        <row r="76">
          <cell r="A76">
            <v>13</v>
          </cell>
          <cell r="B76" t="str">
            <v>COST OF  Fuel oil consumed  @ Rs 7500 per MT</v>
          </cell>
          <cell r="C76" t="str">
            <v>Cr Rs.</v>
          </cell>
          <cell r="D76">
            <v>65.122500000000002</v>
          </cell>
          <cell r="E76">
            <v>49.766250000000007</v>
          </cell>
          <cell r="F76">
            <v>38.510250000000006</v>
          </cell>
          <cell r="G76">
            <v>44.048999999999999</v>
          </cell>
          <cell r="H76">
            <v>49.184445000000004</v>
          </cell>
          <cell r="I76">
            <v>227.755</v>
          </cell>
          <cell r="J76">
            <v>10.015787436894229</v>
          </cell>
          <cell r="K76">
            <v>440</v>
          </cell>
          <cell r="N76">
            <v>1574060</v>
          </cell>
          <cell r="O76">
            <v>0.69221094478354939</v>
          </cell>
          <cell r="P76">
            <v>5914</v>
          </cell>
          <cell r="Q76">
            <v>2.6007493535506341</v>
          </cell>
        </row>
        <row r="77">
          <cell r="A77">
            <v>14</v>
          </cell>
          <cell r="B77" t="str">
            <v xml:space="preserve">Specific    Fuel Oil      Consumption </v>
          </cell>
          <cell r="C77" t="str">
            <v>ml/Kwh</v>
          </cell>
          <cell r="D77">
            <v>5.15</v>
          </cell>
          <cell r="E77">
            <v>3.69</v>
          </cell>
          <cell r="F77">
            <v>2.78</v>
          </cell>
          <cell r="G77">
            <v>2.29</v>
          </cell>
          <cell r="H77">
            <v>3.22</v>
          </cell>
          <cell r="I77">
            <v>265</v>
          </cell>
          <cell r="J77">
            <v>10.213048036011594</v>
          </cell>
          <cell r="K77">
            <v>420</v>
          </cell>
          <cell r="N77">
            <v>1991333</v>
          </cell>
          <cell r="O77">
            <v>0.76745583338471979</v>
          </cell>
          <cell r="P77">
            <v>3723</v>
          </cell>
          <cell r="Q77">
            <v>1.4348368995498553</v>
          </cell>
        </row>
        <row r="78">
          <cell r="A78">
            <v>15</v>
          </cell>
          <cell r="B78" t="str">
            <v>Cost of  Fuels  per  Kwh  Generated</v>
          </cell>
          <cell r="C78" t="str">
            <v>Paise</v>
          </cell>
          <cell r="D78">
            <v>67.807466308412231</v>
          </cell>
          <cell r="E78">
            <v>66.288429706067333</v>
          </cell>
          <cell r="F78">
            <v>65.091569719441793</v>
          </cell>
          <cell r="G78">
            <v>64.326948410685389</v>
          </cell>
          <cell r="H78">
            <v>65.184887114889449</v>
          </cell>
          <cell r="I78">
            <v>228</v>
          </cell>
          <cell r="J78">
            <v>9.5</v>
          </cell>
          <cell r="K78">
            <v>415</v>
          </cell>
          <cell r="N78">
            <v>1887370</v>
          </cell>
          <cell r="O78">
            <v>0.79</v>
          </cell>
          <cell r="P78">
            <v>3313</v>
          </cell>
          <cell r="Q78">
            <v>1.38</v>
          </cell>
        </row>
        <row r="79">
          <cell r="A79">
            <v>16</v>
          </cell>
          <cell r="B79" t="str">
            <v>Thermal  Auxiliary Consumption   Total</v>
          </cell>
          <cell r="C79" t="str">
            <v>MU</v>
          </cell>
          <cell r="D79">
            <v>1650.79</v>
          </cell>
          <cell r="E79">
            <v>1766.22</v>
          </cell>
          <cell r="F79">
            <v>1783.99</v>
          </cell>
          <cell r="G79">
            <v>1952.78</v>
          </cell>
          <cell r="H79">
            <v>1982.05</v>
          </cell>
          <cell r="I79">
            <v>216.61</v>
          </cell>
          <cell r="J79">
            <v>10.01</v>
          </cell>
          <cell r="K79">
            <v>410</v>
          </cell>
          <cell r="N79">
            <v>1588622</v>
          </cell>
          <cell r="O79">
            <v>0.73399999999999999</v>
          </cell>
          <cell r="P79">
            <v>3183</v>
          </cell>
          <cell r="Q79">
            <v>1.47</v>
          </cell>
        </row>
        <row r="80">
          <cell r="A80">
            <v>17</v>
          </cell>
          <cell r="B80" t="str">
            <v>Thermal  Auxiliary Consumption   Percentage</v>
          </cell>
          <cell r="C80" t="str">
            <v>%</v>
          </cell>
          <cell r="D80">
            <v>9.7871164767590138</v>
          </cell>
          <cell r="E80">
            <v>9.8305197949539984</v>
          </cell>
          <cell r="F80">
            <v>9.66</v>
          </cell>
          <cell r="G80">
            <v>9.69</v>
          </cell>
          <cell r="H80">
            <v>9.7100000000000009</v>
          </cell>
          <cell r="I80">
            <v>231.71300000000002</v>
          </cell>
          <cell r="J80">
            <v>9.9581279052691585</v>
          </cell>
          <cell r="K80">
            <v>420</v>
          </cell>
          <cell r="L80">
            <v>0</v>
          </cell>
          <cell r="M80">
            <v>0</v>
          </cell>
          <cell r="N80">
            <v>1707942.6</v>
          </cell>
          <cell r="O80">
            <v>0.73290785349787269</v>
          </cell>
          <cell r="P80">
            <v>4898.6000000000004</v>
          </cell>
          <cell r="Q80">
            <v>2.1369100344063381</v>
          </cell>
        </row>
        <row r="81">
          <cell r="A81">
            <v>18</v>
          </cell>
          <cell r="B81" t="str">
            <v>Cost of  Fuels  per  Kwh  sent out</v>
          </cell>
          <cell r="C81" t="str">
            <v>Paise</v>
          </cell>
          <cell r="D81">
            <v>75.163838755850691</v>
          </cell>
          <cell r="E81">
            <v>73.515373001293781</v>
          </cell>
          <cell r="F81">
            <v>72.050275657082594</v>
          </cell>
          <cell r="G81">
            <v>71.231359969747686</v>
          </cell>
          <cell r="H81">
            <v>72.193720082196648</v>
          </cell>
          <cell r="I81">
            <v>0</v>
          </cell>
          <cell r="J81">
            <v>0</v>
          </cell>
          <cell r="K81" t="str">
            <v xml:space="preserve"> </v>
          </cell>
          <cell r="L81" t="str">
            <v xml:space="preserve"> </v>
          </cell>
          <cell r="M81" t="str">
            <v xml:space="preserve"> </v>
          </cell>
          <cell r="N81">
            <v>2885155</v>
          </cell>
          <cell r="O81">
            <v>0.79682804904993376</v>
          </cell>
          <cell r="P81">
            <v>19512</v>
          </cell>
          <cell r="Q81">
            <v>5.388864339372514</v>
          </cell>
        </row>
        <row r="82">
          <cell r="A82" t="str">
            <v>Note :-</v>
          </cell>
          <cell r="B82" t="str">
            <v>89-90</v>
          </cell>
          <cell r="C82">
            <v>840</v>
          </cell>
          <cell r="D82">
            <v>3560</v>
          </cell>
          <cell r="E82">
            <v>4053.42</v>
          </cell>
          <cell r="F82">
            <v>113.86011235955056</v>
          </cell>
          <cell r="G82">
            <v>63.195</v>
          </cell>
          <cell r="H82">
            <v>55.085616438356162</v>
          </cell>
          <cell r="I82">
            <v>354</v>
          </cell>
          <cell r="J82">
            <v>8.7333658984265146</v>
          </cell>
          <cell r="K82" t="str">
            <v xml:space="preserve"> </v>
          </cell>
          <cell r="L82">
            <v>159088</v>
          </cell>
          <cell r="M82">
            <v>3250742</v>
          </cell>
          <cell r="N82">
            <v>3102469</v>
          </cell>
          <cell r="O82">
            <v>0.76539539450636751</v>
          </cell>
          <cell r="P82">
            <v>16389</v>
          </cell>
          <cell r="Q82">
            <v>4.0432523646698346</v>
          </cell>
        </row>
        <row r="83">
          <cell r="A83">
            <v>1</v>
          </cell>
          <cell r="B83" t="str">
            <v>In 1994-95 &amp;1999-2000specific oil consumption is more due to stablisation of both units of Sanjay Gandhi thermal Power Station.</v>
          </cell>
          <cell r="C83">
            <v>840</v>
          </cell>
          <cell r="D83">
            <v>4400</v>
          </cell>
          <cell r="E83">
            <v>5060.96</v>
          </cell>
          <cell r="F83">
            <v>115.02181818181818</v>
          </cell>
          <cell r="G83">
            <v>81.45</v>
          </cell>
          <cell r="H83">
            <v>68.777995216351385</v>
          </cell>
          <cell r="I83">
            <v>473.01</v>
          </cell>
          <cell r="J83">
            <v>9.3462505137365248</v>
          </cell>
          <cell r="K83" t="str">
            <v xml:space="preserve"> </v>
          </cell>
          <cell r="L83">
            <v>313023</v>
          </cell>
          <cell r="M83">
            <v>3289767</v>
          </cell>
          <cell r="N83">
            <v>3582839</v>
          </cell>
          <cell r="O83">
            <v>0.7079366365274572</v>
          </cell>
          <cell r="P83">
            <v>19299</v>
          </cell>
          <cell r="Q83">
            <v>3.8133081470709116</v>
          </cell>
        </row>
        <row r="84">
          <cell r="A84">
            <v>2</v>
          </cell>
          <cell r="B84" t="str">
            <v xml:space="preserve"> Heavy and unprcedented rains all over resulting in wet coal problems in thermal stations.</v>
          </cell>
          <cell r="C84">
            <v>840</v>
          </cell>
          <cell r="D84">
            <v>4400</v>
          </cell>
          <cell r="E84">
            <v>4649.3999999999996</v>
          </cell>
          <cell r="F84" t="str">
            <v xml:space="preserve"> </v>
          </cell>
          <cell r="G84">
            <v>78.054999999999993</v>
          </cell>
          <cell r="H84">
            <v>63.012295081967203</v>
          </cell>
          <cell r="I84">
            <v>444.15999999999997</v>
          </cell>
          <cell r="J84">
            <v>9.5530606099711797</v>
          </cell>
          <cell r="K84" t="str">
            <v xml:space="preserve"> </v>
          </cell>
          <cell r="L84">
            <v>123702</v>
          </cell>
          <cell r="M84">
            <v>3358189</v>
          </cell>
          <cell r="N84">
            <v>3468442</v>
          </cell>
          <cell r="O84">
            <v>0.74599776315223465</v>
          </cell>
          <cell r="P84">
            <v>25027</v>
          </cell>
          <cell r="Q84">
            <v>5.3828450982922531</v>
          </cell>
        </row>
        <row r="85">
          <cell r="A85">
            <v>3</v>
          </cell>
          <cell r="B85" t="str">
            <v>Considering SGTPS # 1 wef :  01.01.95  , # 2 wef : 01.04.95 ,.# 3 w.e.f : 01.09.99&amp; # 4 w.e.f : 01.04.2000.</v>
          </cell>
          <cell r="C85">
            <v>840</v>
          </cell>
          <cell r="D85">
            <v>4800</v>
          </cell>
          <cell r="E85">
            <v>4853.41</v>
          </cell>
          <cell r="F85">
            <v>101.11270833333333</v>
          </cell>
          <cell r="G85">
            <v>79.78</v>
          </cell>
          <cell r="H85">
            <v>65.957409219395515</v>
          </cell>
          <cell r="I85">
            <v>454.39</v>
          </cell>
          <cell r="J85">
            <v>9.3622834254678668</v>
          </cell>
          <cell r="K85" t="str">
            <v xml:space="preserve"> </v>
          </cell>
          <cell r="L85">
            <v>99032</v>
          </cell>
          <cell r="M85">
            <v>3326019</v>
          </cell>
          <cell r="N85">
            <v>3418029</v>
          </cell>
          <cell r="O85">
            <v>0.70425309215582443</v>
          </cell>
          <cell r="P85">
            <v>25049</v>
          </cell>
          <cell r="Q85">
            <v>5.1611135263659982</v>
          </cell>
        </row>
        <row r="86">
          <cell r="A86">
            <v>4</v>
          </cell>
          <cell r="B86" t="str">
            <v>Considering  Cost of Coal &amp; Fuel oil same for all the  years for comparision purpose .                                         .</v>
          </cell>
          <cell r="C86">
            <v>840</v>
          </cell>
          <cell r="D86">
            <v>5000</v>
          </cell>
          <cell r="E86" t="str">
            <v xml:space="preserve"> </v>
          </cell>
          <cell r="F86">
            <v>98.800600000000017</v>
          </cell>
          <cell r="G86">
            <v>80.135999999999996</v>
          </cell>
          <cell r="H86">
            <v>67.134567297238533</v>
          </cell>
          <cell r="I86">
            <v>495.423</v>
          </cell>
          <cell r="J86">
            <v>10.028744764707906</v>
          </cell>
          <cell r="K86">
            <v>865</v>
          </cell>
          <cell r="L86">
            <v>248312</v>
          </cell>
          <cell r="M86">
            <v>3304685</v>
          </cell>
          <cell r="N86">
            <v>3429131</v>
          </cell>
          <cell r="O86">
            <v>0.69415185737738416</v>
          </cell>
          <cell r="P86">
            <v>22823.625</v>
          </cell>
          <cell r="Q86">
            <v>4.6201389465246159</v>
          </cell>
        </row>
        <row r="87">
          <cell r="A87">
            <v>5</v>
          </cell>
          <cell r="B87" t="str">
            <v>Totals  may  not  tally  due  to  rounding  off.</v>
          </cell>
          <cell r="C87">
            <v>840</v>
          </cell>
          <cell r="D87">
            <v>5000</v>
          </cell>
          <cell r="E87">
            <v>4455</v>
          </cell>
          <cell r="F87">
            <v>89.1</v>
          </cell>
          <cell r="G87">
            <v>72.3</v>
          </cell>
          <cell r="H87">
            <v>60.543052837573384</v>
          </cell>
          <cell r="I87">
            <v>460</v>
          </cell>
          <cell r="J87">
            <v>10.325476992143658</v>
          </cell>
          <cell r="K87">
            <v>840</v>
          </cell>
          <cell r="L87">
            <v>152721</v>
          </cell>
          <cell r="M87">
            <v>3059426</v>
          </cell>
          <cell r="N87">
            <v>2990505</v>
          </cell>
          <cell r="O87">
            <v>0.67126936026936024</v>
          </cell>
          <cell r="P87">
            <v>21509</v>
          </cell>
          <cell r="Q87">
            <v>4.8280583613916948</v>
          </cell>
        </row>
        <row r="88">
          <cell r="B88" t="str">
            <v>95-96</v>
          </cell>
          <cell r="C88">
            <v>840</v>
          </cell>
          <cell r="D88">
            <v>5050</v>
          </cell>
          <cell r="E88">
            <v>4660.8</v>
          </cell>
          <cell r="F88">
            <v>92.29306930693069</v>
          </cell>
          <cell r="G88">
            <v>73</v>
          </cell>
          <cell r="H88">
            <v>63.16679677335415</v>
          </cell>
          <cell r="I88">
            <v>467.8</v>
          </cell>
          <cell r="J88">
            <v>10.03690353587367</v>
          </cell>
          <cell r="K88">
            <v>840</v>
          </cell>
          <cell r="L88">
            <v>281544</v>
          </cell>
          <cell r="M88">
            <v>3036370</v>
          </cell>
          <cell r="N88">
            <v>3184503</v>
          </cell>
          <cell r="O88">
            <v>0.68325244593202883</v>
          </cell>
          <cell r="P88">
            <v>15143</v>
          </cell>
          <cell r="Q88">
            <v>3.2490130449708206</v>
          </cell>
        </row>
        <row r="89">
          <cell r="A89" t="str">
            <v>EXECUTIVE SUMMARY</v>
          </cell>
          <cell r="B89" t="str">
            <v>96-97</v>
          </cell>
          <cell r="C89">
            <v>840</v>
          </cell>
          <cell r="D89">
            <v>5100</v>
          </cell>
          <cell r="E89">
            <v>4913.1000000000004</v>
          </cell>
          <cell r="F89">
            <v>96.335294117647067</v>
          </cell>
          <cell r="G89">
            <v>76.599999999999994</v>
          </cell>
          <cell r="H89">
            <v>66.768590998043067</v>
          </cell>
          <cell r="I89">
            <v>471.9</v>
          </cell>
          <cell r="J89">
            <v>9.6049337485497954</v>
          </cell>
          <cell r="K89">
            <v>840</v>
          </cell>
          <cell r="L89">
            <v>134441</v>
          </cell>
          <cell r="M89">
            <v>3393898</v>
          </cell>
          <cell r="N89">
            <v>3341407</v>
          </cell>
          <cell r="O89">
            <v>0.68010156520323217</v>
          </cell>
          <cell r="P89">
            <v>17432</v>
          </cell>
          <cell r="Q89">
            <v>3.548065376239034</v>
          </cell>
        </row>
        <row r="90">
          <cell r="A90" t="str">
            <v>91-92 to 95-96</v>
          </cell>
          <cell r="B90" t="str">
            <v>97-98</v>
          </cell>
          <cell r="C90">
            <v>840</v>
          </cell>
          <cell r="D90">
            <v>5100</v>
          </cell>
          <cell r="E90">
            <v>5031.22</v>
          </cell>
          <cell r="F90">
            <v>98.651372549019612</v>
          </cell>
          <cell r="G90">
            <v>76.599999999999994</v>
          </cell>
          <cell r="H90">
            <v>68.373831267666887</v>
          </cell>
          <cell r="I90">
            <v>496.51</v>
          </cell>
          <cell r="J90">
            <v>9.8685805828407425</v>
          </cell>
          <cell r="K90">
            <v>870</v>
          </cell>
          <cell r="L90">
            <v>225761</v>
          </cell>
          <cell r="M90">
            <v>3512855</v>
          </cell>
          <cell r="N90">
            <v>3485001</v>
          </cell>
          <cell r="O90">
            <v>0.69267513644801859</v>
          </cell>
          <cell r="P90">
            <v>12153</v>
          </cell>
          <cell r="Q90">
            <v>2.415517508675828</v>
          </cell>
        </row>
        <row r="91">
          <cell r="A91" t="str">
            <v xml:space="preserve"> HYDEL GENETRATION</v>
          </cell>
          <cell r="B91" t="str">
            <v>98-99</v>
          </cell>
          <cell r="C91">
            <v>840</v>
          </cell>
          <cell r="D91">
            <v>5200</v>
          </cell>
          <cell r="E91">
            <v>5318.17</v>
          </cell>
          <cell r="F91">
            <v>102.27249999999999</v>
          </cell>
          <cell r="G91">
            <v>76.599999999999994</v>
          </cell>
          <cell r="H91">
            <v>72.273456186127419</v>
          </cell>
          <cell r="I91">
            <v>531.6</v>
          </cell>
          <cell r="J91">
            <v>9.9959196490522118</v>
          </cell>
          <cell r="K91">
            <v>840</v>
          </cell>
          <cell r="L91">
            <v>189000</v>
          </cell>
          <cell r="M91">
            <v>4085508</v>
          </cell>
          <cell r="N91">
            <v>4055349</v>
          </cell>
          <cell r="O91">
            <v>0.7625459509568141</v>
          </cell>
          <cell r="P91">
            <v>8875</v>
          </cell>
          <cell r="Q91">
            <v>1.6688071272637015</v>
          </cell>
        </row>
        <row r="92">
          <cell r="A92" t="str">
            <v xml:space="preserve"> </v>
          </cell>
          <cell r="B92" t="str">
            <v>P A R T I C U L A R S</v>
          </cell>
          <cell r="C92">
            <v>840</v>
          </cell>
          <cell r="D92" t="str">
            <v>91-92</v>
          </cell>
          <cell r="E92" t="str">
            <v>92-93</v>
          </cell>
          <cell r="F92" t="str">
            <v>93-94</v>
          </cell>
          <cell r="G92" t="str">
            <v>94-95</v>
          </cell>
          <cell r="H92" t="str">
            <v xml:space="preserve">95-96 </v>
          </cell>
          <cell r="I92">
            <v>488.7</v>
          </cell>
          <cell r="J92">
            <v>9.7391339006357249</v>
          </cell>
          <cell r="K92">
            <v>815</v>
          </cell>
          <cell r="L92">
            <v>77595</v>
          </cell>
          <cell r="M92">
            <v>4123724</v>
          </cell>
          <cell r="N92">
            <v>3941909</v>
          </cell>
          <cell r="O92">
            <v>0.79</v>
          </cell>
          <cell r="P92">
            <v>7229</v>
          </cell>
          <cell r="Q92">
            <v>1.4406424998505352</v>
          </cell>
        </row>
        <row r="93">
          <cell r="A93">
            <v>1</v>
          </cell>
          <cell r="B93" t="str">
            <v>Hydel Generation(G'sagar+Pench+Bargi+Tons+ B'pur+HB))</v>
          </cell>
          <cell r="C93" t="str">
            <v>MU</v>
          </cell>
          <cell r="D93">
            <v>1324.15</v>
          </cell>
          <cell r="E93">
            <v>1295.48</v>
          </cell>
          <cell r="F93">
            <v>1589.68</v>
          </cell>
          <cell r="G93">
            <v>2280.4742339999998</v>
          </cell>
          <cell r="H93">
            <v>2141.34</v>
          </cell>
          <cell r="I93">
            <v>484.36</v>
          </cell>
          <cell r="J93">
            <v>9.773578890231871</v>
          </cell>
          <cell r="K93">
            <v>820</v>
          </cell>
          <cell r="L93">
            <v>259409</v>
          </cell>
          <cell r="M93">
            <v>3227819</v>
          </cell>
          <cell r="N93">
            <v>3644838</v>
          </cell>
          <cell r="O93">
            <v>0.73499999999999999</v>
          </cell>
          <cell r="P93">
            <v>6706</v>
          </cell>
          <cell r="Q93">
            <v>1.35</v>
          </cell>
        </row>
        <row r="94">
          <cell r="A94">
            <v>2</v>
          </cell>
          <cell r="B94" t="str">
            <v xml:space="preserve">Target (PLAN )   </v>
          </cell>
          <cell r="C94" t="str">
            <v>MU</v>
          </cell>
          <cell r="D94">
            <v>1771</v>
          </cell>
          <cell r="E94">
            <v>1870</v>
          </cell>
          <cell r="F94">
            <v>1870</v>
          </cell>
          <cell r="G94">
            <v>1965</v>
          </cell>
          <cell r="H94">
            <v>2035</v>
          </cell>
          <cell r="I94">
            <v>494.61400000000003</v>
          </cell>
          <cell r="J94">
            <v>9.7964293542620702</v>
          </cell>
          <cell r="K94">
            <v>837</v>
          </cell>
          <cell r="L94">
            <v>177241.2</v>
          </cell>
          <cell r="M94">
            <v>3668760.8</v>
          </cell>
          <cell r="N94">
            <v>3693700.8</v>
          </cell>
          <cell r="O94">
            <v>0.73206453052161291</v>
          </cell>
          <cell r="P94">
            <v>10479</v>
          </cell>
          <cell r="Q94">
            <v>2.0846065024058196</v>
          </cell>
        </row>
        <row r="95">
          <cell r="A95">
            <v>3</v>
          </cell>
          <cell r="B95" t="str">
            <v>ACHIEVEMENT Percentage of ( 2 )</v>
          </cell>
          <cell r="C95" t="str">
            <v>%</v>
          </cell>
          <cell r="D95">
            <v>74.768492377188025</v>
          </cell>
          <cell r="E95">
            <v>69.277005347593587</v>
          </cell>
          <cell r="F95">
            <v>85.009625668449203</v>
          </cell>
          <cell r="G95">
            <v>116.05466839694657</v>
          </cell>
          <cell r="H95">
            <v>105.23</v>
          </cell>
        </row>
        <row r="96">
          <cell r="A96">
            <v>4</v>
          </cell>
          <cell r="B96" t="str">
            <v>Hydel Generation M.P.Share</v>
          </cell>
          <cell r="C96" t="str">
            <v>MU</v>
          </cell>
          <cell r="D96">
            <v>1498.64</v>
          </cell>
          <cell r="E96">
            <v>1511.19</v>
          </cell>
          <cell r="F96">
            <v>1658.26</v>
          </cell>
          <cell r="G96">
            <v>2415.3094620000002</v>
          </cell>
          <cell r="H96">
            <v>2253.15</v>
          </cell>
        </row>
        <row r="97">
          <cell r="A97">
            <v>5</v>
          </cell>
          <cell r="B97" t="str">
            <v xml:space="preserve">Target (PLAN )   </v>
          </cell>
          <cell r="C97" t="str">
            <v>MU</v>
          </cell>
          <cell r="D97">
            <v>1846</v>
          </cell>
          <cell r="E97">
            <v>1938</v>
          </cell>
          <cell r="F97">
            <v>1990</v>
          </cell>
          <cell r="G97">
            <v>1999.9666666666667</v>
          </cell>
          <cell r="H97">
            <v>2059.33</v>
          </cell>
          <cell r="I97" t="str">
            <v>AUXILIARY CONSUMPTION</v>
          </cell>
          <cell r="K97" t="str">
            <v>MAXIMUM DEMAND</v>
          </cell>
          <cell r="L97" t="str">
            <v>COAL IN MT</v>
          </cell>
          <cell r="N97" t="str">
            <v>COAL CONSUMED</v>
          </cell>
          <cell r="P97" t="str">
            <v>FUEL OIL CONSUMPTION</v>
          </cell>
        </row>
        <row r="98">
          <cell r="A98">
            <v>6</v>
          </cell>
          <cell r="B98" t="str">
            <v>ACHIEVEMENT Percentage of ( 5 )</v>
          </cell>
          <cell r="C98" t="str">
            <v>%</v>
          </cell>
          <cell r="D98">
            <v>81.183098591549296</v>
          </cell>
          <cell r="E98">
            <v>77.976780185758514</v>
          </cell>
          <cell r="F98">
            <v>83.32964824120603</v>
          </cell>
          <cell r="G98">
            <v>120.76748589143152</v>
          </cell>
          <cell r="H98">
            <v>109.41</v>
          </cell>
          <cell r="I98" t="str">
            <v>MKwh</v>
          </cell>
          <cell r="J98" t="str">
            <v>%</v>
          </cell>
          <cell r="K98" t="str">
            <v>MW</v>
          </cell>
          <cell r="L98" t="str">
            <v>OP.STOCK</v>
          </cell>
          <cell r="M98" t="str">
            <v>RECIEPT</v>
          </cell>
          <cell r="N98" t="str">
            <v>MT</v>
          </cell>
          <cell r="O98" t="str">
            <v>Kg/kWH</v>
          </cell>
          <cell r="P98" t="str">
            <v>KL</v>
          </cell>
          <cell r="Q98" t="str">
            <v>ml/KWH</v>
          </cell>
        </row>
        <row r="99">
          <cell r="A99">
            <v>7</v>
          </cell>
          <cell r="B99" t="str">
            <v xml:space="preserve">Reservoir Level at the end </v>
          </cell>
          <cell r="C99">
            <v>60</v>
          </cell>
          <cell r="D99">
            <v>300</v>
          </cell>
          <cell r="E99">
            <v>375.32</v>
          </cell>
          <cell r="F99">
            <v>125.10666666666667</v>
          </cell>
          <cell r="G99">
            <v>87.49</v>
          </cell>
          <cell r="H99">
            <v>71.407914764079152</v>
          </cell>
          <cell r="I99" t="str">
            <v xml:space="preserve"> </v>
          </cell>
          <cell r="J99">
            <v>0</v>
          </cell>
          <cell r="K99">
            <v>61</v>
          </cell>
          <cell r="N99">
            <v>252980</v>
          </cell>
          <cell r="O99">
            <v>0.6740381541084941</v>
          </cell>
          <cell r="P99">
            <v>2143</v>
          </cell>
          <cell r="Q99">
            <v>5.7097943088564422</v>
          </cell>
        </row>
        <row r="100">
          <cell r="A100" t="str">
            <v>a</v>
          </cell>
          <cell r="B100" t="str">
            <v>GANDHISAGAR     MDDL   1250.00 Ft</v>
          </cell>
          <cell r="C100" t="str">
            <v>FT</v>
          </cell>
          <cell r="D100">
            <v>1284.51</v>
          </cell>
          <cell r="E100">
            <v>1253.47</v>
          </cell>
          <cell r="F100">
            <v>1250.8900000000001</v>
          </cell>
          <cell r="G100">
            <v>1295.67</v>
          </cell>
          <cell r="H100">
            <v>1288.95</v>
          </cell>
          <cell r="I100" t="str">
            <v xml:space="preserve"> </v>
          </cell>
          <cell r="J100">
            <v>0</v>
          </cell>
          <cell r="K100">
            <v>60</v>
          </cell>
          <cell r="N100">
            <v>241459</v>
          </cell>
          <cell r="O100">
            <v>0.69326997616928421</v>
          </cell>
          <cell r="P100">
            <v>3121</v>
          </cell>
          <cell r="Q100">
            <v>8.9609233684573191</v>
          </cell>
        </row>
        <row r="101">
          <cell r="A101" t="str">
            <v xml:space="preserve"> </v>
          </cell>
          <cell r="B101" t="str">
            <v>Energy   Contents   in   MKwh</v>
          </cell>
          <cell r="C101" t="str">
            <v>MU</v>
          </cell>
          <cell r="D101">
            <v>245</v>
          </cell>
          <cell r="E101">
            <v>14.5</v>
          </cell>
          <cell r="F101">
            <v>3.56</v>
          </cell>
          <cell r="G101">
            <v>408.4</v>
          </cell>
          <cell r="H101">
            <v>310</v>
          </cell>
          <cell r="I101">
            <v>21.16</v>
          </cell>
          <cell r="J101">
            <v>9.9557730309588788</v>
          </cell>
          <cell r="K101">
            <v>58</v>
          </cell>
          <cell r="N101">
            <v>159372</v>
          </cell>
          <cell r="O101">
            <v>0.74984473510868543</v>
          </cell>
          <cell r="P101">
            <v>5292</v>
          </cell>
          <cell r="Q101">
            <v>24.898842570810203</v>
          </cell>
        </row>
        <row r="102">
          <cell r="A102" t="str">
            <v>b</v>
          </cell>
          <cell r="B102" t="str">
            <v>PENCH           MDDL    464.50 M</v>
          </cell>
          <cell r="C102" t="str">
            <v>M</v>
          </cell>
          <cell r="D102">
            <v>464.42</v>
          </cell>
          <cell r="E102">
            <v>474.87</v>
          </cell>
          <cell r="F102">
            <v>483.64</v>
          </cell>
          <cell r="G102">
            <v>482.5</v>
          </cell>
          <cell r="H102">
            <v>472.9</v>
          </cell>
          <cell r="I102">
            <v>17.46</v>
          </cell>
          <cell r="J102">
            <v>10.477676428228518</v>
          </cell>
          <cell r="K102">
            <v>30</v>
          </cell>
          <cell r="N102">
            <v>126486</v>
          </cell>
          <cell r="O102">
            <v>0.75903744599135858</v>
          </cell>
          <cell r="P102">
            <v>1923</v>
          </cell>
          <cell r="Q102">
            <v>11.539846375420067</v>
          </cell>
        </row>
        <row r="103">
          <cell r="A103" t="str">
            <v xml:space="preserve"> </v>
          </cell>
          <cell r="B103" t="str">
            <v>Energy   Contents   in   MKwh</v>
          </cell>
          <cell r="C103" t="str">
            <v>MU</v>
          </cell>
          <cell r="D103">
            <v>2.5</v>
          </cell>
          <cell r="E103">
            <v>83</v>
          </cell>
          <cell r="F103">
            <v>222.16</v>
          </cell>
          <cell r="G103">
            <v>202</v>
          </cell>
          <cell r="H103">
            <v>63</v>
          </cell>
          <cell r="I103">
            <v>29.54</v>
          </cell>
          <cell r="J103">
            <v>10.371826831923036</v>
          </cell>
          <cell r="K103">
            <v>50</v>
          </cell>
          <cell r="N103">
            <v>205036</v>
          </cell>
          <cell r="O103">
            <v>0.71990449773533227</v>
          </cell>
          <cell r="P103">
            <v>3864</v>
          </cell>
          <cell r="Q103">
            <v>13.566939363084161</v>
          </cell>
        </row>
        <row r="104">
          <cell r="A104" t="str">
            <v>c</v>
          </cell>
          <cell r="B104" t="str">
            <v>BARGI           MDDL    403.50 M</v>
          </cell>
          <cell r="C104" t="str">
            <v>M</v>
          </cell>
          <cell r="D104">
            <v>409</v>
          </cell>
          <cell r="E104">
            <v>414.4</v>
          </cell>
          <cell r="F104">
            <v>413.55</v>
          </cell>
          <cell r="G104">
            <v>418.15</v>
          </cell>
          <cell r="H104">
            <v>411.8</v>
          </cell>
          <cell r="I104">
            <v>32.345314999999999</v>
          </cell>
          <cell r="J104">
            <v>10.614452513544823</v>
          </cell>
          <cell r="K104">
            <v>50</v>
          </cell>
          <cell r="N104">
            <v>211815.05</v>
          </cell>
          <cell r="O104">
            <v>0.69509318115440277</v>
          </cell>
          <cell r="P104">
            <v>3308.25</v>
          </cell>
          <cell r="Q104">
            <v>10.856367460924297</v>
          </cell>
        </row>
        <row r="105">
          <cell r="A105" t="str">
            <v xml:space="preserve"> </v>
          </cell>
          <cell r="B105" t="str">
            <v>Energy   Contents   in   MKwh</v>
          </cell>
          <cell r="C105" t="str">
            <v>MU</v>
          </cell>
          <cell r="D105">
            <v>44</v>
          </cell>
          <cell r="E105">
            <v>113</v>
          </cell>
          <cell r="F105">
            <v>100.15</v>
          </cell>
          <cell r="G105">
            <v>192.75</v>
          </cell>
          <cell r="H105">
            <v>77</v>
          </cell>
          <cell r="I105">
            <v>31.2</v>
          </cell>
          <cell r="J105">
            <v>10.249671484888305</v>
          </cell>
          <cell r="K105">
            <v>50</v>
          </cell>
          <cell r="N105">
            <v>214826</v>
          </cell>
          <cell r="O105">
            <v>0.70573587385019709</v>
          </cell>
          <cell r="P105">
            <v>5006</v>
          </cell>
          <cell r="Q105">
            <v>16.445466491458607</v>
          </cell>
        </row>
        <row r="106">
          <cell r="A106" t="str">
            <v>d</v>
          </cell>
          <cell r="B106" t="str">
            <v>TONS            MDDL    275.00 M</v>
          </cell>
          <cell r="C106" t="str">
            <v>M</v>
          </cell>
          <cell r="D106">
            <v>300</v>
          </cell>
          <cell r="E106">
            <v>294.39999999999998</v>
          </cell>
          <cell r="F106">
            <v>277.10000000000002</v>
          </cell>
          <cell r="G106">
            <v>277.3</v>
          </cell>
          <cell r="H106">
            <v>277.3</v>
          </cell>
          <cell r="I106">
            <v>32.299999999999997</v>
          </cell>
          <cell r="J106">
            <v>10.971467391304348</v>
          </cell>
          <cell r="K106">
            <v>50</v>
          </cell>
          <cell r="N106">
            <v>204359</v>
          </cell>
          <cell r="O106">
            <v>0.69415421195652172</v>
          </cell>
          <cell r="P106">
            <v>2743</v>
          </cell>
          <cell r="Q106">
            <v>9.3172554347826093</v>
          </cell>
        </row>
        <row r="107">
          <cell r="A107" t="str">
            <v xml:space="preserve"> </v>
          </cell>
          <cell r="B107" t="str">
            <v>Energy   Contents   in   MKwh</v>
          </cell>
          <cell r="C107" t="str">
            <v>MU</v>
          </cell>
          <cell r="D107">
            <v>300</v>
          </cell>
          <cell r="E107">
            <v>258.89999999999998</v>
          </cell>
          <cell r="F107">
            <v>1.1279999999999999</v>
          </cell>
          <cell r="G107">
            <v>0</v>
          </cell>
          <cell r="H107">
            <v>0</v>
          </cell>
          <cell r="I107">
            <v>29</v>
          </cell>
          <cell r="J107">
            <v>11.201235998455003</v>
          </cell>
          <cell r="K107">
            <v>49</v>
          </cell>
          <cell r="N107">
            <v>177922</v>
          </cell>
          <cell r="O107">
            <v>0.68722286597141757</v>
          </cell>
          <cell r="P107">
            <v>2063</v>
          </cell>
          <cell r="Q107">
            <v>7.9683275395905762</v>
          </cell>
        </row>
        <row r="108">
          <cell r="A108" t="str">
            <v>e</v>
          </cell>
          <cell r="B108" t="str">
            <v>BIRSINGHPUR     MDDL    471.00 M</v>
          </cell>
          <cell r="C108" t="str">
            <v>M</v>
          </cell>
          <cell r="D108">
            <v>300</v>
          </cell>
          <cell r="E108">
            <v>251.97</v>
          </cell>
          <cell r="F108">
            <v>475.97</v>
          </cell>
          <cell r="G108">
            <v>475.1</v>
          </cell>
          <cell r="H108">
            <v>475.34</v>
          </cell>
          <cell r="I108">
            <v>30.628</v>
          </cell>
          <cell r="J108">
            <v>12.155415327221496</v>
          </cell>
          <cell r="K108">
            <v>50</v>
          </cell>
          <cell r="N108">
            <v>174156</v>
          </cell>
          <cell r="O108">
            <v>0.69117752113346831</v>
          </cell>
          <cell r="P108">
            <v>2350</v>
          </cell>
          <cell r="Q108">
            <v>9.3265071238639514</v>
          </cell>
        </row>
        <row r="109">
          <cell r="A109" t="str">
            <v xml:space="preserve"> </v>
          </cell>
          <cell r="B109" t="str">
            <v>Energy   Contents   in   MKwh</v>
          </cell>
          <cell r="C109" t="str">
            <v>MU</v>
          </cell>
          <cell r="D109">
            <v>300</v>
          </cell>
          <cell r="E109">
            <v>202.17</v>
          </cell>
          <cell r="F109">
            <v>4.7477</v>
          </cell>
          <cell r="G109">
            <v>4.5209999999999999</v>
          </cell>
          <cell r="H109">
            <v>4.5</v>
          </cell>
          <cell r="I109">
            <v>25.5</v>
          </cell>
          <cell r="J109">
            <v>12.613147351239057</v>
          </cell>
          <cell r="K109">
            <v>49</v>
          </cell>
          <cell r="N109">
            <v>135455</v>
          </cell>
          <cell r="O109">
            <v>0.67000544096552406</v>
          </cell>
          <cell r="P109">
            <v>2779</v>
          </cell>
          <cell r="Q109">
            <v>13.745857446703271</v>
          </cell>
        </row>
        <row r="110">
          <cell r="A110" t="str">
            <v>f</v>
          </cell>
          <cell r="B110" t="str">
            <v>HASDEO-BANGO    MDDL    329.79 M</v>
          </cell>
          <cell r="C110" t="str">
            <v>M</v>
          </cell>
          <cell r="D110">
            <v>250</v>
          </cell>
          <cell r="E110">
            <v>248.2</v>
          </cell>
          <cell r="F110" t="str">
            <v>N.A.</v>
          </cell>
          <cell r="G110">
            <v>353.12</v>
          </cell>
          <cell r="H110">
            <v>347.98</v>
          </cell>
          <cell r="I110">
            <v>29.3</v>
          </cell>
          <cell r="J110">
            <v>11.804995970991136</v>
          </cell>
          <cell r="K110">
            <v>50</v>
          </cell>
          <cell r="N110">
            <v>170257</v>
          </cell>
          <cell r="O110">
            <v>0.68596696212731667</v>
          </cell>
          <cell r="P110">
            <v>1599</v>
          </cell>
          <cell r="Q110">
            <v>6.4423851732473816</v>
          </cell>
        </row>
        <row r="111">
          <cell r="A111" t="str">
            <v xml:space="preserve"> </v>
          </cell>
          <cell r="B111" t="str">
            <v>Energy   Contents   in   MKwh</v>
          </cell>
          <cell r="C111" t="str">
            <v>MU</v>
          </cell>
          <cell r="D111">
            <v>250</v>
          </cell>
          <cell r="E111">
            <v>180.96</v>
          </cell>
          <cell r="F111" t="str">
            <v>-</v>
          </cell>
          <cell r="G111">
            <v>152.76295999999999</v>
          </cell>
          <cell r="H111">
            <v>94</v>
          </cell>
          <cell r="I111">
            <v>23.72</v>
          </cell>
          <cell r="J111">
            <v>13.1078691423519</v>
          </cell>
          <cell r="K111">
            <v>49</v>
          </cell>
          <cell r="N111">
            <v>131657</v>
          </cell>
          <cell r="O111">
            <v>0.72754752431476566</v>
          </cell>
          <cell r="P111">
            <v>2944</v>
          </cell>
          <cell r="Q111">
            <v>16.268788682581786</v>
          </cell>
        </row>
        <row r="112">
          <cell r="A112" t="str">
            <v>g</v>
          </cell>
          <cell r="B112" t="str">
            <v xml:space="preserve">RAJGHAT     MDDL    </v>
          </cell>
          <cell r="C112" t="str">
            <v>M</v>
          </cell>
          <cell r="D112">
            <v>280</v>
          </cell>
          <cell r="E112">
            <v>228.44</v>
          </cell>
          <cell r="F112" t="str">
            <v>N.A.</v>
          </cell>
          <cell r="G112">
            <v>353.12</v>
          </cell>
          <cell r="H112" t="str">
            <v xml:space="preserve"> </v>
          </cell>
          <cell r="I112">
            <v>27.6296</v>
          </cell>
          <cell r="J112">
            <v>12.176532758051719</v>
          </cell>
          <cell r="K112">
            <v>49.4</v>
          </cell>
          <cell r="N112">
            <v>157889.4</v>
          </cell>
          <cell r="O112">
            <v>0.69238406290249854</v>
          </cell>
          <cell r="P112">
            <v>2347</v>
          </cell>
          <cell r="Q112">
            <v>10.750373193197394</v>
          </cell>
        </row>
        <row r="113">
          <cell r="A113" t="str">
            <v xml:space="preserve"> </v>
          </cell>
          <cell r="B113" t="str">
            <v>Energy   Contents   in   MKwh</v>
          </cell>
          <cell r="C113" t="str">
            <v>MU</v>
          </cell>
          <cell r="D113">
            <v>1250</v>
          </cell>
          <cell r="E113">
            <v>1209.6600000000001</v>
          </cell>
          <cell r="F113" t="str">
            <v>-</v>
          </cell>
          <cell r="G113">
            <v>152.76295999999999</v>
          </cell>
          <cell r="H113" t="str">
            <v xml:space="preserve"> </v>
          </cell>
          <cell r="I113" t="str">
            <v xml:space="preserve"> </v>
          </cell>
          <cell r="J113">
            <v>0</v>
          </cell>
          <cell r="K113">
            <v>230</v>
          </cell>
          <cell r="N113">
            <v>908200</v>
          </cell>
          <cell r="O113">
            <v>0.75078947803515039</v>
          </cell>
          <cell r="P113">
            <v>9857</v>
          </cell>
          <cell r="Q113">
            <v>8.1485706727510205</v>
          </cell>
        </row>
        <row r="114">
          <cell r="A114" t="str">
            <v xml:space="preserve"> </v>
          </cell>
          <cell r="B114" t="str">
            <v>M.P.E.B. GENERATION  AS PER SHARE</v>
          </cell>
          <cell r="C114">
            <v>240</v>
          </cell>
          <cell r="D114">
            <v>1310</v>
          </cell>
          <cell r="E114">
            <v>988.66</v>
          </cell>
          <cell r="F114">
            <v>75.470229007633591</v>
          </cell>
          <cell r="G114">
            <v>69.31</v>
          </cell>
          <cell r="H114">
            <v>47.025304414003045</v>
          </cell>
          <cell r="I114">
            <v>103</v>
          </cell>
          <cell r="J114">
            <v>10.418141727186294</v>
          </cell>
          <cell r="K114">
            <v>200</v>
          </cell>
          <cell r="N114">
            <v>755851</v>
          </cell>
          <cell r="O114">
            <v>0.76452066433354238</v>
          </cell>
          <cell r="P114">
            <v>11664</v>
          </cell>
          <cell r="Q114">
            <v>11.797786903485527</v>
          </cell>
        </row>
        <row r="115">
          <cell r="A115">
            <v>1</v>
          </cell>
          <cell r="B115" t="str">
            <v>THERMAL  ( Excl. 40% Satpura I)</v>
          </cell>
          <cell r="C115" t="str">
            <v>MU</v>
          </cell>
          <cell r="D115">
            <v>11025.74</v>
          </cell>
          <cell r="E115">
            <v>11747.67</v>
          </cell>
          <cell r="F115">
            <v>12723.74</v>
          </cell>
          <cell r="G115">
            <v>14182.079879999999</v>
          </cell>
          <cell r="H115">
            <v>15345.74</v>
          </cell>
          <cell r="I115">
            <v>87.17</v>
          </cell>
          <cell r="J115">
            <v>11.014796750022112</v>
          </cell>
          <cell r="K115">
            <v>190</v>
          </cell>
          <cell r="N115">
            <v>643580</v>
          </cell>
          <cell r="O115">
            <v>0.81322735945614677</v>
          </cell>
          <cell r="P115">
            <v>10599</v>
          </cell>
          <cell r="Q115">
            <v>13.39289098927204</v>
          </cell>
        </row>
        <row r="116">
          <cell r="A116">
            <v>2</v>
          </cell>
          <cell r="B116" t="str">
            <v>HYDEL    ( Excl. 50 % Chambal &amp; 1/3 Pench )</v>
          </cell>
          <cell r="C116" t="str">
            <v>MU</v>
          </cell>
          <cell r="D116">
            <v>1498.64</v>
          </cell>
          <cell r="E116">
            <v>1511.49</v>
          </cell>
          <cell r="F116">
            <v>1658.26</v>
          </cell>
          <cell r="G116">
            <v>2415.3094620000002</v>
          </cell>
          <cell r="H116">
            <v>2253.15</v>
          </cell>
          <cell r="I116">
            <v>96.78</v>
          </cell>
          <cell r="J116">
            <v>10.727824949564368</v>
          </cell>
          <cell r="K116">
            <v>195</v>
          </cell>
          <cell r="N116">
            <v>744899</v>
          </cell>
          <cell r="O116">
            <v>0.82570221916775666</v>
          </cell>
          <cell r="P116">
            <v>13223</v>
          </cell>
          <cell r="Q116">
            <v>14.657370252954086</v>
          </cell>
        </row>
        <row r="117">
          <cell r="A117">
            <v>3</v>
          </cell>
          <cell r="B117" t="str">
            <v>TOTAL</v>
          </cell>
          <cell r="C117" t="str">
            <v>MU</v>
          </cell>
          <cell r="D117">
            <v>12524.38</v>
          </cell>
          <cell r="E117">
            <v>13259.16</v>
          </cell>
          <cell r="F117">
            <v>14382</v>
          </cell>
          <cell r="G117">
            <v>16597.389341999999</v>
          </cell>
          <cell r="H117">
            <v>17598.88</v>
          </cell>
          <cell r="I117">
            <v>106.47</v>
          </cell>
          <cell r="J117">
            <v>10.741091965618821</v>
          </cell>
          <cell r="K117">
            <v>211</v>
          </cell>
          <cell r="N117">
            <v>797288</v>
          </cell>
          <cell r="O117">
            <v>0.80433396553811387</v>
          </cell>
          <cell r="P117">
            <v>13294</v>
          </cell>
          <cell r="Q117">
            <v>13.411484605141036</v>
          </cell>
        </row>
        <row r="118">
          <cell r="A118" t="str">
            <v>Note :-</v>
          </cell>
          <cell r="B118" t="str">
            <v>1.Heavy and good rains resulted in more secondary generation in Hydel Stations in Year 1994-95</v>
          </cell>
          <cell r="C118">
            <v>240</v>
          </cell>
          <cell r="D118">
            <v>1120</v>
          </cell>
          <cell r="E118">
            <v>1070.5160000000001</v>
          </cell>
          <cell r="F118">
            <v>95.581785714285715</v>
          </cell>
          <cell r="G118">
            <v>70.069999999999993</v>
          </cell>
          <cell r="H118">
            <v>50.918759512937605</v>
          </cell>
          <cell r="I118">
            <v>104.467</v>
          </cell>
          <cell r="J118">
            <v>9.7585650284535674</v>
          </cell>
          <cell r="K118">
            <v>205</v>
          </cell>
          <cell r="N118">
            <v>783385.61</v>
          </cell>
          <cell r="O118">
            <v>0.73178318679963683</v>
          </cell>
          <cell r="P118">
            <v>10814.63</v>
          </cell>
          <cell r="Q118">
            <v>10.10225909748196</v>
          </cell>
        </row>
        <row r="119">
          <cell r="A119" t="str">
            <v>Note :-</v>
          </cell>
          <cell r="B119" t="str">
            <v>2.Intermittent rains practically every month resulted in building up level and non utilisation of water due to lack of demand in 1997-98.</v>
          </cell>
          <cell r="C119">
            <v>240</v>
          </cell>
          <cell r="D119">
            <v>1100</v>
          </cell>
          <cell r="E119">
            <v>1122.9000000000001</v>
          </cell>
          <cell r="F119">
            <v>102.08181818181819</v>
          </cell>
          <cell r="G119">
            <v>76.099999999999994</v>
          </cell>
          <cell r="H119">
            <v>53.410388127853885</v>
          </cell>
          <cell r="I119">
            <v>106.9</v>
          </cell>
          <cell r="J119">
            <v>9.5199928755899901</v>
          </cell>
          <cell r="K119">
            <v>225</v>
          </cell>
          <cell r="N119">
            <v>871239</v>
          </cell>
          <cell r="O119">
            <v>0.7758829815655891</v>
          </cell>
          <cell r="P119">
            <v>12775</v>
          </cell>
          <cell r="Q119">
            <v>11.376792234393088</v>
          </cell>
        </row>
        <row r="120">
          <cell r="A120" t="str">
            <v>EXECUTIVE SUMMARY</v>
          </cell>
          <cell r="B120" t="str">
            <v>95-96</v>
          </cell>
          <cell r="C120">
            <v>240</v>
          </cell>
          <cell r="D120">
            <v>1150</v>
          </cell>
          <cell r="E120">
            <v>958</v>
          </cell>
          <cell r="F120">
            <v>83.304347826086953</v>
          </cell>
          <cell r="G120">
            <v>73.400000000000006</v>
          </cell>
          <cell r="H120">
            <v>45.442471159684274</v>
          </cell>
          <cell r="I120">
            <v>101.8</v>
          </cell>
          <cell r="J120">
            <v>10.626304801670146</v>
          </cell>
          <cell r="K120">
            <v>215</v>
          </cell>
          <cell r="N120">
            <v>742828</v>
          </cell>
          <cell r="O120">
            <v>0.77539457202505224</v>
          </cell>
          <cell r="P120">
            <v>11723</v>
          </cell>
          <cell r="Q120">
            <v>12.236951983298539</v>
          </cell>
        </row>
        <row r="121">
          <cell r="A121" t="str">
            <v>96-97 to 00-01</v>
          </cell>
          <cell r="B121" t="str">
            <v>96-97</v>
          </cell>
          <cell r="C121">
            <v>240</v>
          </cell>
          <cell r="D121">
            <v>1200</v>
          </cell>
          <cell r="E121">
            <v>420.6</v>
          </cell>
          <cell r="F121">
            <v>35.049999999999997</v>
          </cell>
          <cell r="G121">
            <v>29.8</v>
          </cell>
          <cell r="H121">
            <v>20.005707762557076</v>
          </cell>
          <cell r="I121">
            <v>45.2</v>
          </cell>
          <cell r="J121">
            <v>10.746552543984784</v>
          </cell>
          <cell r="K121">
            <v>105</v>
          </cell>
          <cell r="N121">
            <v>321549</v>
          </cell>
          <cell r="O121">
            <v>0.76450071326676172</v>
          </cell>
          <cell r="P121">
            <v>3942</v>
          </cell>
          <cell r="Q121">
            <v>9.3723252496433656</v>
          </cell>
        </row>
        <row r="122">
          <cell r="A122" t="str">
            <v xml:space="preserve"> HYDEL GENETRATION</v>
          </cell>
          <cell r="B122" t="str">
            <v>97-98</v>
          </cell>
          <cell r="C122">
            <v>240</v>
          </cell>
          <cell r="D122">
            <v>1000</v>
          </cell>
          <cell r="E122">
            <v>526.26</v>
          </cell>
          <cell r="F122">
            <v>52.625999999999998</v>
          </cell>
          <cell r="G122">
            <v>31.9</v>
          </cell>
          <cell r="H122">
            <v>25.031392694063928</v>
          </cell>
          <cell r="I122">
            <v>49.438000000000002</v>
          </cell>
          <cell r="J122">
            <v>9.39421578687341</v>
          </cell>
          <cell r="K122">
            <v>220</v>
          </cell>
          <cell r="N122">
            <v>385051</v>
          </cell>
          <cell r="O122">
            <v>0.73167445749249416</v>
          </cell>
          <cell r="P122">
            <v>3240</v>
          </cell>
          <cell r="Q122">
            <v>6.1566526051761485</v>
          </cell>
        </row>
        <row r="123">
          <cell r="A123" t="str">
            <v xml:space="preserve"> </v>
          </cell>
          <cell r="B123" t="str">
            <v>P A R T I C U L A R S</v>
          </cell>
          <cell r="C123">
            <v>240</v>
          </cell>
          <cell r="D123" t="str">
            <v>96-97</v>
          </cell>
          <cell r="E123" t="str">
            <v>97-98</v>
          </cell>
          <cell r="F123" t="str">
            <v>98-99</v>
          </cell>
          <cell r="G123" t="str">
            <v>99-00</v>
          </cell>
          <cell r="H123" t="str">
            <v>00-01</v>
          </cell>
          <cell r="I123">
            <v>97.4</v>
          </cell>
          <cell r="J123">
            <v>9.7624536433797733</v>
          </cell>
          <cell r="K123">
            <v>220</v>
          </cell>
          <cell r="N123">
            <v>652165</v>
          </cell>
          <cell r="O123">
            <v>0.65366843740603386</v>
          </cell>
          <cell r="P123">
            <v>3605</v>
          </cell>
          <cell r="Q123">
            <v>3.6133106144131499</v>
          </cell>
        </row>
        <row r="124">
          <cell r="A124">
            <v>1</v>
          </cell>
          <cell r="B124" t="str">
            <v>Hydel Generation(G'sagar+Pench+Bargi+Tons+ B'pur+HB))</v>
          </cell>
          <cell r="C124" t="str">
            <v>MU</v>
          </cell>
          <cell r="D124">
            <v>2067.65</v>
          </cell>
          <cell r="E124">
            <v>2232.69</v>
          </cell>
          <cell r="F124">
            <v>2833.73</v>
          </cell>
          <cell r="G124">
            <v>2459.5</v>
          </cell>
          <cell r="H124">
            <v>1824.28</v>
          </cell>
          <cell r="I124">
            <v>105.9</v>
          </cell>
          <cell r="J124">
            <v>10.09725400457666</v>
          </cell>
          <cell r="K124">
            <v>200</v>
          </cell>
          <cell r="N124">
            <v>674871</v>
          </cell>
          <cell r="O124">
            <v>0.64346967963386725</v>
          </cell>
          <cell r="P124">
            <v>3020</v>
          </cell>
          <cell r="Q124">
            <v>2.8794813119755913</v>
          </cell>
        </row>
        <row r="125">
          <cell r="A125">
            <v>2</v>
          </cell>
          <cell r="B125" t="str">
            <v xml:space="preserve">Target (PLAN )   </v>
          </cell>
          <cell r="C125" t="str">
            <v>MU</v>
          </cell>
          <cell r="D125">
            <v>2195</v>
          </cell>
          <cell r="E125">
            <v>2195</v>
          </cell>
          <cell r="F125">
            <v>2275</v>
          </cell>
          <cell r="G125">
            <v>2440</v>
          </cell>
          <cell r="H125">
            <v>2480</v>
          </cell>
          <cell r="I125">
            <v>95.83</v>
          </cell>
          <cell r="J125">
            <v>9.8898830717153263</v>
          </cell>
          <cell r="K125">
            <v>200</v>
          </cell>
          <cell r="N125">
            <v>723885</v>
          </cell>
          <cell r="O125">
            <v>0.74706647264621195</v>
          </cell>
          <cell r="P125">
            <v>5474</v>
          </cell>
          <cell r="Q125">
            <v>5.6492977078753723</v>
          </cell>
        </row>
        <row r="126">
          <cell r="A126">
            <v>3</v>
          </cell>
          <cell r="B126" t="str">
            <v>ACHIEVEMENT Percentage of ( 2 )</v>
          </cell>
          <cell r="C126" t="str">
            <v>%</v>
          </cell>
          <cell r="D126">
            <v>94.198177676537583</v>
          </cell>
          <cell r="E126">
            <v>101.71708428246014</v>
          </cell>
          <cell r="F126">
            <v>124.56</v>
          </cell>
          <cell r="G126">
            <v>124.56</v>
          </cell>
          <cell r="H126">
            <v>73.559677419354841</v>
          </cell>
          <cell r="I126">
            <v>78.753599999999992</v>
          </cell>
          <cell r="J126">
            <v>9.9780718101059911</v>
          </cell>
          <cell r="K126">
            <v>189</v>
          </cell>
          <cell r="N126">
            <v>551504.19999999995</v>
          </cell>
          <cell r="O126">
            <v>0.70807595208907392</v>
          </cell>
          <cell r="P126">
            <v>3856.2</v>
          </cell>
          <cell r="Q126">
            <v>5.5342134978167259</v>
          </cell>
        </row>
        <row r="127">
          <cell r="A127">
            <v>4</v>
          </cell>
          <cell r="B127" t="str">
            <v>Hydel Generation M.P.Share</v>
          </cell>
          <cell r="C127" t="str">
            <v>MU</v>
          </cell>
          <cell r="D127">
            <v>2274.37</v>
          </cell>
          <cell r="E127">
            <v>2324.88</v>
          </cell>
          <cell r="F127">
            <v>2850.57</v>
          </cell>
          <cell r="G127">
            <v>2507.1999999999998</v>
          </cell>
          <cell r="H127">
            <v>1809.98</v>
          </cell>
          <cell r="I127">
            <v>0</v>
          </cell>
          <cell r="J127">
            <v>0</v>
          </cell>
          <cell r="K127" t="str">
            <v xml:space="preserve"> </v>
          </cell>
          <cell r="L127" t="str">
            <v xml:space="preserve"> </v>
          </cell>
          <cell r="M127" t="str">
            <v xml:space="preserve"> </v>
          </cell>
          <cell r="N127">
            <v>1161180</v>
          </cell>
          <cell r="O127">
            <v>0.73261492258577399</v>
          </cell>
          <cell r="P127">
            <v>12000</v>
          </cell>
          <cell r="Q127">
            <v>7.57107345203094</v>
          </cell>
        </row>
        <row r="128">
          <cell r="A128">
            <v>5</v>
          </cell>
          <cell r="B128" t="str">
            <v xml:space="preserve">Target (PLAN )   </v>
          </cell>
          <cell r="C128" t="str">
            <v>MU</v>
          </cell>
          <cell r="D128">
            <v>2200</v>
          </cell>
          <cell r="E128">
            <v>2200</v>
          </cell>
          <cell r="F128">
            <v>2300</v>
          </cell>
          <cell r="G128">
            <v>2385</v>
          </cell>
          <cell r="H128">
            <v>2424.17</v>
          </cell>
          <cell r="I128">
            <v>103</v>
          </cell>
          <cell r="J128">
            <v>7.7041026216388042</v>
          </cell>
          <cell r="K128" t="str">
            <v xml:space="preserve"> </v>
          </cell>
          <cell r="L128">
            <v>31115</v>
          </cell>
          <cell r="M128">
            <v>1015605</v>
          </cell>
          <cell r="N128">
            <v>997310</v>
          </cell>
          <cell r="O128">
            <v>0.74595908597928118</v>
          </cell>
          <cell r="P128">
            <v>14785</v>
          </cell>
          <cell r="Q128">
            <v>11.0587531321291</v>
          </cell>
        </row>
        <row r="129">
          <cell r="A129">
            <v>6</v>
          </cell>
          <cell r="B129" t="str">
            <v>ACHIEVEMENT Percentage of ( 5 )</v>
          </cell>
          <cell r="C129" t="str">
            <v>%</v>
          </cell>
          <cell r="D129">
            <v>103.38045454545454</v>
          </cell>
          <cell r="E129">
            <v>105.67636363636363</v>
          </cell>
          <cell r="F129">
            <v>123.94</v>
          </cell>
          <cell r="G129">
            <v>123.94</v>
          </cell>
          <cell r="H129">
            <v>74.663905584179332</v>
          </cell>
          <cell r="I129">
            <v>108.33</v>
          </cell>
          <cell r="J129">
            <v>10.790592969629357</v>
          </cell>
          <cell r="K129" t="str">
            <v xml:space="preserve"> </v>
          </cell>
          <cell r="L129">
            <v>47723</v>
          </cell>
          <cell r="M129">
            <v>791141</v>
          </cell>
          <cell r="N129">
            <v>802952</v>
          </cell>
          <cell r="O129">
            <v>0.7998087516061877</v>
          </cell>
          <cell r="P129">
            <v>15891</v>
          </cell>
          <cell r="Q129">
            <v>15.828792844122599</v>
          </cell>
        </row>
        <row r="130">
          <cell r="A130">
            <v>7</v>
          </cell>
          <cell r="B130" t="str">
            <v xml:space="preserve">Reservoir Level at the end </v>
          </cell>
          <cell r="C130">
            <v>300</v>
          </cell>
          <cell r="D130">
            <v>1550</v>
          </cell>
          <cell r="E130">
            <v>1068.78</v>
          </cell>
          <cell r="F130">
            <v>68.953548387096774</v>
          </cell>
          <cell r="G130">
            <v>59.14</v>
          </cell>
          <cell r="H130">
            <v>40.557832422586522</v>
          </cell>
          <cell r="I130">
            <v>114.24000000000001</v>
          </cell>
          <cell r="J130">
            <v>10.688822769887162</v>
          </cell>
          <cell r="K130" t="str">
            <v xml:space="preserve"> </v>
          </cell>
          <cell r="L130">
            <v>51627</v>
          </cell>
          <cell r="M130">
            <v>828867</v>
          </cell>
          <cell r="N130">
            <v>871385</v>
          </cell>
          <cell r="O130">
            <v>0.81530810831041001</v>
          </cell>
          <cell r="P130">
            <v>15146</v>
          </cell>
          <cell r="Q130">
            <v>14.171298115608451</v>
          </cell>
        </row>
        <row r="131">
          <cell r="A131" t="str">
            <v>a</v>
          </cell>
          <cell r="B131" t="str">
            <v>GANDHISAGAR     MDDL   1250.00 Ft</v>
          </cell>
          <cell r="C131" t="str">
            <v>FT</v>
          </cell>
          <cell r="D131">
            <v>1291.08</v>
          </cell>
          <cell r="E131">
            <v>1295.8</v>
          </cell>
          <cell r="F131">
            <v>1272.98</v>
          </cell>
          <cell r="G131">
            <v>1265.2</v>
          </cell>
          <cell r="H131">
            <v>1248.69</v>
          </cell>
          <cell r="I131">
            <v>136.01</v>
          </cell>
          <cell r="J131">
            <v>10.65867324948082</v>
          </cell>
          <cell r="K131" t="str">
            <v xml:space="preserve"> </v>
          </cell>
          <cell r="L131">
            <v>3954</v>
          </cell>
          <cell r="M131">
            <v>1008841</v>
          </cell>
          <cell r="N131">
            <v>1002324</v>
          </cell>
          <cell r="O131">
            <v>0.78548959680263308</v>
          </cell>
          <cell r="P131">
            <v>17158</v>
          </cell>
          <cell r="Q131">
            <v>13.446181575957056</v>
          </cell>
        </row>
        <row r="132">
          <cell r="A132" t="str">
            <v xml:space="preserve"> </v>
          </cell>
          <cell r="B132" t="str">
            <v>Energy   Contents   in   MKwh</v>
          </cell>
          <cell r="C132" t="str">
            <v>MU</v>
          </cell>
          <cell r="D132">
            <v>336.2</v>
          </cell>
          <cell r="E132">
            <v>411</v>
          </cell>
          <cell r="F132">
            <v>130.84</v>
          </cell>
          <cell r="G132">
            <v>75.400000000000006</v>
          </cell>
          <cell r="H132">
            <v>0</v>
          </cell>
          <cell r="I132">
            <v>136.81231500000001</v>
          </cell>
          <cell r="J132">
            <v>9.9482139546044532</v>
          </cell>
          <cell r="K132" t="str">
            <v xml:space="preserve"> </v>
          </cell>
          <cell r="L132">
            <v>10262</v>
          </cell>
          <cell r="M132">
            <v>1014037</v>
          </cell>
          <cell r="N132">
            <v>995200.65999999992</v>
          </cell>
          <cell r="O132">
            <v>0.72365335631105709</v>
          </cell>
          <cell r="P132">
            <v>14122.88</v>
          </cell>
          <cell r="Q132">
            <v>10.269355642085591</v>
          </cell>
        </row>
        <row r="133">
          <cell r="A133" t="str">
            <v>b</v>
          </cell>
          <cell r="B133" t="str">
            <v>PENCH           MDDL    464.50 M</v>
          </cell>
          <cell r="C133" t="str">
            <v>M</v>
          </cell>
          <cell r="D133">
            <v>467.3</v>
          </cell>
          <cell r="E133">
            <v>486.66</v>
          </cell>
          <cell r="F133">
            <v>481.29</v>
          </cell>
          <cell r="G133">
            <v>478.86</v>
          </cell>
          <cell r="H133">
            <v>463.46</v>
          </cell>
          <cell r="I133">
            <v>138.1</v>
          </cell>
          <cell r="J133">
            <v>9.6756112940517056</v>
          </cell>
          <cell r="K133" t="str">
            <v xml:space="preserve"> </v>
          </cell>
          <cell r="L133">
            <v>41415</v>
          </cell>
          <cell r="M133">
            <v>1102016</v>
          </cell>
          <cell r="N133">
            <v>1086065</v>
          </cell>
          <cell r="O133">
            <v>0.76092272122188731</v>
          </cell>
          <cell r="P133">
            <v>17781</v>
          </cell>
          <cell r="Q133">
            <v>12.457787430813422</v>
          </cell>
        </row>
        <row r="134">
          <cell r="A134" t="str">
            <v xml:space="preserve"> </v>
          </cell>
          <cell r="B134" t="str">
            <v>Energy   Contents   in   MKwh</v>
          </cell>
          <cell r="C134" t="str">
            <v>MU</v>
          </cell>
          <cell r="D134">
            <v>18.8</v>
          </cell>
          <cell r="E134">
            <v>289.5</v>
          </cell>
          <cell r="F134">
            <v>177.93</v>
          </cell>
          <cell r="G134">
            <v>137.9</v>
          </cell>
          <cell r="H134">
            <v>0</v>
          </cell>
          <cell r="I134">
            <v>134.1</v>
          </cell>
          <cell r="J134">
            <v>10.707441711913127</v>
          </cell>
          <cell r="K134">
            <v>245</v>
          </cell>
          <cell r="L134">
            <v>58749</v>
          </cell>
          <cell r="M134">
            <v>972440</v>
          </cell>
          <cell r="N134">
            <v>947187</v>
          </cell>
          <cell r="O134">
            <v>0.7562975087831364</v>
          </cell>
          <cell r="P134">
            <v>14466</v>
          </cell>
          <cell r="Q134">
            <v>11.550622804215905</v>
          </cell>
        </row>
        <row r="135">
          <cell r="A135" t="str">
            <v>c</v>
          </cell>
          <cell r="B135" t="str">
            <v>BARGI           MDDL    403.50 M</v>
          </cell>
          <cell r="C135" t="str">
            <v>M</v>
          </cell>
          <cell r="D135">
            <v>411.35</v>
          </cell>
          <cell r="E135">
            <v>416.75</v>
          </cell>
          <cell r="F135">
            <v>410.45</v>
          </cell>
          <cell r="G135">
            <v>411.05</v>
          </cell>
          <cell r="H135">
            <v>410</v>
          </cell>
          <cell r="I135">
            <v>74.2</v>
          </cell>
          <cell r="J135">
            <v>10.919793966151582</v>
          </cell>
          <cell r="K135">
            <v>245</v>
          </cell>
          <cell r="L135">
            <v>84001</v>
          </cell>
          <cell r="M135">
            <v>471584</v>
          </cell>
          <cell r="N135">
            <v>499471</v>
          </cell>
          <cell r="O135">
            <v>0.73505665930831499</v>
          </cell>
          <cell r="P135">
            <v>6005</v>
          </cell>
          <cell r="Q135">
            <v>8.8373804267844012</v>
          </cell>
        </row>
        <row r="136">
          <cell r="A136" t="str">
            <v xml:space="preserve"> </v>
          </cell>
          <cell r="B136" t="str">
            <v>Energy   Contents   in   MKwh</v>
          </cell>
          <cell r="C136" t="str">
            <v>MU</v>
          </cell>
          <cell r="D136">
            <v>71.55</v>
          </cell>
          <cell r="E136">
            <v>160.75</v>
          </cell>
          <cell r="F136">
            <v>60.4</v>
          </cell>
          <cell r="G136">
            <v>67.650000000000006</v>
          </cell>
          <cell r="H136">
            <v>55</v>
          </cell>
          <cell r="I136">
            <v>80.066000000000003</v>
          </cell>
          <cell r="J136">
            <v>10.288218136026625</v>
          </cell>
          <cell r="K136">
            <v>258</v>
          </cell>
          <cell r="L136">
            <v>58003</v>
          </cell>
          <cell r="M136">
            <v>576062</v>
          </cell>
          <cell r="N136">
            <v>559207</v>
          </cell>
          <cell r="O136">
            <v>0.71856263572465728</v>
          </cell>
          <cell r="P136">
            <v>5590</v>
          </cell>
          <cell r="Q136">
            <v>7.1829664752065581</v>
          </cell>
        </row>
        <row r="137">
          <cell r="A137" t="str">
            <v>d</v>
          </cell>
          <cell r="B137" t="str">
            <v>TONS            MDDL    275.00 M</v>
          </cell>
          <cell r="C137" t="str">
            <v>M</v>
          </cell>
          <cell r="D137">
            <v>277.3</v>
          </cell>
          <cell r="E137">
            <v>277.2</v>
          </cell>
          <cell r="F137">
            <v>277</v>
          </cell>
          <cell r="G137">
            <v>275</v>
          </cell>
          <cell r="H137">
            <v>276.3</v>
          </cell>
          <cell r="I137">
            <v>122.9</v>
          </cell>
          <cell r="J137">
            <v>10.242776300765914</v>
          </cell>
          <cell r="K137">
            <v>270</v>
          </cell>
          <cell r="L137">
            <v>100659</v>
          </cell>
          <cell r="M137">
            <v>783861</v>
          </cell>
          <cell r="N137">
            <v>787620</v>
          </cell>
          <cell r="O137">
            <v>0.65642111228716427</v>
          </cell>
          <cell r="P137">
            <v>6384</v>
          </cell>
          <cell r="Q137">
            <v>5.3205763957762082</v>
          </cell>
        </row>
        <row r="138">
          <cell r="A138" t="str">
            <v xml:space="preserve"> </v>
          </cell>
          <cell r="B138" t="str">
            <v>Energy   Contents   in   MKwh</v>
          </cell>
          <cell r="C138" t="str">
            <v>MU</v>
          </cell>
          <cell r="D138">
            <v>0</v>
          </cell>
          <cell r="E138">
            <v>0</v>
          </cell>
          <cell r="F138">
            <v>0</v>
          </cell>
          <cell r="G138">
            <v>0</v>
          </cell>
          <cell r="H138">
            <v>0.87</v>
          </cell>
          <cell r="I138">
            <v>135.19999999999999</v>
          </cell>
          <cell r="J138">
            <v>10.424055512721663</v>
          </cell>
          <cell r="K138">
            <v>235</v>
          </cell>
          <cell r="M138">
            <v>875677</v>
          </cell>
          <cell r="N138">
            <v>845128</v>
          </cell>
          <cell r="O138">
            <v>0.65160215882806471</v>
          </cell>
          <cell r="P138">
            <v>4619</v>
          </cell>
          <cell r="Q138">
            <v>3.5612952968388587</v>
          </cell>
        </row>
        <row r="139">
          <cell r="A139" t="str">
            <v>e</v>
          </cell>
          <cell r="B139" t="str">
            <v>BIRSINGHPUR     MDDL    471.00 M</v>
          </cell>
          <cell r="C139" t="str">
            <v>M</v>
          </cell>
          <cell r="D139">
            <v>475.01</v>
          </cell>
          <cell r="E139">
            <v>475.65</v>
          </cell>
          <cell r="F139">
            <v>474.63</v>
          </cell>
          <cell r="G139">
            <v>475.73</v>
          </cell>
          <cell r="H139">
            <v>474.48</v>
          </cell>
          <cell r="I139">
            <v>119.56</v>
          </cell>
          <cell r="J139">
            <v>10.397154609411007</v>
          </cell>
          <cell r="K139">
            <v>229</v>
          </cell>
          <cell r="L139">
            <v>106452</v>
          </cell>
          <cell r="M139">
            <v>784705</v>
          </cell>
          <cell r="N139">
            <v>855542</v>
          </cell>
          <cell r="O139">
            <v>0.74399485186054803</v>
          </cell>
          <cell r="P139">
            <v>8418</v>
          </cell>
          <cell r="Q139">
            <v>7.3204455923404028</v>
          </cell>
        </row>
        <row r="140">
          <cell r="A140" t="str">
            <v xml:space="preserve"> </v>
          </cell>
          <cell r="B140" t="str">
            <v>Energy   Contents   in   MKwh</v>
          </cell>
          <cell r="C140" t="str">
            <v>MU</v>
          </cell>
          <cell r="D140">
            <v>4.41</v>
          </cell>
          <cell r="E140">
            <v>5.95</v>
          </cell>
          <cell r="F140">
            <v>3.95</v>
          </cell>
          <cell r="G140">
            <v>5.27</v>
          </cell>
          <cell r="H140">
            <v>3.78</v>
          </cell>
          <cell r="I140">
            <v>106.38520000000001</v>
          </cell>
          <cell r="J140">
            <v>10.454399705015359</v>
          </cell>
          <cell r="K140">
            <v>247.4</v>
          </cell>
          <cell r="L140">
            <v>69823</v>
          </cell>
          <cell r="M140">
            <v>698377.8</v>
          </cell>
          <cell r="N140">
            <v>709393.6</v>
          </cell>
          <cell r="O140">
            <v>0.70112748360174992</v>
          </cell>
          <cell r="P140">
            <v>6203.2</v>
          </cell>
          <cell r="Q140">
            <v>6.4445328373892865</v>
          </cell>
        </row>
        <row r="141">
          <cell r="A141" t="str">
            <v>f</v>
          </cell>
          <cell r="B141" t="str">
            <v>HASDEO-BANGO    MDDL    329.79 M</v>
          </cell>
          <cell r="C141" t="str">
            <v>M</v>
          </cell>
          <cell r="D141">
            <v>345</v>
          </cell>
          <cell r="E141">
            <v>355.56</v>
          </cell>
          <cell r="F141">
            <v>334.51</v>
          </cell>
          <cell r="G141">
            <v>344.57</v>
          </cell>
          <cell r="H141">
            <v>345.48</v>
          </cell>
        </row>
        <row r="142">
          <cell r="A142" t="str">
            <v xml:space="preserve"> </v>
          </cell>
          <cell r="B142" t="str">
            <v>Energy   Contents   in   MKwh</v>
          </cell>
          <cell r="C142" t="str">
            <v>MU</v>
          </cell>
          <cell r="D142">
            <v>68</v>
          </cell>
          <cell r="E142">
            <v>187.4</v>
          </cell>
          <cell r="F142">
            <v>13.18</v>
          </cell>
          <cell r="G142">
            <v>64.849999999999994</v>
          </cell>
          <cell r="H142">
            <v>71.36</v>
          </cell>
        </row>
        <row r="143">
          <cell r="A143" t="str">
            <v>g</v>
          </cell>
          <cell r="B143" t="str">
            <v xml:space="preserve">RAJGHAT     MDDL    </v>
          </cell>
          <cell r="C143" t="str">
            <v>M</v>
          </cell>
          <cell r="D143" t="str">
            <v xml:space="preserve"> </v>
          </cell>
          <cell r="E143" t="str">
            <v xml:space="preserve"> </v>
          </cell>
          <cell r="F143" t="str">
            <v xml:space="preserve"> </v>
          </cell>
          <cell r="G143" t="str">
            <v xml:space="preserve"> </v>
          </cell>
          <cell r="H143" t="str">
            <v xml:space="preserve"> </v>
          </cell>
          <cell r="I143" t="str">
            <v>AUXILIARY CONSUMPTION</v>
          </cell>
          <cell r="K143" t="str">
            <v>MAXIMUM DEMAND</v>
          </cell>
          <cell r="L143" t="str">
            <v>COAL IN MT</v>
          </cell>
          <cell r="N143" t="str">
            <v>COAL CONSUMED</v>
          </cell>
          <cell r="P143" t="str">
            <v>FUEL OIL CONSUMPTION</v>
          </cell>
        </row>
        <row r="144">
          <cell r="A144" t="str">
            <v xml:space="preserve"> </v>
          </cell>
          <cell r="B144" t="str">
            <v>Energy   Contents   in   MKwh</v>
          </cell>
          <cell r="C144" t="str">
            <v>MU</v>
          </cell>
          <cell r="D144" t="str">
            <v xml:space="preserve"> </v>
          </cell>
          <cell r="E144" t="str">
            <v xml:space="preserve"> </v>
          </cell>
          <cell r="F144" t="str">
            <v xml:space="preserve"> </v>
          </cell>
          <cell r="G144" t="str">
            <v xml:space="preserve"> </v>
          </cell>
          <cell r="H144">
            <v>0</v>
          </cell>
          <cell r="I144" t="str">
            <v>MKwh</v>
          </cell>
          <cell r="J144" t="str">
            <v>%</v>
          </cell>
          <cell r="K144" t="str">
            <v>MW</v>
          </cell>
          <cell r="L144" t="str">
            <v>OP.STOCK</v>
          </cell>
          <cell r="M144" t="str">
            <v>RECIEPT</v>
          </cell>
          <cell r="N144" t="str">
            <v>MT</v>
          </cell>
          <cell r="O144" t="str">
            <v>Kg/kWH</v>
          </cell>
          <cell r="P144" t="str">
            <v>KL</v>
          </cell>
          <cell r="Q144" t="str">
            <v>ml/KWH</v>
          </cell>
        </row>
        <row r="145">
          <cell r="A145" t="str">
            <v xml:space="preserve"> </v>
          </cell>
          <cell r="B145" t="str">
            <v>M.P.E.B. GENERATION  AS PER SHARE</v>
          </cell>
          <cell r="C145">
            <v>312.5</v>
          </cell>
          <cell r="D145">
            <v>1650</v>
          </cell>
          <cell r="E145">
            <v>1832.28</v>
          </cell>
          <cell r="F145">
            <v>111.04727272727273</v>
          </cell>
          <cell r="G145">
            <v>78.5</v>
          </cell>
          <cell r="H145">
            <v>66.932602739726022</v>
          </cell>
        </row>
        <row r="146">
          <cell r="A146">
            <v>1</v>
          </cell>
          <cell r="B146" t="str">
            <v>THERMAL  ( Excl. 40% Satpura I)</v>
          </cell>
          <cell r="C146" t="str">
            <v>MU</v>
          </cell>
          <cell r="D146">
            <v>16139.38</v>
          </cell>
          <cell r="E146">
            <v>17117.55</v>
          </cell>
          <cell r="F146">
            <v>17701.060000000001</v>
          </cell>
          <cell r="G146">
            <v>19305.5</v>
          </cell>
          <cell r="H146">
            <v>19626.939999999999</v>
          </cell>
        </row>
        <row r="147">
          <cell r="A147">
            <v>2</v>
          </cell>
          <cell r="B147" t="str">
            <v>HYDEL    ( Excl. 50 % Chambal &amp; 1/3 Pench )</v>
          </cell>
          <cell r="C147" t="str">
            <v>MU</v>
          </cell>
          <cell r="D147">
            <v>2274.37</v>
          </cell>
          <cell r="E147">
            <v>2324.88</v>
          </cell>
          <cell r="F147">
            <v>2850.57</v>
          </cell>
          <cell r="G147">
            <v>2507.1999999999998</v>
          </cell>
          <cell r="H147">
            <v>1809.98</v>
          </cell>
        </row>
        <row r="148">
          <cell r="A148">
            <v>3</v>
          </cell>
          <cell r="B148" t="str">
            <v>TOTAL</v>
          </cell>
          <cell r="C148" t="str">
            <v>MU</v>
          </cell>
          <cell r="D148">
            <v>18413.75</v>
          </cell>
          <cell r="E148">
            <v>19442.43</v>
          </cell>
          <cell r="F148">
            <v>20551.63</v>
          </cell>
          <cell r="G148">
            <v>21812.7</v>
          </cell>
          <cell r="H148">
            <v>21436.92</v>
          </cell>
        </row>
        <row r="149">
          <cell r="A149" t="str">
            <v>Note :-</v>
          </cell>
          <cell r="B149" t="str">
            <v>1.Heavy and good rains resulted in more secondary generation in Hydel Stations in Year 1994-95</v>
          </cell>
          <cell r="C149">
            <v>312.5</v>
          </cell>
          <cell r="D149">
            <v>1600</v>
          </cell>
          <cell r="E149">
            <v>1538.84</v>
          </cell>
          <cell r="F149">
            <v>96.177499999999995</v>
          </cell>
          <cell r="G149">
            <v>72.41</v>
          </cell>
          <cell r="H149">
            <v>56.213333333333331</v>
          </cell>
        </row>
        <row r="150">
          <cell r="A150" t="str">
            <v>Note :-</v>
          </cell>
          <cell r="B150" t="str">
            <v>2.Intermittent rains practically every month resulted in building up level and non utilisation of water due to lack of demand in 1997-98.</v>
          </cell>
          <cell r="C150">
            <v>312.5</v>
          </cell>
          <cell r="D150">
            <v>1500</v>
          </cell>
          <cell r="E150">
            <v>1519.37</v>
          </cell>
          <cell r="F150">
            <v>101.29133333333333</v>
          </cell>
          <cell r="G150">
            <v>72.699726027397261</v>
          </cell>
          <cell r="H150">
            <v>55.502100456621008</v>
          </cell>
        </row>
        <row r="151">
          <cell r="B151" t="str">
            <v>94-95</v>
          </cell>
          <cell r="C151">
            <v>312.5</v>
          </cell>
          <cell r="D151">
            <v>1550</v>
          </cell>
          <cell r="E151">
            <v>1497.8</v>
          </cell>
          <cell r="F151">
            <v>96.632258064516122</v>
          </cell>
          <cell r="G151">
            <v>70</v>
          </cell>
          <cell r="H151">
            <v>54.714155251141555</v>
          </cell>
        </row>
        <row r="152">
          <cell r="B152" t="str">
            <v>95-96</v>
          </cell>
          <cell r="C152">
            <v>312.5</v>
          </cell>
          <cell r="D152">
            <v>1550</v>
          </cell>
          <cell r="E152">
            <v>1814</v>
          </cell>
          <cell r="F152">
            <v>117.03225806451613</v>
          </cell>
          <cell r="G152">
            <v>78.900000000000006</v>
          </cell>
          <cell r="H152">
            <v>66.083788706739526</v>
          </cell>
        </row>
        <row r="153">
          <cell r="B153" t="str">
            <v>96-97</v>
          </cell>
          <cell r="C153">
            <v>312.5</v>
          </cell>
          <cell r="D153">
            <v>1650</v>
          </cell>
          <cell r="E153">
            <v>1819</v>
          </cell>
          <cell r="F153">
            <v>110.24242424242425</v>
          </cell>
          <cell r="G153">
            <v>78</v>
          </cell>
          <cell r="H153">
            <v>66.447488584474883</v>
          </cell>
        </row>
        <row r="154">
          <cell r="B154" t="str">
            <v>97-98</v>
          </cell>
          <cell r="C154">
            <v>312.5</v>
          </cell>
          <cell r="D154">
            <v>1800</v>
          </cell>
          <cell r="E154">
            <v>2122.88</v>
          </cell>
          <cell r="F154">
            <v>117.93777777777778</v>
          </cell>
          <cell r="G154">
            <v>85.2</v>
          </cell>
          <cell r="H154">
            <v>77.548127853881283</v>
          </cell>
        </row>
        <row r="155">
          <cell r="B155" t="str">
            <v>98-99</v>
          </cell>
          <cell r="C155">
            <v>312.5</v>
          </cell>
          <cell r="D155">
            <v>1700</v>
          </cell>
          <cell r="E155">
            <v>1925.81</v>
          </cell>
          <cell r="F155">
            <v>113.28294117647059</v>
          </cell>
          <cell r="G155">
            <v>78.900000000000006</v>
          </cell>
          <cell r="H155">
            <v>70.349223744292232</v>
          </cell>
        </row>
        <row r="156">
          <cell r="B156" t="str">
            <v>99-00</v>
          </cell>
          <cell r="C156">
            <v>312.5</v>
          </cell>
          <cell r="D156">
            <v>2050</v>
          </cell>
          <cell r="E156">
            <v>2102.1999999999998</v>
          </cell>
          <cell r="F156">
            <v>102.5</v>
          </cell>
          <cell r="G156">
            <v>80.8</v>
          </cell>
          <cell r="H156">
            <v>76.599999999999994</v>
          </cell>
        </row>
        <row r="157">
          <cell r="B157" t="str">
            <v>00-01</v>
          </cell>
          <cell r="C157">
            <v>312.5</v>
          </cell>
          <cell r="D157">
            <v>1950</v>
          </cell>
          <cell r="E157">
            <v>1972.36</v>
          </cell>
          <cell r="F157">
            <v>101.15</v>
          </cell>
          <cell r="G157">
            <v>78.77</v>
          </cell>
          <cell r="H157">
            <v>72.05</v>
          </cell>
        </row>
        <row r="158">
          <cell r="A158" t="str">
            <v>Average last 5 years</v>
          </cell>
          <cell r="B158">
            <v>0</v>
          </cell>
          <cell r="C158">
            <v>0</v>
          </cell>
          <cell r="D158">
            <v>1830</v>
          </cell>
          <cell r="E158">
            <v>1988.45</v>
          </cell>
          <cell r="F158">
            <v>109.02262863933451</v>
          </cell>
          <cell r="G158">
            <v>80.333999999999989</v>
          </cell>
          <cell r="H158">
            <v>72.598968036529669</v>
          </cell>
        </row>
        <row r="159">
          <cell r="A159" t="str">
            <v>SATPURA II</v>
          </cell>
          <cell r="B159" t="str">
            <v>88-89</v>
          </cell>
          <cell r="C159">
            <v>410</v>
          </cell>
          <cell r="D159">
            <v>1800</v>
          </cell>
          <cell r="E159">
            <v>1359.91</v>
          </cell>
          <cell r="F159">
            <v>75.550555555555562</v>
          </cell>
          <cell r="G159">
            <v>64.67</v>
          </cell>
          <cell r="H159">
            <v>37.863626239002116</v>
          </cell>
        </row>
        <row r="160">
          <cell r="B160" t="str">
            <v>89-90</v>
          </cell>
          <cell r="C160">
            <v>410</v>
          </cell>
          <cell r="D160">
            <v>1800</v>
          </cell>
          <cell r="E160">
            <v>1247.99</v>
          </cell>
          <cell r="F160">
            <v>69.332777777777778</v>
          </cell>
          <cell r="G160">
            <v>64.5</v>
          </cell>
          <cell r="H160">
            <v>34.747466310279542</v>
          </cell>
        </row>
        <row r="161">
          <cell r="B161" t="str">
            <v>90-91</v>
          </cell>
          <cell r="C161">
            <v>410</v>
          </cell>
          <cell r="D161">
            <v>1800</v>
          </cell>
          <cell r="E161">
            <v>1143.08</v>
          </cell>
          <cell r="F161">
            <v>63.504444444444445</v>
          </cell>
          <cell r="G161">
            <v>59.01</v>
          </cell>
          <cell r="H161">
            <v>31.826484018264839</v>
          </cell>
        </row>
        <row r="162">
          <cell r="B162" t="str">
            <v>91-92</v>
          </cell>
          <cell r="C162">
            <v>410</v>
          </cell>
          <cell r="D162">
            <v>1800</v>
          </cell>
          <cell r="E162">
            <v>1261.23</v>
          </cell>
          <cell r="F162">
            <v>70.068333333333328</v>
          </cell>
          <cell r="G162">
            <v>57.19</v>
          </cell>
          <cell r="H162">
            <v>35.116104243234211</v>
          </cell>
        </row>
        <row r="163">
          <cell r="B163" t="str">
            <v>92-93</v>
          </cell>
          <cell r="C163">
            <v>410</v>
          </cell>
          <cell r="D163">
            <v>1600</v>
          </cell>
          <cell r="E163">
            <v>1091.3900000000001</v>
          </cell>
          <cell r="F163">
            <v>68.211875000000006</v>
          </cell>
          <cell r="G163">
            <v>52.11</v>
          </cell>
          <cell r="H163">
            <v>30.387292571555857</v>
          </cell>
        </row>
        <row r="164">
          <cell r="B164" t="str">
            <v>93-94</v>
          </cell>
          <cell r="C164">
            <v>410</v>
          </cell>
          <cell r="D164">
            <v>1400</v>
          </cell>
          <cell r="E164">
            <v>1268.5727999999999</v>
          </cell>
          <cell r="F164">
            <v>90.612342857142863</v>
          </cell>
          <cell r="G164">
            <v>50.802958904109587</v>
          </cell>
          <cell r="H164">
            <v>35.320547945205476</v>
          </cell>
        </row>
        <row r="165">
          <cell r="B165" t="str">
            <v>94-95</v>
          </cell>
          <cell r="C165">
            <v>410</v>
          </cell>
          <cell r="D165">
            <v>1400</v>
          </cell>
          <cell r="E165">
            <v>2021.1</v>
          </cell>
          <cell r="F165">
            <v>144.36428571428573</v>
          </cell>
          <cell r="G165">
            <v>74.5</v>
          </cell>
          <cell r="H165">
            <v>56.272970263949212</v>
          </cell>
        </row>
        <row r="166">
          <cell r="B166" t="str">
            <v>95-96</v>
          </cell>
          <cell r="C166">
            <v>410</v>
          </cell>
          <cell r="D166">
            <v>2000</v>
          </cell>
          <cell r="E166">
            <v>2079.3000000000002</v>
          </cell>
          <cell r="F166">
            <v>103.96500000000002</v>
          </cell>
          <cell r="G166">
            <v>77.3</v>
          </cell>
          <cell r="H166">
            <v>57.735239237638289</v>
          </cell>
        </row>
        <row r="167">
          <cell r="B167" t="str">
            <v>96-97</v>
          </cell>
          <cell r="C167">
            <v>410</v>
          </cell>
          <cell r="D167">
            <v>2000</v>
          </cell>
          <cell r="E167">
            <v>2273.1</v>
          </cell>
          <cell r="F167">
            <v>113.655</v>
          </cell>
          <cell r="G167">
            <v>77.599999999999994</v>
          </cell>
          <cell r="H167">
            <v>63.289341797527563</v>
          </cell>
        </row>
        <row r="168">
          <cell r="B168" t="str">
            <v>97-98</v>
          </cell>
          <cell r="C168">
            <v>410</v>
          </cell>
          <cell r="D168">
            <v>2200</v>
          </cell>
          <cell r="E168">
            <v>2601.9899999999998</v>
          </cell>
          <cell r="F168">
            <v>118.27227272727271</v>
          </cell>
          <cell r="G168">
            <v>84.5</v>
          </cell>
          <cell r="H168">
            <v>72.446541931172732</v>
          </cell>
        </row>
        <row r="169">
          <cell r="B169" t="str">
            <v>98-99</v>
          </cell>
          <cell r="C169">
            <v>410</v>
          </cell>
          <cell r="D169">
            <v>2150</v>
          </cell>
          <cell r="E169">
            <v>2881.87</v>
          </cell>
          <cell r="F169">
            <v>134.04046511627908</v>
          </cell>
          <cell r="G169">
            <v>87.5</v>
          </cell>
          <cell r="H169">
            <v>80.239169172513641</v>
          </cell>
        </row>
        <row r="170">
          <cell r="B170" t="str">
            <v>99-00</v>
          </cell>
          <cell r="C170">
            <v>410</v>
          </cell>
          <cell r="D170">
            <v>2700</v>
          </cell>
          <cell r="E170">
            <v>2520.9</v>
          </cell>
          <cell r="F170">
            <v>93.3</v>
          </cell>
          <cell r="G170">
            <v>75.2</v>
          </cell>
          <cell r="H170">
            <v>70</v>
          </cell>
        </row>
        <row r="171">
          <cell r="B171" t="str">
            <v>00-01</v>
          </cell>
          <cell r="C171">
            <v>410</v>
          </cell>
          <cell r="D171">
            <v>2850</v>
          </cell>
          <cell r="E171">
            <v>2450.13</v>
          </cell>
          <cell r="F171">
            <v>85.97</v>
          </cell>
          <cell r="G171">
            <v>77.64</v>
          </cell>
          <cell r="H171">
            <v>68.22</v>
          </cell>
        </row>
        <row r="172">
          <cell r="A172" t="str">
            <v>Average last 5 years</v>
          </cell>
          <cell r="B172">
            <v>0</v>
          </cell>
          <cell r="C172">
            <v>0</v>
          </cell>
          <cell r="D172">
            <v>2380</v>
          </cell>
          <cell r="E172">
            <v>2545.5980000000004</v>
          </cell>
          <cell r="F172">
            <v>109.04754756871037</v>
          </cell>
          <cell r="G172">
            <v>80.488</v>
          </cell>
          <cell r="H172">
            <v>70.839010580242785</v>
          </cell>
        </row>
        <row r="173">
          <cell r="A173" t="str">
            <v>SATPURA III</v>
          </cell>
          <cell r="B173" t="str">
            <v>88-89</v>
          </cell>
          <cell r="C173">
            <v>420</v>
          </cell>
          <cell r="D173">
            <v>2050</v>
          </cell>
          <cell r="E173">
            <v>1857.99</v>
          </cell>
          <cell r="F173">
            <v>90.633658536585372</v>
          </cell>
          <cell r="G173">
            <v>75.62</v>
          </cell>
          <cell r="H173">
            <v>50.4998369210698</v>
          </cell>
        </row>
        <row r="174">
          <cell r="B174" t="str">
            <v>89-90</v>
          </cell>
          <cell r="C174">
            <v>420</v>
          </cell>
          <cell r="D174">
            <v>2100</v>
          </cell>
          <cell r="E174">
            <v>1805.67</v>
          </cell>
          <cell r="F174">
            <v>85.984285714285718</v>
          </cell>
          <cell r="G174">
            <v>88.7</v>
          </cell>
          <cell r="H174">
            <v>49.077788649706456</v>
          </cell>
        </row>
        <row r="175">
          <cell r="B175" t="str">
            <v>90-91</v>
          </cell>
          <cell r="C175">
            <v>420</v>
          </cell>
          <cell r="D175">
            <v>1950</v>
          </cell>
          <cell r="E175">
            <v>1496.73</v>
          </cell>
          <cell r="F175">
            <v>76.755384615384614</v>
          </cell>
          <cell r="G175">
            <v>67.97</v>
          </cell>
          <cell r="H175">
            <v>40.680854533594257</v>
          </cell>
        </row>
        <row r="176">
          <cell r="B176" t="str">
            <v>91-92</v>
          </cell>
          <cell r="C176">
            <v>420</v>
          </cell>
          <cell r="D176">
            <v>1950</v>
          </cell>
          <cell r="E176">
            <v>1741.07</v>
          </cell>
          <cell r="F176">
            <v>89.285641025641027</v>
          </cell>
          <cell r="G176">
            <v>69.19</v>
          </cell>
          <cell r="H176">
            <v>47.321972167862576</v>
          </cell>
        </row>
        <row r="177">
          <cell r="B177" t="str">
            <v>92-93</v>
          </cell>
          <cell r="C177">
            <v>420</v>
          </cell>
          <cell r="D177">
            <v>1800</v>
          </cell>
          <cell r="E177">
            <v>2011.32</v>
          </cell>
          <cell r="F177">
            <v>111.74</v>
          </cell>
          <cell r="G177">
            <v>81.23</v>
          </cell>
          <cell r="H177">
            <v>54.667318982387478</v>
          </cell>
        </row>
        <row r="178">
          <cell r="B178" t="str">
            <v>93-94</v>
          </cell>
          <cell r="C178">
            <v>420</v>
          </cell>
          <cell r="D178">
            <v>2015</v>
          </cell>
          <cell r="E178">
            <v>2278.799</v>
          </cell>
          <cell r="F178">
            <v>113.0917617866005</v>
          </cell>
          <cell r="G178">
            <v>81.576273972602735</v>
          </cell>
          <cell r="H178">
            <v>61.93735051098065</v>
          </cell>
        </row>
        <row r="179">
          <cell r="B179" t="str">
            <v>94-95</v>
          </cell>
          <cell r="C179">
            <v>420</v>
          </cell>
          <cell r="D179">
            <v>2000</v>
          </cell>
          <cell r="E179">
            <v>2280.8000000000002</v>
          </cell>
          <cell r="F179">
            <v>114.04000000000002</v>
          </cell>
          <cell r="G179">
            <v>85.1</v>
          </cell>
          <cell r="H179">
            <v>61.991737334203094</v>
          </cell>
        </row>
        <row r="180">
          <cell r="B180" t="str">
            <v>95-96</v>
          </cell>
          <cell r="C180">
            <v>420</v>
          </cell>
          <cell r="D180">
            <v>2100</v>
          </cell>
          <cell r="E180">
            <v>2141.3000000000002</v>
          </cell>
          <cell r="F180">
            <v>101.96666666666668</v>
          </cell>
          <cell r="G180">
            <v>77.400000000000006</v>
          </cell>
          <cell r="H180">
            <v>58.041135397692784</v>
          </cell>
        </row>
        <row r="181">
          <cell r="B181" t="str">
            <v>96-97</v>
          </cell>
          <cell r="C181">
            <v>420</v>
          </cell>
          <cell r="D181">
            <v>2100</v>
          </cell>
          <cell r="E181">
            <v>2447.1999999999998</v>
          </cell>
          <cell r="F181">
            <v>116.53333333333332</v>
          </cell>
          <cell r="G181">
            <v>82.1</v>
          </cell>
          <cell r="H181">
            <v>66.514459665144585</v>
          </cell>
        </row>
        <row r="182">
          <cell r="B182" t="str">
            <v>97-98</v>
          </cell>
          <cell r="C182">
            <v>420</v>
          </cell>
          <cell r="D182">
            <v>2300</v>
          </cell>
          <cell r="E182">
            <v>2706.67</v>
          </cell>
          <cell r="F182">
            <v>117.68130434782609</v>
          </cell>
          <cell r="G182">
            <v>82.6</v>
          </cell>
          <cell r="H182">
            <v>73.566808001739503</v>
          </cell>
        </row>
        <row r="183">
          <cell r="B183" t="str">
            <v>98-99</v>
          </cell>
          <cell r="C183">
            <v>420</v>
          </cell>
          <cell r="D183">
            <v>2250</v>
          </cell>
          <cell r="E183">
            <v>2830.37</v>
          </cell>
          <cell r="F183">
            <v>125.79422222222222</v>
          </cell>
          <cell r="G183">
            <v>82.9</v>
          </cell>
          <cell r="H183">
            <v>76.92895194607523</v>
          </cell>
        </row>
        <row r="184">
          <cell r="B184" t="str">
            <v>99-00</v>
          </cell>
          <cell r="C184">
            <v>420</v>
          </cell>
          <cell r="D184">
            <v>2750</v>
          </cell>
          <cell r="E184">
            <v>3093.5</v>
          </cell>
          <cell r="F184">
            <v>112.5</v>
          </cell>
          <cell r="G184">
            <v>87.3</v>
          </cell>
          <cell r="H184">
            <v>83.9</v>
          </cell>
        </row>
        <row r="185">
          <cell r="B185" t="str">
            <v>00-01</v>
          </cell>
          <cell r="C185">
            <v>420</v>
          </cell>
          <cell r="D185">
            <v>2800</v>
          </cell>
          <cell r="E185">
            <v>2780.62</v>
          </cell>
          <cell r="F185">
            <v>97.46</v>
          </cell>
          <cell r="G185">
            <v>79.290000000000006</v>
          </cell>
          <cell r="H185">
            <v>75.58</v>
          </cell>
        </row>
        <row r="186">
          <cell r="A186" t="str">
            <v>Average last 5 years</v>
          </cell>
          <cell r="B186">
            <v>0</v>
          </cell>
          <cell r="C186">
            <v>0</v>
          </cell>
          <cell r="D186">
            <v>2440</v>
          </cell>
          <cell r="E186">
            <v>2771.672</v>
          </cell>
          <cell r="F186">
            <v>113.99377198067631</v>
          </cell>
          <cell r="G186">
            <v>82.837999999999994</v>
          </cell>
          <cell r="H186">
            <v>75.298043922591859</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row>
        <row r="190">
          <cell r="C190" t="str">
            <v>MW</v>
          </cell>
          <cell r="D190" t="str">
            <v>MKwh</v>
          </cell>
          <cell r="E190" t="str">
            <v>MKwh</v>
          </cell>
          <cell r="F190" t="str">
            <v>%</v>
          </cell>
          <cell r="G190" t="str">
            <v>%</v>
          </cell>
          <cell r="H190" t="str">
            <v>%</v>
          </cell>
        </row>
        <row r="191">
          <cell r="A191" t="str">
            <v>SATPURA</v>
          </cell>
          <cell r="B191" t="str">
            <v>88-89</v>
          </cell>
          <cell r="C191">
            <v>1142.5</v>
          </cell>
          <cell r="D191">
            <v>5500</v>
          </cell>
          <cell r="E191">
            <v>5050.18</v>
          </cell>
          <cell r="F191">
            <v>91.821454545454543</v>
          </cell>
          <cell r="G191">
            <v>72.4782056892779</v>
          </cell>
          <cell r="H191">
            <v>50.459918267837693</v>
          </cell>
        </row>
        <row r="192">
          <cell r="B192" t="str">
            <v>89-90</v>
          </cell>
          <cell r="C192">
            <v>1142.5</v>
          </cell>
          <cell r="D192">
            <v>5475</v>
          </cell>
          <cell r="E192">
            <v>4783.66</v>
          </cell>
          <cell r="F192">
            <v>87.372785388127852</v>
          </cell>
          <cell r="G192">
            <v>76.818052516411385</v>
          </cell>
          <cell r="H192">
            <v>47.796928549304077</v>
          </cell>
        </row>
        <row r="193">
          <cell r="B193" t="str">
            <v>90-91</v>
          </cell>
          <cell r="C193">
            <v>1142.5</v>
          </cell>
          <cell r="D193">
            <v>5450</v>
          </cell>
          <cell r="E193">
            <v>4155.2000000000007</v>
          </cell>
          <cell r="F193">
            <v>76.242201834862399</v>
          </cell>
          <cell r="G193">
            <v>66.023741794310723</v>
          </cell>
          <cell r="H193">
            <v>41.517540441433617</v>
          </cell>
        </row>
        <row r="194">
          <cell r="B194" t="str">
            <v>91-92</v>
          </cell>
          <cell r="C194">
            <v>1142.5</v>
          </cell>
          <cell r="D194">
            <v>5450</v>
          </cell>
          <cell r="E194">
            <v>4387.7699999999995</v>
          </cell>
          <cell r="F194">
            <v>80.509541284403653</v>
          </cell>
          <cell r="G194">
            <v>63.680153172866518</v>
          </cell>
          <cell r="H194">
            <v>43.721526706604003</v>
          </cell>
        </row>
        <row r="195">
          <cell r="B195" t="str">
            <v>92-93</v>
          </cell>
          <cell r="C195">
            <v>1142.5</v>
          </cell>
          <cell r="D195">
            <v>5000</v>
          </cell>
          <cell r="E195">
            <v>4641.55</v>
          </cell>
          <cell r="F195">
            <v>92.831000000000003</v>
          </cell>
          <cell r="G195">
            <v>68.367461706783374</v>
          </cell>
          <cell r="H195">
            <v>46.37700708412018</v>
          </cell>
        </row>
        <row r="196">
          <cell r="B196" t="str">
            <v>93-94</v>
          </cell>
          <cell r="C196">
            <v>1142.5</v>
          </cell>
          <cell r="D196">
            <v>4915</v>
          </cell>
          <cell r="E196">
            <v>5066.7417999999998</v>
          </cell>
          <cell r="F196">
            <v>103.08732044760936</v>
          </cell>
          <cell r="G196">
            <v>68.104956326249209</v>
          </cell>
          <cell r="H196">
            <v>50.625398918897318</v>
          </cell>
        </row>
        <row r="197">
          <cell r="B197" t="str">
            <v>94-95</v>
          </cell>
          <cell r="C197">
            <v>1142.5</v>
          </cell>
          <cell r="D197">
            <v>4950</v>
          </cell>
          <cell r="E197">
            <v>5799.7</v>
          </cell>
          <cell r="F197">
            <v>117.16565656565656</v>
          </cell>
          <cell r="G197">
            <v>77.165864332603945</v>
          </cell>
          <cell r="H197">
            <v>57.948902410998869</v>
          </cell>
        </row>
        <row r="198">
          <cell r="B198" t="str">
            <v>95-96</v>
          </cell>
          <cell r="C198">
            <v>1142.5</v>
          </cell>
          <cell r="D198">
            <v>5650</v>
          </cell>
          <cell r="E198">
            <v>6034.6</v>
          </cell>
          <cell r="F198">
            <v>106.8070796460177</v>
          </cell>
          <cell r="G198">
            <v>77.774398249452958</v>
          </cell>
          <cell r="H198">
            <v>60.13121131318929</v>
          </cell>
        </row>
        <row r="199">
          <cell r="B199" t="str">
            <v>96-97</v>
          </cell>
          <cell r="C199">
            <v>1142.5</v>
          </cell>
          <cell r="D199">
            <v>5750</v>
          </cell>
          <cell r="E199">
            <v>6539.2999999999993</v>
          </cell>
          <cell r="F199">
            <v>113.72695652173911</v>
          </cell>
          <cell r="G199">
            <v>79.3636761487965</v>
          </cell>
          <cell r="H199">
            <v>65.338768821877835</v>
          </cell>
        </row>
        <row r="200">
          <cell r="B200" t="str">
            <v>97-98</v>
          </cell>
          <cell r="C200">
            <v>1142.5</v>
          </cell>
          <cell r="D200">
            <v>6300</v>
          </cell>
          <cell r="E200">
            <v>7431.54</v>
          </cell>
          <cell r="F200">
            <v>117.96095238095238</v>
          </cell>
          <cell r="G200">
            <v>83.992997811816196</v>
          </cell>
          <cell r="H200">
            <v>74.253769371421726</v>
          </cell>
        </row>
        <row r="201">
          <cell r="B201" t="str">
            <v>98-99</v>
          </cell>
          <cell r="C201">
            <v>1142.5</v>
          </cell>
          <cell r="D201">
            <v>6100</v>
          </cell>
          <cell r="E201">
            <v>7638.05</v>
          </cell>
          <cell r="F201">
            <v>125.21393442622951</v>
          </cell>
          <cell r="G201">
            <v>83.45667396061269</v>
          </cell>
          <cell r="H201">
            <v>76.317156759889286</v>
          </cell>
        </row>
        <row r="202">
          <cell r="B202" t="str">
            <v>99-00</v>
          </cell>
          <cell r="C202">
            <v>1142.5</v>
          </cell>
          <cell r="D202">
            <v>7500</v>
          </cell>
          <cell r="E202">
            <v>7716.6</v>
          </cell>
          <cell r="F202">
            <v>102.9</v>
          </cell>
          <cell r="G202">
            <v>81.2</v>
          </cell>
          <cell r="H202">
            <v>76.900000000000006</v>
          </cell>
        </row>
        <row r="203">
          <cell r="B203" t="str">
            <v>00-01</v>
          </cell>
          <cell r="C203">
            <v>1142.5</v>
          </cell>
          <cell r="D203">
            <v>7650</v>
          </cell>
          <cell r="E203">
            <v>7203.11</v>
          </cell>
          <cell r="F203">
            <v>94.16</v>
          </cell>
          <cell r="G203">
            <v>78.55</v>
          </cell>
          <cell r="H203">
            <v>71.97</v>
          </cell>
        </row>
        <row r="204">
          <cell r="A204" t="str">
            <v>Average last 5 years</v>
          </cell>
          <cell r="B204">
            <v>0</v>
          </cell>
          <cell r="C204">
            <v>0</v>
          </cell>
          <cell r="D204">
            <v>6660</v>
          </cell>
          <cell r="E204">
            <v>7305.7199999999993</v>
          </cell>
          <cell r="F204">
            <v>110.7923686657842</v>
          </cell>
          <cell r="G204">
            <v>81.312669584245072</v>
          </cell>
          <cell r="H204">
            <v>72.955938990637762</v>
          </cell>
        </row>
        <row r="205">
          <cell r="A205" t="str">
            <v>SANJAY GANDHI I</v>
          </cell>
          <cell r="B205" t="str">
            <v>93-94</v>
          </cell>
          <cell r="C205">
            <v>210</v>
          </cell>
          <cell r="D205">
            <v>1500</v>
          </cell>
          <cell r="E205">
            <v>213.536</v>
          </cell>
          <cell r="F205">
            <v>14.235733333333332</v>
          </cell>
          <cell r="G205">
            <v>51.811609848484849</v>
          </cell>
          <cell r="H205">
            <v>11.607740813220266</v>
          </cell>
        </row>
        <row r="206">
          <cell r="B206" t="str">
            <v>94-95</v>
          </cell>
          <cell r="C206">
            <v>420</v>
          </cell>
          <cell r="D206">
            <v>1500</v>
          </cell>
          <cell r="E206">
            <v>1199</v>
          </cell>
          <cell r="F206">
            <v>79.933333333333337</v>
          </cell>
          <cell r="G206">
            <v>72.66</v>
          </cell>
          <cell r="H206">
            <v>35.287909758778738</v>
          </cell>
        </row>
        <row r="207">
          <cell r="B207" t="str">
            <v>95-96</v>
          </cell>
          <cell r="C207">
            <v>420</v>
          </cell>
          <cell r="D207">
            <v>2420</v>
          </cell>
          <cell r="E207">
            <v>1991.4</v>
          </cell>
          <cell r="F207">
            <v>82.289256198347104</v>
          </cell>
          <cell r="G207">
            <v>74</v>
          </cell>
          <cell r="H207">
            <v>53.978011969815249</v>
          </cell>
        </row>
        <row r="208">
          <cell r="B208" t="str">
            <v>96-97</v>
          </cell>
          <cell r="C208">
            <v>420</v>
          </cell>
          <cell r="D208">
            <v>2500</v>
          </cell>
          <cell r="E208">
            <v>2363</v>
          </cell>
          <cell r="F208">
            <v>94.52</v>
          </cell>
          <cell r="G208">
            <v>79.2</v>
          </cell>
          <cell r="H208">
            <v>64.225918677973468</v>
          </cell>
        </row>
        <row r="209">
          <cell r="B209" t="str">
            <v>97-98</v>
          </cell>
          <cell r="C209">
            <v>420</v>
          </cell>
          <cell r="D209">
            <v>2450</v>
          </cell>
          <cell r="E209">
            <v>2249.6</v>
          </cell>
          <cell r="F209">
            <v>91.820408163265313</v>
          </cell>
          <cell r="G209">
            <v>71.7</v>
          </cell>
          <cell r="H209">
            <v>61.143726897151552</v>
          </cell>
        </row>
        <row r="210">
          <cell r="B210" t="str">
            <v>98-99</v>
          </cell>
          <cell r="C210">
            <v>420</v>
          </cell>
          <cell r="D210">
            <v>2600</v>
          </cell>
          <cell r="E210">
            <v>2518.15</v>
          </cell>
          <cell r="F210">
            <v>96.851923076923072</v>
          </cell>
          <cell r="G210">
            <v>80</v>
          </cell>
          <cell r="H210">
            <v>68.442868014785816</v>
          </cell>
        </row>
        <row r="211">
          <cell r="B211" t="str">
            <v>99-00</v>
          </cell>
          <cell r="C211">
            <v>420</v>
          </cell>
          <cell r="D211">
            <v>2750</v>
          </cell>
          <cell r="E211">
            <v>2308.1</v>
          </cell>
          <cell r="F211">
            <v>83.9</v>
          </cell>
          <cell r="G211">
            <v>76.099999999999994</v>
          </cell>
          <cell r="H211">
            <v>62.6</v>
          </cell>
        </row>
        <row r="212">
          <cell r="B212" t="str">
            <v>00-01</v>
          </cell>
          <cell r="C212">
            <v>420</v>
          </cell>
          <cell r="D212">
            <v>2650</v>
          </cell>
          <cell r="E212">
            <v>2063.33</v>
          </cell>
          <cell r="F212">
            <v>77.89</v>
          </cell>
          <cell r="G212">
            <v>77.25</v>
          </cell>
          <cell r="H212">
            <v>56.08</v>
          </cell>
        </row>
        <row r="213">
          <cell r="A213" t="str">
            <v>Average last 5 years</v>
          </cell>
          <cell r="B213">
            <v>0</v>
          </cell>
          <cell r="C213">
            <v>0</v>
          </cell>
          <cell r="D213">
            <v>2590</v>
          </cell>
          <cell r="E213">
            <v>2300.4360000000001</v>
          </cell>
          <cell r="F213">
            <v>88.996466248037677</v>
          </cell>
          <cell r="G213">
            <v>76.849999999999994</v>
          </cell>
          <cell r="H213">
            <v>62.49850271798217</v>
          </cell>
        </row>
        <row r="214">
          <cell r="A214" t="str">
            <v>SANJAY GANDHI II</v>
          </cell>
          <cell r="B214" t="str">
            <v>99-00</v>
          </cell>
          <cell r="C214">
            <v>420</v>
          </cell>
          <cell r="D214">
            <v>1000</v>
          </cell>
          <cell r="E214">
            <v>1466.19</v>
          </cell>
          <cell r="F214">
            <v>146.619</v>
          </cell>
          <cell r="G214">
            <v>90.47</v>
          </cell>
          <cell r="H214">
            <v>85.84</v>
          </cell>
        </row>
        <row r="215">
          <cell r="B215" t="str">
            <v>00-01</v>
          </cell>
          <cell r="C215">
            <v>420</v>
          </cell>
          <cell r="D215">
            <v>2700</v>
          </cell>
          <cell r="E215">
            <v>2860.88</v>
          </cell>
          <cell r="F215">
            <v>105.84</v>
          </cell>
          <cell r="G215">
            <v>89.52</v>
          </cell>
          <cell r="H215">
            <v>77.760000000000005</v>
          </cell>
        </row>
        <row r="216">
          <cell r="A216" t="str">
            <v>Average last 2 years</v>
          </cell>
          <cell r="B216">
            <v>0</v>
          </cell>
          <cell r="C216">
            <v>0</v>
          </cell>
          <cell r="D216">
            <v>1850</v>
          </cell>
          <cell r="E216">
            <v>2163.5349999999999</v>
          </cell>
          <cell r="F216">
            <v>126.2295</v>
          </cell>
          <cell r="G216">
            <v>89.995000000000005</v>
          </cell>
          <cell r="H216">
            <v>81.800000000000011</v>
          </cell>
        </row>
        <row r="217">
          <cell r="A217" t="str">
            <v>SANJAY GANDHI</v>
          </cell>
          <cell r="B217" t="str">
            <v>93-94</v>
          </cell>
          <cell r="C217">
            <v>210</v>
          </cell>
          <cell r="D217">
            <v>1500</v>
          </cell>
          <cell r="E217">
            <v>213.536</v>
          </cell>
          <cell r="F217">
            <v>14.235733333333332</v>
          </cell>
          <cell r="G217">
            <v>51.811609848484849</v>
          </cell>
          <cell r="H217">
            <v>11.607740813220266</v>
          </cell>
        </row>
        <row r="218">
          <cell r="B218" t="str">
            <v>94-95</v>
          </cell>
          <cell r="C218">
            <v>420</v>
          </cell>
          <cell r="D218">
            <v>1500</v>
          </cell>
          <cell r="E218">
            <v>1199</v>
          </cell>
          <cell r="F218">
            <v>79.933333333333337</v>
          </cell>
          <cell r="G218">
            <v>72.66</v>
          </cell>
          <cell r="H218">
            <v>35.287909758778738</v>
          </cell>
        </row>
        <row r="219">
          <cell r="B219" t="str">
            <v>95-96</v>
          </cell>
          <cell r="C219">
            <v>420</v>
          </cell>
          <cell r="D219">
            <v>2420</v>
          </cell>
          <cell r="E219">
            <v>1991.4</v>
          </cell>
          <cell r="F219">
            <v>82.289256198347104</v>
          </cell>
          <cell r="G219">
            <v>74</v>
          </cell>
          <cell r="H219">
            <v>53.978011969815249</v>
          </cell>
        </row>
        <row r="220">
          <cell r="B220" t="str">
            <v>96-97</v>
          </cell>
          <cell r="C220">
            <v>420</v>
          </cell>
          <cell r="D220">
            <v>2500</v>
          </cell>
          <cell r="E220">
            <v>2363</v>
          </cell>
          <cell r="F220">
            <v>94.52</v>
          </cell>
          <cell r="G220">
            <v>79.2</v>
          </cell>
          <cell r="H220">
            <v>64.225918677973468</v>
          </cell>
        </row>
        <row r="221">
          <cell r="B221" t="str">
            <v>97-98</v>
          </cell>
          <cell r="C221">
            <v>420</v>
          </cell>
          <cell r="D221">
            <v>2450</v>
          </cell>
          <cell r="E221">
            <v>2249.6</v>
          </cell>
          <cell r="F221">
            <v>91.820408163265313</v>
          </cell>
          <cell r="G221">
            <v>71.7</v>
          </cell>
          <cell r="H221">
            <v>61.143726897151552</v>
          </cell>
        </row>
        <row r="222">
          <cell r="B222" t="str">
            <v>98-99</v>
          </cell>
          <cell r="C222">
            <v>420</v>
          </cell>
          <cell r="D222">
            <v>2600</v>
          </cell>
          <cell r="E222">
            <v>2518.15</v>
          </cell>
          <cell r="F222">
            <v>96.851923076923072</v>
          </cell>
          <cell r="G222">
            <v>80</v>
          </cell>
          <cell r="H222">
            <v>68.442868014785816</v>
          </cell>
        </row>
        <row r="223">
          <cell r="B223" t="str">
            <v>99-00</v>
          </cell>
          <cell r="C223">
            <v>840</v>
          </cell>
          <cell r="D223">
            <v>3750</v>
          </cell>
          <cell r="E223">
            <v>3774.29</v>
          </cell>
          <cell r="F223">
            <v>230.51900000000001</v>
          </cell>
          <cell r="G223">
            <v>166.57</v>
          </cell>
          <cell r="H223">
            <v>148.44</v>
          </cell>
        </row>
        <row r="224">
          <cell r="B224" t="str">
            <v>00-01</v>
          </cell>
          <cell r="C224">
            <v>840</v>
          </cell>
          <cell r="D224">
            <v>5350</v>
          </cell>
          <cell r="E224">
            <v>4924.21</v>
          </cell>
          <cell r="F224">
            <v>92.01</v>
          </cell>
          <cell r="G224">
            <v>83.39</v>
          </cell>
          <cell r="H224">
            <v>66.92</v>
          </cell>
        </row>
        <row r="225">
          <cell r="A225" t="str">
            <v>Average last 5 years</v>
          </cell>
          <cell r="B225">
            <v>0</v>
          </cell>
          <cell r="C225">
            <v>0</v>
          </cell>
          <cell r="D225">
            <v>3330</v>
          </cell>
          <cell r="E225">
            <v>3165.85</v>
          </cell>
          <cell r="F225">
            <v>121.14426624803768</v>
          </cell>
          <cell r="G225">
            <v>96.171999999999997</v>
          </cell>
          <cell r="H225">
            <v>81.834502717982176</v>
          </cell>
        </row>
        <row r="226">
          <cell r="A226" t="str">
            <v xml:space="preserve"> * SANJAY GHANDHI : CONSIDERING SGTPS # 1 W.E.F 01.04.93  &amp;  SGTPS # 2 W.E.F; 26.05.94 .# 3 WE.F; 01.09.99</v>
          </cell>
        </row>
        <row r="227">
          <cell r="A227" t="str">
            <v>CONSIDERING SGTPS # 1 W.E.F; 01.01.95    P.L.F. FOR 94-95 = 66.0</v>
          </cell>
          <cell r="B227">
            <v>0</v>
          </cell>
          <cell r="C227">
            <v>0</v>
          </cell>
          <cell r="D227">
            <v>0</v>
          </cell>
          <cell r="E227">
            <v>0</v>
          </cell>
          <cell r="F227">
            <v>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row>
        <row r="231">
          <cell r="C231" t="str">
            <v>MW</v>
          </cell>
          <cell r="D231" t="str">
            <v>MKwh</v>
          </cell>
          <cell r="E231" t="str">
            <v>MKwh</v>
          </cell>
          <cell r="F231" t="str">
            <v>%</v>
          </cell>
          <cell r="G231" t="str">
            <v>%</v>
          </cell>
          <cell r="H231" t="str">
            <v>%</v>
          </cell>
        </row>
        <row r="232">
          <cell r="A232" t="str">
            <v>THERMAL</v>
          </cell>
          <cell r="B232" t="str">
            <v>88-89</v>
          </cell>
          <cell r="C232">
            <v>2812.5</v>
          </cell>
          <cell r="D232">
            <v>13000</v>
          </cell>
          <cell r="E232">
            <v>12191.210000000001</v>
          </cell>
          <cell r="F232">
            <v>93.77853846153846</v>
          </cell>
          <cell r="G232">
            <v>68.689582222222228</v>
          </cell>
          <cell r="H232">
            <v>50.05</v>
          </cell>
        </row>
        <row r="233">
          <cell r="B233" t="str">
            <v>89-90</v>
          </cell>
          <cell r="C233">
            <v>2812.5</v>
          </cell>
          <cell r="D233">
            <v>13000</v>
          </cell>
          <cell r="E233">
            <v>12464.71</v>
          </cell>
          <cell r="F233">
            <v>95.882384615384609</v>
          </cell>
          <cell r="G233">
            <v>71.313822222222228</v>
          </cell>
          <cell r="H233">
            <v>50.592430238457638</v>
          </cell>
        </row>
        <row r="234">
          <cell r="B234" t="str">
            <v>90-91</v>
          </cell>
          <cell r="C234">
            <v>2682.5</v>
          </cell>
          <cell r="D234">
            <v>13750</v>
          </cell>
          <cell r="E234">
            <v>12376.880000000001</v>
          </cell>
          <cell r="F234">
            <v>90.013672727272734</v>
          </cell>
          <cell r="G234">
            <v>71.034529356943153</v>
          </cell>
          <cell r="H234">
            <v>52.670488154663872</v>
          </cell>
        </row>
        <row r="235">
          <cell r="B235" t="str">
            <v>91-92</v>
          </cell>
          <cell r="C235">
            <v>2682.5</v>
          </cell>
          <cell r="D235">
            <v>13440</v>
          </cell>
          <cell r="E235">
            <v>11579.91</v>
          </cell>
          <cell r="F235">
            <v>86.160044642857144</v>
          </cell>
          <cell r="G235">
            <v>66.919506057781931</v>
          </cell>
          <cell r="H235">
            <v>49.144296925529261</v>
          </cell>
        </row>
        <row r="236">
          <cell r="B236" t="str">
            <v>92-93</v>
          </cell>
          <cell r="C236">
            <v>2682.5</v>
          </cell>
          <cell r="D236">
            <v>13240</v>
          </cell>
          <cell r="E236">
            <v>12363.220000000001</v>
          </cell>
          <cell r="F236">
            <v>93.377794561933541</v>
          </cell>
          <cell r="G236">
            <v>71.4544734389562</v>
          </cell>
          <cell r="H236">
            <v>52.612357279338859</v>
          </cell>
        </row>
        <row r="237">
          <cell r="B237" t="str">
            <v>93-94</v>
          </cell>
          <cell r="C237">
            <v>2882.5</v>
          </cell>
          <cell r="D237">
            <v>14885</v>
          </cell>
          <cell r="E237">
            <v>13331.489799999999</v>
          </cell>
          <cell r="F237">
            <v>89.563250251931478</v>
          </cell>
          <cell r="G237">
            <v>70.561553251088981</v>
          </cell>
          <cell r="H237">
            <v>52.796515740157702</v>
          </cell>
        </row>
        <row r="238">
          <cell r="B238" t="str">
            <v>94-95</v>
          </cell>
          <cell r="C238">
            <v>3092.5</v>
          </cell>
          <cell r="D238">
            <v>14850</v>
          </cell>
          <cell r="E238">
            <v>14781.1</v>
          </cell>
          <cell r="F238">
            <v>99.536026936026943</v>
          </cell>
          <cell r="G238">
            <v>74.786483427647539</v>
          </cell>
          <cell r="H238">
            <v>54.56233411959262</v>
          </cell>
        </row>
        <row r="239">
          <cell r="B239" t="str">
            <v>95-96</v>
          </cell>
          <cell r="C239">
            <v>3092.5</v>
          </cell>
          <cell r="D239">
            <v>16620</v>
          </cell>
          <cell r="E239">
            <v>16071.3</v>
          </cell>
          <cell r="F239">
            <v>96.698555956678703</v>
          </cell>
          <cell r="G239">
            <v>75.344624090541629</v>
          </cell>
          <cell r="H239">
            <v>59.324924419441643</v>
          </cell>
        </row>
        <row r="240">
          <cell r="B240" t="str">
            <v>96-97</v>
          </cell>
          <cell r="C240">
            <v>3092.5</v>
          </cell>
          <cell r="D240">
            <v>16950</v>
          </cell>
          <cell r="E240">
            <v>16867.099999999999</v>
          </cell>
          <cell r="F240">
            <v>99.51091445427727</v>
          </cell>
          <cell r="G240">
            <v>74.891188358932908</v>
          </cell>
          <cell r="H240">
            <v>62.262507244290383</v>
          </cell>
        </row>
        <row r="241">
          <cell r="B241" t="str">
            <v>97-98</v>
          </cell>
          <cell r="C241">
            <v>3092.5</v>
          </cell>
          <cell r="D241">
            <v>17200</v>
          </cell>
          <cell r="E241">
            <v>17966.71</v>
          </cell>
          <cell r="F241">
            <v>104.45761627906977</v>
          </cell>
          <cell r="G241">
            <v>76.25933710590138</v>
          </cell>
          <cell r="H241">
            <v>66.321561592156598</v>
          </cell>
        </row>
        <row r="242">
          <cell r="B242" t="str">
            <v>98-99</v>
          </cell>
          <cell r="C242">
            <v>3092.5</v>
          </cell>
          <cell r="D242">
            <v>17500</v>
          </cell>
          <cell r="E242">
            <v>18471.390000000003</v>
          </cell>
          <cell r="F242">
            <v>105.55080000000001</v>
          </cell>
          <cell r="G242">
            <v>76.04373484236055</v>
          </cell>
          <cell r="H242">
            <v>68.184516229056172</v>
          </cell>
        </row>
        <row r="243">
          <cell r="B243" t="str">
            <v>99-00</v>
          </cell>
          <cell r="C243">
            <v>3512.5</v>
          </cell>
          <cell r="D243">
            <v>19000</v>
          </cell>
          <cell r="E243">
            <v>20146.400000000001</v>
          </cell>
          <cell r="F243">
            <v>106</v>
          </cell>
          <cell r="G243">
            <v>79.099999999999994</v>
          </cell>
          <cell r="H243">
            <v>69.400000000000006</v>
          </cell>
        </row>
        <row r="244">
          <cell r="B244" t="str">
            <v>00-01</v>
          </cell>
          <cell r="C244">
            <v>3512.5</v>
          </cell>
          <cell r="D244">
            <v>21850</v>
          </cell>
          <cell r="E244">
            <v>20415.89</v>
          </cell>
          <cell r="F244">
            <v>93.22</v>
          </cell>
          <cell r="G244">
            <v>77.67</v>
          </cell>
          <cell r="H244">
            <v>66.349999999999994</v>
          </cell>
        </row>
        <row r="245">
          <cell r="A245" t="str">
            <v>Average last 5 years</v>
          </cell>
          <cell r="B245">
            <v>0</v>
          </cell>
          <cell r="C245">
            <v>0</v>
          </cell>
          <cell r="D245">
            <v>18500</v>
          </cell>
          <cell r="E245">
            <v>18773.498</v>
          </cell>
          <cell r="F245">
            <v>101.74786614666941</v>
          </cell>
          <cell r="G245">
            <v>76.792852061438964</v>
          </cell>
          <cell r="H245">
            <v>66.503717013100641</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t="str">
            <v xml:space="preserve"> </v>
          </cell>
          <cell r="H249">
            <v>48.670693426781355</v>
          </cell>
        </row>
        <row r="250">
          <cell r="B250" t="str">
            <v>89-90</v>
          </cell>
          <cell r="C250">
            <v>2687.5</v>
          </cell>
          <cell r="D250">
            <v>12370</v>
          </cell>
          <cell r="E250">
            <v>11772.71</v>
          </cell>
          <cell r="F250">
            <v>95.171463217461607</v>
          </cell>
          <cell r="G250" t="str">
            <v xml:space="preserve"> </v>
          </cell>
          <cell r="H250">
            <v>50.006201550387594</v>
          </cell>
        </row>
        <row r="251">
          <cell r="B251" t="str">
            <v>90-91</v>
          </cell>
          <cell r="C251">
            <v>2557.5</v>
          </cell>
          <cell r="D251">
            <v>13070</v>
          </cell>
          <cell r="E251">
            <v>11770.724</v>
          </cell>
          <cell r="F251">
            <v>90.059097169089512</v>
          </cell>
          <cell r="G251" t="str">
            <v xml:space="preserve"> </v>
          </cell>
          <cell r="H251">
            <v>52.539196650553258</v>
          </cell>
        </row>
        <row r="252">
          <cell r="B252" t="str">
            <v>91-92</v>
          </cell>
          <cell r="C252">
            <v>2557.5</v>
          </cell>
          <cell r="D252">
            <v>12760</v>
          </cell>
          <cell r="E252">
            <v>11025.722</v>
          </cell>
          <cell r="F252">
            <v>86.408479623824448</v>
          </cell>
          <cell r="G252" t="str">
            <v xml:space="preserve"> </v>
          </cell>
          <cell r="H252">
            <v>49.07938008678358</v>
          </cell>
        </row>
        <row r="253">
          <cell r="B253" t="str">
            <v>92-93</v>
          </cell>
          <cell r="C253">
            <v>2557.5</v>
          </cell>
          <cell r="D253">
            <v>12600</v>
          </cell>
          <cell r="E253">
            <v>11747.684000000001</v>
          </cell>
          <cell r="F253">
            <v>93.235587301587316</v>
          </cell>
          <cell r="G253" t="str">
            <v xml:space="preserve"> </v>
          </cell>
          <cell r="H253">
            <v>52.453775764346368</v>
          </cell>
        </row>
        <row r="254">
          <cell r="B254" t="str">
            <v>93-94</v>
          </cell>
          <cell r="C254">
            <v>2757.5</v>
          </cell>
          <cell r="D254">
            <v>14335</v>
          </cell>
          <cell r="E254">
            <v>12723.7418</v>
          </cell>
          <cell r="F254">
            <v>88.759970701081258</v>
          </cell>
          <cell r="G254" t="str">
            <v xml:space="preserve"> </v>
          </cell>
          <cell r="H254">
            <v>52.67386910749844</v>
          </cell>
        </row>
        <row r="255">
          <cell r="B255" t="str">
            <v>94-95</v>
          </cell>
          <cell r="C255">
            <v>2967.5</v>
          </cell>
          <cell r="D255">
            <v>14230</v>
          </cell>
          <cell r="E255">
            <v>14181.98</v>
          </cell>
          <cell r="F255">
            <v>99.662543921293036</v>
          </cell>
          <cell r="G255" t="str">
            <v xml:space="preserve"> </v>
          </cell>
          <cell r="H255">
            <v>54.555938958196286</v>
          </cell>
        </row>
        <row r="256">
          <cell r="B256" t="str">
            <v>95-96</v>
          </cell>
          <cell r="C256">
            <v>2967.5</v>
          </cell>
          <cell r="D256">
            <v>16000</v>
          </cell>
          <cell r="E256">
            <v>15345.699999999999</v>
          </cell>
          <cell r="F256">
            <v>95.910624999999996</v>
          </cell>
          <cell r="G256" t="str">
            <v xml:space="preserve"> </v>
          </cell>
          <cell r="H256">
            <v>58.871303112191427</v>
          </cell>
        </row>
        <row r="257">
          <cell r="B257" t="str">
            <v>96-97</v>
          </cell>
          <cell r="C257">
            <v>2967.5</v>
          </cell>
          <cell r="D257">
            <v>16290</v>
          </cell>
          <cell r="E257">
            <v>16139.499999999998</v>
          </cell>
          <cell r="F257">
            <v>99.076120319214226</v>
          </cell>
          <cell r="G257" t="str">
            <v xml:space="preserve"> </v>
          </cell>
          <cell r="H257">
            <v>62.086223278823468</v>
          </cell>
        </row>
      </sheetData>
      <sheetData sheetId="1">
        <row r="3">
          <cell r="A3" t="str">
            <v>STATION NAME</v>
          </cell>
        </row>
      </sheetData>
      <sheetData sheetId="2">
        <row r="3">
          <cell r="A3" t="str">
            <v>STATION NAME</v>
          </cell>
        </row>
      </sheetData>
      <sheetData sheetId="3"/>
      <sheetData sheetId="4" refreshError="1">
        <row r="3">
          <cell r="A3" t="str">
            <v>STATION NAME</v>
          </cell>
          <cell r="B3" t="str">
            <v>YEAR</v>
          </cell>
          <cell r="C3" t="str">
            <v>CAPACITY</v>
          </cell>
          <cell r="D3" t="str">
            <v>TARGET</v>
          </cell>
          <cell r="E3" t="str">
            <v>ACTUAL GENE.</v>
          </cell>
          <cell r="F3" t="str">
            <v>ACHIEVE-MENT</v>
          </cell>
          <cell r="G3" t="str">
            <v>AVAIL-ABILITY</v>
          </cell>
          <cell r="H3" t="str">
            <v>P.L.F.</v>
          </cell>
          <cell r="I3" t="str">
            <v>AUXILIARY CONSUMPTION</v>
          </cell>
          <cell r="J3">
            <v>0</v>
          </cell>
          <cell r="K3" t="str">
            <v>MAXIMUM DEMAND</v>
          </cell>
          <cell r="L3" t="str">
            <v>COAL IN MT</v>
          </cell>
          <cell r="M3">
            <v>0</v>
          </cell>
          <cell r="N3" t="str">
            <v>COAL CONSUMED</v>
          </cell>
          <cell r="O3">
            <v>0</v>
          </cell>
          <cell r="P3" t="str">
            <v>FUEL OIL CONSUMPTION</v>
          </cell>
        </row>
        <row r="4">
          <cell r="A4" t="str">
            <v xml:space="preserve"> </v>
          </cell>
          <cell r="B4" t="str">
            <v>P A R T I C U L A R S</v>
          </cell>
          <cell r="C4" t="str">
            <v>MW</v>
          </cell>
          <cell r="D4" t="str">
            <v>MKwh</v>
          </cell>
          <cell r="E4" t="str">
            <v>MKwh</v>
          </cell>
          <cell r="F4" t="str">
            <v>%</v>
          </cell>
          <cell r="G4" t="str">
            <v>%</v>
          </cell>
          <cell r="H4" t="str">
            <v>%</v>
          </cell>
          <cell r="I4" t="str">
            <v>MKwh</v>
          </cell>
          <cell r="J4" t="str">
            <v>%</v>
          </cell>
          <cell r="K4" t="str">
            <v>MW</v>
          </cell>
          <cell r="L4" t="str">
            <v>OP.STOCK</v>
          </cell>
          <cell r="M4" t="str">
            <v>RECIEPT</v>
          </cell>
          <cell r="N4" t="str">
            <v>MT</v>
          </cell>
          <cell r="O4" t="str">
            <v>Kg/kWH</v>
          </cell>
          <cell r="P4" t="str">
            <v>KL</v>
          </cell>
          <cell r="Q4" t="str">
            <v>ml/KWH</v>
          </cell>
        </row>
        <row r="5">
          <cell r="A5" t="str">
            <v>KORBA EAST I</v>
          </cell>
          <cell r="B5" t="str">
            <v>88-89</v>
          </cell>
          <cell r="C5">
            <v>90</v>
          </cell>
          <cell r="D5">
            <v>350</v>
          </cell>
          <cell r="E5">
            <v>233.16</v>
          </cell>
          <cell r="F5">
            <v>66.617142857142852</v>
          </cell>
          <cell r="G5">
            <v>45.51</v>
          </cell>
          <cell r="H5">
            <v>29.573820395738203</v>
          </cell>
          <cell r="I5" t="str">
            <v xml:space="preserve"> </v>
          </cell>
          <cell r="J5">
            <v>0</v>
          </cell>
          <cell r="K5">
            <v>57</v>
          </cell>
          <cell r="L5">
            <v>0</v>
          </cell>
          <cell r="M5">
            <v>0</v>
          </cell>
          <cell r="N5">
            <v>277748</v>
          </cell>
          <cell r="O5">
            <v>1.1912334877337452</v>
          </cell>
          <cell r="P5">
            <v>0</v>
          </cell>
          <cell r="Q5">
            <v>0</v>
          </cell>
        </row>
        <row r="6">
          <cell r="A6">
            <v>2</v>
          </cell>
          <cell r="B6" t="str">
            <v>89-90</v>
          </cell>
          <cell r="C6">
            <v>90</v>
          </cell>
          <cell r="D6">
            <v>315</v>
          </cell>
          <cell r="E6">
            <v>64.739999999999995</v>
          </cell>
          <cell r="F6">
            <v>10.23</v>
          </cell>
          <cell r="G6">
            <v>45.51</v>
          </cell>
          <cell r="H6">
            <v>38.924963924963919</v>
          </cell>
          <cell r="I6" t="str">
            <v xml:space="preserve"> </v>
          </cell>
          <cell r="J6">
            <v>0</v>
          </cell>
          <cell r="K6">
            <v>60</v>
          </cell>
          <cell r="L6">
            <v>0</v>
          </cell>
          <cell r="M6">
            <v>0</v>
          </cell>
          <cell r="N6">
            <v>71743</v>
          </cell>
          <cell r="O6">
            <v>1.1081711461229535</v>
          </cell>
          <cell r="P6">
            <v>0</v>
          </cell>
          <cell r="Q6">
            <v>0</v>
          </cell>
        </row>
        <row r="7">
          <cell r="A7" t="str">
            <v>KORBA EAST II</v>
          </cell>
          <cell r="B7" t="str">
            <v>88-89</v>
          </cell>
          <cell r="C7">
            <v>200</v>
          </cell>
          <cell r="D7">
            <v>900</v>
          </cell>
          <cell r="E7">
            <v>626.98</v>
          </cell>
          <cell r="F7">
            <v>69.664444444444442</v>
          </cell>
          <cell r="G7">
            <v>53.05</v>
          </cell>
          <cell r="H7">
            <v>35.786529680365298</v>
          </cell>
          <cell r="I7" t="str">
            <v xml:space="preserve"> </v>
          </cell>
          <cell r="J7">
            <v>0</v>
          </cell>
          <cell r="K7">
            <v>160</v>
          </cell>
          <cell r="L7">
            <v>0</v>
          </cell>
          <cell r="M7">
            <v>0</v>
          </cell>
          <cell r="N7">
            <v>588701</v>
          </cell>
          <cell r="O7">
            <v>0.93894701585377527</v>
          </cell>
          <cell r="P7">
            <v>7154</v>
          </cell>
          <cell r="Q7">
            <v>11.410252320648187</v>
          </cell>
        </row>
        <row r="8">
          <cell r="A8">
            <v>4</v>
          </cell>
          <cell r="B8" t="str">
            <v>89-90</v>
          </cell>
          <cell r="C8">
            <v>200</v>
          </cell>
          <cell r="D8">
            <v>900</v>
          </cell>
          <cell r="E8">
            <v>1032.1500000000001</v>
          </cell>
          <cell r="F8">
            <v>114.68333333333335</v>
          </cell>
          <cell r="G8">
            <v>72.95</v>
          </cell>
          <cell r="H8">
            <v>58.912671232876718</v>
          </cell>
          <cell r="I8">
            <v>119</v>
          </cell>
          <cell r="J8">
            <v>11.529331976941336</v>
          </cell>
          <cell r="K8">
            <v>200</v>
          </cell>
          <cell r="L8">
            <v>0</v>
          </cell>
          <cell r="M8">
            <v>0</v>
          </cell>
          <cell r="N8">
            <v>983703</v>
          </cell>
          <cell r="O8">
            <v>0.95306205493387575</v>
          </cell>
          <cell r="P8">
            <v>4674</v>
          </cell>
          <cell r="Q8">
            <v>4.5284115680860335</v>
          </cell>
        </row>
        <row r="9">
          <cell r="A9">
            <v>5</v>
          </cell>
          <cell r="B9" t="str">
            <v>90-91</v>
          </cell>
          <cell r="C9">
            <v>160</v>
          </cell>
          <cell r="D9">
            <v>1050</v>
          </cell>
          <cell r="E9">
            <v>1019.65</v>
          </cell>
          <cell r="F9">
            <v>97.109523809523807</v>
          </cell>
          <cell r="G9">
            <v>76.790000000000006</v>
          </cell>
          <cell r="H9">
            <v>72.749001141552512</v>
          </cell>
          <cell r="I9">
            <v>126</v>
          </cell>
          <cell r="J9">
            <v>12.357181385769627</v>
          </cell>
          <cell r="K9">
            <v>176</v>
          </cell>
          <cell r="L9">
            <v>0</v>
          </cell>
          <cell r="M9">
            <v>0</v>
          </cell>
          <cell r="N9">
            <v>985516</v>
          </cell>
          <cell r="O9">
            <v>0.9665238071887412</v>
          </cell>
          <cell r="P9">
            <v>4737</v>
          </cell>
          <cell r="Q9">
            <v>4.6457117638405334</v>
          </cell>
        </row>
        <row r="10">
          <cell r="A10">
            <v>6</v>
          </cell>
          <cell r="B10" t="str">
            <v>91-92</v>
          </cell>
          <cell r="C10">
            <v>160</v>
          </cell>
          <cell r="D10">
            <v>840</v>
          </cell>
          <cell r="E10">
            <v>623.36</v>
          </cell>
          <cell r="F10">
            <v>74.209523809523816</v>
          </cell>
          <cell r="G10">
            <v>55.55</v>
          </cell>
          <cell r="H10">
            <v>44.474885844748862</v>
          </cell>
          <cell r="I10">
            <v>91.84</v>
          </cell>
          <cell r="J10">
            <v>14.733059548254619</v>
          </cell>
          <cell r="K10">
            <v>146</v>
          </cell>
          <cell r="L10">
            <v>0</v>
          </cell>
          <cell r="M10">
            <v>0</v>
          </cell>
          <cell r="N10">
            <v>626484</v>
          </cell>
          <cell r="O10">
            <v>1.0050115503080082</v>
          </cell>
          <cell r="P10">
            <v>6372</v>
          </cell>
          <cell r="Q10">
            <v>10.222022587268993</v>
          </cell>
        </row>
        <row r="11">
          <cell r="A11" t="str">
            <v>a</v>
          </cell>
          <cell r="B11" t="str">
            <v>92-93</v>
          </cell>
          <cell r="C11">
            <v>160</v>
          </cell>
          <cell r="D11">
            <v>840</v>
          </cell>
          <cell r="E11">
            <v>725.76</v>
          </cell>
          <cell r="F11">
            <v>86.4</v>
          </cell>
          <cell r="G11">
            <v>61.32</v>
          </cell>
          <cell r="H11">
            <v>51.780821917808218</v>
          </cell>
          <cell r="I11">
            <v>104.13</v>
          </cell>
          <cell r="J11">
            <v>14.347718253968255</v>
          </cell>
          <cell r="K11">
            <v>192</v>
          </cell>
          <cell r="L11">
            <v>0</v>
          </cell>
          <cell r="M11">
            <v>0</v>
          </cell>
          <cell r="N11">
            <v>745282</v>
          </cell>
          <cell r="O11">
            <v>1.0268986992945326</v>
          </cell>
          <cell r="P11">
            <v>7889</v>
          </cell>
          <cell r="Q11">
            <v>10.869984567901234</v>
          </cell>
        </row>
        <row r="12">
          <cell r="A12" t="str">
            <v>b</v>
          </cell>
          <cell r="B12" t="str">
            <v>93-94</v>
          </cell>
          <cell r="C12">
            <v>160</v>
          </cell>
          <cell r="D12">
            <v>850</v>
          </cell>
          <cell r="E12">
            <v>726.2</v>
          </cell>
          <cell r="F12">
            <v>85.435294117647061</v>
          </cell>
          <cell r="G12">
            <v>60.264794520547945</v>
          </cell>
          <cell r="H12">
            <v>51.812214611872143</v>
          </cell>
          <cell r="I12">
            <v>102.85735</v>
          </cell>
          <cell r="J12">
            <v>14.163777196364638</v>
          </cell>
          <cell r="K12">
            <v>164</v>
          </cell>
          <cell r="L12">
            <v>0</v>
          </cell>
          <cell r="M12">
            <v>0</v>
          </cell>
          <cell r="N12">
            <v>747152</v>
          </cell>
          <cell r="O12">
            <v>1.0288515560451665</v>
          </cell>
          <cell r="P12">
            <v>6596.07</v>
          </cell>
          <cell r="Q12">
            <v>9.0829936656568435</v>
          </cell>
        </row>
        <row r="13">
          <cell r="A13" t="str">
            <v>c</v>
          </cell>
          <cell r="B13" t="str">
            <v>94-95</v>
          </cell>
          <cell r="C13">
            <v>160</v>
          </cell>
          <cell r="D13">
            <v>850</v>
          </cell>
          <cell r="E13">
            <v>797.1</v>
          </cell>
          <cell r="F13">
            <v>93.776470588235298</v>
          </cell>
          <cell r="G13">
            <v>67.2</v>
          </cell>
          <cell r="H13">
            <v>56.87071917808219</v>
          </cell>
          <cell r="I13">
            <v>111.1</v>
          </cell>
          <cell r="J13">
            <v>13.938025341864257</v>
          </cell>
          <cell r="K13">
            <v>182</v>
          </cell>
          <cell r="L13">
            <v>0</v>
          </cell>
          <cell r="M13">
            <v>0</v>
          </cell>
          <cell r="N13">
            <v>830584</v>
          </cell>
          <cell r="O13">
            <v>1.0420072763768662</v>
          </cell>
          <cell r="P13">
            <v>10237</v>
          </cell>
          <cell r="Q13">
            <v>12.842805168736669</v>
          </cell>
        </row>
        <row r="14">
          <cell r="A14" t="str">
            <v>d</v>
          </cell>
          <cell r="B14" t="str">
            <v>95-96</v>
          </cell>
          <cell r="C14">
            <v>160</v>
          </cell>
          <cell r="D14">
            <v>900</v>
          </cell>
          <cell r="E14">
            <v>1017.6</v>
          </cell>
          <cell r="F14">
            <v>113.06666666666666</v>
          </cell>
          <cell r="G14">
            <v>76.7</v>
          </cell>
          <cell r="H14">
            <v>72.404371584699447</v>
          </cell>
          <cell r="I14">
            <v>127</v>
          </cell>
          <cell r="J14">
            <v>12.480345911949685</v>
          </cell>
          <cell r="K14">
            <v>192</v>
          </cell>
          <cell r="L14">
            <v>0</v>
          </cell>
          <cell r="M14">
            <v>0</v>
          </cell>
          <cell r="N14">
            <v>1055897</v>
          </cell>
          <cell r="O14">
            <v>1.0376346305031448</v>
          </cell>
          <cell r="P14">
            <v>6774</v>
          </cell>
          <cell r="Q14">
            <v>6.6568396226415096</v>
          </cell>
        </row>
        <row r="15">
          <cell r="A15" t="str">
            <v>e</v>
          </cell>
          <cell r="B15" t="str">
            <v>96-97</v>
          </cell>
          <cell r="C15">
            <v>160</v>
          </cell>
          <cell r="D15">
            <v>900</v>
          </cell>
          <cell r="E15">
            <v>1111.0999999999999</v>
          </cell>
          <cell r="F15">
            <v>123.45555555555553</v>
          </cell>
          <cell r="G15">
            <v>81.400000000000006</v>
          </cell>
          <cell r="H15">
            <v>79.273687214611869</v>
          </cell>
          <cell r="I15">
            <v>128.80000000000001</v>
          </cell>
          <cell r="J15">
            <v>11.592115921159214</v>
          </cell>
          <cell r="K15">
            <v>196</v>
          </cell>
          <cell r="L15">
            <v>0</v>
          </cell>
          <cell r="M15">
            <v>0</v>
          </cell>
          <cell r="N15">
            <v>1098156</v>
          </cell>
          <cell r="O15">
            <v>0.98835028350283505</v>
          </cell>
          <cell r="P15">
            <v>6387</v>
          </cell>
          <cell r="Q15">
            <v>5.7483574835748366</v>
          </cell>
        </row>
        <row r="16">
          <cell r="A16" t="str">
            <v>f</v>
          </cell>
          <cell r="B16" t="str">
            <v>97-98</v>
          </cell>
          <cell r="C16">
            <v>160</v>
          </cell>
          <cell r="D16">
            <v>1050</v>
          </cell>
          <cell r="E16">
            <v>1123.95</v>
          </cell>
          <cell r="F16">
            <v>107.04285714285714</v>
          </cell>
          <cell r="G16">
            <v>83.5</v>
          </cell>
          <cell r="H16">
            <v>80.190496575342465</v>
          </cell>
          <cell r="I16">
            <v>132.66300000000001</v>
          </cell>
          <cell r="J16">
            <v>11.803283064193247</v>
          </cell>
          <cell r="K16">
            <v>190</v>
          </cell>
          <cell r="L16">
            <v>0</v>
          </cell>
          <cell r="M16">
            <v>0</v>
          </cell>
          <cell r="N16">
            <v>1049273</v>
          </cell>
          <cell r="O16">
            <v>0.93355843231460478</v>
          </cell>
          <cell r="P16">
            <v>5874</v>
          </cell>
          <cell r="Q16">
            <v>5.2262111303883625</v>
          </cell>
        </row>
        <row r="17">
          <cell r="A17" t="str">
            <v>g</v>
          </cell>
          <cell r="B17" t="str">
            <v>98-99</v>
          </cell>
          <cell r="C17">
            <v>160</v>
          </cell>
          <cell r="D17">
            <v>1000</v>
          </cell>
          <cell r="E17">
            <v>827.49</v>
          </cell>
          <cell r="F17">
            <v>82.748999999999995</v>
          </cell>
          <cell r="G17">
            <v>59.9</v>
          </cell>
          <cell r="H17">
            <v>59.038955479452056</v>
          </cell>
          <cell r="I17">
            <v>98.7</v>
          </cell>
          <cell r="J17">
            <v>11.927636587753327</v>
          </cell>
          <cell r="K17">
            <v>188</v>
          </cell>
          <cell r="L17">
            <v>0</v>
          </cell>
          <cell r="M17">
            <v>0</v>
          </cell>
          <cell r="N17">
            <v>770211</v>
          </cell>
          <cell r="O17">
            <v>0.93077982815502303</v>
          </cell>
          <cell r="P17">
            <v>3594</v>
          </cell>
          <cell r="Q17">
            <v>4.3432549033825181</v>
          </cell>
        </row>
        <row r="18">
          <cell r="A18" t="str">
            <v>h</v>
          </cell>
          <cell r="B18" t="str">
            <v>99-00</v>
          </cell>
          <cell r="C18">
            <v>160</v>
          </cell>
          <cell r="D18">
            <v>900</v>
          </cell>
          <cell r="E18">
            <v>991.4</v>
          </cell>
          <cell r="F18">
            <v>110.15555555555555</v>
          </cell>
          <cell r="G18">
            <v>76.5</v>
          </cell>
          <cell r="H18">
            <v>70.5</v>
          </cell>
          <cell r="I18">
            <v>123.9</v>
          </cell>
          <cell r="J18">
            <v>12.5</v>
          </cell>
          <cell r="K18">
            <v>172</v>
          </cell>
          <cell r="L18">
            <v>0</v>
          </cell>
          <cell r="M18">
            <v>0</v>
          </cell>
          <cell r="N18">
            <v>945093</v>
          </cell>
          <cell r="O18">
            <v>0.95</v>
          </cell>
          <cell r="P18">
            <v>4874</v>
          </cell>
          <cell r="Q18">
            <v>4.9162800080693971</v>
          </cell>
        </row>
        <row r="19">
          <cell r="A19">
            <v>7</v>
          </cell>
          <cell r="B19" t="str">
            <v>00-01</v>
          </cell>
          <cell r="C19">
            <v>160</v>
          </cell>
          <cell r="D19">
            <v>850</v>
          </cell>
          <cell r="E19">
            <v>889.2</v>
          </cell>
          <cell r="F19">
            <v>104.61176470588235</v>
          </cell>
          <cell r="G19">
            <v>64.37</v>
          </cell>
          <cell r="H19">
            <v>63.44</v>
          </cell>
          <cell r="I19">
            <v>107.73</v>
          </cell>
          <cell r="J19">
            <v>12.12</v>
          </cell>
          <cell r="K19">
            <v>180</v>
          </cell>
          <cell r="L19">
            <v>0</v>
          </cell>
          <cell r="M19">
            <v>0</v>
          </cell>
          <cell r="N19">
            <v>852784</v>
          </cell>
          <cell r="O19">
            <v>0.95899999999999996</v>
          </cell>
          <cell r="P19">
            <v>3494</v>
          </cell>
          <cell r="Q19">
            <v>3.93</v>
          </cell>
        </row>
        <row r="20">
          <cell r="A20" t="str">
            <v>Average last 5 years</v>
          </cell>
          <cell r="B20">
            <v>0</v>
          </cell>
          <cell r="C20" t="str">
            <v>No</v>
          </cell>
          <cell r="D20">
            <v>940</v>
          </cell>
          <cell r="E20">
            <v>988.62800000000004</v>
          </cell>
          <cell r="F20">
            <v>105.60294659197011</v>
          </cell>
          <cell r="G20">
            <v>73.134</v>
          </cell>
          <cell r="H20">
            <v>70.488627853881283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KORBA EAST III</v>
          </cell>
          <cell r="B21" t="str">
            <v>88-89</v>
          </cell>
          <cell r="C21">
            <v>240</v>
          </cell>
          <cell r="D21">
            <v>1200</v>
          </cell>
          <cell r="E21">
            <v>1075.1099999999999</v>
          </cell>
          <cell r="F21">
            <v>89.592499999999987</v>
          </cell>
          <cell r="G21">
            <v>73.069999999999993</v>
          </cell>
          <cell r="H21">
            <v>51.137271689497709</v>
          </cell>
          <cell r="I21" t="str">
            <v xml:space="preserve"> </v>
          </cell>
          <cell r="J21">
            <v>0</v>
          </cell>
          <cell r="K21">
            <v>212</v>
          </cell>
          <cell r="L21">
            <v>0</v>
          </cell>
          <cell r="M21">
            <v>0</v>
          </cell>
          <cell r="N21">
            <v>978858</v>
          </cell>
          <cell r="O21">
            <v>0.9104724167759578</v>
          </cell>
          <cell r="P21">
            <v>19275</v>
          </cell>
          <cell r="Q21">
            <v>17.928398024388205</v>
          </cell>
        </row>
        <row r="22">
          <cell r="A22">
            <v>8</v>
          </cell>
          <cell r="B22" t="str">
            <v>89-90</v>
          </cell>
          <cell r="C22">
            <v>240</v>
          </cell>
          <cell r="D22">
            <v>1110</v>
          </cell>
          <cell r="E22">
            <v>1193.79</v>
          </cell>
          <cell r="F22">
            <v>107.54864864864865</v>
          </cell>
          <cell r="G22">
            <v>78.05</v>
          </cell>
          <cell r="H22">
            <v>56.782248858447488</v>
          </cell>
          <cell r="I22">
            <v>114</v>
          </cell>
          <cell r="J22">
            <v>9.5494182393888369</v>
          </cell>
          <cell r="K22">
            <v>224</v>
          </cell>
          <cell r="L22">
            <v>0</v>
          </cell>
          <cell r="M22">
            <v>0</v>
          </cell>
          <cell r="N22">
            <v>1094158</v>
          </cell>
          <cell r="O22">
            <v>0.916541435260808</v>
          </cell>
          <cell r="P22">
            <v>18208</v>
          </cell>
          <cell r="Q22">
            <v>15.252263798490523</v>
          </cell>
        </row>
        <row r="23">
          <cell r="A23" t="str">
            <v>a</v>
          </cell>
          <cell r="B23" t="str">
            <v>90-91</v>
          </cell>
          <cell r="C23">
            <v>240</v>
          </cell>
          <cell r="D23">
            <v>1250</v>
          </cell>
          <cell r="E23">
            <v>1137.1400000000001</v>
          </cell>
          <cell r="F23">
            <v>90.97120000000001</v>
          </cell>
          <cell r="G23">
            <v>73.55</v>
          </cell>
          <cell r="H23">
            <v>54.087709284627103</v>
          </cell>
          <cell r="I23">
            <v>113</v>
          </cell>
          <cell r="J23">
            <v>9.9372108975148166</v>
          </cell>
          <cell r="K23">
            <v>215</v>
          </cell>
          <cell r="L23">
            <v>0</v>
          </cell>
          <cell r="M23">
            <v>0</v>
          </cell>
          <cell r="N23">
            <v>1065421</v>
          </cell>
          <cell r="O23">
            <v>0.93693036917178185</v>
          </cell>
          <cell r="P23">
            <v>14929</v>
          </cell>
          <cell r="Q23">
            <v>13.128550574247672</v>
          </cell>
        </row>
        <row r="24">
          <cell r="A24" t="str">
            <v>b</v>
          </cell>
          <cell r="B24" t="str">
            <v>91-92</v>
          </cell>
          <cell r="C24">
            <v>240</v>
          </cell>
          <cell r="D24">
            <v>1200</v>
          </cell>
          <cell r="E24">
            <v>850.6</v>
          </cell>
          <cell r="F24">
            <v>70.88333333333334</v>
          </cell>
          <cell r="G24">
            <v>60.67</v>
          </cell>
          <cell r="H24">
            <v>40.458523592085236</v>
          </cell>
          <cell r="I24">
            <v>93.49</v>
          </cell>
          <cell r="J24">
            <v>10.99106513049612</v>
          </cell>
          <cell r="K24">
            <v>218</v>
          </cell>
          <cell r="L24">
            <v>0</v>
          </cell>
          <cell r="M24">
            <v>0</v>
          </cell>
          <cell r="N24">
            <v>821535</v>
          </cell>
          <cell r="O24">
            <v>0.96583000235128147</v>
          </cell>
          <cell r="P24">
            <v>13865</v>
          </cell>
          <cell r="Q24">
            <v>16.300258640959321</v>
          </cell>
        </row>
        <row r="25">
          <cell r="A25" t="str">
            <v>c</v>
          </cell>
          <cell r="B25" t="str">
            <v>92-93</v>
          </cell>
          <cell r="C25">
            <v>240</v>
          </cell>
          <cell r="D25">
            <v>1100</v>
          </cell>
          <cell r="E25">
            <v>866.45</v>
          </cell>
          <cell r="F25">
            <v>78.768181818181816</v>
          </cell>
          <cell r="G25">
            <v>60.12</v>
          </cell>
          <cell r="H25">
            <v>41.212423896499239</v>
          </cell>
          <cell r="I25">
            <v>93.94</v>
          </cell>
          <cell r="J25">
            <v>10.841941254544405</v>
          </cell>
          <cell r="K25">
            <v>220</v>
          </cell>
          <cell r="L25">
            <v>0</v>
          </cell>
          <cell r="M25">
            <v>0</v>
          </cell>
          <cell r="N25">
            <v>837244</v>
          </cell>
          <cell r="O25">
            <v>0.96629234231634831</v>
          </cell>
          <cell r="P25">
            <v>13463</v>
          </cell>
          <cell r="Q25">
            <v>15.538115298055283</v>
          </cell>
        </row>
        <row r="26">
          <cell r="A26" t="str">
            <v>d</v>
          </cell>
          <cell r="B26" t="str">
            <v>93-94</v>
          </cell>
          <cell r="C26">
            <v>240</v>
          </cell>
          <cell r="D26">
            <v>1200</v>
          </cell>
          <cell r="E26">
            <v>1009.737</v>
          </cell>
          <cell r="F26">
            <v>84.144750000000002</v>
          </cell>
          <cell r="G26">
            <v>68.032301369863021</v>
          </cell>
          <cell r="H26">
            <v>48.027825342465754</v>
          </cell>
          <cell r="I26">
            <v>106.832292</v>
          </cell>
          <cell r="J26">
            <v>10.580209698168929</v>
          </cell>
          <cell r="K26">
            <v>216</v>
          </cell>
          <cell r="L26">
            <v>0</v>
          </cell>
          <cell r="M26">
            <v>0</v>
          </cell>
          <cell r="N26">
            <v>1033657</v>
          </cell>
          <cell r="O26">
            <v>1.0236893369263482</v>
          </cell>
          <cell r="P26">
            <v>9864.48</v>
          </cell>
          <cell r="Q26">
            <v>9.7693557827434265</v>
          </cell>
        </row>
        <row r="27">
          <cell r="A27" t="str">
            <v>e</v>
          </cell>
          <cell r="B27" t="str">
            <v>94-95</v>
          </cell>
          <cell r="C27">
            <v>240</v>
          </cell>
          <cell r="D27">
            <v>1150</v>
          </cell>
          <cell r="E27">
            <v>1103</v>
          </cell>
          <cell r="F27">
            <v>95.913043478260875</v>
          </cell>
          <cell r="G27">
            <v>76.5</v>
          </cell>
          <cell r="H27">
            <v>52.463850837138509</v>
          </cell>
          <cell r="I27">
            <v>121.3</v>
          </cell>
          <cell r="J27">
            <v>10.99728014505893</v>
          </cell>
          <cell r="K27">
            <v>217</v>
          </cell>
          <cell r="L27">
            <v>0</v>
          </cell>
          <cell r="M27">
            <v>0</v>
          </cell>
          <cell r="N27">
            <v>1127339</v>
          </cell>
          <cell r="O27">
            <v>1.0220661831368993</v>
          </cell>
          <cell r="P27">
            <v>19357</v>
          </cell>
          <cell r="Q27">
            <v>17.5494106980961</v>
          </cell>
        </row>
        <row r="28">
          <cell r="A28">
            <v>9</v>
          </cell>
          <cell r="B28" t="str">
            <v>95-96</v>
          </cell>
          <cell r="C28">
            <v>240</v>
          </cell>
          <cell r="D28">
            <v>1150</v>
          </cell>
          <cell r="E28">
            <v>1114.5</v>
          </cell>
          <cell r="F28">
            <v>96.913043478260875</v>
          </cell>
          <cell r="G28">
            <v>72.2</v>
          </cell>
          <cell r="H28">
            <v>52.866006375227684</v>
          </cell>
          <cell r="I28">
            <v>119.5</v>
          </cell>
          <cell r="J28">
            <v>10.722296994167788</v>
          </cell>
          <cell r="K28">
            <v>214</v>
          </cell>
          <cell r="L28">
            <v>0</v>
          </cell>
          <cell r="M28">
            <v>0</v>
          </cell>
          <cell r="N28">
            <v>1148422</v>
          </cell>
          <cell r="O28">
            <v>1.0304369672498879</v>
          </cell>
          <cell r="P28">
            <v>9390</v>
          </cell>
          <cell r="Q28">
            <v>8.4253028263795429</v>
          </cell>
        </row>
        <row r="29">
          <cell r="A29">
            <v>10</v>
          </cell>
          <cell r="B29" t="str">
            <v>96-97</v>
          </cell>
          <cell r="C29">
            <v>240</v>
          </cell>
          <cell r="D29">
            <v>1200</v>
          </cell>
          <cell r="E29">
            <v>1261.0999999999999</v>
          </cell>
          <cell r="F29">
            <v>105.09166666666665</v>
          </cell>
          <cell r="G29">
            <v>78.599999999999994</v>
          </cell>
          <cell r="H29">
            <v>59.983828006088274</v>
          </cell>
          <cell r="I29">
            <v>130.69999999999999</v>
          </cell>
          <cell r="J29">
            <v>10.363967964475457</v>
          </cell>
          <cell r="K29">
            <v>217</v>
          </cell>
          <cell r="L29">
            <v>0</v>
          </cell>
          <cell r="M29">
            <v>0</v>
          </cell>
          <cell r="N29">
            <v>1215835</v>
          </cell>
          <cell r="O29">
            <v>0.96410673221790499</v>
          </cell>
          <cell r="P29">
            <v>7474</v>
          </cell>
          <cell r="Q29">
            <v>5.9265720402822932</v>
          </cell>
        </row>
        <row r="30">
          <cell r="A30">
            <v>11</v>
          </cell>
          <cell r="B30" t="str">
            <v>97-98</v>
          </cell>
          <cell r="C30">
            <v>240</v>
          </cell>
          <cell r="D30">
            <v>1000</v>
          </cell>
          <cell r="E30">
            <v>1352.17</v>
          </cell>
          <cell r="F30">
            <v>135.21700000000001</v>
          </cell>
          <cell r="G30">
            <v>83.4</v>
          </cell>
          <cell r="H30">
            <v>64.31554414003044</v>
          </cell>
          <cell r="I30">
            <v>139.19800000000001</v>
          </cell>
          <cell r="J30">
            <v>10.294415643003468</v>
          </cell>
          <cell r="K30">
            <v>213</v>
          </cell>
          <cell r="L30">
            <v>0</v>
          </cell>
          <cell r="M30">
            <v>0</v>
          </cell>
          <cell r="N30">
            <v>1152800</v>
          </cell>
          <cell r="O30">
            <v>0.85255552186485428</v>
          </cell>
          <cell r="P30">
            <v>6231</v>
          </cell>
          <cell r="Q30">
            <v>4.6081483837091488</v>
          </cell>
        </row>
        <row r="31">
          <cell r="A31">
            <v>12</v>
          </cell>
          <cell r="B31" t="str">
            <v>98-99</v>
          </cell>
          <cell r="C31">
            <v>240</v>
          </cell>
          <cell r="D31">
            <v>1100</v>
          </cell>
          <cell r="E31">
            <v>969.66</v>
          </cell>
          <cell r="F31">
            <v>88.150909090909096</v>
          </cell>
          <cell r="G31">
            <v>59.9</v>
          </cell>
          <cell r="H31">
            <v>46.121575342465754</v>
          </cell>
          <cell r="I31">
            <v>104.9</v>
          </cell>
          <cell r="J31">
            <v>10.818224944826023</v>
          </cell>
          <cell r="K31">
            <v>205</v>
          </cell>
          <cell r="L31">
            <v>0</v>
          </cell>
          <cell r="M31">
            <v>0</v>
          </cell>
          <cell r="N31">
            <v>842753</v>
          </cell>
          <cell r="O31">
            <v>0.86912216653259911</v>
          </cell>
          <cell r="P31">
            <v>4062</v>
          </cell>
          <cell r="Q31">
            <v>4.1890972093311056</v>
          </cell>
        </row>
        <row r="32">
          <cell r="A32">
            <v>13</v>
          </cell>
          <cell r="B32" t="str">
            <v>99-00</v>
          </cell>
          <cell r="C32">
            <v>240</v>
          </cell>
          <cell r="D32">
            <v>1000</v>
          </cell>
          <cell r="E32">
            <v>1349.3</v>
          </cell>
          <cell r="F32">
            <v>150.1</v>
          </cell>
          <cell r="G32">
            <v>84.2</v>
          </cell>
          <cell r="H32">
            <v>64</v>
          </cell>
          <cell r="I32">
            <v>136.1</v>
          </cell>
          <cell r="J32">
            <v>10.1</v>
          </cell>
          <cell r="K32">
            <v>208</v>
          </cell>
          <cell r="L32">
            <v>0</v>
          </cell>
          <cell r="M32">
            <v>0</v>
          </cell>
          <cell r="N32">
            <v>1212963</v>
          </cell>
          <cell r="O32">
            <v>0.9</v>
          </cell>
          <cell r="P32">
            <v>5019</v>
          </cell>
          <cell r="Q32">
            <v>3.72</v>
          </cell>
        </row>
        <row r="33">
          <cell r="A33">
            <v>14</v>
          </cell>
          <cell r="B33" t="str">
            <v>00-01</v>
          </cell>
          <cell r="C33">
            <v>240</v>
          </cell>
          <cell r="D33">
            <v>1150</v>
          </cell>
          <cell r="E33">
            <v>1293.6300000000001</v>
          </cell>
          <cell r="F33">
            <v>112.48956521739132</v>
          </cell>
          <cell r="G33">
            <v>81.05</v>
          </cell>
          <cell r="H33">
            <v>61.53</v>
          </cell>
          <cell r="I33">
            <v>128.52000000000001</v>
          </cell>
          <cell r="J33">
            <v>9.93</v>
          </cell>
          <cell r="K33">
            <v>206</v>
          </cell>
          <cell r="L33">
            <v>0</v>
          </cell>
          <cell r="M33">
            <v>0</v>
          </cell>
          <cell r="N33">
            <v>1151942</v>
          </cell>
          <cell r="O33">
            <v>0.89</v>
          </cell>
          <cell r="P33">
            <v>5085</v>
          </cell>
          <cell r="Q33">
            <v>3.93</v>
          </cell>
        </row>
        <row r="34">
          <cell r="A34" t="str">
            <v>Average last 5 years</v>
          </cell>
          <cell r="B34" t="str">
            <v>Cost of  Fuels  per  Kwh  Generated</v>
          </cell>
          <cell r="C34" t="str">
            <v>Paise</v>
          </cell>
          <cell r="D34">
            <v>1090</v>
          </cell>
          <cell r="E34">
            <v>1245.172</v>
          </cell>
          <cell r="F34">
            <v>118.20982819499341</v>
          </cell>
          <cell r="G34">
            <v>77.430000000000007</v>
          </cell>
          <cell r="H34">
            <v>59.190189497716894</v>
          </cell>
          <cell r="I34">
            <v>127.8836</v>
          </cell>
          <cell r="J34">
            <v>10.301321710460989</v>
          </cell>
          <cell r="K34">
            <v>209.8</v>
          </cell>
          <cell r="L34">
            <v>0</v>
          </cell>
          <cell r="M34">
            <v>0</v>
          </cell>
          <cell r="N34">
            <v>1115258.6000000001</v>
          </cell>
          <cell r="O34">
            <v>0.89515688412307171</v>
          </cell>
          <cell r="P34">
            <v>5574.2</v>
          </cell>
          <cell r="Q34">
            <v>4.4747635266645087</v>
          </cell>
        </row>
        <row r="35">
          <cell r="A35" t="str">
            <v>KORBA EAST</v>
          </cell>
          <cell r="B35" t="str">
            <v>88-89</v>
          </cell>
          <cell r="C35">
            <v>530</v>
          </cell>
          <cell r="D35">
            <v>2450</v>
          </cell>
          <cell r="E35">
            <v>1935.25</v>
          </cell>
          <cell r="F35">
            <v>78.989795918367349</v>
          </cell>
          <cell r="G35">
            <v>60.835283018867919</v>
          </cell>
          <cell r="H35">
            <v>41.682820711639529</v>
          </cell>
          <cell r="I35">
            <v>0</v>
          </cell>
          <cell r="J35">
            <v>0</v>
          </cell>
          <cell r="K35" t="str">
            <v xml:space="preserve"> </v>
          </cell>
          <cell r="L35" t="str">
            <v xml:space="preserve"> </v>
          </cell>
          <cell r="M35" t="str">
            <v xml:space="preserve"> </v>
          </cell>
          <cell r="N35">
            <v>1845307</v>
          </cell>
          <cell r="O35">
            <v>0.95352383412995734</v>
          </cell>
          <cell r="P35">
            <v>26429</v>
          </cell>
          <cell r="Q35">
            <v>13.656633509882445</v>
          </cell>
        </row>
        <row r="36">
          <cell r="A36">
            <v>17</v>
          </cell>
          <cell r="B36" t="str">
            <v>89-90</v>
          </cell>
          <cell r="C36">
            <v>530</v>
          </cell>
          <cell r="D36">
            <v>2325</v>
          </cell>
          <cell r="E36">
            <v>2290.6799999999998</v>
          </cell>
          <cell r="F36">
            <v>98.523870967741928</v>
          </cell>
          <cell r="G36">
            <v>70.599811320754725</v>
          </cell>
          <cell r="H36">
            <v>49.338330317911598</v>
          </cell>
          <cell r="I36">
            <v>233</v>
          </cell>
          <cell r="J36">
            <v>10.171652085843506</v>
          </cell>
          <cell r="K36" t="str">
            <v xml:space="preserve"> </v>
          </cell>
          <cell r="L36">
            <v>126109</v>
          </cell>
          <cell r="M36">
            <v>2052076</v>
          </cell>
          <cell r="N36">
            <v>2149604</v>
          </cell>
          <cell r="O36">
            <v>0.93841304765397171</v>
          </cell>
          <cell r="P36">
            <v>22882</v>
          </cell>
          <cell r="Q36">
            <v>9.9891735205266574</v>
          </cell>
        </row>
        <row r="37">
          <cell r="A37">
            <v>18</v>
          </cell>
          <cell r="B37" t="str">
            <v>90-91</v>
          </cell>
          <cell r="C37">
            <v>400</v>
          </cell>
          <cell r="D37">
            <v>2300</v>
          </cell>
          <cell r="E37">
            <v>2156.79</v>
          </cell>
          <cell r="F37">
            <v>93.773478260869567</v>
          </cell>
          <cell r="G37">
            <v>74.846000000000004</v>
          </cell>
          <cell r="H37">
            <v>61.552226027397261</v>
          </cell>
          <cell r="I37">
            <v>239</v>
          </cell>
          <cell r="J37">
            <v>11.081282832357346</v>
          </cell>
          <cell r="K37" t="str">
            <v xml:space="preserve"> </v>
          </cell>
          <cell r="L37">
            <v>140564</v>
          </cell>
          <cell r="M37">
            <v>1960713</v>
          </cell>
          <cell r="N37">
            <v>2050937</v>
          </cell>
          <cell r="O37">
            <v>0.9509210447006895</v>
          </cell>
          <cell r="P37">
            <v>19666</v>
          </cell>
          <cell r="Q37">
            <v>9.1181802586250864</v>
          </cell>
        </row>
        <row r="38">
          <cell r="A38" t="str">
            <v>Note :-</v>
          </cell>
          <cell r="B38" t="str">
            <v>91-92</v>
          </cell>
          <cell r="C38">
            <v>400</v>
          </cell>
          <cell r="D38">
            <v>2040</v>
          </cell>
          <cell r="E38">
            <v>1473.96</v>
          </cell>
          <cell r="F38">
            <v>72.252941176470586</v>
          </cell>
          <cell r="G38">
            <v>58.622000000000007</v>
          </cell>
          <cell r="H38">
            <v>41.950136612021858</v>
          </cell>
          <cell r="I38">
            <v>185.32999999999998</v>
          </cell>
          <cell r="J38">
            <v>12.573611224185187</v>
          </cell>
          <cell r="K38" t="str">
            <v xml:space="preserve"> </v>
          </cell>
          <cell r="L38">
            <v>106295</v>
          </cell>
          <cell r="M38">
            <v>1485028</v>
          </cell>
          <cell r="N38">
            <v>1448019</v>
          </cell>
          <cell r="O38">
            <v>0.98240047219734594</v>
          </cell>
          <cell r="P38">
            <v>20237</v>
          </cell>
          <cell r="Q38">
            <v>13.729680588347037</v>
          </cell>
        </row>
        <row r="39">
          <cell r="A39">
            <v>1</v>
          </cell>
          <cell r="B39" t="str">
            <v>92-93</v>
          </cell>
          <cell r="C39">
            <v>400</v>
          </cell>
          <cell r="D39">
            <v>1940</v>
          </cell>
          <cell r="E39">
            <v>1592.21</v>
          </cell>
          <cell r="F39">
            <v>82.072680412371128</v>
          </cell>
          <cell r="G39">
            <v>60.6</v>
          </cell>
          <cell r="H39">
            <v>45.439783105022833</v>
          </cell>
          <cell r="I39">
            <v>198.07</v>
          </cell>
          <cell r="J39">
            <v>12.439941967454041</v>
          </cell>
          <cell r="K39" t="str">
            <v xml:space="preserve"> </v>
          </cell>
          <cell r="L39">
            <v>138478</v>
          </cell>
          <cell r="M39">
            <v>1460489</v>
          </cell>
          <cell r="N39">
            <v>1582526</v>
          </cell>
          <cell r="O39">
            <v>0.99391788771581635</v>
          </cell>
          <cell r="P39">
            <v>21352</v>
          </cell>
          <cell r="Q39">
            <v>13.410291356039718</v>
          </cell>
        </row>
        <row r="40">
          <cell r="A40">
            <v>2</v>
          </cell>
          <cell r="B40" t="str">
            <v>93-94</v>
          </cell>
          <cell r="C40">
            <v>400</v>
          </cell>
          <cell r="D40">
            <v>2050</v>
          </cell>
          <cell r="E40">
            <v>1735.9369999999999</v>
          </cell>
          <cell r="F40">
            <v>84.679853658536572</v>
          </cell>
          <cell r="G40">
            <v>64.925298630136979</v>
          </cell>
          <cell r="H40">
            <v>49.541581050228309</v>
          </cell>
          <cell r="I40">
            <v>209.68964199999999</v>
          </cell>
          <cell r="J40">
            <v>12.079334791527572</v>
          </cell>
          <cell r="K40" t="str">
            <v xml:space="preserve"> </v>
          </cell>
          <cell r="L40">
            <v>55118</v>
          </cell>
          <cell r="M40">
            <v>1778517</v>
          </cell>
          <cell r="N40">
            <v>1780809</v>
          </cell>
          <cell r="O40">
            <v>1.0258488643309061</v>
          </cell>
          <cell r="P40">
            <v>16460.55</v>
          </cell>
          <cell r="Q40">
            <v>9.482227753656959</v>
          </cell>
        </row>
        <row r="41">
          <cell r="A41">
            <v>3</v>
          </cell>
          <cell r="B41" t="str">
            <v>94-95</v>
          </cell>
          <cell r="C41">
            <v>400</v>
          </cell>
          <cell r="D41">
            <v>2000</v>
          </cell>
          <cell r="E41">
            <v>1900.1</v>
          </cell>
          <cell r="F41">
            <v>95.004999999999995</v>
          </cell>
          <cell r="G41">
            <v>72.78</v>
          </cell>
          <cell r="H41">
            <v>54.226598173515981</v>
          </cell>
          <cell r="I41">
            <v>232.39999999999998</v>
          </cell>
          <cell r="J41">
            <v>12.230935213936107</v>
          </cell>
          <cell r="K41">
            <v>390</v>
          </cell>
          <cell r="L41">
            <v>55519</v>
          </cell>
          <cell r="M41">
            <v>1906808</v>
          </cell>
          <cell r="N41">
            <v>1957923</v>
          </cell>
          <cell r="O41">
            <v>1.0304315562338824</v>
          </cell>
          <cell r="P41">
            <v>29594</v>
          </cell>
          <cell r="Q41">
            <v>15.57496973843482</v>
          </cell>
        </row>
        <row r="42">
          <cell r="A42">
            <v>4</v>
          </cell>
          <cell r="B42" t="str">
            <v>95-96</v>
          </cell>
          <cell r="C42">
            <v>400</v>
          </cell>
          <cell r="D42">
            <v>2050</v>
          </cell>
          <cell r="E42">
            <v>2132.1</v>
          </cell>
          <cell r="F42">
            <v>104.00487804878048</v>
          </cell>
          <cell r="G42">
            <v>74</v>
          </cell>
          <cell r="H42">
            <v>60.681352459016395</v>
          </cell>
          <cell r="I42">
            <v>246.5</v>
          </cell>
          <cell r="J42">
            <v>11.561371417850946</v>
          </cell>
          <cell r="K42">
            <v>393</v>
          </cell>
          <cell r="L42">
            <v>66859</v>
          </cell>
          <cell r="M42">
            <v>1965681</v>
          </cell>
          <cell r="N42">
            <v>2204319</v>
          </cell>
          <cell r="O42">
            <v>1.0338722386379626</v>
          </cell>
          <cell r="P42">
            <v>16164</v>
          </cell>
          <cell r="Q42">
            <v>7.581257914731955</v>
          </cell>
        </row>
        <row r="43">
          <cell r="A43">
            <v>5</v>
          </cell>
          <cell r="B43" t="str">
            <v>96-97</v>
          </cell>
          <cell r="C43">
            <v>400</v>
          </cell>
          <cell r="D43">
            <v>2100</v>
          </cell>
          <cell r="E43">
            <v>2372.1999999999998</v>
          </cell>
          <cell r="F43">
            <v>112.96190476190475</v>
          </cell>
          <cell r="G43">
            <v>79.72</v>
          </cell>
          <cell r="H43">
            <v>67.699771689497709</v>
          </cell>
          <cell r="I43">
            <v>259.5</v>
          </cell>
          <cell r="J43">
            <v>10.939212545316584</v>
          </cell>
          <cell r="K43">
            <v>426</v>
          </cell>
          <cell r="L43">
            <v>76639</v>
          </cell>
          <cell r="M43">
            <v>2274395</v>
          </cell>
          <cell r="N43">
            <v>2313991</v>
          </cell>
          <cell r="O43">
            <v>0.97546201837956326</v>
          </cell>
          <cell r="P43">
            <v>13861</v>
          </cell>
          <cell r="Q43">
            <v>5.8430992327796982</v>
          </cell>
        </row>
        <row r="44">
          <cell r="B44" t="str">
            <v>97-98</v>
          </cell>
          <cell r="C44">
            <v>400</v>
          </cell>
          <cell r="D44">
            <v>2050</v>
          </cell>
          <cell r="E44">
            <v>2476.12</v>
          </cell>
          <cell r="F44">
            <v>120.78634146341463</v>
          </cell>
          <cell r="G44">
            <v>83.44</v>
          </cell>
          <cell r="H44">
            <v>70.665525114155244</v>
          </cell>
          <cell r="I44">
            <v>271.86099999999999</v>
          </cell>
          <cell r="J44">
            <v>10.97931441125632</v>
          </cell>
          <cell r="K44">
            <v>395</v>
          </cell>
          <cell r="L44">
            <v>22006</v>
          </cell>
          <cell r="M44">
            <v>2264444</v>
          </cell>
          <cell r="N44">
            <v>2202073</v>
          </cell>
          <cell r="O44">
            <v>0.8893240230683489</v>
          </cell>
          <cell r="P44">
            <v>12105</v>
          </cell>
          <cell r="Q44">
            <v>4.8886968321406075</v>
          </cell>
        </row>
        <row r="45">
          <cell r="A45" t="str">
            <v>EXECUTIVE SUMMARY</v>
          </cell>
          <cell r="B45" t="str">
            <v>98-99</v>
          </cell>
          <cell r="C45">
            <v>400</v>
          </cell>
          <cell r="D45">
            <v>2100</v>
          </cell>
          <cell r="E45">
            <v>1797.15</v>
          </cell>
          <cell r="F45">
            <v>85.578571428571422</v>
          </cell>
          <cell r="G45">
            <v>59.9</v>
          </cell>
          <cell r="H45">
            <v>51.288527397260275</v>
          </cell>
          <cell r="I45">
            <v>203.60000000000002</v>
          </cell>
          <cell r="J45">
            <v>11.329048771666251</v>
          </cell>
          <cell r="K45">
            <v>392</v>
          </cell>
          <cell r="L45">
            <v>82281</v>
          </cell>
          <cell r="M45">
            <v>1607171</v>
          </cell>
          <cell r="N45">
            <v>1612964</v>
          </cell>
          <cell r="O45">
            <v>0.89751217205019063</v>
          </cell>
          <cell r="P45">
            <v>7656</v>
          </cell>
          <cell r="Q45">
            <v>4.2600784575577997</v>
          </cell>
        </row>
        <row r="46">
          <cell r="A46" t="str">
            <v>96-97 to 00-01</v>
          </cell>
          <cell r="B46" t="str">
            <v>99-00</v>
          </cell>
          <cell r="C46">
            <v>400</v>
          </cell>
          <cell r="D46">
            <v>1900</v>
          </cell>
          <cell r="E46">
            <v>2340.6999999999998</v>
          </cell>
          <cell r="F46">
            <v>123.19473684210524</v>
          </cell>
          <cell r="G46">
            <v>81.099999999999994</v>
          </cell>
          <cell r="H46">
            <v>66.599999999999994</v>
          </cell>
          <cell r="I46">
            <v>260</v>
          </cell>
          <cell r="J46">
            <v>11.107788268466699</v>
          </cell>
          <cell r="K46">
            <v>395</v>
          </cell>
          <cell r="L46">
            <v>69143</v>
          </cell>
          <cell r="M46">
            <v>2183603</v>
          </cell>
          <cell r="N46">
            <v>2158056</v>
          </cell>
          <cell r="O46">
            <v>0.92</v>
          </cell>
          <cell r="P46">
            <v>9893</v>
          </cell>
          <cell r="Q46">
            <v>4.2300000000000004</v>
          </cell>
        </row>
        <row r="47">
          <cell r="A47" t="str">
            <v>THERMAL GENETRATION</v>
          </cell>
          <cell r="B47" t="str">
            <v>00-01</v>
          </cell>
          <cell r="C47">
            <v>400</v>
          </cell>
          <cell r="D47">
            <v>2000</v>
          </cell>
          <cell r="E47">
            <v>2182.83</v>
          </cell>
          <cell r="F47">
            <v>109.14149999999999</v>
          </cell>
          <cell r="G47">
            <v>74.38</v>
          </cell>
          <cell r="H47">
            <v>62.3</v>
          </cell>
          <cell r="I47">
            <v>236.25</v>
          </cell>
          <cell r="J47">
            <v>10.82</v>
          </cell>
          <cell r="K47">
            <v>379</v>
          </cell>
          <cell r="L47">
            <v>90525</v>
          </cell>
          <cell r="M47">
            <v>1943564</v>
          </cell>
          <cell r="N47">
            <v>2004726</v>
          </cell>
          <cell r="O47">
            <v>0.91800000000000004</v>
          </cell>
          <cell r="P47">
            <v>8579</v>
          </cell>
          <cell r="Q47">
            <v>3.93</v>
          </cell>
        </row>
        <row r="48">
          <cell r="A48" t="str">
            <v>Average last 5 years</v>
          </cell>
          <cell r="B48" t="str">
            <v>P A R T I C U L A R S</v>
          </cell>
          <cell r="C48">
            <v>0</v>
          </cell>
          <cell r="D48">
            <v>2030</v>
          </cell>
          <cell r="E48">
            <v>2233.7999999999997</v>
          </cell>
          <cell r="F48">
            <v>110.3326108991992</v>
          </cell>
          <cell r="G48">
            <v>75.707999999999998</v>
          </cell>
          <cell r="H48">
            <v>63.710764840182641</v>
          </cell>
          <cell r="I48">
            <v>246.2422</v>
          </cell>
          <cell r="J48">
            <v>11.035072799341171</v>
          </cell>
          <cell r="K48">
            <v>397.4</v>
          </cell>
          <cell r="L48">
            <v>68118.8</v>
          </cell>
          <cell r="M48">
            <v>2054635.4</v>
          </cell>
          <cell r="N48">
            <v>2058362</v>
          </cell>
          <cell r="O48">
            <v>0.92005964269962059</v>
          </cell>
          <cell r="P48">
            <v>10418.799999999999</v>
          </cell>
          <cell r="Q48">
            <v>4.6303749044956213</v>
          </cell>
        </row>
        <row r="49">
          <cell r="A49" t="str">
            <v>STATE  LOAD  DESPATCH  CENTRE  M.P.E.B.  JABALPUR</v>
          </cell>
          <cell r="B49" t="str">
            <v>Thermal  Generation (Including 100 % Satpura )</v>
          </cell>
          <cell r="C49" t="str">
            <v>MU</v>
          </cell>
          <cell r="D49">
            <v>16866.97</v>
          </cell>
          <cell r="E49">
            <v>17966.7</v>
          </cell>
          <cell r="F49">
            <v>18471.39</v>
          </cell>
          <cell r="G49">
            <v>20146.419999999998</v>
          </cell>
          <cell r="H49">
            <v>20415.89</v>
          </cell>
        </row>
        <row r="50">
          <cell r="A50" t="str">
            <v>KORBA WEST</v>
          </cell>
          <cell r="B50" t="str">
            <v xml:space="preserve">Plan Target    </v>
          </cell>
          <cell r="C50" t="str">
            <v>MU</v>
          </cell>
          <cell r="D50">
            <v>16950</v>
          </cell>
          <cell r="E50">
            <v>17200</v>
          </cell>
          <cell r="F50">
            <v>17500</v>
          </cell>
          <cell r="G50">
            <v>19010</v>
          </cell>
          <cell r="H50">
            <v>21860</v>
          </cell>
        </row>
        <row r="51">
          <cell r="A51" t="str">
            <v>STATION NAME</v>
          </cell>
          <cell r="B51" t="str">
            <v>YEAR</v>
          </cell>
          <cell r="C51" t="str">
            <v>CAPACITY</v>
          </cell>
          <cell r="D51" t="str">
            <v>TARGET</v>
          </cell>
          <cell r="E51" t="str">
            <v>ACTUAL GENE.</v>
          </cell>
          <cell r="F51" t="str">
            <v>ACHIEVE-MENT</v>
          </cell>
          <cell r="G51" t="str">
            <v>AVAIL-ABILITY</v>
          </cell>
          <cell r="H51" t="str">
            <v>P.L.F.</v>
          </cell>
          <cell r="I51" t="str">
            <v>AUXILIARY CONSUMPTION</v>
          </cell>
          <cell r="J51">
            <v>0</v>
          </cell>
          <cell r="K51" t="str">
            <v>MAXIMUM DEMAND</v>
          </cell>
          <cell r="L51" t="str">
            <v>COAL IN MT</v>
          </cell>
          <cell r="M51">
            <v>0</v>
          </cell>
          <cell r="N51" t="str">
            <v>COAL CONSUMED</v>
          </cell>
          <cell r="O51">
            <v>0</v>
          </cell>
          <cell r="P51" t="str">
            <v>FUEL OIL CONSUMPTION</v>
          </cell>
        </row>
        <row r="52">
          <cell r="A52">
            <v>4</v>
          </cell>
          <cell r="B52" t="str">
            <v>Plant    Utilisation    Factor            **</v>
          </cell>
          <cell r="C52" t="str">
            <v>MW</v>
          </cell>
          <cell r="D52" t="str">
            <v>MKwh</v>
          </cell>
          <cell r="E52" t="str">
            <v>MKwh</v>
          </cell>
          <cell r="F52" t="str">
            <v>%</v>
          </cell>
          <cell r="G52" t="str">
            <v>%</v>
          </cell>
          <cell r="H52" t="str">
            <v>%</v>
          </cell>
          <cell r="I52" t="str">
            <v>MKwh</v>
          </cell>
          <cell r="J52" t="str">
            <v>%</v>
          </cell>
          <cell r="K52" t="str">
            <v>MW</v>
          </cell>
          <cell r="L52" t="str">
            <v>OP.STOCK</v>
          </cell>
          <cell r="M52" t="str">
            <v>RECIEPT</v>
          </cell>
          <cell r="N52" t="str">
            <v>MT</v>
          </cell>
          <cell r="O52" t="str">
            <v>Kg/kWH</v>
          </cell>
          <cell r="P52" t="str">
            <v>KL</v>
          </cell>
          <cell r="Q52" t="str">
            <v>ml/KWH</v>
          </cell>
        </row>
        <row r="53">
          <cell r="A53" t="str">
            <v>KORBA WEST I</v>
          </cell>
          <cell r="B53" t="str">
            <v>88-89</v>
          </cell>
          <cell r="C53">
            <v>420</v>
          </cell>
          <cell r="D53">
            <v>2000</v>
          </cell>
          <cell r="E53">
            <v>2064.27</v>
          </cell>
          <cell r="F53">
            <v>103.2135</v>
          </cell>
          <cell r="G53">
            <v>68.7</v>
          </cell>
          <cell r="H53">
            <v>56.106490541422048</v>
          </cell>
          <cell r="I53" t="str">
            <v xml:space="preserve"> </v>
          </cell>
          <cell r="J53">
            <v>0</v>
          </cell>
          <cell r="K53">
            <v>420</v>
          </cell>
          <cell r="L53">
            <v>0</v>
          </cell>
          <cell r="M53">
            <v>0</v>
          </cell>
          <cell r="N53">
            <v>1641352</v>
          </cell>
          <cell r="O53">
            <v>0.79512466876910481</v>
          </cell>
          <cell r="P53">
            <v>8572</v>
          </cell>
          <cell r="Q53">
            <v>4.1525575627219311</v>
          </cell>
        </row>
        <row r="54">
          <cell r="A54">
            <v>6</v>
          </cell>
          <cell r="B54" t="str">
            <v>89-90</v>
          </cell>
          <cell r="C54">
            <v>420</v>
          </cell>
          <cell r="D54">
            <v>2000</v>
          </cell>
          <cell r="E54">
            <v>2369.84</v>
          </cell>
          <cell r="F54">
            <v>118.492</v>
          </cell>
          <cell r="G54">
            <v>73.63</v>
          </cell>
          <cell r="H54">
            <v>64.411828658404005</v>
          </cell>
          <cell r="I54">
            <v>205</v>
          </cell>
          <cell r="J54">
            <v>8.6503730209634409</v>
          </cell>
          <cell r="K54">
            <v>430</v>
          </cell>
          <cell r="L54">
            <v>0</v>
          </cell>
          <cell r="M54">
            <v>0</v>
          </cell>
          <cell r="N54">
            <v>1805424</v>
          </cell>
          <cell r="O54">
            <v>0.76183371029267799</v>
          </cell>
          <cell r="P54">
            <v>10037</v>
          </cell>
          <cell r="Q54">
            <v>4.2353070249468319</v>
          </cell>
        </row>
        <row r="55">
          <cell r="A55" t="str">
            <v>a</v>
          </cell>
          <cell r="B55" t="str">
            <v>90-91</v>
          </cell>
          <cell r="C55">
            <v>420</v>
          </cell>
          <cell r="D55">
            <v>2200</v>
          </cell>
          <cell r="E55">
            <v>2292.38</v>
          </cell>
          <cell r="F55">
            <v>104.19909090909091</v>
          </cell>
          <cell r="G55">
            <v>73.5</v>
          </cell>
          <cell r="H55">
            <v>62.30647966949337</v>
          </cell>
          <cell r="I55">
            <v>212.26</v>
          </cell>
          <cell r="J55">
            <v>9.2593723553686562</v>
          </cell>
          <cell r="K55">
            <v>435</v>
          </cell>
          <cell r="L55">
            <v>0</v>
          </cell>
          <cell r="M55">
            <v>0</v>
          </cell>
          <cell r="N55">
            <v>1619831</v>
          </cell>
          <cell r="O55">
            <v>0.70661539535330098</v>
          </cell>
          <cell r="P55">
            <v>11371</v>
          </cell>
          <cell r="Q55">
            <v>4.9603468883867423</v>
          </cell>
        </row>
        <row r="56">
          <cell r="A56" t="str">
            <v>b</v>
          </cell>
          <cell r="B56" t="str">
            <v>91-92</v>
          </cell>
          <cell r="C56">
            <v>420</v>
          </cell>
          <cell r="D56">
            <v>2200</v>
          </cell>
          <cell r="E56">
            <v>2607.5700000000002</v>
          </cell>
          <cell r="F56">
            <v>118.52590909090911</v>
          </cell>
          <cell r="G56">
            <v>87.35</v>
          </cell>
          <cell r="H56">
            <v>70.873287671232887</v>
          </cell>
          <cell r="I56">
            <v>255</v>
          </cell>
          <cell r="J56">
            <v>9.7792197333149247</v>
          </cell>
          <cell r="K56">
            <v>415</v>
          </cell>
          <cell r="L56">
            <v>0</v>
          </cell>
          <cell r="M56">
            <v>0</v>
          </cell>
          <cell r="N56">
            <v>1954298</v>
          </cell>
          <cell r="O56">
            <v>0.74947096338736829</v>
          </cell>
          <cell r="P56">
            <v>14148</v>
          </cell>
          <cell r="Q56">
            <v>5.4257412073309625</v>
          </cell>
        </row>
        <row r="57">
          <cell r="A57" t="str">
            <v>c</v>
          </cell>
          <cell r="B57" t="str">
            <v>92-93</v>
          </cell>
          <cell r="C57">
            <v>420</v>
          </cell>
          <cell r="D57">
            <v>2400</v>
          </cell>
          <cell r="E57">
            <v>2406.0700000000002</v>
          </cell>
          <cell r="F57">
            <v>100.25291666666668</v>
          </cell>
          <cell r="G57">
            <v>78.28</v>
          </cell>
          <cell r="H57">
            <v>65.396553598608406</v>
          </cell>
          <cell r="I57">
            <v>224.43</v>
          </cell>
          <cell r="J57">
            <v>9.3276587962943722</v>
          </cell>
          <cell r="K57">
            <v>425</v>
          </cell>
          <cell r="L57">
            <v>0</v>
          </cell>
          <cell r="M57">
            <v>0</v>
          </cell>
          <cell r="N57">
            <v>1700511</v>
          </cell>
          <cell r="O57">
            <v>0.70675873935504785</v>
          </cell>
          <cell r="P57">
            <v>12383</v>
          </cell>
          <cell r="Q57">
            <v>5.1465668081144766</v>
          </cell>
        </row>
        <row r="58">
          <cell r="A58" t="str">
            <v>d</v>
          </cell>
          <cell r="B58" t="str">
            <v>93-94</v>
          </cell>
          <cell r="C58">
            <v>420</v>
          </cell>
          <cell r="D58">
            <v>2534</v>
          </cell>
          <cell r="E58">
            <v>2504.9</v>
          </cell>
          <cell r="F58">
            <v>98.851617995264405</v>
          </cell>
          <cell r="G58">
            <v>79.501534246575346</v>
          </cell>
          <cell r="H58">
            <v>68.082735377255929</v>
          </cell>
          <cell r="I58">
            <v>254.25299999999999</v>
          </cell>
          <cell r="J58">
            <v>10.150225557906502</v>
          </cell>
          <cell r="K58">
            <v>440</v>
          </cell>
          <cell r="L58">
            <v>0</v>
          </cell>
          <cell r="M58">
            <v>0</v>
          </cell>
          <cell r="N58">
            <v>1734277</v>
          </cell>
          <cell r="O58">
            <v>0.69235378657830648</v>
          </cell>
          <cell r="P58">
            <v>10457.49</v>
          </cell>
          <cell r="Q58">
            <v>4.1748133658030255</v>
          </cell>
        </row>
        <row r="59">
          <cell r="A59" t="str">
            <v>e</v>
          </cell>
          <cell r="B59" t="str">
            <v>94-95</v>
          </cell>
          <cell r="C59">
            <v>420</v>
          </cell>
          <cell r="D59">
            <v>2480</v>
          </cell>
          <cell r="E59">
            <v>2383</v>
          </cell>
          <cell r="F59">
            <v>96.088709677419359</v>
          </cell>
          <cell r="G59">
            <v>77</v>
          </cell>
          <cell r="H59">
            <v>64.769515111980866</v>
          </cell>
          <cell r="I59">
            <v>253</v>
          </cell>
          <cell r="J59">
            <v>10.616869492236676</v>
          </cell>
          <cell r="K59">
            <v>420</v>
          </cell>
          <cell r="L59">
            <v>0</v>
          </cell>
          <cell r="M59">
            <v>0</v>
          </cell>
          <cell r="N59">
            <v>1601918</v>
          </cell>
          <cell r="O59">
            <v>0.6722274443978179</v>
          </cell>
          <cell r="P59">
            <v>12273</v>
          </cell>
          <cell r="Q59">
            <v>5.150230801510701</v>
          </cell>
        </row>
        <row r="60">
          <cell r="A60" t="str">
            <v>f</v>
          </cell>
          <cell r="B60" t="str">
            <v>95-96</v>
          </cell>
          <cell r="C60">
            <v>420</v>
          </cell>
          <cell r="D60">
            <v>2500</v>
          </cell>
          <cell r="E60">
            <v>2636</v>
          </cell>
          <cell r="F60">
            <v>105.44</v>
          </cell>
          <cell r="G60">
            <v>81</v>
          </cell>
          <cell r="H60">
            <v>71.450255876485386</v>
          </cell>
          <cell r="I60">
            <v>267.8</v>
          </cell>
          <cell r="J60">
            <v>10.159332321699544</v>
          </cell>
          <cell r="K60">
            <v>420</v>
          </cell>
          <cell r="L60">
            <v>0</v>
          </cell>
          <cell r="M60">
            <v>0</v>
          </cell>
          <cell r="N60">
            <v>1807464</v>
          </cell>
          <cell r="O60">
            <v>0.68568437025796658</v>
          </cell>
          <cell r="P60">
            <v>8827</v>
          </cell>
          <cell r="Q60">
            <v>3.3486342943854326</v>
          </cell>
        </row>
        <row r="61">
          <cell r="A61" t="str">
            <v>g</v>
          </cell>
          <cell r="B61" t="str">
            <v>96-97</v>
          </cell>
          <cell r="C61">
            <v>420</v>
          </cell>
          <cell r="D61">
            <v>2550</v>
          </cell>
          <cell r="E61">
            <v>2712.5</v>
          </cell>
          <cell r="F61">
            <v>106.37254901960785</v>
          </cell>
          <cell r="G61">
            <v>79.599999999999994</v>
          </cell>
          <cell r="H61">
            <v>73.725266362252668</v>
          </cell>
          <cell r="I61">
            <v>250.7</v>
          </cell>
          <cell r="J61">
            <v>9.2423963133640559</v>
          </cell>
          <cell r="K61">
            <v>440</v>
          </cell>
          <cell r="L61">
            <v>0</v>
          </cell>
          <cell r="M61">
            <v>0</v>
          </cell>
          <cell r="N61">
            <v>1843079</v>
          </cell>
          <cell r="O61">
            <v>0.67947612903225807</v>
          </cell>
          <cell r="P61">
            <v>9072</v>
          </cell>
          <cell r="Q61">
            <v>3.3445161290322583</v>
          </cell>
        </row>
        <row r="62">
          <cell r="A62" t="str">
            <v>h</v>
          </cell>
          <cell r="B62" t="str">
            <v>97-98</v>
          </cell>
          <cell r="C62">
            <v>420</v>
          </cell>
          <cell r="D62">
            <v>2550</v>
          </cell>
          <cell r="E62">
            <v>2757.26</v>
          </cell>
          <cell r="F62">
            <v>108.1278431372549</v>
          </cell>
          <cell r="G62">
            <v>81.400000000000006</v>
          </cell>
          <cell r="H62">
            <v>74.941835181561203</v>
          </cell>
          <cell r="I62">
            <v>268.755</v>
          </cell>
          <cell r="J62">
            <v>9.7471765448307366</v>
          </cell>
          <cell r="K62">
            <v>435</v>
          </cell>
          <cell r="L62">
            <v>0</v>
          </cell>
          <cell r="M62">
            <v>0</v>
          </cell>
          <cell r="N62">
            <v>1910941</v>
          </cell>
          <cell r="O62">
            <v>0.69305796334041769</v>
          </cell>
          <cell r="P62">
            <v>6239</v>
          </cell>
          <cell r="Q62">
            <v>2.2627536032147857</v>
          </cell>
        </row>
        <row r="63">
          <cell r="A63">
            <v>7</v>
          </cell>
          <cell r="B63" t="str">
            <v>98-99</v>
          </cell>
          <cell r="C63">
            <v>420</v>
          </cell>
          <cell r="D63">
            <v>2600</v>
          </cell>
          <cell r="E63">
            <v>2723.45</v>
          </cell>
          <cell r="F63">
            <v>104.74807692307692</v>
          </cell>
          <cell r="G63">
            <v>80.400000000000006</v>
          </cell>
          <cell r="H63">
            <v>74.022885409871705</v>
          </cell>
          <cell r="I63">
            <v>266.60000000000002</v>
          </cell>
          <cell r="J63">
            <v>9.7890543244781458</v>
          </cell>
          <cell r="K63">
            <v>430</v>
          </cell>
          <cell r="L63">
            <v>0</v>
          </cell>
          <cell r="M63">
            <v>0</v>
          </cell>
          <cell r="N63">
            <v>2064016</v>
          </cell>
          <cell r="O63">
            <v>0.75786814518349888</v>
          </cell>
          <cell r="P63">
            <v>5152</v>
          </cell>
          <cell r="Q63">
            <v>1.8917182250454387</v>
          </cell>
        </row>
        <row r="64">
          <cell r="A64" t="str">
            <v>a</v>
          </cell>
          <cell r="B64" t="str">
            <v>99-00</v>
          </cell>
          <cell r="C64">
            <v>420</v>
          </cell>
          <cell r="D64">
            <v>2700</v>
          </cell>
          <cell r="E64">
            <v>2614.8000000000002</v>
          </cell>
          <cell r="F64">
            <v>96.844444444444449</v>
          </cell>
          <cell r="G64">
            <v>81.3</v>
          </cell>
          <cell r="H64">
            <v>70.900000000000006</v>
          </cell>
          <cell r="I64">
            <v>260.7</v>
          </cell>
          <cell r="J64">
            <v>10</v>
          </cell>
          <cell r="K64">
            <v>420</v>
          </cell>
          <cell r="L64">
            <v>0</v>
          </cell>
          <cell r="M64">
            <v>0</v>
          </cell>
          <cell r="N64">
            <v>2054539</v>
          </cell>
          <cell r="O64">
            <v>0.79</v>
          </cell>
          <cell r="P64">
            <v>3915</v>
          </cell>
          <cell r="Q64">
            <v>1.5</v>
          </cell>
        </row>
        <row r="65">
          <cell r="A65" t="str">
            <v>b</v>
          </cell>
          <cell r="B65" t="str">
            <v>00-01</v>
          </cell>
          <cell r="C65">
            <v>420</v>
          </cell>
          <cell r="D65">
            <v>2800</v>
          </cell>
          <cell r="E65">
            <v>2792.13</v>
          </cell>
          <cell r="F65">
            <v>99.718928571428577</v>
          </cell>
          <cell r="G65">
            <v>87.16</v>
          </cell>
          <cell r="H65">
            <v>75.89</v>
          </cell>
          <cell r="I65">
            <v>267.75</v>
          </cell>
          <cell r="J65">
            <v>9.59</v>
          </cell>
          <cell r="K65">
            <v>420</v>
          </cell>
          <cell r="L65">
            <v>0</v>
          </cell>
          <cell r="M65">
            <v>0</v>
          </cell>
          <cell r="N65">
            <v>2056216</v>
          </cell>
          <cell r="O65">
            <v>0.73599999999999999</v>
          </cell>
          <cell r="P65">
            <v>3523</v>
          </cell>
          <cell r="Q65">
            <v>1.26</v>
          </cell>
        </row>
        <row r="66">
          <cell r="A66" t="str">
            <v>Average last 5 years</v>
          </cell>
          <cell r="B66" t="str">
            <v xml:space="preserve">Forced   Outage   </v>
          </cell>
          <cell r="C66" t="str">
            <v>MU</v>
          </cell>
          <cell r="D66">
            <v>2640</v>
          </cell>
          <cell r="E66">
            <v>2720.0279999999998</v>
          </cell>
          <cell r="F66">
            <v>103.16236841916255</v>
          </cell>
          <cell r="G66">
            <v>81.972000000000008</v>
          </cell>
          <cell r="H66">
            <v>73.895997390737122</v>
          </cell>
          <cell r="I66">
            <v>262.90099999999995</v>
          </cell>
          <cell r="J66">
            <v>9.6737254365345873</v>
          </cell>
          <cell r="K66">
            <v>429</v>
          </cell>
          <cell r="L66">
            <v>0</v>
          </cell>
          <cell r="M66">
            <v>0</v>
          </cell>
          <cell r="N66">
            <v>1985758.2</v>
          </cell>
          <cell r="O66">
            <v>0.73128044751123489</v>
          </cell>
          <cell r="P66">
            <v>5580.2</v>
          </cell>
          <cell r="Q66">
            <v>2.0517975914584965</v>
          </cell>
        </row>
        <row r="67">
          <cell r="A67" t="str">
            <v>KORBA WEST II</v>
          </cell>
          <cell r="B67" t="str">
            <v>88-89</v>
          </cell>
          <cell r="C67">
            <v>420</v>
          </cell>
          <cell r="D67">
            <v>1500</v>
          </cell>
          <cell r="E67">
            <v>1556.53</v>
          </cell>
          <cell r="F67">
            <v>103.76866666666666</v>
          </cell>
          <cell r="G67">
            <v>60.17</v>
          </cell>
          <cell r="H67">
            <v>42.306207871276364</v>
          </cell>
          <cell r="I67" t="str">
            <v xml:space="preserve">  </v>
          </cell>
          <cell r="J67">
            <v>0</v>
          </cell>
          <cell r="K67">
            <v>405</v>
          </cell>
          <cell r="L67">
            <v>0</v>
          </cell>
          <cell r="M67">
            <v>0</v>
          </cell>
          <cell r="N67">
            <v>1243803</v>
          </cell>
          <cell r="O67">
            <v>0.79908707188425532</v>
          </cell>
          <cell r="P67">
            <v>10940</v>
          </cell>
          <cell r="Q67">
            <v>7.0284543182592047</v>
          </cell>
        </row>
        <row r="68">
          <cell r="A68" t="str">
            <v>b</v>
          </cell>
          <cell r="B68" t="str">
            <v>89-90</v>
          </cell>
          <cell r="C68">
            <v>420</v>
          </cell>
          <cell r="D68">
            <v>1560</v>
          </cell>
          <cell r="E68">
            <v>1683.58</v>
          </cell>
          <cell r="F68">
            <v>107.92179487179487</v>
          </cell>
          <cell r="G68">
            <v>52.76</v>
          </cell>
          <cell r="H68">
            <v>45.759404218308326</v>
          </cell>
          <cell r="I68">
            <v>149</v>
          </cell>
          <cell r="J68">
            <v>8.8501882892407853</v>
          </cell>
          <cell r="K68">
            <v>420</v>
          </cell>
          <cell r="L68">
            <v>0</v>
          </cell>
          <cell r="M68">
            <v>0</v>
          </cell>
          <cell r="N68">
            <v>1297045</v>
          </cell>
          <cell r="O68">
            <v>0.77040889057841033</v>
          </cell>
          <cell r="P68">
            <v>6352</v>
          </cell>
          <cell r="Q68">
            <v>3.7729124841112394</v>
          </cell>
        </row>
        <row r="69">
          <cell r="A69" t="str">
            <v>c</v>
          </cell>
          <cell r="B69" t="str">
            <v>90-91</v>
          </cell>
          <cell r="C69">
            <v>420</v>
          </cell>
          <cell r="D69">
            <v>2200</v>
          </cell>
          <cell r="E69">
            <v>2768.58</v>
          </cell>
          <cell r="F69">
            <v>125.84454545454545</v>
          </cell>
          <cell r="G69">
            <v>89.4</v>
          </cell>
          <cell r="H69">
            <v>75.249510763209386</v>
          </cell>
          <cell r="I69">
            <v>260.75</v>
          </cell>
          <cell r="J69">
            <v>9.4181854958137379</v>
          </cell>
          <cell r="K69">
            <v>420</v>
          </cell>
          <cell r="L69">
            <v>0</v>
          </cell>
          <cell r="M69">
            <v>0</v>
          </cell>
          <cell r="N69">
            <v>1963008</v>
          </cell>
          <cell r="O69">
            <v>0.70903062219621615</v>
          </cell>
          <cell r="P69">
            <v>7928</v>
          </cell>
          <cell r="Q69">
            <v>2.8635618259179796</v>
          </cell>
        </row>
        <row r="70">
          <cell r="A70" t="str">
            <v>d</v>
          </cell>
          <cell r="B70" t="str">
            <v>91-92</v>
          </cell>
          <cell r="C70">
            <v>420</v>
          </cell>
          <cell r="D70">
            <v>2200</v>
          </cell>
          <cell r="E70">
            <v>2041.83</v>
          </cell>
          <cell r="F70">
            <v>92.810454545454547</v>
          </cell>
          <cell r="G70">
            <v>68.760000000000005</v>
          </cell>
          <cell r="H70">
            <v>55.496575342465754</v>
          </cell>
          <cell r="I70">
            <v>189.16</v>
          </cell>
          <cell r="J70">
            <v>9.2642384527605142</v>
          </cell>
          <cell r="K70">
            <v>420</v>
          </cell>
          <cell r="L70">
            <v>0</v>
          </cell>
          <cell r="M70">
            <v>0</v>
          </cell>
          <cell r="N70">
            <v>1514144</v>
          </cell>
          <cell r="O70">
            <v>0.7415622260423248</v>
          </cell>
          <cell r="P70">
            <v>10879</v>
          </cell>
          <cell r="Q70">
            <v>5.3280635508343011</v>
          </cell>
        </row>
        <row r="71">
          <cell r="A71" t="str">
            <v>e</v>
          </cell>
          <cell r="B71" t="str">
            <v>92-93</v>
          </cell>
          <cell r="C71">
            <v>420</v>
          </cell>
          <cell r="D71">
            <v>2400</v>
          </cell>
          <cell r="E71">
            <v>2447.34</v>
          </cell>
          <cell r="F71">
            <v>101.9725</v>
          </cell>
          <cell r="G71">
            <v>81.28</v>
          </cell>
          <cell r="H71">
            <v>66.518264840182653</v>
          </cell>
          <cell r="I71">
            <v>229.96</v>
          </cell>
          <cell r="J71">
            <v>9.3963241723667323</v>
          </cell>
          <cell r="K71">
            <v>420</v>
          </cell>
          <cell r="L71">
            <v>0</v>
          </cell>
          <cell r="M71">
            <v>0</v>
          </cell>
          <cell r="N71">
            <v>1717518</v>
          </cell>
          <cell r="O71">
            <v>0.7017896982029469</v>
          </cell>
          <cell r="P71">
            <v>12666</v>
          </cell>
          <cell r="Q71">
            <v>5.1754149403025318</v>
          </cell>
        </row>
        <row r="72">
          <cell r="A72">
            <v>9</v>
          </cell>
          <cell r="B72" t="str">
            <v>93-94</v>
          </cell>
          <cell r="C72">
            <v>420</v>
          </cell>
          <cell r="D72">
            <v>2466</v>
          </cell>
          <cell r="E72">
            <v>2435.13</v>
          </cell>
          <cell r="F72">
            <v>98.748175182481745</v>
          </cell>
          <cell r="G72">
            <v>80.770465753424659</v>
          </cell>
          <cell r="H72">
            <v>66.186399217221137</v>
          </cell>
          <cell r="I72">
            <v>241.17</v>
          </cell>
          <cell r="J72">
            <v>9.9037833709083287</v>
          </cell>
          <cell r="K72">
            <v>425</v>
          </cell>
          <cell r="L72">
            <v>0</v>
          </cell>
          <cell r="M72">
            <v>0</v>
          </cell>
          <cell r="N72">
            <v>1694854</v>
          </cell>
          <cell r="O72">
            <v>0.69600144550804266</v>
          </cell>
          <cell r="P72">
            <v>12366.135</v>
          </cell>
          <cell r="Q72">
            <v>5.0782237498614036</v>
          </cell>
        </row>
        <row r="73">
          <cell r="A73">
            <v>10</v>
          </cell>
          <cell r="B73" t="str">
            <v>94-95</v>
          </cell>
          <cell r="C73">
            <v>420</v>
          </cell>
          <cell r="D73">
            <v>2520</v>
          </cell>
          <cell r="E73">
            <v>2072</v>
          </cell>
          <cell r="F73">
            <v>82.222222222222229</v>
          </cell>
          <cell r="G73">
            <v>67.599999999999994</v>
          </cell>
          <cell r="H73">
            <v>56.316590563165903</v>
          </cell>
          <cell r="I73">
            <v>207</v>
          </cell>
          <cell r="J73">
            <v>9.9903474903474905</v>
          </cell>
          <cell r="K73">
            <v>420</v>
          </cell>
          <cell r="L73">
            <v>0</v>
          </cell>
          <cell r="M73">
            <v>0</v>
          </cell>
          <cell r="N73">
            <v>1388587</v>
          </cell>
          <cell r="O73">
            <v>0.6701674710424711</v>
          </cell>
          <cell r="P73">
            <v>9236</v>
          </cell>
          <cell r="Q73">
            <v>4.4575289575289574</v>
          </cell>
        </row>
        <row r="74">
          <cell r="A74">
            <v>11</v>
          </cell>
          <cell r="B74" t="str">
            <v>95-96</v>
          </cell>
          <cell r="C74">
            <v>420</v>
          </cell>
          <cell r="D74">
            <v>2550</v>
          </cell>
          <cell r="E74">
            <v>2024.8</v>
          </cell>
          <cell r="F74">
            <v>79.403921568627453</v>
          </cell>
          <cell r="G74">
            <v>65</v>
          </cell>
          <cell r="H74">
            <v>54.883337670222915</v>
          </cell>
          <cell r="I74">
            <v>200</v>
          </cell>
          <cell r="J74">
            <v>9.8775187672856575</v>
          </cell>
          <cell r="K74">
            <v>420</v>
          </cell>
          <cell r="L74">
            <v>0</v>
          </cell>
          <cell r="M74">
            <v>0</v>
          </cell>
          <cell r="N74">
            <v>1377039</v>
          </cell>
          <cell r="O74">
            <v>0.68008642828921373</v>
          </cell>
          <cell r="P74">
            <v>6316</v>
          </cell>
          <cell r="Q74">
            <v>3.1193204267088106</v>
          </cell>
        </row>
        <row r="75">
          <cell r="A75">
            <v>12</v>
          </cell>
          <cell r="B75" t="str">
            <v>96-97</v>
          </cell>
          <cell r="C75">
            <v>420</v>
          </cell>
          <cell r="D75">
            <v>2550</v>
          </cell>
          <cell r="E75">
            <v>2200.6</v>
          </cell>
          <cell r="F75">
            <v>86.298039215686273</v>
          </cell>
          <cell r="G75">
            <v>73.599999999999994</v>
          </cell>
          <cell r="H75">
            <v>59.811915633833443</v>
          </cell>
          <cell r="I75">
            <v>221.2</v>
          </cell>
          <cell r="J75">
            <v>10.051804053439971</v>
          </cell>
          <cell r="K75">
            <v>415</v>
          </cell>
          <cell r="L75">
            <v>0</v>
          </cell>
          <cell r="M75">
            <v>0</v>
          </cell>
          <cell r="N75">
            <v>1498328</v>
          </cell>
          <cell r="O75">
            <v>0.68087248932109423</v>
          </cell>
          <cell r="P75">
            <v>8360</v>
          </cell>
          <cell r="Q75">
            <v>3.7989639189312006</v>
          </cell>
        </row>
        <row r="76">
          <cell r="A76">
            <v>13</v>
          </cell>
          <cell r="B76" t="str">
            <v>97-98</v>
          </cell>
          <cell r="C76">
            <v>420</v>
          </cell>
          <cell r="D76">
            <v>2550</v>
          </cell>
          <cell r="E76">
            <v>2273.96</v>
          </cell>
          <cell r="F76">
            <v>89.174901960784311</v>
          </cell>
          <cell r="G76">
            <v>72</v>
          </cell>
          <cell r="H76">
            <v>61.805827353772557</v>
          </cell>
          <cell r="I76">
            <v>227.755</v>
          </cell>
          <cell r="J76">
            <v>10.015787436894229</v>
          </cell>
          <cell r="K76">
            <v>440</v>
          </cell>
          <cell r="L76">
            <v>0</v>
          </cell>
          <cell r="M76">
            <v>0</v>
          </cell>
          <cell r="N76">
            <v>1574060</v>
          </cell>
          <cell r="O76">
            <v>0.69221094478354939</v>
          </cell>
          <cell r="P76">
            <v>5914</v>
          </cell>
          <cell r="Q76">
            <v>2.6007493535506341</v>
          </cell>
        </row>
        <row r="77">
          <cell r="A77">
            <v>14</v>
          </cell>
          <cell r="B77" t="str">
            <v>98-99</v>
          </cell>
          <cell r="C77">
            <v>420</v>
          </cell>
          <cell r="D77">
            <v>2600</v>
          </cell>
          <cell r="E77">
            <v>2594.7199999999998</v>
          </cell>
          <cell r="F77">
            <v>99.796923076923065</v>
          </cell>
          <cell r="G77">
            <v>81.5</v>
          </cell>
          <cell r="H77">
            <v>70.524026962383118</v>
          </cell>
          <cell r="I77">
            <v>265</v>
          </cell>
          <cell r="J77">
            <v>10.213048036011594</v>
          </cell>
          <cell r="K77">
            <v>420</v>
          </cell>
          <cell r="L77">
            <v>0</v>
          </cell>
          <cell r="M77">
            <v>0</v>
          </cell>
          <cell r="N77">
            <v>1991333</v>
          </cell>
          <cell r="O77">
            <v>0.76745583338471979</v>
          </cell>
          <cell r="P77">
            <v>3723</v>
          </cell>
          <cell r="Q77">
            <v>1.4348368995498553</v>
          </cell>
        </row>
        <row r="78">
          <cell r="A78">
            <v>15</v>
          </cell>
          <cell r="B78" t="str">
            <v>99-00</v>
          </cell>
          <cell r="C78">
            <v>420</v>
          </cell>
          <cell r="D78">
            <v>2600</v>
          </cell>
          <cell r="E78">
            <v>2403.0500000000002</v>
          </cell>
          <cell r="F78">
            <v>92.425000000000011</v>
          </cell>
          <cell r="G78">
            <v>73.599999999999994</v>
          </cell>
          <cell r="H78">
            <v>65.099999999999994</v>
          </cell>
          <cell r="I78">
            <v>228</v>
          </cell>
          <cell r="J78">
            <v>9.5</v>
          </cell>
          <cell r="K78">
            <v>415</v>
          </cell>
          <cell r="L78">
            <v>0</v>
          </cell>
          <cell r="M78">
            <v>0</v>
          </cell>
          <cell r="N78">
            <v>1887370</v>
          </cell>
          <cell r="O78">
            <v>0.79</v>
          </cell>
          <cell r="P78">
            <v>3313</v>
          </cell>
          <cell r="Q78">
            <v>1.38</v>
          </cell>
        </row>
        <row r="79">
          <cell r="A79">
            <v>16</v>
          </cell>
          <cell r="B79" t="str">
            <v>00-01</v>
          </cell>
          <cell r="C79">
            <v>420</v>
          </cell>
          <cell r="D79">
            <v>2650</v>
          </cell>
          <cell r="E79">
            <v>2163.6799999999998</v>
          </cell>
          <cell r="F79">
            <v>81.648301886792439</v>
          </cell>
          <cell r="G79">
            <v>67.81</v>
          </cell>
          <cell r="H79">
            <v>58.81</v>
          </cell>
          <cell r="I79">
            <v>216.61</v>
          </cell>
          <cell r="J79">
            <v>10.01</v>
          </cell>
          <cell r="K79">
            <v>410</v>
          </cell>
          <cell r="L79">
            <v>0</v>
          </cell>
          <cell r="M79">
            <v>0</v>
          </cell>
          <cell r="N79">
            <v>1588622</v>
          </cell>
          <cell r="O79">
            <v>0.73399999999999999</v>
          </cell>
          <cell r="P79">
            <v>3183</v>
          </cell>
          <cell r="Q79">
            <v>1.47</v>
          </cell>
        </row>
        <row r="80">
          <cell r="A80" t="str">
            <v>Average last 5 years</v>
          </cell>
          <cell r="B80" t="str">
            <v>Thermal  Auxiliary Consumption   Percentage</v>
          </cell>
          <cell r="C80" t="str">
            <v>%</v>
          </cell>
          <cell r="D80">
            <v>2590</v>
          </cell>
          <cell r="E80">
            <v>2327.2019999999998</v>
          </cell>
          <cell r="F80">
            <v>89.868633228037226</v>
          </cell>
          <cell r="G80">
            <v>73.701999999999998</v>
          </cell>
          <cell r="H80">
            <v>63.210353989997827</v>
          </cell>
          <cell r="I80">
            <v>231.71300000000002</v>
          </cell>
          <cell r="J80">
            <v>9.9581279052691585</v>
          </cell>
          <cell r="K80">
            <v>420</v>
          </cell>
          <cell r="L80">
            <v>0</v>
          </cell>
          <cell r="M80">
            <v>0</v>
          </cell>
          <cell r="N80">
            <v>1707942.6</v>
          </cell>
          <cell r="O80">
            <v>0.73290785349787269</v>
          </cell>
          <cell r="P80">
            <v>4898.6000000000004</v>
          </cell>
          <cell r="Q80">
            <v>2.1369100344063381</v>
          </cell>
        </row>
        <row r="81">
          <cell r="A81" t="str">
            <v xml:space="preserve">KORBA WEST </v>
          </cell>
          <cell r="B81" t="str">
            <v>88-89</v>
          </cell>
          <cell r="C81">
            <v>840</v>
          </cell>
          <cell r="D81">
            <v>3500</v>
          </cell>
          <cell r="E81">
            <v>3620.8</v>
          </cell>
          <cell r="F81">
            <v>103.45142857142856</v>
          </cell>
          <cell r="G81">
            <v>64.435000000000002</v>
          </cell>
          <cell r="H81" t="str">
            <v>***</v>
          </cell>
          <cell r="I81">
            <v>0</v>
          </cell>
          <cell r="J81">
            <v>0</v>
          </cell>
          <cell r="K81" t="str">
            <v xml:space="preserve"> </v>
          </cell>
          <cell r="L81" t="str">
            <v xml:space="preserve"> </v>
          </cell>
          <cell r="M81" t="str">
            <v xml:space="preserve"> </v>
          </cell>
          <cell r="N81">
            <v>2885155</v>
          </cell>
          <cell r="O81">
            <v>0.79682804904993376</v>
          </cell>
          <cell r="P81">
            <v>19512</v>
          </cell>
          <cell r="Q81">
            <v>5.388864339372514</v>
          </cell>
        </row>
        <row r="82">
          <cell r="A82" t="str">
            <v>Note :-</v>
          </cell>
          <cell r="B82" t="str">
            <v>89-90</v>
          </cell>
          <cell r="C82">
            <v>840</v>
          </cell>
          <cell r="D82">
            <v>3560</v>
          </cell>
          <cell r="E82">
            <v>4053.42</v>
          </cell>
          <cell r="F82">
            <v>113.86011235955056</v>
          </cell>
          <cell r="G82">
            <v>63.195</v>
          </cell>
          <cell r="H82">
            <v>55.085616438356162</v>
          </cell>
          <cell r="I82">
            <v>354</v>
          </cell>
          <cell r="J82">
            <v>8.7333658984265146</v>
          </cell>
          <cell r="K82" t="str">
            <v xml:space="preserve"> </v>
          </cell>
          <cell r="L82">
            <v>159088</v>
          </cell>
          <cell r="M82">
            <v>3250742</v>
          </cell>
          <cell r="N82">
            <v>3102469</v>
          </cell>
          <cell r="O82">
            <v>0.76539539450636751</v>
          </cell>
          <cell r="P82">
            <v>16389</v>
          </cell>
          <cell r="Q82">
            <v>4.0432523646698346</v>
          </cell>
        </row>
        <row r="83">
          <cell r="A83">
            <v>1</v>
          </cell>
          <cell r="B83" t="str">
            <v>90-91</v>
          </cell>
          <cell r="C83">
            <v>840</v>
          </cell>
          <cell r="D83">
            <v>4400</v>
          </cell>
          <cell r="E83">
            <v>5060.96</v>
          </cell>
          <cell r="F83">
            <v>115.02181818181818</v>
          </cell>
          <cell r="G83">
            <v>81.45</v>
          </cell>
          <cell r="H83">
            <v>68.777995216351385</v>
          </cell>
          <cell r="I83">
            <v>473.01</v>
          </cell>
          <cell r="J83">
            <v>9.3462505137365248</v>
          </cell>
          <cell r="K83" t="str">
            <v xml:space="preserve"> </v>
          </cell>
          <cell r="L83">
            <v>313023</v>
          </cell>
          <cell r="M83">
            <v>3289767</v>
          </cell>
          <cell r="N83">
            <v>3582839</v>
          </cell>
          <cell r="O83">
            <v>0.7079366365274572</v>
          </cell>
          <cell r="P83">
            <v>19299</v>
          </cell>
          <cell r="Q83">
            <v>3.8133081470709116</v>
          </cell>
        </row>
        <row r="84">
          <cell r="A84">
            <v>2</v>
          </cell>
          <cell r="B84" t="str">
            <v>91-92</v>
          </cell>
          <cell r="C84">
            <v>840</v>
          </cell>
          <cell r="D84">
            <v>4400</v>
          </cell>
          <cell r="E84">
            <v>4649.3999999999996</v>
          </cell>
          <cell r="F84">
            <v>105.66818181818181</v>
          </cell>
          <cell r="G84">
            <v>78.054999999999993</v>
          </cell>
          <cell r="H84">
            <v>63.012295081967203</v>
          </cell>
          <cell r="I84">
            <v>444.15999999999997</v>
          </cell>
          <cell r="J84">
            <v>9.5530606099711797</v>
          </cell>
          <cell r="K84" t="str">
            <v xml:space="preserve"> </v>
          </cell>
          <cell r="L84">
            <v>123702</v>
          </cell>
          <cell r="M84">
            <v>3358189</v>
          </cell>
          <cell r="N84">
            <v>3468442</v>
          </cell>
          <cell r="O84">
            <v>0.74599776315223465</v>
          </cell>
          <cell r="P84">
            <v>25027</v>
          </cell>
          <cell r="Q84">
            <v>5.3828450982922531</v>
          </cell>
        </row>
        <row r="85">
          <cell r="A85">
            <v>3</v>
          </cell>
          <cell r="B85" t="str">
            <v>92-93</v>
          </cell>
          <cell r="C85">
            <v>840</v>
          </cell>
          <cell r="D85">
            <v>4800</v>
          </cell>
          <cell r="E85">
            <v>4853.41</v>
          </cell>
          <cell r="F85">
            <v>101.11270833333333</v>
          </cell>
          <cell r="G85">
            <v>79.78</v>
          </cell>
          <cell r="H85">
            <v>65.957409219395515</v>
          </cell>
          <cell r="I85">
            <v>454.39</v>
          </cell>
          <cell r="J85">
            <v>9.3622834254678668</v>
          </cell>
          <cell r="K85" t="str">
            <v xml:space="preserve"> </v>
          </cell>
          <cell r="L85">
            <v>99032</v>
          </cell>
          <cell r="M85">
            <v>3326019</v>
          </cell>
          <cell r="N85">
            <v>3418029</v>
          </cell>
          <cell r="O85">
            <v>0.70425309215582443</v>
          </cell>
          <cell r="P85">
            <v>25049</v>
          </cell>
          <cell r="Q85">
            <v>5.1611135263659982</v>
          </cell>
        </row>
        <row r="86">
          <cell r="A86">
            <v>4</v>
          </cell>
          <cell r="B86" t="str">
            <v>93-94</v>
          </cell>
          <cell r="C86">
            <v>840</v>
          </cell>
          <cell r="D86">
            <v>5000</v>
          </cell>
          <cell r="E86">
            <v>4940.0300000000007</v>
          </cell>
          <cell r="F86">
            <v>98.800600000000017</v>
          </cell>
          <cell r="G86">
            <v>80.135999999999996</v>
          </cell>
          <cell r="H86">
            <v>67.134567297238533</v>
          </cell>
          <cell r="I86">
            <v>495.423</v>
          </cell>
          <cell r="J86">
            <v>10.028744764707906</v>
          </cell>
          <cell r="K86">
            <v>865</v>
          </cell>
          <cell r="L86">
            <v>248312</v>
          </cell>
          <cell r="M86">
            <v>3304685</v>
          </cell>
          <cell r="N86">
            <v>3429131</v>
          </cell>
          <cell r="O86">
            <v>0.69415185737738416</v>
          </cell>
          <cell r="P86">
            <v>22823.625</v>
          </cell>
          <cell r="Q86">
            <v>4.6201389465246159</v>
          </cell>
        </row>
        <row r="87">
          <cell r="A87">
            <v>5</v>
          </cell>
          <cell r="B87" t="str">
            <v>94-95</v>
          </cell>
          <cell r="C87">
            <v>840</v>
          </cell>
          <cell r="D87">
            <v>5000</v>
          </cell>
          <cell r="E87">
            <v>4455</v>
          </cell>
          <cell r="F87">
            <v>89.1</v>
          </cell>
          <cell r="G87">
            <v>72.3</v>
          </cell>
          <cell r="H87">
            <v>60.543052837573384</v>
          </cell>
          <cell r="I87">
            <v>460</v>
          </cell>
          <cell r="J87">
            <v>10.325476992143658</v>
          </cell>
          <cell r="K87">
            <v>840</v>
          </cell>
          <cell r="L87">
            <v>152721</v>
          </cell>
          <cell r="M87">
            <v>3059426</v>
          </cell>
          <cell r="N87">
            <v>2990505</v>
          </cell>
          <cell r="O87">
            <v>0.67126936026936024</v>
          </cell>
          <cell r="P87">
            <v>21509</v>
          </cell>
          <cell r="Q87">
            <v>4.8280583613916948</v>
          </cell>
        </row>
        <row r="88">
          <cell r="B88" t="str">
            <v>95-96</v>
          </cell>
          <cell r="C88">
            <v>840</v>
          </cell>
          <cell r="D88">
            <v>5050</v>
          </cell>
          <cell r="E88">
            <v>4660.8</v>
          </cell>
          <cell r="F88">
            <v>92.29306930693069</v>
          </cell>
          <cell r="G88">
            <v>73</v>
          </cell>
          <cell r="H88">
            <v>63.16679677335415</v>
          </cell>
          <cell r="I88">
            <v>467.8</v>
          </cell>
          <cell r="J88">
            <v>10.03690353587367</v>
          </cell>
          <cell r="K88">
            <v>840</v>
          </cell>
          <cell r="L88">
            <v>281544</v>
          </cell>
          <cell r="M88">
            <v>3036370</v>
          </cell>
          <cell r="N88">
            <v>3184503</v>
          </cell>
          <cell r="O88">
            <v>0.68325244593202883</v>
          </cell>
          <cell r="P88">
            <v>15143</v>
          </cell>
          <cell r="Q88">
            <v>3.2490130449708206</v>
          </cell>
        </row>
        <row r="89">
          <cell r="A89" t="str">
            <v>EXECUTIVE SUMMARY</v>
          </cell>
          <cell r="B89" t="str">
            <v>96-97</v>
          </cell>
          <cell r="C89">
            <v>840</v>
          </cell>
          <cell r="D89">
            <v>5100</v>
          </cell>
          <cell r="E89">
            <v>4913.1000000000004</v>
          </cell>
          <cell r="F89">
            <v>96.335294117647067</v>
          </cell>
          <cell r="G89">
            <v>76.599999999999994</v>
          </cell>
          <cell r="H89">
            <v>66.768590998043067</v>
          </cell>
          <cell r="I89">
            <v>471.9</v>
          </cell>
          <cell r="J89">
            <v>9.6049337485497954</v>
          </cell>
          <cell r="K89">
            <v>840</v>
          </cell>
          <cell r="L89">
            <v>134441</v>
          </cell>
          <cell r="M89">
            <v>3393898</v>
          </cell>
          <cell r="N89">
            <v>3341407</v>
          </cell>
          <cell r="O89">
            <v>0.68010156520323217</v>
          </cell>
          <cell r="P89">
            <v>17432</v>
          </cell>
          <cell r="Q89">
            <v>3.548065376239034</v>
          </cell>
        </row>
        <row r="90">
          <cell r="A90" t="str">
            <v>91-92 to 95-96</v>
          </cell>
          <cell r="B90" t="str">
            <v>97-98</v>
          </cell>
          <cell r="C90">
            <v>840</v>
          </cell>
          <cell r="D90">
            <v>5100</v>
          </cell>
          <cell r="E90">
            <v>5031.22</v>
          </cell>
          <cell r="F90">
            <v>98.651372549019612</v>
          </cell>
          <cell r="G90">
            <v>76.599999999999994</v>
          </cell>
          <cell r="H90">
            <v>68.373831267666887</v>
          </cell>
          <cell r="I90">
            <v>496.51</v>
          </cell>
          <cell r="J90">
            <v>9.8685805828407425</v>
          </cell>
          <cell r="K90">
            <v>870</v>
          </cell>
          <cell r="L90">
            <v>225761</v>
          </cell>
          <cell r="M90">
            <v>3512855</v>
          </cell>
          <cell r="N90">
            <v>3485001</v>
          </cell>
          <cell r="O90">
            <v>0.69267513644801859</v>
          </cell>
          <cell r="P90">
            <v>12153</v>
          </cell>
          <cell r="Q90">
            <v>2.415517508675828</v>
          </cell>
        </row>
        <row r="91">
          <cell r="A91" t="str">
            <v xml:space="preserve"> HYDEL GENETRATION</v>
          </cell>
          <cell r="B91" t="str">
            <v>98-99</v>
          </cell>
          <cell r="C91">
            <v>840</v>
          </cell>
          <cell r="D91">
            <v>5200</v>
          </cell>
          <cell r="E91">
            <v>5318.17</v>
          </cell>
          <cell r="F91">
            <v>102.27249999999999</v>
          </cell>
          <cell r="G91">
            <v>76.599999999999994</v>
          </cell>
          <cell r="H91">
            <v>72.273456186127419</v>
          </cell>
          <cell r="I91">
            <v>531.6</v>
          </cell>
          <cell r="J91">
            <v>9.9959196490522118</v>
          </cell>
          <cell r="K91">
            <v>840</v>
          </cell>
          <cell r="L91">
            <v>189000</v>
          </cell>
          <cell r="M91">
            <v>4085508</v>
          </cell>
          <cell r="N91">
            <v>4055349</v>
          </cell>
          <cell r="O91">
            <v>0.7625459509568141</v>
          </cell>
          <cell r="P91">
            <v>8875</v>
          </cell>
          <cell r="Q91">
            <v>1.6688071272637015</v>
          </cell>
        </row>
        <row r="92">
          <cell r="A92" t="str">
            <v xml:space="preserve"> </v>
          </cell>
          <cell r="B92" t="str">
            <v>99-00</v>
          </cell>
          <cell r="C92">
            <v>840</v>
          </cell>
          <cell r="D92">
            <v>5300</v>
          </cell>
          <cell r="E92">
            <v>5017.8999999999996</v>
          </cell>
          <cell r="F92">
            <v>94.677358490566021</v>
          </cell>
          <cell r="G92">
            <v>77.5</v>
          </cell>
          <cell r="H92">
            <v>68</v>
          </cell>
          <cell r="I92">
            <v>488.7</v>
          </cell>
          <cell r="J92">
            <v>9.7391339006357249</v>
          </cell>
          <cell r="K92">
            <v>815</v>
          </cell>
          <cell r="L92">
            <v>77595</v>
          </cell>
          <cell r="M92">
            <v>4123724</v>
          </cell>
          <cell r="N92">
            <v>3941909</v>
          </cell>
          <cell r="O92">
            <v>0.79</v>
          </cell>
          <cell r="P92">
            <v>7229</v>
          </cell>
          <cell r="Q92">
            <v>1.4406424998505352</v>
          </cell>
        </row>
        <row r="93">
          <cell r="A93">
            <v>1</v>
          </cell>
          <cell r="B93" t="str">
            <v>00-01</v>
          </cell>
          <cell r="C93">
            <v>840</v>
          </cell>
          <cell r="D93">
            <v>5450</v>
          </cell>
          <cell r="E93">
            <v>4955.8099999999995</v>
          </cell>
          <cell r="F93">
            <v>90.932293577981639</v>
          </cell>
          <cell r="G93">
            <v>77.48</v>
          </cell>
          <cell r="H93">
            <v>67.349999999999994</v>
          </cell>
          <cell r="I93">
            <v>484.36</v>
          </cell>
          <cell r="J93">
            <v>9.773578890231871</v>
          </cell>
          <cell r="K93">
            <v>820</v>
          </cell>
          <cell r="L93">
            <v>259409</v>
          </cell>
          <cell r="M93">
            <v>3227819</v>
          </cell>
          <cell r="N93">
            <v>3644838</v>
          </cell>
          <cell r="O93">
            <v>0.73499999999999999</v>
          </cell>
          <cell r="P93">
            <v>6706</v>
          </cell>
          <cell r="Q93">
            <v>1.35</v>
          </cell>
        </row>
        <row r="94">
          <cell r="A94" t="str">
            <v>Average last 5 years</v>
          </cell>
          <cell r="B94" t="str">
            <v xml:space="preserve">Target (PLAN )   </v>
          </cell>
          <cell r="C94" t="str">
            <v>MU</v>
          </cell>
          <cell r="D94">
            <v>5230</v>
          </cell>
          <cell r="E94">
            <v>5047.24</v>
          </cell>
          <cell r="F94">
            <v>96.573763747042861</v>
          </cell>
          <cell r="G94">
            <v>76.955999999999989</v>
          </cell>
          <cell r="H94">
            <v>68.553175690367468</v>
          </cell>
          <cell r="I94">
            <v>494.61400000000003</v>
          </cell>
          <cell r="J94">
            <v>9.7964293542620702</v>
          </cell>
          <cell r="K94">
            <v>837</v>
          </cell>
          <cell r="L94">
            <v>177241.2</v>
          </cell>
          <cell r="M94">
            <v>3668760.8</v>
          </cell>
          <cell r="N94">
            <v>3693700.8</v>
          </cell>
          <cell r="O94">
            <v>0.73206453052161291</v>
          </cell>
          <cell r="P94">
            <v>10479</v>
          </cell>
          <cell r="Q94">
            <v>2.0846065024058196</v>
          </cell>
        </row>
        <row r="95">
          <cell r="A95" t="str">
            <v>STATE  LOAD  DESPATCH  CENTRE  M.P.E.B.  JABALPUR</v>
          </cell>
          <cell r="B95" t="str">
            <v>ACHIEVEMENT Percentage of ( 2 )</v>
          </cell>
          <cell r="C95" t="str">
            <v>%</v>
          </cell>
          <cell r="D95">
            <v>74.768492377188025</v>
          </cell>
          <cell r="E95">
            <v>69.277005347593587</v>
          </cell>
          <cell r="F95">
            <v>85.009625668449203</v>
          </cell>
          <cell r="G95">
            <v>116.05466839694657</v>
          </cell>
          <cell r="H95">
            <v>105.23</v>
          </cell>
        </row>
        <row r="96">
          <cell r="A96" t="str">
            <v>AMARKANTAK</v>
          </cell>
          <cell r="B96" t="str">
            <v>Hydel Generation M.P.Share</v>
          </cell>
          <cell r="C96" t="str">
            <v>MU</v>
          </cell>
          <cell r="D96">
            <v>1498.64</v>
          </cell>
          <cell r="E96">
            <v>1511.19</v>
          </cell>
          <cell r="F96">
            <v>1658.26</v>
          </cell>
          <cell r="G96">
            <v>2415.3094620000002</v>
          </cell>
          <cell r="H96">
            <v>2253.15</v>
          </cell>
        </row>
        <row r="97">
          <cell r="A97" t="str">
            <v>STATION NAME</v>
          </cell>
          <cell r="B97" t="str">
            <v>YEAR</v>
          </cell>
          <cell r="C97" t="str">
            <v>CAPACITY</v>
          </cell>
          <cell r="D97" t="str">
            <v>TARGET</v>
          </cell>
          <cell r="E97" t="str">
            <v>ACTUAL GENE.</v>
          </cell>
          <cell r="F97" t="str">
            <v>ACHIEVE-MENT</v>
          </cell>
          <cell r="G97" t="str">
            <v>AVAIL-ABILITY</v>
          </cell>
          <cell r="H97" t="str">
            <v>P.L.F.</v>
          </cell>
          <cell r="I97" t="str">
            <v>AUXILIARY CONSUMPTION</v>
          </cell>
          <cell r="J97">
            <v>0</v>
          </cell>
          <cell r="K97" t="str">
            <v>MAXIMUM DEMAND</v>
          </cell>
          <cell r="L97" t="str">
            <v>COAL IN MT</v>
          </cell>
          <cell r="M97">
            <v>0</v>
          </cell>
          <cell r="N97" t="str">
            <v>COAL CONSUMED</v>
          </cell>
          <cell r="O97">
            <v>0</v>
          </cell>
          <cell r="P97" t="str">
            <v>FUEL OIL CONSUMPTION</v>
          </cell>
        </row>
        <row r="98">
          <cell r="A98">
            <v>6</v>
          </cell>
          <cell r="B98" t="str">
            <v>ACHIEVEMENT Percentage of ( 5 )</v>
          </cell>
          <cell r="C98" t="str">
            <v>MW</v>
          </cell>
          <cell r="D98" t="str">
            <v>MKwh</v>
          </cell>
          <cell r="E98" t="str">
            <v>MKwh</v>
          </cell>
          <cell r="F98" t="str">
            <v>%</v>
          </cell>
          <cell r="G98" t="str">
            <v>%</v>
          </cell>
          <cell r="H98" t="str">
            <v>%</v>
          </cell>
          <cell r="I98" t="str">
            <v>MKwh</v>
          </cell>
          <cell r="J98" t="str">
            <v>%</v>
          </cell>
          <cell r="K98" t="str">
            <v>MW</v>
          </cell>
          <cell r="L98" t="str">
            <v>OP.STOCK</v>
          </cell>
          <cell r="M98" t="str">
            <v>RECIEPT</v>
          </cell>
          <cell r="N98" t="str">
            <v>MT</v>
          </cell>
          <cell r="O98" t="str">
            <v>Kg/kWH</v>
          </cell>
          <cell r="P98" t="str">
            <v>KL</v>
          </cell>
          <cell r="Q98" t="str">
            <v>ml/KWH</v>
          </cell>
        </row>
        <row r="99">
          <cell r="A99" t="str">
            <v>AMARKANTAK I</v>
          </cell>
          <cell r="B99" t="str">
            <v>88-89</v>
          </cell>
          <cell r="C99">
            <v>60</v>
          </cell>
          <cell r="D99">
            <v>300</v>
          </cell>
          <cell r="E99">
            <v>375.32</v>
          </cell>
          <cell r="F99">
            <v>125.10666666666667</v>
          </cell>
          <cell r="G99">
            <v>87.49</v>
          </cell>
          <cell r="H99">
            <v>71.407914764079152</v>
          </cell>
          <cell r="I99" t="str">
            <v xml:space="preserve"> </v>
          </cell>
          <cell r="J99">
            <v>0</v>
          </cell>
          <cell r="K99">
            <v>61</v>
          </cell>
          <cell r="L99">
            <v>0</v>
          </cell>
          <cell r="M99">
            <v>0</v>
          </cell>
          <cell r="N99">
            <v>252980</v>
          </cell>
          <cell r="O99">
            <v>0.6740381541084941</v>
          </cell>
          <cell r="P99">
            <v>2143</v>
          </cell>
          <cell r="Q99">
            <v>5.7097943088564422</v>
          </cell>
        </row>
        <row r="100">
          <cell r="A100" t="str">
            <v>a</v>
          </cell>
          <cell r="B100" t="str">
            <v>89-90</v>
          </cell>
          <cell r="C100">
            <v>60</v>
          </cell>
          <cell r="D100">
            <v>330</v>
          </cell>
          <cell r="E100">
            <v>348.29</v>
          </cell>
          <cell r="F100">
            <v>105.54242424242425</v>
          </cell>
          <cell r="G100">
            <v>94.49</v>
          </cell>
          <cell r="H100">
            <v>66.265220700152213</v>
          </cell>
          <cell r="I100" t="str">
            <v xml:space="preserve"> </v>
          </cell>
          <cell r="J100">
            <v>0</v>
          </cell>
          <cell r="K100">
            <v>60</v>
          </cell>
          <cell r="L100">
            <v>0</v>
          </cell>
          <cell r="M100">
            <v>0</v>
          </cell>
          <cell r="N100">
            <v>241459</v>
          </cell>
          <cell r="O100">
            <v>0.69326997616928421</v>
          </cell>
          <cell r="P100">
            <v>3121</v>
          </cell>
          <cell r="Q100">
            <v>8.9609233684573191</v>
          </cell>
        </row>
        <row r="101">
          <cell r="A101" t="str">
            <v xml:space="preserve"> </v>
          </cell>
          <cell r="B101" t="str">
            <v>90-91</v>
          </cell>
          <cell r="C101">
            <v>60</v>
          </cell>
          <cell r="D101">
            <v>350</v>
          </cell>
          <cell r="E101">
            <v>212.54</v>
          </cell>
          <cell r="F101">
            <v>60.725714285714282</v>
          </cell>
          <cell r="G101">
            <v>55.52</v>
          </cell>
          <cell r="H101">
            <v>40.43759512937595</v>
          </cell>
          <cell r="I101">
            <v>21.16</v>
          </cell>
          <cell r="J101">
            <v>9.9557730309588788</v>
          </cell>
          <cell r="K101">
            <v>58</v>
          </cell>
          <cell r="L101">
            <v>0</v>
          </cell>
          <cell r="M101">
            <v>0</v>
          </cell>
          <cell r="N101">
            <v>159372</v>
          </cell>
          <cell r="O101">
            <v>0.74984473510868543</v>
          </cell>
          <cell r="P101">
            <v>5292</v>
          </cell>
          <cell r="Q101">
            <v>24.898842570810203</v>
          </cell>
        </row>
        <row r="102">
          <cell r="A102" t="str">
            <v>b</v>
          </cell>
          <cell r="B102" t="str">
            <v>91-92</v>
          </cell>
          <cell r="C102">
            <v>60</v>
          </cell>
          <cell r="D102">
            <v>350</v>
          </cell>
          <cell r="E102">
            <v>166.64</v>
          </cell>
          <cell r="F102">
            <v>47.611428571428569</v>
          </cell>
          <cell r="G102">
            <v>42.98</v>
          </cell>
          <cell r="H102">
            <v>31.704718417047182</v>
          </cell>
          <cell r="I102">
            <v>17.46</v>
          </cell>
          <cell r="J102">
            <v>10.477676428228518</v>
          </cell>
          <cell r="K102">
            <v>30</v>
          </cell>
          <cell r="L102">
            <v>0</v>
          </cell>
          <cell r="M102">
            <v>0</v>
          </cell>
          <cell r="N102">
            <v>126486</v>
          </cell>
          <cell r="O102">
            <v>0.75903744599135858</v>
          </cell>
          <cell r="P102">
            <v>1923</v>
          </cell>
          <cell r="Q102">
            <v>11.539846375420067</v>
          </cell>
        </row>
        <row r="103">
          <cell r="A103" t="str">
            <v xml:space="preserve"> </v>
          </cell>
          <cell r="B103" t="str">
            <v>92-93</v>
          </cell>
          <cell r="C103">
            <v>60</v>
          </cell>
          <cell r="D103">
            <v>300</v>
          </cell>
          <cell r="E103">
            <v>284.81</v>
          </cell>
          <cell r="F103">
            <v>94.936666666666667</v>
          </cell>
          <cell r="G103">
            <v>87.9</v>
          </cell>
          <cell r="H103">
            <v>54.965647676393395</v>
          </cell>
          <cell r="I103">
            <v>29.54</v>
          </cell>
          <cell r="J103">
            <v>10.371826831923036</v>
          </cell>
          <cell r="K103">
            <v>50</v>
          </cell>
          <cell r="L103">
            <v>0</v>
          </cell>
          <cell r="M103">
            <v>0</v>
          </cell>
          <cell r="N103">
            <v>205036</v>
          </cell>
          <cell r="O103">
            <v>0.71990449773533227</v>
          </cell>
          <cell r="P103">
            <v>3864</v>
          </cell>
          <cell r="Q103">
            <v>13.566939363084161</v>
          </cell>
        </row>
        <row r="104">
          <cell r="A104" t="str">
            <v>c</v>
          </cell>
          <cell r="B104" t="str">
            <v>93-94</v>
          </cell>
          <cell r="C104">
            <v>50</v>
          </cell>
          <cell r="D104">
            <v>300</v>
          </cell>
          <cell r="E104">
            <v>304.72899999999998</v>
          </cell>
          <cell r="F104">
            <v>101.57633333333332</v>
          </cell>
          <cell r="G104">
            <v>92.043342465753426</v>
          </cell>
          <cell r="H104">
            <v>69.572831050228316</v>
          </cell>
          <cell r="I104">
            <v>32.345314999999999</v>
          </cell>
          <cell r="J104">
            <v>10.614452513544823</v>
          </cell>
          <cell r="K104">
            <v>50</v>
          </cell>
          <cell r="L104">
            <v>0</v>
          </cell>
          <cell r="M104">
            <v>0</v>
          </cell>
          <cell r="N104">
            <v>211815.05</v>
          </cell>
          <cell r="O104">
            <v>0.69509318115440277</v>
          </cell>
          <cell r="P104">
            <v>3308.25</v>
          </cell>
          <cell r="Q104">
            <v>10.856367460924297</v>
          </cell>
        </row>
        <row r="105">
          <cell r="A105" t="str">
            <v xml:space="preserve"> </v>
          </cell>
          <cell r="B105" t="str">
            <v>94-95</v>
          </cell>
          <cell r="C105">
            <v>50</v>
          </cell>
          <cell r="D105">
            <v>300</v>
          </cell>
          <cell r="E105">
            <v>304.39999999999998</v>
          </cell>
          <cell r="F105">
            <v>101.46666666666665</v>
          </cell>
          <cell r="G105">
            <v>89.8</v>
          </cell>
          <cell r="H105">
            <v>69.49771689497716</v>
          </cell>
          <cell r="I105">
            <v>31.2</v>
          </cell>
          <cell r="J105">
            <v>10.249671484888305</v>
          </cell>
          <cell r="K105">
            <v>50</v>
          </cell>
          <cell r="L105">
            <v>0</v>
          </cell>
          <cell r="M105">
            <v>0</v>
          </cell>
          <cell r="N105">
            <v>214826</v>
          </cell>
          <cell r="O105">
            <v>0.70573587385019709</v>
          </cell>
          <cell r="P105">
            <v>5006</v>
          </cell>
          <cell r="Q105">
            <v>16.445466491458607</v>
          </cell>
        </row>
        <row r="106">
          <cell r="A106" t="str">
            <v>d</v>
          </cell>
          <cell r="B106" t="str">
            <v>95-96</v>
          </cell>
          <cell r="C106">
            <v>50</v>
          </cell>
          <cell r="D106">
            <v>300</v>
          </cell>
          <cell r="E106">
            <v>294.39999999999998</v>
          </cell>
          <cell r="F106">
            <v>98.133333333333326</v>
          </cell>
          <cell r="G106">
            <v>90.6</v>
          </cell>
          <cell r="H106">
            <v>67.030965391621123</v>
          </cell>
          <cell r="I106">
            <v>32.299999999999997</v>
          </cell>
          <cell r="J106">
            <v>10.971467391304348</v>
          </cell>
          <cell r="K106">
            <v>50</v>
          </cell>
          <cell r="L106">
            <v>0</v>
          </cell>
          <cell r="M106">
            <v>0</v>
          </cell>
          <cell r="N106">
            <v>204359</v>
          </cell>
          <cell r="O106">
            <v>0.69415421195652172</v>
          </cell>
          <cell r="P106">
            <v>2743</v>
          </cell>
          <cell r="Q106">
            <v>9.3172554347826093</v>
          </cell>
        </row>
        <row r="107">
          <cell r="A107" t="str">
            <v xml:space="preserve"> </v>
          </cell>
          <cell r="B107" t="str">
            <v>96-97</v>
          </cell>
          <cell r="C107">
            <v>50</v>
          </cell>
          <cell r="D107">
            <v>300</v>
          </cell>
          <cell r="E107">
            <v>258.89999999999998</v>
          </cell>
          <cell r="F107">
            <v>86.299999999999983</v>
          </cell>
          <cell r="G107">
            <v>85.6</v>
          </cell>
          <cell r="H107">
            <v>59.10958904109588</v>
          </cell>
          <cell r="I107">
            <v>29</v>
          </cell>
          <cell r="J107">
            <v>11.201235998455003</v>
          </cell>
          <cell r="K107">
            <v>49</v>
          </cell>
          <cell r="L107">
            <v>0</v>
          </cell>
          <cell r="M107">
            <v>0</v>
          </cell>
          <cell r="N107">
            <v>177922</v>
          </cell>
          <cell r="O107">
            <v>0.68722286597141757</v>
          </cell>
          <cell r="P107">
            <v>2063</v>
          </cell>
          <cell r="Q107">
            <v>7.9683275395905762</v>
          </cell>
        </row>
        <row r="108">
          <cell r="A108" t="str">
            <v>e</v>
          </cell>
          <cell r="B108" t="str">
            <v>97-98</v>
          </cell>
          <cell r="C108">
            <v>50</v>
          </cell>
          <cell r="D108">
            <v>300</v>
          </cell>
          <cell r="E108">
            <v>251.97</v>
          </cell>
          <cell r="F108">
            <v>83.99</v>
          </cell>
          <cell r="G108">
            <v>87.6</v>
          </cell>
          <cell r="H108">
            <v>57.527397260273972</v>
          </cell>
          <cell r="I108">
            <v>30.628</v>
          </cell>
          <cell r="J108">
            <v>12.155415327221496</v>
          </cell>
          <cell r="K108">
            <v>50</v>
          </cell>
          <cell r="L108">
            <v>0</v>
          </cell>
          <cell r="M108">
            <v>0</v>
          </cell>
          <cell r="N108">
            <v>174156</v>
          </cell>
          <cell r="O108">
            <v>0.69117752113346831</v>
          </cell>
          <cell r="P108">
            <v>2350</v>
          </cell>
          <cell r="Q108">
            <v>9.3265071238639514</v>
          </cell>
        </row>
        <row r="109">
          <cell r="A109" t="str">
            <v xml:space="preserve"> </v>
          </cell>
          <cell r="B109" t="str">
            <v>98-99</v>
          </cell>
          <cell r="C109">
            <v>50</v>
          </cell>
          <cell r="D109">
            <v>300</v>
          </cell>
          <cell r="E109">
            <v>202.17</v>
          </cell>
          <cell r="F109">
            <v>67.39</v>
          </cell>
          <cell r="G109">
            <v>76</v>
          </cell>
          <cell r="H109">
            <v>46.157534246575345</v>
          </cell>
          <cell r="I109">
            <v>25.5</v>
          </cell>
          <cell r="J109">
            <v>12.613147351239057</v>
          </cell>
          <cell r="K109">
            <v>49</v>
          </cell>
          <cell r="L109">
            <v>0</v>
          </cell>
          <cell r="M109">
            <v>0</v>
          </cell>
          <cell r="N109">
            <v>135455</v>
          </cell>
          <cell r="O109">
            <v>0.67000544096552406</v>
          </cell>
          <cell r="P109">
            <v>2779</v>
          </cell>
          <cell r="Q109">
            <v>13.745857446703271</v>
          </cell>
        </row>
        <row r="110">
          <cell r="A110" t="str">
            <v>f</v>
          </cell>
          <cell r="B110" t="str">
            <v>99-00</v>
          </cell>
          <cell r="C110">
            <v>50</v>
          </cell>
          <cell r="D110">
            <v>250</v>
          </cell>
          <cell r="E110">
            <v>248.2</v>
          </cell>
          <cell r="F110">
            <v>98.9</v>
          </cell>
          <cell r="G110">
            <v>86.2</v>
          </cell>
          <cell r="H110">
            <v>56.5</v>
          </cell>
          <cell r="I110">
            <v>29.3</v>
          </cell>
          <cell r="J110">
            <v>11.804995970991136</v>
          </cell>
          <cell r="K110">
            <v>50</v>
          </cell>
          <cell r="L110">
            <v>0</v>
          </cell>
          <cell r="M110">
            <v>0</v>
          </cell>
          <cell r="N110">
            <v>170257</v>
          </cell>
          <cell r="O110">
            <v>0.68596696212731667</v>
          </cell>
          <cell r="P110">
            <v>1599</v>
          </cell>
          <cell r="Q110">
            <v>6.4423851732473816</v>
          </cell>
        </row>
        <row r="111">
          <cell r="A111" t="str">
            <v xml:space="preserve"> </v>
          </cell>
          <cell r="B111" t="str">
            <v>00-01</v>
          </cell>
          <cell r="C111">
            <v>50</v>
          </cell>
          <cell r="D111">
            <v>250</v>
          </cell>
          <cell r="E111">
            <v>180.96</v>
          </cell>
          <cell r="F111">
            <v>71.81</v>
          </cell>
          <cell r="G111">
            <v>64.22</v>
          </cell>
          <cell r="H111">
            <v>41.31</v>
          </cell>
          <cell r="I111">
            <v>23.72</v>
          </cell>
          <cell r="J111">
            <v>13.1078691423519</v>
          </cell>
          <cell r="K111">
            <v>49</v>
          </cell>
          <cell r="L111">
            <v>0</v>
          </cell>
          <cell r="M111">
            <v>0</v>
          </cell>
          <cell r="N111">
            <v>131657</v>
          </cell>
          <cell r="O111">
            <v>0.72754752431476566</v>
          </cell>
          <cell r="P111">
            <v>2944</v>
          </cell>
          <cell r="Q111">
            <v>16.268788682581786</v>
          </cell>
        </row>
        <row r="112">
          <cell r="A112" t="str">
            <v>Average last 5 years</v>
          </cell>
          <cell r="B112" t="str">
            <v xml:space="preserve">RAJGHAT     MDDL    </v>
          </cell>
          <cell r="C112" t="str">
            <v>M</v>
          </cell>
          <cell r="D112">
            <v>280</v>
          </cell>
          <cell r="E112">
            <v>228.44</v>
          </cell>
          <cell r="F112">
            <v>81.677999999999983</v>
          </cell>
          <cell r="G112">
            <v>79.924000000000007</v>
          </cell>
          <cell r="H112">
            <v>52.120904109589034</v>
          </cell>
          <cell r="I112">
            <v>27.6296</v>
          </cell>
          <cell r="J112">
            <v>12.176532758051719</v>
          </cell>
          <cell r="K112">
            <v>49.4</v>
          </cell>
          <cell r="L112">
            <v>0</v>
          </cell>
          <cell r="M112">
            <v>0</v>
          </cell>
          <cell r="N112">
            <v>157889.4</v>
          </cell>
          <cell r="O112">
            <v>0.69238406290249854</v>
          </cell>
          <cell r="P112">
            <v>2347</v>
          </cell>
          <cell r="Q112">
            <v>10.750373193197394</v>
          </cell>
        </row>
        <row r="113">
          <cell r="A113" t="str">
            <v>AMARKANTAK II</v>
          </cell>
          <cell r="B113" t="str">
            <v>88-89</v>
          </cell>
          <cell r="C113">
            <v>240</v>
          </cell>
          <cell r="D113">
            <v>1250</v>
          </cell>
          <cell r="E113">
            <v>1209.6600000000001</v>
          </cell>
          <cell r="F113">
            <v>96.772800000000018</v>
          </cell>
          <cell r="G113">
            <v>78.19</v>
          </cell>
          <cell r="H113">
            <v>57.537100456621012</v>
          </cell>
          <cell r="I113" t="str">
            <v xml:space="preserve"> </v>
          </cell>
          <cell r="J113">
            <v>0</v>
          </cell>
          <cell r="K113">
            <v>230</v>
          </cell>
          <cell r="L113">
            <v>0</v>
          </cell>
          <cell r="M113">
            <v>0</v>
          </cell>
          <cell r="N113">
            <v>908200</v>
          </cell>
          <cell r="O113">
            <v>0.75078947803515039</v>
          </cell>
          <cell r="P113">
            <v>9857</v>
          </cell>
          <cell r="Q113">
            <v>8.1485706727510205</v>
          </cell>
        </row>
        <row r="114">
          <cell r="A114" t="str">
            <v xml:space="preserve"> </v>
          </cell>
          <cell r="B114" t="str">
            <v>89-90</v>
          </cell>
          <cell r="C114">
            <v>240</v>
          </cell>
          <cell r="D114">
            <v>1310</v>
          </cell>
          <cell r="E114">
            <v>988.66</v>
          </cell>
          <cell r="F114">
            <v>75.470229007633591</v>
          </cell>
          <cell r="G114">
            <v>69.31</v>
          </cell>
          <cell r="H114">
            <v>47.025304414003045</v>
          </cell>
          <cell r="I114">
            <v>103</v>
          </cell>
          <cell r="J114">
            <v>10.418141727186294</v>
          </cell>
          <cell r="K114">
            <v>200</v>
          </cell>
          <cell r="L114">
            <v>0</v>
          </cell>
          <cell r="M114">
            <v>0</v>
          </cell>
          <cell r="N114">
            <v>755851</v>
          </cell>
          <cell r="O114">
            <v>0.76452066433354238</v>
          </cell>
          <cell r="P114">
            <v>11664</v>
          </cell>
          <cell r="Q114">
            <v>11.797786903485527</v>
          </cell>
        </row>
        <row r="115">
          <cell r="A115">
            <v>1</v>
          </cell>
          <cell r="B115" t="str">
            <v>90-91</v>
          </cell>
          <cell r="C115">
            <v>240</v>
          </cell>
          <cell r="D115">
            <v>1250</v>
          </cell>
          <cell r="E115">
            <v>791.39</v>
          </cell>
          <cell r="F115">
            <v>63.311199999999999</v>
          </cell>
          <cell r="G115">
            <v>55.96</v>
          </cell>
          <cell r="H115">
            <v>37.642218417047182</v>
          </cell>
          <cell r="I115">
            <v>87.17</v>
          </cell>
          <cell r="J115">
            <v>11.014796750022112</v>
          </cell>
          <cell r="K115">
            <v>190</v>
          </cell>
          <cell r="L115">
            <v>0</v>
          </cell>
          <cell r="M115">
            <v>0</v>
          </cell>
          <cell r="N115">
            <v>643580</v>
          </cell>
          <cell r="O115">
            <v>0.81322735945614677</v>
          </cell>
          <cell r="P115">
            <v>10599</v>
          </cell>
          <cell r="Q115">
            <v>13.39289098927204</v>
          </cell>
        </row>
        <row r="116">
          <cell r="A116">
            <v>2</v>
          </cell>
          <cell r="B116" t="str">
            <v>91-92</v>
          </cell>
          <cell r="C116">
            <v>240</v>
          </cell>
          <cell r="D116">
            <v>1200</v>
          </cell>
          <cell r="E116">
            <v>902.14</v>
          </cell>
          <cell r="F116">
            <v>75.178333333333327</v>
          </cell>
          <cell r="G116">
            <v>63.18</v>
          </cell>
          <cell r="H116">
            <v>42.792767152398298</v>
          </cell>
          <cell r="I116">
            <v>96.78</v>
          </cell>
          <cell r="J116">
            <v>10.727824949564368</v>
          </cell>
          <cell r="K116">
            <v>195</v>
          </cell>
          <cell r="L116">
            <v>0</v>
          </cell>
          <cell r="M116">
            <v>0</v>
          </cell>
          <cell r="N116">
            <v>744899</v>
          </cell>
          <cell r="O116">
            <v>0.82570221916775666</v>
          </cell>
          <cell r="P116">
            <v>13223</v>
          </cell>
          <cell r="Q116">
            <v>14.657370252954086</v>
          </cell>
        </row>
        <row r="117">
          <cell r="A117">
            <v>3</v>
          </cell>
          <cell r="B117" t="str">
            <v>92-93</v>
          </cell>
          <cell r="C117">
            <v>240</v>
          </cell>
          <cell r="D117">
            <v>1200</v>
          </cell>
          <cell r="E117">
            <v>991.24</v>
          </cell>
          <cell r="F117">
            <v>82.603333333333339</v>
          </cell>
          <cell r="G117">
            <v>70.989999999999995</v>
          </cell>
          <cell r="H117">
            <v>47.148021308980212</v>
          </cell>
          <cell r="I117">
            <v>106.47</v>
          </cell>
          <cell r="J117">
            <v>10.741091965618821</v>
          </cell>
          <cell r="K117">
            <v>211</v>
          </cell>
          <cell r="L117">
            <v>0</v>
          </cell>
          <cell r="M117">
            <v>0</v>
          </cell>
          <cell r="N117">
            <v>797288</v>
          </cell>
          <cell r="O117">
            <v>0.80433396553811387</v>
          </cell>
          <cell r="P117">
            <v>13294</v>
          </cell>
          <cell r="Q117">
            <v>13.411484605141036</v>
          </cell>
        </row>
        <row r="118">
          <cell r="A118" t="str">
            <v>Note :-</v>
          </cell>
          <cell r="B118" t="str">
            <v>93-94</v>
          </cell>
          <cell r="C118">
            <v>240</v>
          </cell>
          <cell r="D118">
            <v>1120</v>
          </cell>
          <cell r="E118">
            <v>1070.5160000000001</v>
          </cell>
          <cell r="F118">
            <v>95.581785714285715</v>
          </cell>
          <cell r="G118">
            <v>70.069999999999993</v>
          </cell>
          <cell r="H118">
            <v>50.918759512937605</v>
          </cell>
          <cell r="I118">
            <v>104.467</v>
          </cell>
          <cell r="J118">
            <v>9.7585650284535674</v>
          </cell>
          <cell r="K118">
            <v>205</v>
          </cell>
          <cell r="L118">
            <v>0</v>
          </cell>
          <cell r="M118">
            <v>0</v>
          </cell>
          <cell r="N118">
            <v>783385.61</v>
          </cell>
          <cell r="O118">
            <v>0.73178318679963683</v>
          </cell>
          <cell r="P118">
            <v>10814.63</v>
          </cell>
          <cell r="Q118">
            <v>10.10225909748196</v>
          </cell>
        </row>
        <row r="119">
          <cell r="A119" t="str">
            <v>Note :-</v>
          </cell>
          <cell r="B119" t="str">
            <v>94-95</v>
          </cell>
          <cell r="C119">
            <v>240</v>
          </cell>
          <cell r="D119">
            <v>1100</v>
          </cell>
          <cell r="E119">
            <v>1122.9000000000001</v>
          </cell>
          <cell r="F119">
            <v>102.08181818181819</v>
          </cell>
          <cell r="G119">
            <v>76.099999999999994</v>
          </cell>
          <cell r="H119">
            <v>53.410388127853885</v>
          </cell>
          <cell r="I119">
            <v>106.9</v>
          </cell>
          <cell r="J119">
            <v>9.5199928755899901</v>
          </cell>
          <cell r="K119">
            <v>225</v>
          </cell>
          <cell r="L119">
            <v>0</v>
          </cell>
          <cell r="M119">
            <v>0</v>
          </cell>
          <cell r="N119">
            <v>871239</v>
          </cell>
          <cell r="O119">
            <v>0.7758829815655891</v>
          </cell>
          <cell r="P119">
            <v>12775</v>
          </cell>
          <cell r="Q119">
            <v>11.376792234393088</v>
          </cell>
        </row>
        <row r="120">
          <cell r="A120" t="str">
            <v>EXECUTIVE SUMMARY</v>
          </cell>
          <cell r="B120" t="str">
            <v>95-96</v>
          </cell>
          <cell r="C120">
            <v>240</v>
          </cell>
          <cell r="D120">
            <v>1150</v>
          </cell>
          <cell r="E120">
            <v>958</v>
          </cell>
          <cell r="F120">
            <v>83.304347826086953</v>
          </cell>
          <cell r="G120">
            <v>73.400000000000006</v>
          </cell>
          <cell r="H120">
            <v>45.442471159684274</v>
          </cell>
          <cell r="I120">
            <v>101.8</v>
          </cell>
          <cell r="J120">
            <v>10.626304801670146</v>
          </cell>
          <cell r="K120">
            <v>215</v>
          </cell>
          <cell r="L120">
            <v>0</v>
          </cell>
          <cell r="M120">
            <v>0</v>
          </cell>
          <cell r="N120">
            <v>742828</v>
          </cell>
          <cell r="O120">
            <v>0.77539457202505224</v>
          </cell>
          <cell r="P120">
            <v>11723</v>
          </cell>
          <cell r="Q120">
            <v>12.236951983298539</v>
          </cell>
        </row>
        <row r="121">
          <cell r="A121" t="str">
            <v>96-97 to 00-01</v>
          </cell>
          <cell r="B121" t="str">
            <v>96-97</v>
          </cell>
          <cell r="C121">
            <v>240</v>
          </cell>
          <cell r="D121">
            <v>1200</v>
          </cell>
          <cell r="E121">
            <v>420.6</v>
          </cell>
          <cell r="F121">
            <v>35.049999999999997</v>
          </cell>
          <cell r="G121">
            <v>29.8</v>
          </cell>
          <cell r="H121">
            <v>20.005707762557076</v>
          </cell>
          <cell r="I121">
            <v>45.2</v>
          </cell>
          <cell r="J121">
            <v>10.746552543984784</v>
          </cell>
          <cell r="K121">
            <v>105</v>
          </cell>
          <cell r="L121">
            <v>0</v>
          </cell>
          <cell r="M121">
            <v>0</v>
          </cell>
          <cell r="N121">
            <v>321549</v>
          </cell>
          <cell r="O121">
            <v>0.76450071326676172</v>
          </cell>
          <cell r="P121">
            <v>3942</v>
          </cell>
          <cell r="Q121">
            <v>9.3723252496433656</v>
          </cell>
        </row>
        <row r="122">
          <cell r="A122" t="str">
            <v xml:space="preserve"> HYDEL GENETRATION</v>
          </cell>
          <cell r="B122" t="str">
            <v>97-98</v>
          </cell>
          <cell r="C122">
            <v>240</v>
          </cell>
          <cell r="D122">
            <v>1000</v>
          </cell>
          <cell r="E122">
            <v>526.26</v>
          </cell>
          <cell r="F122">
            <v>52.625999999999998</v>
          </cell>
          <cell r="G122">
            <v>31.9</v>
          </cell>
          <cell r="H122">
            <v>25.031392694063928</v>
          </cell>
          <cell r="I122">
            <v>49.438000000000002</v>
          </cell>
          <cell r="J122">
            <v>9.39421578687341</v>
          </cell>
          <cell r="K122">
            <v>220</v>
          </cell>
          <cell r="L122">
            <v>0</v>
          </cell>
          <cell r="M122">
            <v>0</v>
          </cell>
          <cell r="N122">
            <v>385051</v>
          </cell>
          <cell r="O122">
            <v>0.73167445749249416</v>
          </cell>
          <cell r="P122">
            <v>3240</v>
          </cell>
          <cell r="Q122">
            <v>6.1566526051761485</v>
          </cell>
        </row>
        <row r="123">
          <cell r="A123" t="str">
            <v xml:space="preserve"> </v>
          </cell>
          <cell r="B123" t="str">
            <v>98-99</v>
          </cell>
          <cell r="C123">
            <v>240</v>
          </cell>
          <cell r="D123">
            <v>1200</v>
          </cell>
          <cell r="E123">
            <v>997.7</v>
          </cell>
          <cell r="F123">
            <v>83.141666666666666</v>
          </cell>
          <cell r="G123">
            <v>58.8</v>
          </cell>
          <cell r="H123">
            <v>47.455289193302889</v>
          </cell>
          <cell r="I123">
            <v>97.4</v>
          </cell>
          <cell r="J123">
            <v>9.7624536433797733</v>
          </cell>
          <cell r="K123">
            <v>220</v>
          </cell>
          <cell r="L123">
            <v>0</v>
          </cell>
          <cell r="M123">
            <v>0</v>
          </cell>
          <cell r="N123">
            <v>652165</v>
          </cell>
          <cell r="O123">
            <v>0.65366843740603386</v>
          </cell>
          <cell r="P123">
            <v>3605</v>
          </cell>
          <cell r="Q123">
            <v>3.6133106144131499</v>
          </cell>
        </row>
        <row r="124">
          <cell r="A124">
            <v>1</v>
          </cell>
          <cell r="B124" t="str">
            <v>99-00</v>
          </cell>
          <cell r="C124">
            <v>240</v>
          </cell>
          <cell r="D124">
            <v>900</v>
          </cell>
          <cell r="E124">
            <v>1048.8</v>
          </cell>
          <cell r="F124">
            <v>87.4</v>
          </cell>
          <cell r="G124">
            <v>65.099999999999994</v>
          </cell>
          <cell r="H124">
            <v>49.7</v>
          </cell>
          <cell r="I124">
            <v>105.9</v>
          </cell>
          <cell r="J124">
            <v>10.09725400457666</v>
          </cell>
          <cell r="K124">
            <v>200</v>
          </cell>
          <cell r="L124">
            <v>0</v>
          </cell>
          <cell r="M124">
            <v>0</v>
          </cell>
          <cell r="N124">
            <v>674871</v>
          </cell>
          <cell r="O124">
            <v>0.64346967963386725</v>
          </cell>
          <cell r="P124">
            <v>3020</v>
          </cell>
          <cell r="Q124">
            <v>2.8794813119755913</v>
          </cell>
        </row>
        <row r="125">
          <cell r="A125">
            <v>2</v>
          </cell>
          <cell r="B125" t="str">
            <v>00-01</v>
          </cell>
          <cell r="C125">
            <v>240</v>
          </cell>
          <cell r="D125">
            <v>1150</v>
          </cell>
          <cell r="E125">
            <v>968.97</v>
          </cell>
          <cell r="F125">
            <v>84.19</v>
          </cell>
          <cell r="G125">
            <v>62.4</v>
          </cell>
          <cell r="H125">
            <v>46.09</v>
          </cell>
          <cell r="I125">
            <v>95.83</v>
          </cell>
          <cell r="J125">
            <v>9.8898830717153263</v>
          </cell>
          <cell r="K125">
            <v>200</v>
          </cell>
          <cell r="L125">
            <v>0</v>
          </cell>
          <cell r="M125">
            <v>0</v>
          </cell>
          <cell r="N125">
            <v>723885</v>
          </cell>
          <cell r="O125">
            <v>0.74706647264621195</v>
          </cell>
          <cell r="P125">
            <v>5474</v>
          </cell>
          <cell r="Q125">
            <v>5.6492977078753723</v>
          </cell>
        </row>
        <row r="126">
          <cell r="A126" t="str">
            <v>Average last 5 years</v>
          </cell>
          <cell r="B126" t="str">
            <v>ACHIEVEMENT Percentage of ( 2 )</v>
          </cell>
          <cell r="C126" t="str">
            <v>%</v>
          </cell>
          <cell r="D126">
            <v>1090</v>
          </cell>
          <cell r="E126">
            <v>792.46600000000001</v>
          </cell>
          <cell r="F126">
            <v>68.481533333333331</v>
          </cell>
          <cell r="G126">
            <v>49.6</v>
          </cell>
          <cell r="H126">
            <v>37.656477929984774</v>
          </cell>
          <cell r="I126">
            <v>78.753599999999992</v>
          </cell>
          <cell r="J126">
            <v>9.9780718101059911</v>
          </cell>
          <cell r="K126">
            <v>189</v>
          </cell>
          <cell r="L126">
            <v>0</v>
          </cell>
          <cell r="M126">
            <v>0</v>
          </cell>
          <cell r="N126">
            <v>551504.19999999995</v>
          </cell>
          <cell r="O126">
            <v>0.70807595208907392</v>
          </cell>
          <cell r="P126">
            <v>3856.2</v>
          </cell>
          <cell r="Q126">
            <v>5.5342134978167259</v>
          </cell>
        </row>
        <row r="127">
          <cell r="A127" t="str">
            <v>AMARKANTAK</v>
          </cell>
          <cell r="B127" t="str">
            <v>88-89</v>
          </cell>
          <cell r="C127">
            <v>300</v>
          </cell>
          <cell r="D127">
            <v>1550</v>
          </cell>
          <cell r="E127">
            <v>1584.98</v>
          </cell>
          <cell r="F127">
            <v>102.25677419354838</v>
          </cell>
          <cell r="G127">
            <v>80.05</v>
          </cell>
          <cell r="H127">
            <v>60.31126331811263</v>
          </cell>
          <cell r="I127">
            <v>0</v>
          </cell>
          <cell r="J127">
            <v>0</v>
          </cell>
          <cell r="K127" t="str">
            <v xml:space="preserve"> </v>
          </cell>
          <cell r="L127" t="str">
            <v xml:space="preserve"> </v>
          </cell>
          <cell r="M127" t="str">
            <v xml:space="preserve"> </v>
          </cell>
          <cell r="N127">
            <v>1161180</v>
          </cell>
          <cell r="O127">
            <v>0.73261492258577399</v>
          </cell>
          <cell r="P127">
            <v>12000</v>
          </cell>
          <cell r="Q127">
            <v>7.57107345203094</v>
          </cell>
        </row>
        <row r="128">
          <cell r="A128">
            <v>5</v>
          </cell>
          <cell r="B128" t="str">
            <v>89-90</v>
          </cell>
          <cell r="C128">
            <v>300</v>
          </cell>
          <cell r="D128">
            <v>1640</v>
          </cell>
          <cell r="E128">
            <v>1336.95</v>
          </cell>
          <cell r="F128">
            <v>81.521341463414629</v>
          </cell>
          <cell r="G128">
            <v>74.346000000000004</v>
          </cell>
          <cell r="H128">
            <v>50.873287671232873</v>
          </cell>
          <cell r="I128">
            <v>103</v>
          </cell>
          <cell r="J128">
            <v>7.7041026216388042</v>
          </cell>
          <cell r="K128" t="str">
            <v xml:space="preserve"> </v>
          </cell>
          <cell r="L128">
            <v>31115</v>
          </cell>
          <cell r="M128">
            <v>1015605</v>
          </cell>
          <cell r="N128">
            <v>997310</v>
          </cell>
          <cell r="O128">
            <v>0.74595908597928118</v>
          </cell>
          <cell r="P128">
            <v>14785</v>
          </cell>
          <cell r="Q128">
            <v>11.0587531321291</v>
          </cell>
        </row>
        <row r="129">
          <cell r="A129">
            <v>6</v>
          </cell>
          <cell r="B129" t="str">
            <v>90-91</v>
          </cell>
          <cell r="C129">
            <v>300</v>
          </cell>
          <cell r="D129">
            <v>1600</v>
          </cell>
          <cell r="E129">
            <v>1003.93</v>
          </cell>
          <cell r="F129">
            <v>62.745624999999997</v>
          </cell>
          <cell r="G129">
            <v>55.871999999999993</v>
          </cell>
          <cell r="H129">
            <v>38.201293759512936</v>
          </cell>
          <cell r="I129">
            <v>108.33</v>
          </cell>
          <cell r="J129">
            <v>10.790592969629357</v>
          </cell>
          <cell r="K129" t="str">
            <v xml:space="preserve"> </v>
          </cell>
          <cell r="L129">
            <v>47723</v>
          </cell>
          <cell r="M129">
            <v>791141</v>
          </cell>
          <cell r="N129">
            <v>802952</v>
          </cell>
          <cell r="O129">
            <v>0.7998087516061877</v>
          </cell>
          <cell r="P129">
            <v>15891</v>
          </cell>
          <cell r="Q129">
            <v>15.828792844122599</v>
          </cell>
        </row>
        <row r="130">
          <cell r="A130">
            <v>7</v>
          </cell>
          <cell r="B130" t="str">
            <v>91-92</v>
          </cell>
          <cell r="C130">
            <v>300</v>
          </cell>
          <cell r="D130">
            <v>1550</v>
          </cell>
          <cell r="E130">
            <v>1068.78</v>
          </cell>
          <cell r="F130">
            <v>68.953548387096774</v>
          </cell>
          <cell r="G130">
            <v>59.14</v>
          </cell>
          <cell r="H130">
            <v>40.557832422586522</v>
          </cell>
          <cell r="I130">
            <v>114.24000000000001</v>
          </cell>
          <cell r="J130">
            <v>10.688822769887162</v>
          </cell>
          <cell r="K130" t="str">
            <v xml:space="preserve"> </v>
          </cell>
          <cell r="L130">
            <v>51627</v>
          </cell>
          <cell r="M130">
            <v>828867</v>
          </cell>
          <cell r="N130">
            <v>871385</v>
          </cell>
          <cell r="O130">
            <v>0.81530810831041001</v>
          </cell>
          <cell r="P130">
            <v>15146</v>
          </cell>
          <cell r="Q130">
            <v>14.171298115608451</v>
          </cell>
        </row>
        <row r="131">
          <cell r="A131" t="str">
            <v>a</v>
          </cell>
          <cell r="B131" t="str">
            <v>92-93</v>
          </cell>
          <cell r="C131">
            <v>300</v>
          </cell>
          <cell r="D131">
            <v>1500</v>
          </cell>
          <cell r="E131">
            <v>1276.05</v>
          </cell>
          <cell r="F131">
            <v>85.07</v>
          </cell>
          <cell r="G131">
            <v>74.372</v>
          </cell>
          <cell r="H131">
            <v>48.693790640168515</v>
          </cell>
          <cell r="I131">
            <v>136.01</v>
          </cell>
          <cell r="J131">
            <v>10.65867324948082</v>
          </cell>
          <cell r="K131" t="str">
            <v xml:space="preserve"> </v>
          </cell>
          <cell r="L131">
            <v>3954</v>
          </cell>
          <cell r="M131">
            <v>1008841</v>
          </cell>
          <cell r="N131">
            <v>1002324</v>
          </cell>
          <cell r="O131">
            <v>0.78548959680263308</v>
          </cell>
          <cell r="P131">
            <v>17158</v>
          </cell>
          <cell r="Q131">
            <v>13.446181575957056</v>
          </cell>
        </row>
        <row r="132">
          <cell r="A132" t="str">
            <v xml:space="preserve"> </v>
          </cell>
          <cell r="B132" t="str">
            <v>93-94</v>
          </cell>
          <cell r="C132">
            <v>290</v>
          </cell>
          <cell r="D132">
            <v>1420</v>
          </cell>
          <cell r="E132">
            <v>1375.2450000000001</v>
          </cell>
          <cell r="F132">
            <v>96.848239436619721</v>
          </cell>
          <cell r="G132">
            <v>73.858507321681628</v>
          </cell>
          <cell r="H132">
            <v>54.134978743504959</v>
          </cell>
          <cell r="I132">
            <v>136.81231500000001</v>
          </cell>
          <cell r="J132">
            <v>9.9482139546044532</v>
          </cell>
          <cell r="K132" t="str">
            <v xml:space="preserve"> </v>
          </cell>
          <cell r="L132">
            <v>10262</v>
          </cell>
          <cell r="M132">
            <v>1014037</v>
          </cell>
          <cell r="N132">
            <v>995200.65999999992</v>
          </cell>
          <cell r="O132">
            <v>0.72365335631105709</v>
          </cell>
          <cell r="P132">
            <v>14122.88</v>
          </cell>
          <cell r="Q132">
            <v>10.269355642085591</v>
          </cell>
        </row>
        <row r="133">
          <cell r="A133" t="str">
            <v>b</v>
          </cell>
          <cell r="B133" t="str">
            <v>94-95</v>
          </cell>
          <cell r="C133">
            <v>290</v>
          </cell>
          <cell r="D133">
            <v>1400</v>
          </cell>
          <cell r="E133">
            <v>1427.3000000000002</v>
          </cell>
          <cell r="F133">
            <v>101.95000000000002</v>
          </cell>
          <cell r="G133">
            <v>78.462068965517247</v>
          </cell>
          <cell r="H133">
            <v>56.030557125808691</v>
          </cell>
          <cell r="I133">
            <v>138.1</v>
          </cell>
          <cell r="J133">
            <v>9.6756112940517056</v>
          </cell>
          <cell r="K133" t="str">
            <v xml:space="preserve"> </v>
          </cell>
          <cell r="L133">
            <v>41415</v>
          </cell>
          <cell r="M133">
            <v>1102016</v>
          </cell>
          <cell r="N133">
            <v>1086065</v>
          </cell>
          <cell r="O133">
            <v>0.76092272122188731</v>
          </cell>
          <cell r="P133">
            <v>17781</v>
          </cell>
          <cell r="Q133">
            <v>12.457787430813422</v>
          </cell>
        </row>
        <row r="134">
          <cell r="A134" t="str">
            <v xml:space="preserve"> </v>
          </cell>
          <cell r="B134" t="str">
            <v>95-96</v>
          </cell>
          <cell r="C134">
            <v>290</v>
          </cell>
          <cell r="D134">
            <v>1450</v>
          </cell>
          <cell r="E134">
            <v>1252.4000000000001</v>
          </cell>
          <cell r="F134">
            <v>86.372413793103462</v>
          </cell>
          <cell r="G134">
            <v>76.365517241379308</v>
          </cell>
          <cell r="H134">
            <v>49.299322941269097</v>
          </cell>
          <cell r="I134">
            <v>134.1</v>
          </cell>
          <cell r="J134">
            <v>10.707441711913127</v>
          </cell>
          <cell r="K134">
            <v>245</v>
          </cell>
          <cell r="L134">
            <v>58749</v>
          </cell>
          <cell r="M134">
            <v>972440</v>
          </cell>
          <cell r="N134">
            <v>947187</v>
          </cell>
          <cell r="O134">
            <v>0.7562975087831364</v>
          </cell>
          <cell r="P134">
            <v>14466</v>
          </cell>
          <cell r="Q134">
            <v>11.550622804215905</v>
          </cell>
        </row>
        <row r="135">
          <cell r="A135" t="str">
            <v>c</v>
          </cell>
          <cell r="B135" t="str">
            <v>96-97</v>
          </cell>
          <cell r="C135">
            <v>290</v>
          </cell>
          <cell r="D135">
            <v>1500</v>
          </cell>
          <cell r="E135">
            <v>679.5</v>
          </cell>
          <cell r="F135">
            <v>45.3</v>
          </cell>
          <cell r="G135">
            <v>39.420689655172417</v>
          </cell>
          <cell r="H135">
            <v>26.747756258856874</v>
          </cell>
          <cell r="I135">
            <v>74.2</v>
          </cell>
          <cell r="J135">
            <v>10.919793966151582</v>
          </cell>
          <cell r="K135">
            <v>245</v>
          </cell>
          <cell r="L135">
            <v>84001</v>
          </cell>
          <cell r="M135">
            <v>471584</v>
          </cell>
          <cell r="N135">
            <v>499471</v>
          </cell>
          <cell r="O135">
            <v>0.73505665930831499</v>
          </cell>
          <cell r="P135">
            <v>6005</v>
          </cell>
          <cell r="Q135">
            <v>8.8373804267844012</v>
          </cell>
        </row>
        <row r="136">
          <cell r="A136" t="str">
            <v xml:space="preserve"> </v>
          </cell>
          <cell r="B136" t="str">
            <v>97-98</v>
          </cell>
          <cell r="C136">
            <v>290</v>
          </cell>
          <cell r="D136">
            <v>1300</v>
          </cell>
          <cell r="E136">
            <v>778.23</v>
          </cell>
          <cell r="F136">
            <v>59.863846153846154</v>
          </cell>
          <cell r="G136">
            <v>41.50344827586207</v>
          </cell>
          <cell r="H136">
            <v>30.634152102031177</v>
          </cell>
          <cell r="I136">
            <v>80.066000000000003</v>
          </cell>
          <cell r="J136">
            <v>10.288218136026625</v>
          </cell>
          <cell r="K136">
            <v>258</v>
          </cell>
          <cell r="L136">
            <v>58003</v>
          </cell>
          <cell r="M136">
            <v>576062</v>
          </cell>
          <cell r="N136">
            <v>559207</v>
          </cell>
          <cell r="O136">
            <v>0.71856263572465728</v>
          </cell>
          <cell r="P136">
            <v>5590</v>
          </cell>
          <cell r="Q136">
            <v>7.1829664752065581</v>
          </cell>
        </row>
        <row r="137">
          <cell r="A137" t="str">
            <v>d</v>
          </cell>
          <cell r="B137" t="str">
            <v>98-99</v>
          </cell>
          <cell r="C137">
            <v>290</v>
          </cell>
          <cell r="D137">
            <v>1500</v>
          </cell>
          <cell r="E137">
            <v>1199.8700000000001</v>
          </cell>
          <cell r="F137">
            <v>79.991333333333344</v>
          </cell>
          <cell r="G137">
            <v>61.765517241379314</v>
          </cell>
          <cell r="H137">
            <v>47.231538340418837</v>
          </cell>
          <cell r="I137">
            <v>122.9</v>
          </cell>
          <cell r="J137">
            <v>10.242776300765914</v>
          </cell>
          <cell r="K137">
            <v>270</v>
          </cell>
          <cell r="L137">
            <v>100659</v>
          </cell>
          <cell r="M137">
            <v>783861</v>
          </cell>
          <cell r="N137">
            <v>787620</v>
          </cell>
          <cell r="O137">
            <v>0.65642111228716427</v>
          </cell>
          <cell r="P137">
            <v>6384</v>
          </cell>
          <cell r="Q137">
            <v>5.3205763957762082</v>
          </cell>
        </row>
        <row r="138">
          <cell r="A138" t="str">
            <v xml:space="preserve"> </v>
          </cell>
          <cell r="B138" t="str">
            <v>99-00</v>
          </cell>
          <cell r="C138">
            <v>290</v>
          </cell>
          <cell r="D138">
            <v>1150</v>
          </cell>
          <cell r="E138">
            <v>1297</v>
          </cell>
          <cell r="F138">
            <v>112.8</v>
          </cell>
          <cell r="G138">
            <v>68.7</v>
          </cell>
          <cell r="H138">
            <v>50.9</v>
          </cell>
          <cell r="I138">
            <v>135.19999999999999</v>
          </cell>
          <cell r="J138">
            <v>10.424055512721663</v>
          </cell>
          <cell r="K138">
            <v>235</v>
          </cell>
          <cell r="L138">
            <v>0</v>
          </cell>
          <cell r="M138">
            <v>875677</v>
          </cell>
          <cell r="N138">
            <v>845128</v>
          </cell>
          <cell r="O138">
            <v>0.65160215882806471</v>
          </cell>
          <cell r="P138">
            <v>4619</v>
          </cell>
          <cell r="Q138">
            <v>3.5612952968388587</v>
          </cell>
        </row>
        <row r="139">
          <cell r="A139" t="str">
            <v>e</v>
          </cell>
          <cell r="B139" t="str">
            <v>00-01</v>
          </cell>
          <cell r="C139">
            <v>290</v>
          </cell>
          <cell r="D139">
            <v>1400</v>
          </cell>
          <cell r="E139">
            <v>1149.93</v>
          </cell>
          <cell r="F139">
            <v>82.14</v>
          </cell>
          <cell r="G139">
            <v>62.71</v>
          </cell>
          <cell r="H139">
            <v>45.27</v>
          </cell>
          <cell r="I139">
            <v>119.56</v>
          </cell>
          <cell r="J139">
            <v>10.397154609411007</v>
          </cell>
          <cell r="K139">
            <v>229</v>
          </cell>
          <cell r="L139">
            <v>106452</v>
          </cell>
          <cell r="M139">
            <v>784705</v>
          </cell>
          <cell r="N139">
            <v>855542</v>
          </cell>
          <cell r="O139">
            <v>0.74399485186054803</v>
          </cell>
          <cell r="P139">
            <v>8418</v>
          </cell>
          <cell r="Q139">
            <v>7.3204455923404028</v>
          </cell>
        </row>
        <row r="140">
          <cell r="A140" t="str">
            <v>Average last 5 years</v>
          </cell>
          <cell r="B140" t="str">
            <v>Energy   Contents   in   MKwh</v>
          </cell>
          <cell r="C140" t="str">
            <v>MU</v>
          </cell>
          <cell r="D140">
            <v>1370</v>
          </cell>
          <cell r="E140">
            <v>1020.9060000000002</v>
          </cell>
          <cell r="F140">
            <v>76.019035897435899</v>
          </cell>
          <cell r="G140">
            <v>54.819931034482764</v>
          </cell>
          <cell r="H140">
            <v>40.15668934026138</v>
          </cell>
          <cell r="I140">
            <v>106.38520000000001</v>
          </cell>
          <cell r="J140">
            <v>10.454399705015359</v>
          </cell>
          <cell r="K140">
            <v>247.4</v>
          </cell>
          <cell r="L140">
            <v>69823</v>
          </cell>
          <cell r="M140">
            <v>698377.8</v>
          </cell>
          <cell r="N140">
            <v>709393.6</v>
          </cell>
          <cell r="O140">
            <v>0.70112748360174992</v>
          </cell>
          <cell r="P140">
            <v>6203.2</v>
          </cell>
          <cell r="Q140">
            <v>6.4445328373892865</v>
          </cell>
        </row>
        <row r="141">
          <cell r="A141" t="str">
            <v>STATE  LOAD  DESPATCH  CENTRE  M.P.E.B.  JABALPUR</v>
          </cell>
          <cell r="B141" t="str">
            <v>HASDEO-BANGO    MDDL    329.79 M</v>
          </cell>
          <cell r="C141" t="str">
            <v>M</v>
          </cell>
          <cell r="D141">
            <v>345</v>
          </cell>
          <cell r="E141">
            <v>355.56</v>
          </cell>
          <cell r="F141">
            <v>334.51</v>
          </cell>
          <cell r="G141">
            <v>344.57</v>
          </cell>
          <cell r="H141">
            <v>345.48</v>
          </cell>
        </row>
        <row r="142">
          <cell r="A142" t="str">
            <v>SATPURA</v>
          </cell>
          <cell r="B142" t="str">
            <v>Energy   Contents   in   MKwh</v>
          </cell>
          <cell r="C142" t="str">
            <v>MU</v>
          </cell>
          <cell r="D142">
            <v>68</v>
          </cell>
          <cell r="E142">
            <v>187.4</v>
          </cell>
          <cell r="F142">
            <v>13.18</v>
          </cell>
          <cell r="G142">
            <v>64.849999999999994</v>
          </cell>
          <cell r="H142">
            <v>71.36</v>
          </cell>
        </row>
        <row r="143">
          <cell r="A143" t="str">
            <v>STATION NAME</v>
          </cell>
          <cell r="B143" t="str">
            <v>YEAR</v>
          </cell>
          <cell r="C143" t="str">
            <v>CAPACITY</v>
          </cell>
          <cell r="D143" t="str">
            <v>TARGET</v>
          </cell>
          <cell r="E143" t="str">
            <v>ACTUAL GENE.</v>
          </cell>
          <cell r="F143" t="str">
            <v>ACHIEVE-MENT</v>
          </cell>
          <cell r="G143" t="str">
            <v>AVAIL-ABILITY</v>
          </cell>
          <cell r="H143" t="str">
            <v>P.L.F.</v>
          </cell>
          <cell r="I143" t="str">
            <v>AUXILIARY CONSUMPTION</v>
          </cell>
          <cell r="J143">
            <v>0</v>
          </cell>
          <cell r="K143" t="str">
            <v>MAXIMUM DEMAND</v>
          </cell>
          <cell r="L143" t="str">
            <v>COAL IN MT</v>
          </cell>
          <cell r="M143">
            <v>0</v>
          </cell>
          <cell r="N143" t="str">
            <v>COAL CONSUMED</v>
          </cell>
          <cell r="O143">
            <v>0</v>
          </cell>
          <cell r="P143" t="str">
            <v>FUEL OIL CONSUMPTION</v>
          </cell>
        </row>
        <row r="144">
          <cell r="A144" t="str">
            <v xml:space="preserve"> </v>
          </cell>
          <cell r="B144" t="str">
            <v>Energy   Contents   in   MKwh</v>
          </cell>
          <cell r="C144" t="str">
            <v>MW</v>
          </cell>
          <cell r="D144" t="str">
            <v>MKwh</v>
          </cell>
          <cell r="E144" t="str">
            <v>MKwh</v>
          </cell>
          <cell r="F144" t="str">
            <v>%</v>
          </cell>
          <cell r="G144" t="str">
            <v>%</v>
          </cell>
          <cell r="H144" t="str">
            <v>%</v>
          </cell>
          <cell r="I144" t="str">
            <v>MKwh</v>
          </cell>
          <cell r="J144" t="str">
            <v>%</v>
          </cell>
          <cell r="K144" t="str">
            <v>MW</v>
          </cell>
          <cell r="L144" t="str">
            <v>OP.STOCK</v>
          </cell>
          <cell r="M144" t="str">
            <v>RECIEPT</v>
          </cell>
          <cell r="N144" t="str">
            <v>MT</v>
          </cell>
          <cell r="O144" t="str">
            <v>Kg/kWH</v>
          </cell>
          <cell r="P144" t="str">
            <v>KL</v>
          </cell>
          <cell r="Q144" t="str">
            <v>ml/KWH</v>
          </cell>
        </row>
        <row r="145">
          <cell r="A145" t="str">
            <v>SATPURA I</v>
          </cell>
          <cell r="B145" t="str">
            <v>88-89</v>
          </cell>
          <cell r="C145">
            <v>312.5</v>
          </cell>
          <cell r="D145">
            <v>1650</v>
          </cell>
          <cell r="E145">
            <v>1832.28</v>
          </cell>
          <cell r="F145">
            <v>111.04727272727273</v>
          </cell>
          <cell r="G145">
            <v>78.5</v>
          </cell>
          <cell r="H145">
            <v>66.932602739726022</v>
          </cell>
          <cell r="I145" t="str">
            <v xml:space="preserve"> </v>
          </cell>
          <cell r="J145">
            <v>0</v>
          </cell>
          <cell r="K145">
            <v>312</v>
          </cell>
          <cell r="L145">
            <v>0</v>
          </cell>
          <cell r="M145">
            <v>0</v>
          </cell>
          <cell r="N145">
            <v>1518619</v>
          </cell>
          <cell r="O145">
            <v>0.82881382758093736</v>
          </cell>
          <cell r="P145">
            <v>25303</v>
          </cell>
          <cell r="Q145">
            <v>13.809570589647871</v>
          </cell>
        </row>
        <row r="146">
          <cell r="A146">
            <v>1</v>
          </cell>
          <cell r="B146" t="str">
            <v>89-90</v>
          </cell>
          <cell r="C146">
            <v>312.5</v>
          </cell>
          <cell r="D146">
            <v>1575</v>
          </cell>
          <cell r="E146">
            <v>1730</v>
          </cell>
          <cell r="F146">
            <v>109.84126984126983</v>
          </cell>
          <cell r="G146">
            <v>77.010000000000005</v>
          </cell>
          <cell r="H146">
            <v>63.196347031963469</v>
          </cell>
          <cell r="I146">
            <v>183</v>
          </cell>
          <cell r="J146">
            <v>10.578034682080926</v>
          </cell>
          <cell r="K146">
            <v>300</v>
          </cell>
          <cell r="L146">
            <v>0</v>
          </cell>
          <cell r="M146">
            <v>0</v>
          </cell>
          <cell r="N146">
            <v>1355923</v>
          </cell>
          <cell r="O146">
            <v>0.78377052023121385</v>
          </cell>
          <cell r="P146">
            <v>41696</v>
          </cell>
          <cell r="Q146">
            <v>24.101734104046244</v>
          </cell>
        </row>
        <row r="147">
          <cell r="A147">
            <v>2</v>
          </cell>
          <cell r="B147" t="str">
            <v>90-91</v>
          </cell>
          <cell r="C147">
            <v>312.5</v>
          </cell>
          <cell r="D147">
            <v>1700</v>
          </cell>
          <cell r="E147">
            <v>1515.39</v>
          </cell>
          <cell r="F147">
            <v>89.140588235294118</v>
          </cell>
          <cell r="G147">
            <v>72.61</v>
          </cell>
          <cell r="H147">
            <v>55.356712328767124</v>
          </cell>
          <cell r="I147">
            <v>170.39</v>
          </cell>
          <cell r="J147">
            <v>11.243970199090663</v>
          </cell>
          <cell r="K147">
            <v>270</v>
          </cell>
          <cell r="L147">
            <v>0</v>
          </cell>
          <cell r="M147">
            <v>0</v>
          </cell>
          <cell r="N147">
            <v>1267262</v>
          </cell>
          <cell r="O147">
            <v>0.83626129247256487</v>
          </cell>
          <cell r="P147">
            <v>29278</v>
          </cell>
          <cell r="Q147">
            <v>19.320438962907236</v>
          </cell>
        </row>
        <row r="148">
          <cell r="A148">
            <v>3</v>
          </cell>
          <cell r="B148" t="str">
            <v>91-92</v>
          </cell>
          <cell r="C148">
            <v>312.5</v>
          </cell>
          <cell r="D148">
            <v>1700</v>
          </cell>
          <cell r="E148">
            <v>1385.47</v>
          </cell>
          <cell r="F148">
            <v>81.498235294117649</v>
          </cell>
          <cell r="G148">
            <v>64.790000000000006</v>
          </cell>
          <cell r="H148">
            <v>50.610776255707762</v>
          </cell>
          <cell r="I148">
            <v>149.15</v>
          </cell>
          <cell r="J148">
            <v>10.765299862140646</v>
          </cell>
          <cell r="K148">
            <v>260</v>
          </cell>
          <cell r="L148">
            <v>0</v>
          </cell>
          <cell r="M148">
            <v>0</v>
          </cell>
          <cell r="N148">
            <v>1231619</v>
          </cell>
          <cell r="O148">
            <v>0.88895392899160575</v>
          </cell>
          <cell r="P148">
            <v>24484</v>
          </cell>
          <cell r="Q148">
            <v>17.67198134928941</v>
          </cell>
        </row>
        <row r="149">
          <cell r="A149" t="str">
            <v>Note :-</v>
          </cell>
          <cell r="B149" t="str">
            <v>92-93</v>
          </cell>
          <cell r="C149">
            <v>312.5</v>
          </cell>
          <cell r="D149">
            <v>1600</v>
          </cell>
          <cell r="E149">
            <v>1538.84</v>
          </cell>
          <cell r="F149">
            <v>96.177499999999995</v>
          </cell>
          <cell r="G149">
            <v>72.41</v>
          </cell>
          <cell r="H149">
            <v>56.213333333333331</v>
          </cell>
          <cell r="I149">
            <v>157.91</v>
          </cell>
          <cell r="J149">
            <v>10.261625640092538</v>
          </cell>
          <cell r="K149">
            <v>305</v>
          </cell>
          <cell r="L149">
            <v>0</v>
          </cell>
          <cell r="M149">
            <v>0</v>
          </cell>
          <cell r="N149">
            <v>1453111</v>
          </cell>
          <cell r="O149">
            <v>0.94428985469574489</v>
          </cell>
          <cell r="P149">
            <v>28065</v>
          </cell>
          <cell r="Q149">
            <v>18.237763510176496</v>
          </cell>
        </row>
        <row r="150">
          <cell r="A150" t="str">
            <v>Note :-</v>
          </cell>
          <cell r="B150" t="str">
            <v>93-94</v>
          </cell>
          <cell r="C150">
            <v>312.5</v>
          </cell>
          <cell r="D150">
            <v>1500</v>
          </cell>
          <cell r="E150">
            <v>1519.37</v>
          </cell>
          <cell r="F150">
            <v>101.29133333333333</v>
          </cell>
          <cell r="G150">
            <v>72.699726027397261</v>
          </cell>
          <cell r="H150">
            <v>55.502100456621008</v>
          </cell>
          <cell r="I150">
            <v>165.02799999999999</v>
          </cell>
          <cell r="J150">
            <v>10.861607113474664</v>
          </cell>
          <cell r="K150">
            <v>306</v>
          </cell>
          <cell r="L150">
            <v>0</v>
          </cell>
          <cell r="M150">
            <v>0</v>
          </cell>
          <cell r="N150">
            <v>1405416</v>
          </cell>
          <cell r="O150">
            <v>0.92499917729058756</v>
          </cell>
          <cell r="P150">
            <v>29911.776000000002</v>
          </cell>
          <cell r="Q150">
            <v>19.686959726728844</v>
          </cell>
        </row>
        <row r="151">
          <cell r="B151" t="str">
            <v>94-95</v>
          </cell>
          <cell r="C151">
            <v>312.5</v>
          </cell>
          <cell r="D151">
            <v>1550</v>
          </cell>
          <cell r="E151">
            <v>1497.8</v>
          </cell>
          <cell r="F151">
            <v>96.632258064516122</v>
          </cell>
          <cell r="G151">
            <v>70</v>
          </cell>
          <cell r="H151">
            <v>54.714155251141555</v>
          </cell>
          <cell r="I151">
            <v>161.1</v>
          </cell>
          <cell r="J151">
            <v>10.755775136867406</v>
          </cell>
          <cell r="K151">
            <v>310</v>
          </cell>
          <cell r="L151" t="str">
            <v xml:space="preserve"> </v>
          </cell>
          <cell r="M151">
            <v>0</v>
          </cell>
          <cell r="N151">
            <v>1384902</v>
          </cell>
          <cell r="O151">
            <v>0.92462411536920819</v>
          </cell>
          <cell r="P151">
            <v>20311</v>
          </cell>
          <cell r="Q151">
            <v>13.560555481372681</v>
          </cell>
        </row>
        <row r="152">
          <cell r="B152" t="str">
            <v>95-96</v>
          </cell>
          <cell r="C152">
            <v>312.5</v>
          </cell>
          <cell r="D152">
            <v>1550</v>
          </cell>
          <cell r="E152">
            <v>1814</v>
          </cell>
          <cell r="F152">
            <v>117.03225806451613</v>
          </cell>
          <cell r="G152">
            <v>78.900000000000006</v>
          </cell>
          <cell r="H152">
            <v>66.083788706739526</v>
          </cell>
          <cell r="I152">
            <v>173.2</v>
          </cell>
          <cell r="J152">
            <v>9.5479603087100333</v>
          </cell>
          <cell r="K152">
            <v>313</v>
          </cell>
          <cell r="L152">
            <v>0</v>
          </cell>
          <cell r="M152">
            <v>0</v>
          </cell>
          <cell r="N152">
            <v>1640420</v>
          </cell>
          <cell r="O152">
            <v>0.90431091510474093</v>
          </cell>
          <cell r="P152">
            <v>17336</v>
          </cell>
          <cell r="Q152">
            <v>9.5567805953693501</v>
          </cell>
        </row>
        <row r="153">
          <cell r="B153" t="str">
            <v>96-97</v>
          </cell>
          <cell r="C153">
            <v>312.5</v>
          </cell>
          <cell r="D153">
            <v>1650</v>
          </cell>
          <cell r="E153">
            <v>1819</v>
          </cell>
          <cell r="F153">
            <v>110.24242424242425</v>
          </cell>
          <cell r="G153">
            <v>78</v>
          </cell>
          <cell r="H153">
            <v>66.447488584474883</v>
          </cell>
          <cell r="I153">
            <v>169</v>
          </cell>
          <cell r="J153">
            <v>9.2908191313908741</v>
          </cell>
          <cell r="K153">
            <v>315</v>
          </cell>
          <cell r="L153">
            <v>0</v>
          </cell>
          <cell r="M153">
            <v>0</v>
          </cell>
          <cell r="N153">
            <v>1634052</v>
          </cell>
          <cell r="O153">
            <v>0.89832435404068167</v>
          </cell>
          <cell r="P153">
            <v>14501</v>
          </cell>
          <cell r="Q153">
            <v>7.97196261682243</v>
          </cell>
        </row>
        <row r="154">
          <cell r="B154" t="str">
            <v>97-98</v>
          </cell>
          <cell r="C154">
            <v>312.5</v>
          </cell>
          <cell r="D154">
            <v>1800</v>
          </cell>
          <cell r="E154">
            <v>2122.88</v>
          </cell>
          <cell r="F154">
            <v>117.93777777777778</v>
          </cell>
          <cell r="G154">
            <v>85.2</v>
          </cell>
          <cell r="H154">
            <v>77.548127853881283</v>
          </cell>
          <cell r="I154">
            <v>192.33500000000001</v>
          </cell>
          <cell r="J154">
            <v>9.0600976032559544</v>
          </cell>
          <cell r="K154">
            <v>325</v>
          </cell>
          <cell r="L154">
            <v>0</v>
          </cell>
          <cell r="M154">
            <v>0</v>
          </cell>
          <cell r="N154">
            <v>1889366</v>
          </cell>
          <cell r="O154">
            <v>0.89000131896291834</v>
          </cell>
          <cell r="P154">
            <v>10789</v>
          </cell>
          <cell r="Q154">
            <v>5.0822467591196858</v>
          </cell>
        </row>
        <row r="155">
          <cell r="B155" t="str">
            <v>98-99</v>
          </cell>
          <cell r="C155">
            <v>312.5</v>
          </cell>
          <cell r="D155">
            <v>1700</v>
          </cell>
          <cell r="E155">
            <v>1925.81</v>
          </cell>
          <cell r="F155">
            <v>113.28294117647059</v>
          </cell>
          <cell r="G155">
            <v>78.900000000000006</v>
          </cell>
          <cell r="H155">
            <v>70.349223744292232</v>
          </cell>
          <cell r="I155">
            <v>175.8</v>
          </cell>
          <cell r="J155">
            <v>9.1286263961657692</v>
          </cell>
          <cell r="K155">
            <v>308</v>
          </cell>
          <cell r="L155">
            <v>0</v>
          </cell>
          <cell r="M155">
            <v>0</v>
          </cell>
          <cell r="N155">
            <v>1687020</v>
          </cell>
          <cell r="O155">
            <v>0.87600542109553903</v>
          </cell>
          <cell r="P155">
            <v>9962</v>
          </cell>
          <cell r="Q155">
            <v>5.1728882911606027</v>
          </cell>
        </row>
        <row r="156">
          <cell r="B156" t="str">
            <v>99-00</v>
          </cell>
          <cell r="C156">
            <v>312.5</v>
          </cell>
          <cell r="D156">
            <v>2050</v>
          </cell>
          <cell r="E156">
            <v>2102.1999999999998</v>
          </cell>
          <cell r="F156">
            <v>102.5</v>
          </cell>
          <cell r="G156">
            <v>80.8</v>
          </cell>
          <cell r="H156">
            <v>76.599999999999994</v>
          </cell>
          <cell r="I156">
            <v>187.6</v>
          </cell>
          <cell r="J156">
            <v>8.9</v>
          </cell>
          <cell r="K156">
            <v>313</v>
          </cell>
          <cell r="L156">
            <v>0</v>
          </cell>
          <cell r="M156">
            <v>0</v>
          </cell>
          <cell r="N156">
            <v>1663406</v>
          </cell>
          <cell r="O156">
            <v>0.79</v>
          </cell>
          <cell r="P156">
            <v>8205</v>
          </cell>
          <cell r="Q156">
            <v>3.9</v>
          </cell>
        </row>
        <row r="157">
          <cell r="B157" t="str">
            <v>00-01</v>
          </cell>
          <cell r="C157">
            <v>312.5</v>
          </cell>
          <cell r="D157">
            <v>1950</v>
          </cell>
          <cell r="E157">
            <v>1972.36</v>
          </cell>
          <cell r="F157">
            <v>101.15</v>
          </cell>
          <cell r="G157">
            <v>78.77</v>
          </cell>
          <cell r="H157">
            <v>72.05</v>
          </cell>
          <cell r="I157">
            <v>180.9</v>
          </cell>
          <cell r="J157">
            <v>9.17</v>
          </cell>
          <cell r="K157">
            <v>308</v>
          </cell>
          <cell r="L157">
            <v>0</v>
          </cell>
          <cell r="M157">
            <v>0</v>
          </cell>
          <cell r="N157">
            <v>1663767</v>
          </cell>
          <cell r="O157">
            <v>0.84399999999999997</v>
          </cell>
          <cell r="P157">
            <v>9457</v>
          </cell>
          <cell r="Q157">
            <v>4.8</v>
          </cell>
        </row>
        <row r="158">
          <cell r="A158" t="str">
            <v>Average last 5 years</v>
          </cell>
          <cell r="B158">
            <v>0</v>
          </cell>
          <cell r="C158">
            <v>0</v>
          </cell>
          <cell r="D158">
            <v>1830</v>
          </cell>
          <cell r="E158">
            <v>1988.45</v>
          </cell>
          <cell r="F158">
            <v>109.02262863933451</v>
          </cell>
          <cell r="G158">
            <v>80.333999999999989</v>
          </cell>
          <cell r="H158">
            <v>72.598968036529669</v>
          </cell>
          <cell r="I158">
            <v>181.12700000000001</v>
          </cell>
          <cell r="J158">
            <v>9.10990862616252</v>
          </cell>
          <cell r="K158">
            <v>313.8</v>
          </cell>
          <cell r="L158">
            <v>0</v>
          </cell>
          <cell r="M158">
            <v>0</v>
          </cell>
          <cell r="N158">
            <v>1707522.2</v>
          </cell>
          <cell r="O158">
            <v>0.85966621881982785</v>
          </cell>
          <cell r="P158">
            <v>10582.8</v>
          </cell>
          <cell r="Q158">
            <v>5.3854195334205439</v>
          </cell>
        </row>
        <row r="159">
          <cell r="A159" t="str">
            <v>SATPURA II</v>
          </cell>
          <cell r="B159" t="str">
            <v>88-89</v>
          </cell>
          <cell r="C159">
            <v>410</v>
          </cell>
          <cell r="D159">
            <v>1800</v>
          </cell>
          <cell r="E159">
            <v>1359.91</v>
          </cell>
          <cell r="F159">
            <v>75.550555555555562</v>
          </cell>
          <cell r="G159">
            <v>64.67</v>
          </cell>
          <cell r="H159">
            <v>37.863626239002116</v>
          </cell>
          <cell r="I159" t="str">
            <v xml:space="preserve"> </v>
          </cell>
          <cell r="J159">
            <v>0</v>
          </cell>
          <cell r="K159">
            <v>370</v>
          </cell>
          <cell r="L159">
            <v>0</v>
          </cell>
          <cell r="M159">
            <v>0</v>
          </cell>
          <cell r="N159">
            <v>1073518</v>
          </cell>
          <cell r="O159">
            <v>0.78940371053966807</v>
          </cell>
          <cell r="P159">
            <v>49985</v>
          </cell>
          <cell r="Q159">
            <v>36.756108860145154</v>
          </cell>
        </row>
        <row r="160">
          <cell r="B160" t="str">
            <v>89-90</v>
          </cell>
          <cell r="C160">
            <v>410</v>
          </cell>
          <cell r="D160">
            <v>1800</v>
          </cell>
          <cell r="E160">
            <v>1247.99</v>
          </cell>
          <cell r="F160">
            <v>69.332777777777778</v>
          </cell>
          <cell r="G160">
            <v>64.5</v>
          </cell>
          <cell r="H160">
            <v>34.747466310279542</v>
          </cell>
          <cell r="I160">
            <v>163</v>
          </cell>
          <cell r="J160">
            <v>13.061002091362912</v>
          </cell>
          <cell r="K160">
            <v>370</v>
          </cell>
          <cell r="L160">
            <v>0</v>
          </cell>
          <cell r="M160">
            <v>0</v>
          </cell>
          <cell r="N160">
            <v>957978</v>
          </cell>
          <cell r="O160">
            <v>0.7676167276981386</v>
          </cell>
          <cell r="P160">
            <v>69673</v>
          </cell>
          <cell r="Q160">
            <v>55.828171700093748</v>
          </cell>
        </row>
        <row r="161">
          <cell r="B161" t="str">
            <v>90-91</v>
          </cell>
          <cell r="C161">
            <v>410</v>
          </cell>
          <cell r="D161">
            <v>1800</v>
          </cell>
          <cell r="E161">
            <v>1143.08</v>
          </cell>
          <cell r="F161">
            <v>63.504444444444445</v>
          </cell>
          <cell r="G161">
            <v>59.01</v>
          </cell>
          <cell r="H161">
            <v>31.826484018264839</v>
          </cell>
          <cell r="I161">
            <v>154.97</v>
          </cell>
          <cell r="J161">
            <v>13.557231339888723</v>
          </cell>
          <cell r="K161">
            <v>360</v>
          </cell>
          <cell r="L161">
            <v>0</v>
          </cell>
          <cell r="M161">
            <v>0</v>
          </cell>
          <cell r="N161">
            <v>940719</v>
          </cell>
          <cell r="O161">
            <v>0.82296864611400777</v>
          </cell>
          <cell r="P161">
            <v>46329</v>
          </cell>
          <cell r="Q161">
            <v>40.529971655527177</v>
          </cell>
        </row>
        <row r="162">
          <cell r="B162" t="str">
            <v>91-92</v>
          </cell>
          <cell r="C162">
            <v>410</v>
          </cell>
          <cell r="D162">
            <v>1800</v>
          </cell>
          <cell r="E162">
            <v>1261.23</v>
          </cell>
          <cell r="F162">
            <v>70.068333333333328</v>
          </cell>
          <cell r="G162">
            <v>57.19</v>
          </cell>
          <cell r="H162">
            <v>35.116104243234211</v>
          </cell>
          <cell r="I162">
            <v>163.13</v>
          </cell>
          <cell r="J162">
            <v>12.934199154793337</v>
          </cell>
          <cell r="K162">
            <v>360</v>
          </cell>
          <cell r="L162">
            <v>0</v>
          </cell>
          <cell r="M162">
            <v>0</v>
          </cell>
          <cell r="N162">
            <v>1092330</v>
          </cell>
          <cell r="O162">
            <v>0.86608310934563881</v>
          </cell>
          <cell r="P162">
            <v>32897</v>
          </cell>
          <cell r="Q162">
            <v>26.083267920997756</v>
          </cell>
        </row>
        <row r="163">
          <cell r="B163" t="str">
            <v>92-93</v>
          </cell>
          <cell r="C163">
            <v>410</v>
          </cell>
          <cell r="D163">
            <v>1600</v>
          </cell>
          <cell r="E163">
            <v>1091.3900000000001</v>
          </cell>
          <cell r="F163">
            <v>68.211875000000006</v>
          </cell>
          <cell r="G163">
            <v>52.11</v>
          </cell>
          <cell r="H163">
            <v>30.387292571555857</v>
          </cell>
          <cell r="I163">
            <v>140.04</v>
          </cell>
          <cell r="J163">
            <v>12.831343516066665</v>
          </cell>
          <cell r="K163">
            <v>360</v>
          </cell>
          <cell r="L163">
            <v>0</v>
          </cell>
          <cell r="M163">
            <v>0</v>
          </cell>
          <cell r="N163">
            <v>1018559</v>
          </cell>
          <cell r="O163">
            <v>0.93326766783642878</v>
          </cell>
          <cell r="P163">
            <v>47822</v>
          </cell>
          <cell r="Q163">
            <v>43.817517111206804</v>
          </cell>
        </row>
        <row r="164">
          <cell r="B164" t="str">
            <v>93-94</v>
          </cell>
          <cell r="C164">
            <v>410</v>
          </cell>
          <cell r="D164">
            <v>1400</v>
          </cell>
          <cell r="E164">
            <v>1268.5727999999999</v>
          </cell>
          <cell r="F164">
            <v>90.612342857142863</v>
          </cell>
          <cell r="G164">
            <v>50.802958904109587</v>
          </cell>
          <cell r="H164">
            <v>35.320547945205476</v>
          </cell>
          <cell r="I164">
            <v>141.77538000000001</v>
          </cell>
          <cell r="J164">
            <v>11.175975080026941</v>
          </cell>
          <cell r="K164">
            <v>380</v>
          </cell>
          <cell r="L164">
            <v>0</v>
          </cell>
          <cell r="M164">
            <v>0</v>
          </cell>
          <cell r="N164">
            <v>1109586.71</v>
          </cell>
          <cell r="O164">
            <v>0.87467326274061696</v>
          </cell>
          <cell r="P164">
            <v>22408.133999999998</v>
          </cell>
          <cell r="Q164">
            <v>17.664050498323785</v>
          </cell>
        </row>
        <row r="165">
          <cell r="B165" t="str">
            <v>94-95</v>
          </cell>
          <cell r="C165">
            <v>410</v>
          </cell>
          <cell r="D165">
            <v>1400</v>
          </cell>
          <cell r="E165">
            <v>2021.1</v>
          </cell>
          <cell r="F165">
            <v>144.36428571428573</v>
          </cell>
          <cell r="G165">
            <v>74.5</v>
          </cell>
          <cell r="H165">
            <v>56.272970263949212</v>
          </cell>
          <cell r="I165">
            <v>195.6</v>
          </cell>
          <cell r="J165">
            <v>9.6778981742615411</v>
          </cell>
          <cell r="K165">
            <v>425</v>
          </cell>
          <cell r="L165">
            <v>0</v>
          </cell>
          <cell r="M165">
            <v>0</v>
          </cell>
          <cell r="N165">
            <v>1776510</v>
          </cell>
          <cell r="O165">
            <v>0.8789817426154074</v>
          </cell>
          <cell r="P165">
            <v>27860</v>
          </cell>
          <cell r="Q165">
            <v>13.784572757409332</v>
          </cell>
        </row>
        <row r="166">
          <cell r="B166" t="str">
            <v>95-96</v>
          </cell>
          <cell r="C166">
            <v>410</v>
          </cell>
          <cell r="D166">
            <v>2000</v>
          </cell>
          <cell r="E166">
            <v>2079.3000000000002</v>
          </cell>
          <cell r="F166">
            <v>103.96500000000002</v>
          </cell>
          <cell r="G166">
            <v>77.3</v>
          </cell>
          <cell r="H166">
            <v>57.735239237638289</v>
          </cell>
          <cell r="I166">
            <v>206.9</v>
          </cell>
          <cell r="J166">
            <v>9.9504640984946846</v>
          </cell>
          <cell r="K166">
            <v>425</v>
          </cell>
          <cell r="L166">
            <v>0</v>
          </cell>
          <cell r="M166">
            <v>0</v>
          </cell>
          <cell r="N166">
            <v>1823764</v>
          </cell>
          <cell r="O166">
            <v>0.87710479488289317</v>
          </cell>
          <cell r="P166">
            <v>19304</v>
          </cell>
          <cell r="Q166">
            <v>9.2838936180445337</v>
          </cell>
        </row>
        <row r="167">
          <cell r="B167" t="str">
            <v>96-97</v>
          </cell>
          <cell r="C167">
            <v>410</v>
          </cell>
          <cell r="D167">
            <v>2000</v>
          </cell>
          <cell r="E167">
            <v>2273.1</v>
          </cell>
          <cell r="F167">
            <v>113.655</v>
          </cell>
          <cell r="G167">
            <v>77.599999999999994</v>
          </cell>
          <cell r="H167">
            <v>63.289341797527563</v>
          </cell>
          <cell r="I167">
            <v>213</v>
          </cell>
          <cell r="J167">
            <v>9.3704632440279791</v>
          </cell>
          <cell r="K167">
            <v>410</v>
          </cell>
          <cell r="L167">
            <v>0</v>
          </cell>
          <cell r="M167">
            <v>0</v>
          </cell>
          <cell r="N167">
            <v>1969440</v>
          </cell>
          <cell r="O167">
            <v>0.86641150851260396</v>
          </cell>
          <cell r="P167">
            <v>11164</v>
          </cell>
          <cell r="Q167">
            <v>4.9113545378557921</v>
          </cell>
        </row>
        <row r="168">
          <cell r="B168" t="str">
            <v>97-98</v>
          </cell>
          <cell r="C168">
            <v>410</v>
          </cell>
          <cell r="D168">
            <v>2200</v>
          </cell>
          <cell r="E168">
            <v>2601.9899999999998</v>
          </cell>
          <cell r="F168">
            <v>118.27227272727271</v>
          </cell>
          <cell r="G168">
            <v>84.5</v>
          </cell>
          <cell r="H168">
            <v>72.446541931172732</v>
          </cell>
          <cell r="I168">
            <v>249.321</v>
          </cell>
          <cell r="J168">
            <v>9.5819353648553616</v>
          </cell>
          <cell r="K168">
            <v>425</v>
          </cell>
          <cell r="L168">
            <v>0</v>
          </cell>
          <cell r="M168">
            <v>0</v>
          </cell>
          <cell r="N168">
            <v>2253381</v>
          </cell>
          <cell r="O168">
            <v>0.86602215996218279</v>
          </cell>
          <cell r="P168">
            <v>10505</v>
          </cell>
          <cell r="Q168">
            <v>4.0372945322618463</v>
          </cell>
        </row>
        <row r="169">
          <cell r="B169" t="str">
            <v>98-99</v>
          </cell>
          <cell r="C169">
            <v>410</v>
          </cell>
          <cell r="D169">
            <v>2150</v>
          </cell>
          <cell r="E169">
            <v>2881.87</v>
          </cell>
          <cell r="F169">
            <v>134.04046511627908</v>
          </cell>
          <cell r="G169">
            <v>87.5</v>
          </cell>
          <cell r="H169">
            <v>80.239169172513641</v>
          </cell>
          <cell r="I169">
            <v>254</v>
          </cell>
          <cell r="J169">
            <v>8.8137216460145673</v>
          </cell>
          <cell r="K169">
            <v>425</v>
          </cell>
          <cell r="L169">
            <v>0</v>
          </cell>
          <cell r="M169">
            <v>0</v>
          </cell>
          <cell r="N169">
            <v>2346034</v>
          </cell>
          <cell r="O169">
            <v>0.81406656094827312</v>
          </cell>
          <cell r="P169">
            <v>4710</v>
          </cell>
          <cell r="Q169">
            <v>1.6343554705798666</v>
          </cell>
        </row>
        <row r="170">
          <cell r="B170" t="str">
            <v>99-00</v>
          </cell>
          <cell r="C170">
            <v>410</v>
          </cell>
          <cell r="D170">
            <v>2700</v>
          </cell>
          <cell r="E170">
            <v>2520.9</v>
          </cell>
          <cell r="F170">
            <v>93.3</v>
          </cell>
          <cell r="G170">
            <v>75.2</v>
          </cell>
          <cell r="H170">
            <v>70</v>
          </cell>
          <cell r="I170">
            <v>226.5</v>
          </cell>
          <cell r="J170">
            <v>8.9848863501130545</v>
          </cell>
          <cell r="K170">
            <v>425</v>
          </cell>
          <cell r="L170">
            <v>0</v>
          </cell>
          <cell r="M170">
            <v>0</v>
          </cell>
          <cell r="N170">
            <v>1970136</v>
          </cell>
          <cell r="O170">
            <v>0.78152088539807207</v>
          </cell>
          <cell r="P170">
            <v>4059</v>
          </cell>
          <cell r="Q170">
            <v>1.6101392359871474</v>
          </cell>
        </row>
        <row r="171">
          <cell r="B171" t="str">
            <v>00-01</v>
          </cell>
          <cell r="C171">
            <v>410</v>
          </cell>
          <cell r="D171">
            <v>2850</v>
          </cell>
          <cell r="E171">
            <v>2450.13</v>
          </cell>
          <cell r="F171">
            <v>85.97</v>
          </cell>
          <cell r="G171">
            <v>77.64</v>
          </cell>
          <cell r="H171">
            <v>68.22</v>
          </cell>
          <cell r="I171">
            <v>222.63</v>
          </cell>
          <cell r="J171">
            <v>9.0864566369947717</v>
          </cell>
          <cell r="K171">
            <v>415</v>
          </cell>
          <cell r="L171">
            <v>0</v>
          </cell>
          <cell r="M171">
            <v>0</v>
          </cell>
          <cell r="N171">
            <v>1980025</v>
          </cell>
          <cell r="O171">
            <v>0.80813058898915568</v>
          </cell>
          <cell r="P171">
            <v>7560</v>
          </cell>
          <cell r="Q171">
            <v>3.0855505626232076</v>
          </cell>
        </row>
        <row r="172">
          <cell r="A172" t="str">
            <v>Average last 5 years</v>
          </cell>
          <cell r="B172">
            <v>0</v>
          </cell>
          <cell r="C172">
            <v>0</v>
          </cell>
          <cell r="D172">
            <v>2380</v>
          </cell>
          <cell r="E172">
            <v>2545.5980000000004</v>
          </cell>
          <cell r="F172">
            <v>109.04754756871037</v>
          </cell>
          <cell r="G172">
            <v>80.488</v>
          </cell>
          <cell r="H172">
            <v>70.839010580242785</v>
          </cell>
          <cell r="I172">
            <v>233.09020000000001</v>
          </cell>
          <cell r="J172">
            <v>9.1674926484011472</v>
          </cell>
          <cell r="K172">
            <v>420</v>
          </cell>
          <cell r="L172">
            <v>0</v>
          </cell>
          <cell r="M172">
            <v>0</v>
          </cell>
          <cell r="N172">
            <v>2103803.2000000002</v>
          </cell>
          <cell r="O172">
            <v>0.82723034076205759</v>
          </cell>
          <cell r="P172">
            <v>7599.6</v>
          </cell>
          <cell r="Q172">
            <v>3.0557388678615722</v>
          </cell>
        </row>
        <row r="173">
          <cell r="A173" t="str">
            <v>SATPURA III</v>
          </cell>
          <cell r="B173" t="str">
            <v>88-89</v>
          </cell>
          <cell r="C173">
            <v>420</v>
          </cell>
          <cell r="D173">
            <v>2050</v>
          </cell>
          <cell r="E173">
            <v>1857.99</v>
          </cell>
          <cell r="F173">
            <v>90.633658536585372</v>
          </cell>
          <cell r="G173">
            <v>75.62</v>
          </cell>
          <cell r="H173">
            <v>50.4998369210698</v>
          </cell>
          <cell r="I173" t="str">
            <v xml:space="preserve"> </v>
          </cell>
          <cell r="J173">
            <v>0</v>
          </cell>
          <cell r="K173">
            <v>420</v>
          </cell>
          <cell r="L173">
            <v>0</v>
          </cell>
          <cell r="M173">
            <v>0</v>
          </cell>
          <cell r="N173">
            <v>1419331</v>
          </cell>
          <cell r="O173">
            <v>0.76390669486918661</v>
          </cell>
          <cell r="P173">
            <v>19789</v>
          </cell>
          <cell r="Q173">
            <v>10.650757000844999</v>
          </cell>
        </row>
        <row r="174">
          <cell r="B174" t="str">
            <v>89-90</v>
          </cell>
          <cell r="C174">
            <v>420</v>
          </cell>
          <cell r="D174">
            <v>2100</v>
          </cell>
          <cell r="E174">
            <v>1805.67</v>
          </cell>
          <cell r="F174">
            <v>85.984285714285718</v>
          </cell>
          <cell r="G174">
            <v>88.7</v>
          </cell>
          <cell r="H174">
            <v>49.077788649706456</v>
          </cell>
          <cell r="I174">
            <v>189</v>
          </cell>
          <cell r="J174">
            <v>10.467028859093855</v>
          </cell>
          <cell r="K174">
            <v>370</v>
          </cell>
          <cell r="L174">
            <v>0</v>
          </cell>
          <cell r="M174">
            <v>0</v>
          </cell>
          <cell r="N174">
            <v>1317205</v>
          </cell>
          <cell r="O174">
            <v>0.72948268509749847</v>
          </cell>
          <cell r="P174">
            <v>56636</v>
          </cell>
          <cell r="Q174">
            <v>31.365642670033836</v>
          </cell>
        </row>
        <row r="175">
          <cell r="B175" t="str">
            <v>90-91</v>
          </cell>
          <cell r="C175">
            <v>420</v>
          </cell>
          <cell r="D175">
            <v>1950</v>
          </cell>
          <cell r="E175">
            <v>1496.73</v>
          </cell>
          <cell r="F175">
            <v>76.755384615384614</v>
          </cell>
          <cell r="G175">
            <v>67.97</v>
          </cell>
          <cell r="H175">
            <v>40.680854533594257</v>
          </cell>
          <cell r="I175">
            <v>168.45</v>
          </cell>
          <cell r="J175">
            <v>11.254534886051593</v>
          </cell>
          <cell r="K175">
            <v>380</v>
          </cell>
          <cell r="L175">
            <v>0</v>
          </cell>
          <cell r="M175">
            <v>0</v>
          </cell>
          <cell r="N175">
            <v>1201210</v>
          </cell>
          <cell r="O175">
            <v>0.80255623926827147</v>
          </cell>
          <cell r="P175">
            <v>50058</v>
          </cell>
          <cell r="Q175">
            <v>33.444909903589824</v>
          </cell>
        </row>
        <row r="176">
          <cell r="B176" t="str">
            <v>91-92</v>
          </cell>
          <cell r="C176">
            <v>420</v>
          </cell>
          <cell r="D176">
            <v>1950</v>
          </cell>
          <cell r="E176">
            <v>1741.07</v>
          </cell>
          <cell r="F176">
            <v>89.285641025641027</v>
          </cell>
          <cell r="G176">
            <v>69.19</v>
          </cell>
          <cell r="H176">
            <v>47.321972167862576</v>
          </cell>
          <cell r="I176">
            <v>179.06</v>
          </cell>
          <cell r="J176">
            <v>10.284480233419679</v>
          </cell>
          <cell r="K176">
            <v>380</v>
          </cell>
          <cell r="L176">
            <v>0</v>
          </cell>
          <cell r="M176">
            <v>0</v>
          </cell>
          <cell r="N176">
            <v>1516544</v>
          </cell>
          <cell r="O176">
            <v>0.87104137111086866</v>
          </cell>
          <cell r="P176">
            <v>29511</v>
          </cell>
          <cell r="Q176">
            <v>16.949921599935671</v>
          </cell>
        </row>
        <row r="177">
          <cell r="B177" t="str">
            <v>92-93</v>
          </cell>
          <cell r="C177">
            <v>420</v>
          </cell>
          <cell r="D177">
            <v>1800</v>
          </cell>
          <cell r="E177">
            <v>2011.32</v>
          </cell>
          <cell r="F177">
            <v>111.74</v>
          </cell>
          <cell r="G177">
            <v>81.23</v>
          </cell>
          <cell r="H177">
            <v>54.667318982387478</v>
          </cell>
          <cell r="I177">
            <v>201.66</v>
          </cell>
          <cell r="J177">
            <v>10.026251416979894</v>
          </cell>
          <cell r="K177">
            <v>410</v>
          </cell>
          <cell r="L177">
            <v>0</v>
          </cell>
          <cell r="M177">
            <v>0</v>
          </cell>
          <cell r="N177">
            <v>1890962</v>
          </cell>
          <cell r="O177">
            <v>0.94015969611996097</v>
          </cell>
          <cell r="P177">
            <v>38920</v>
          </cell>
          <cell r="Q177">
            <v>19.35047630411869</v>
          </cell>
        </row>
        <row r="178">
          <cell r="B178" t="str">
            <v>93-94</v>
          </cell>
          <cell r="C178">
            <v>420</v>
          </cell>
          <cell r="D178">
            <v>2015</v>
          </cell>
          <cell r="E178">
            <v>2278.799</v>
          </cell>
          <cell r="F178">
            <v>113.0917617866005</v>
          </cell>
          <cell r="G178">
            <v>81.576273972602735</v>
          </cell>
          <cell r="H178">
            <v>61.93735051098065</v>
          </cell>
          <cell r="I178">
            <v>217.87020000000001</v>
          </cell>
          <cell r="J178">
            <v>9.5607466915686725</v>
          </cell>
          <cell r="K178">
            <v>420</v>
          </cell>
          <cell r="L178">
            <v>0</v>
          </cell>
          <cell r="M178">
            <v>0</v>
          </cell>
          <cell r="N178">
            <v>2020976</v>
          </cell>
          <cell r="O178">
            <v>0.88686013992458312</v>
          </cell>
          <cell r="P178">
            <v>29590.454000000002</v>
          </cell>
          <cell r="Q178">
            <v>12.985109261501345</v>
          </cell>
        </row>
        <row r="179">
          <cell r="B179" t="str">
            <v>94-95</v>
          </cell>
          <cell r="C179">
            <v>420</v>
          </cell>
          <cell r="D179">
            <v>2000</v>
          </cell>
          <cell r="E179">
            <v>2280.8000000000002</v>
          </cell>
          <cell r="F179">
            <v>114.04000000000002</v>
          </cell>
          <cell r="G179">
            <v>85.1</v>
          </cell>
          <cell r="H179">
            <v>61.991737334203094</v>
          </cell>
          <cell r="I179">
            <v>230.8</v>
          </cell>
          <cell r="J179">
            <v>10.119256401262714</v>
          </cell>
          <cell r="K179">
            <v>420</v>
          </cell>
          <cell r="L179">
            <v>0</v>
          </cell>
          <cell r="M179">
            <v>0</v>
          </cell>
          <cell r="N179">
            <v>2011129</v>
          </cell>
          <cell r="O179">
            <v>0.88176473167309721</v>
          </cell>
          <cell r="P179">
            <v>33934</v>
          </cell>
          <cell r="Q179">
            <v>14.878112942827077</v>
          </cell>
        </row>
        <row r="180">
          <cell r="B180" t="str">
            <v>95-96</v>
          </cell>
          <cell r="C180">
            <v>420</v>
          </cell>
          <cell r="D180">
            <v>2100</v>
          </cell>
          <cell r="E180">
            <v>2141.3000000000002</v>
          </cell>
          <cell r="F180">
            <v>101.96666666666668</v>
          </cell>
          <cell r="G180">
            <v>77.400000000000006</v>
          </cell>
          <cell r="H180">
            <v>58.041135397692784</v>
          </cell>
          <cell r="I180">
            <v>217.7</v>
          </cell>
          <cell r="J180">
            <v>10.166721150702843</v>
          </cell>
          <cell r="K180">
            <v>420</v>
          </cell>
          <cell r="L180">
            <v>0</v>
          </cell>
          <cell r="M180">
            <v>0</v>
          </cell>
          <cell r="N180">
            <v>1891560</v>
          </cell>
          <cell r="O180">
            <v>0.88336991547190957</v>
          </cell>
          <cell r="P180">
            <v>18396</v>
          </cell>
          <cell r="Q180">
            <v>8.5910428244524351</v>
          </cell>
        </row>
        <row r="181">
          <cell r="B181" t="str">
            <v>96-97</v>
          </cell>
          <cell r="C181">
            <v>420</v>
          </cell>
          <cell r="D181">
            <v>2100</v>
          </cell>
          <cell r="E181">
            <v>2447.1999999999998</v>
          </cell>
          <cell r="F181">
            <v>116.53333333333332</v>
          </cell>
          <cell r="G181">
            <v>82.1</v>
          </cell>
          <cell r="H181">
            <v>66.514459665144585</v>
          </cell>
          <cell r="I181">
            <v>235.2</v>
          </cell>
          <cell r="J181">
            <v>9.610983981693364</v>
          </cell>
          <cell r="K181">
            <v>420</v>
          </cell>
          <cell r="L181">
            <v>0</v>
          </cell>
          <cell r="M181">
            <v>0</v>
          </cell>
          <cell r="N181">
            <v>2117083</v>
          </cell>
          <cell r="O181">
            <v>0.86510420071918925</v>
          </cell>
          <cell r="P181">
            <v>10325</v>
          </cell>
          <cell r="Q181">
            <v>4.2191075514874141</v>
          </cell>
        </row>
        <row r="182">
          <cell r="B182" t="str">
            <v>97-98</v>
          </cell>
          <cell r="C182">
            <v>420</v>
          </cell>
          <cell r="D182">
            <v>2300</v>
          </cell>
          <cell r="E182">
            <v>2706.67</v>
          </cell>
          <cell r="F182">
            <v>117.68130434782609</v>
          </cell>
          <cell r="G182">
            <v>82.6</v>
          </cell>
          <cell r="H182">
            <v>73.566808001739503</v>
          </cell>
          <cell r="I182">
            <v>235.6</v>
          </cell>
          <cell r="J182">
            <v>8.7044227778044601</v>
          </cell>
          <cell r="K182">
            <v>430</v>
          </cell>
          <cell r="L182">
            <v>0</v>
          </cell>
          <cell r="M182">
            <v>0</v>
          </cell>
          <cell r="N182">
            <v>2345918</v>
          </cell>
          <cell r="O182">
            <v>0.86671740552043652</v>
          </cell>
          <cell r="P182">
            <v>6198</v>
          </cell>
          <cell r="Q182">
            <v>2.2898986577602738</v>
          </cell>
        </row>
        <row r="183">
          <cell r="B183" t="str">
            <v>98-99</v>
          </cell>
          <cell r="C183">
            <v>420</v>
          </cell>
          <cell r="D183">
            <v>2250</v>
          </cell>
          <cell r="E183">
            <v>2830.37</v>
          </cell>
          <cell r="F183">
            <v>125.79422222222222</v>
          </cell>
          <cell r="G183">
            <v>82.9</v>
          </cell>
          <cell r="H183">
            <v>76.92895194607523</v>
          </cell>
          <cell r="I183">
            <v>244</v>
          </cell>
          <cell r="J183">
            <v>8.6207810286287661</v>
          </cell>
          <cell r="K183">
            <v>430</v>
          </cell>
          <cell r="L183">
            <v>0</v>
          </cell>
          <cell r="M183">
            <v>0</v>
          </cell>
          <cell r="N183">
            <v>2296097</v>
          </cell>
          <cell r="O183">
            <v>0.81123563350374683</v>
          </cell>
          <cell r="P183">
            <v>3438</v>
          </cell>
          <cell r="Q183">
            <v>1.2146821793617089</v>
          </cell>
        </row>
        <row r="184">
          <cell r="B184" t="str">
            <v>99-00</v>
          </cell>
          <cell r="C184">
            <v>420</v>
          </cell>
          <cell r="D184">
            <v>2750</v>
          </cell>
          <cell r="E184">
            <v>3093.5</v>
          </cell>
          <cell r="F184">
            <v>112.5</v>
          </cell>
          <cell r="G184">
            <v>87.3</v>
          </cell>
          <cell r="H184">
            <v>83.9</v>
          </cell>
          <cell r="I184">
            <v>263.5</v>
          </cell>
          <cell r="J184">
            <v>8.51786002909326</v>
          </cell>
          <cell r="K184">
            <v>430</v>
          </cell>
          <cell r="L184">
            <v>0</v>
          </cell>
          <cell r="M184">
            <v>0</v>
          </cell>
          <cell r="N184">
            <v>2416220</v>
          </cell>
          <cell r="O184">
            <v>0.78106352028446746</v>
          </cell>
          <cell r="P184">
            <v>2388</v>
          </cell>
          <cell r="Q184">
            <v>0.77194116696298687</v>
          </cell>
        </row>
        <row r="185">
          <cell r="B185" t="str">
            <v>00-01</v>
          </cell>
          <cell r="C185">
            <v>420</v>
          </cell>
          <cell r="D185">
            <v>2800</v>
          </cell>
          <cell r="E185">
            <v>2780.62</v>
          </cell>
          <cell r="F185">
            <v>97.46</v>
          </cell>
          <cell r="G185">
            <v>79.290000000000006</v>
          </cell>
          <cell r="H185">
            <v>75.58</v>
          </cell>
          <cell r="I185">
            <v>239.04</v>
          </cell>
          <cell r="J185">
            <v>8.5966439139472488</v>
          </cell>
          <cell r="K185">
            <v>420</v>
          </cell>
          <cell r="L185">
            <v>0</v>
          </cell>
          <cell r="M185">
            <v>0</v>
          </cell>
          <cell r="N185">
            <v>2263305</v>
          </cell>
          <cell r="O185">
            <v>0.81395695923930633</v>
          </cell>
          <cell r="P185">
            <v>3634</v>
          </cell>
          <cell r="Q185">
            <v>1.3069027770784933</v>
          </cell>
        </row>
        <row r="186">
          <cell r="A186" t="str">
            <v>Average last 5 years</v>
          </cell>
          <cell r="B186">
            <v>0</v>
          </cell>
          <cell r="C186">
            <v>0</v>
          </cell>
          <cell r="D186">
            <v>2440</v>
          </cell>
          <cell r="E186">
            <v>2771.672</v>
          </cell>
          <cell r="F186">
            <v>113.99377198067631</v>
          </cell>
          <cell r="G186">
            <v>82.837999999999994</v>
          </cell>
          <cell r="H186">
            <v>75.298043922591859</v>
          </cell>
          <cell r="I186">
            <v>243.46799999999999</v>
          </cell>
          <cell r="J186">
            <v>8.8101383462334191</v>
          </cell>
          <cell r="K186">
            <v>426</v>
          </cell>
          <cell r="L186">
            <v>0</v>
          </cell>
          <cell r="M186">
            <v>0</v>
          </cell>
          <cell r="N186">
            <v>2287724.6</v>
          </cell>
          <cell r="O186">
            <v>0.82761554385342928</v>
          </cell>
          <cell r="P186">
            <v>5196.6000000000004</v>
          </cell>
          <cell r="Q186">
            <v>1.9605064665301755</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cell r="I189" t="str">
            <v>AUXILIARY CONSUMPTION</v>
          </cell>
          <cell r="J189">
            <v>0</v>
          </cell>
          <cell r="K189" t="str">
            <v>MAXIMUM DEMAND</v>
          </cell>
          <cell r="L189" t="str">
            <v>COAL IN MT</v>
          </cell>
          <cell r="M189">
            <v>0</v>
          </cell>
          <cell r="N189" t="str">
            <v>COAL CONSUMED</v>
          </cell>
          <cell r="O189">
            <v>0</v>
          </cell>
          <cell r="P189" t="str">
            <v>FUEL OIL CONSUMPTION</v>
          </cell>
        </row>
        <row r="190">
          <cell r="C190" t="str">
            <v>MW</v>
          </cell>
          <cell r="D190" t="str">
            <v>MKwh</v>
          </cell>
          <cell r="E190" t="str">
            <v>MKwh</v>
          </cell>
          <cell r="F190" t="str">
            <v>%</v>
          </cell>
          <cell r="G190" t="str">
            <v>%</v>
          </cell>
          <cell r="H190" t="str">
            <v>%</v>
          </cell>
          <cell r="I190" t="str">
            <v>MKwh</v>
          </cell>
          <cell r="J190" t="str">
            <v>%</v>
          </cell>
          <cell r="K190" t="str">
            <v>MW</v>
          </cell>
          <cell r="L190" t="str">
            <v>OP.STOCK</v>
          </cell>
          <cell r="M190" t="str">
            <v>RECIEPT</v>
          </cell>
          <cell r="N190" t="str">
            <v>MT</v>
          </cell>
          <cell r="O190" t="str">
            <v>Kg/kWH</v>
          </cell>
          <cell r="P190" t="str">
            <v>KL</v>
          </cell>
          <cell r="Q190" t="str">
            <v>ml/KWH</v>
          </cell>
        </row>
        <row r="191">
          <cell r="A191" t="str">
            <v>SATPURA</v>
          </cell>
          <cell r="B191" t="str">
            <v>88-89</v>
          </cell>
          <cell r="C191">
            <v>1142.5</v>
          </cell>
          <cell r="D191">
            <v>5500</v>
          </cell>
          <cell r="E191">
            <v>5050.18</v>
          </cell>
          <cell r="F191">
            <v>91.821454545454543</v>
          </cell>
          <cell r="G191">
            <v>72.4782056892779</v>
          </cell>
          <cell r="H191">
            <v>50.459918267837693</v>
          </cell>
          <cell r="I191">
            <v>0</v>
          </cell>
          <cell r="J191">
            <v>0</v>
          </cell>
          <cell r="K191" t="str">
            <v xml:space="preserve"> </v>
          </cell>
          <cell r="L191" t="str">
            <v xml:space="preserve"> </v>
          </cell>
          <cell r="M191" t="str">
            <v xml:space="preserve"> </v>
          </cell>
          <cell r="N191">
            <v>4011468</v>
          </cell>
          <cell r="O191">
            <v>0.79432178655018237</v>
          </cell>
          <cell r="P191">
            <v>95077</v>
          </cell>
          <cell r="Q191">
            <v>18.826457670815692</v>
          </cell>
        </row>
        <row r="192">
          <cell r="B192" t="str">
            <v>89-90</v>
          </cell>
          <cell r="C192">
            <v>1142.5</v>
          </cell>
          <cell r="D192">
            <v>5475</v>
          </cell>
          <cell r="E192">
            <v>4783.66</v>
          </cell>
          <cell r="F192">
            <v>87.372785388127852</v>
          </cell>
          <cell r="G192">
            <v>76.818052516411385</v>
          </cell>
          <cell r="H192">
            <v>47.796928549304077</v>
          </cell>
          <cell r="I192">
            <v>535</v>
          </cell>
          <cell r="J192">
            <v>11.183905210654604</v>
          </cell>
          <cell r="K192" t="str">
            <v xml:space="preserve"> </v>
          </cell>
          <cell r="L192">
            <v>110061</v>
          </cell>
          <cell r="M192">
            <v>3568758</v>
          </cell>
          <cell r="N192">
            <v>3631106</v>
          </cell>
          <cell r="O192">
            <v>0.75906439838951767</v>
          </cell>
          <cell r="P192">
            <v>168005</v>
          </cell>
          <cell r="Q192">
            <v>35.120598035813586</v>
          </cell>
        </row>
        <row r="193">
          <cell r="B193" t="str">
            <v>90-91</v>
          </cell>
          <cell r="C193">
            <v>1142.5</v>
          </cell>
          <cell r="D193">
            <v>5450</v>
          </cell>
          <cell r="E193">
            <v>4155.2000000000007</v>
          </cell>
          <cell r="F193">
            <v>76.242201834862399</v>
          </cell>
          <cell r="G193">
            <v>66.023741794310723</v>
          </cell>
          <cell r="H193">
            <v>41.517540441433617</v>
          </cell>
          <cell r="I193">
            <v>493.81</v>
          </cell>
          <cell r="J193">
            <v>11.884145167500961</v>
          </cell>
          <cell r="K193" t="str">
            <v xml:space="preserve"> </v>
          </cell>
          <cell r="L193">
            <v>29753</v>
          </cell>
          <cell r="M193">
            <v>3508276</v>
          </cell>
          <cell r="N193">
            <v>3409191</v>
          </cell>
          <cell r="O193">
            <v>0.82046375625721968</v>
          </cell>
          <cell r="P193">
            <v>125665</v>
          </cell>
          <cell r="Q193">
            <v>30.242828263380819</v>
          </cell>
        </row>
        <row r="194">
          <cell r="B194" t="str">
            <v>91-92</v>
          </cell>
          <cell r="C194">
            <v>1142.5</v>
          </cell>
          <cell r="D194">
            <v>5450</v>
          </cell>
          <cell r="E194">
            <v>4387.7699999999995</v>
          </cell>
          <cell r="F194">
            <v>80.509541284403653</v>
          </cell>
          <cell r="G194">
            <v>63.680153172866518</v>
          </cell>
          <cell r="H194">
            <v>43.721526706604003</v>
          </cell>
          <cell r="I194">
            <v>491.34</v>
          </cell>
          <cell r="J194">
            <v>11.197943374424822</v>
          </cell>
          <cell r="K194" t="str">
            <v xml:space="preserve"> </v>
          </cell>
          <cell r="L194">
            <v>61501</v>
          </cell>
          <cell r="M194">
            <v>3837342</v>
          </cell>
          <cell r="N194">
            <v>3840493</v>
          </cell>
          <cell r="O194">
            <v>0.8752721769828411</v>
          </cell>
          <cell r="P194">
            <v>86892</v>
          </cell>
          <cell r="Q194">
            <v>19.803225784396176</v>
          </cell>
        </row>
        <row r="195">
          <cell r="B195" t="str">
            <v>92-93</v>
          </cell>
          <cell r="C195">
            <v>1142.5</v>
          </cell>
          <cell r="D195">
            <v>5000</v>
          </cell>
          <cell r="E195">
            <v>4641.55</v>
          </cell>
          <cell r="F195">
            <v>92.831000000000003</v>
          </cell>
          <cell r="G195">
            <v>68.367461706783374</v>
          </cell>
          <cell r="H195">
            <v>46.37700708412018</v>
          </cell>
          <cell r="I195">
            <v>499.61</v>
          </cell>
          <cell r="J195">
            <v>10.76386121015609</v>
          </cell>
          <cell r="K195" t="str">
            <v xml:space="preserve"> </v>
          </cell>
          <cell r="L195">
            <v>62991</v>
          </cell>
          <cell r="M195">
            <v>4445312</v>
          </cell>
          <cell r="N195">
            <v>4362632</v>
          </cell>
          <cell r="O195">
            <v>0.93990843575960614</v>
          </cell>
          <cell r="P195">
            <v>114807</v>
          </cell>
          <cell r="Q195">
            <v>24.734625286811518</v>
          </cell>
        </row>
        <row r="196">
          <cell r="B196" t="str">
            <v>93-94</v>
          </cell>
          <cell r="C196">
            <v>1142.5</v>
          </cell>
          <cell r="D196">
            <v>4915</v>
          </cell>
          <cell r="E196">
            <v>5066.7417999999998</v>
          </cell>
          <cell r="F196">
            <v>103.08732044760936</v>
          </cell>
          <cell r="G196">
            <v>68.104956326249209</v>
          </cell>
          <cell r="H196">
            <v>50.625398918897318</v>
          </cell>
          <cell r="I196">
            <v>524.67358000000002</v>
          </cell>
          <cell r="J196">
            <v>10.355246047864528</v>
          </cell>
          <cell r="K196" t="str">
            <v xml:space="preserve"> </v>
          </cell>
          <cell r="L196">
            <v>125960</v>
          </cell>
          <cell r="M196">
            <v>4514568</v>
          </cell>
          <cell r="N196">
            <v>4535978.71</v>
          </cell>
          <cell r="O196">
            <v>0.89524568036997665</v>
          </cell>
          <cell r="P196">
            <v>81910.364000000001</v>
          </cell>
          <cell r="Q196">
            <v>16.166279481618741</v>
          </cell>
        </row>
        <row r="197">
          <cell r="B197" t="str">
            <v>94-95</v>
          </cell>
          <cell r="C197">
            <v>1142.5</v>
          </cell>
          <cell r="D197">
            <v>4950</v>
          </cell>
          <cell r="E197">
            <v>5799.7</v>
          </cell>
          <cell r="F197">
            <v>117.16565656565656</v>
          </cell>
          <cell r="G197">
            <v>77.165864332603945</v>
          </cell>
          <cell r="H197">
            <v>57.948902410998869</v>
          </cell>
          <cell r="I197">
            <v>587.5</v>
          </cell>
          <cell r="J197">
            <v>10.129834301774229</v>
          </cell>
          <cell r="K197">
            <v>1085</v>
          </cell>
          <cell r="L197">
            <v>105207</v>
          </cell>
          <cell r="M197">
            <v>5324472</v>
          </cell>
          <cell r="N197">
            <v>5172541</v>
          </cell>
          <cell r="O197">
            <v>0.8918635446661034</v>
          </cell>
          <cell r="P197">
            <v>82105</v>
          </cell>
          <cell r="Q197">
            <v>14.156766729313585</v>
          </cell>
        </row>
        <row r="198">
          <cell r="B198" t="str">
            <v>95-96</v>
          </cell>
          <cell r="C198">
            <v>1142.5</v>
          </cell>
          <cell r="D198">
            <v>5650</v>
          </cell>
          <cell r="E198">
            <v>6034.6</v>
          </cell>
          <cell r="F198">
            <v>106.8070796460177</v>
          </cell>
          <cell r="G198">
            <v>77.774398249452958</v>
          </cell>
          <cell r="H198">
            <v>60.13121131318929</v>
          </cell>
          <cell r="I198">
            <v>597.79999999999995</v>
          </cell>
          <cell r="J198">
            <v>9.9062075365392879</v>
          </cell>
          <cell r="K198">
            <v>1100</v>
          </cell>
          <cell r="L198">
            <v>208549</v>
          </cell>
          <cell r="M198">
            <v>5329168</v>
          </cell>
          <cell r="N198">
            <v>5355744</v>
          </cell>
          <cell r="O198">
            <v>0.88750604845391579</v>
          </cell>
          <cell r="P198">
            <v>55036</v>
          </cell>
          <cell r="Q198">
            <v>9.1200742385576508</v>
          </cell>
        </row>
        <row r="199">
          <cell r="B199" t="str">
            <v>96-97</v>
          </cell>
          <cell r="C199">
            <v>1142.5</v>
          </cell>
          <cell r="D199">
            <v>5750</v>
          </cell>
          <cell r="E199">
            <v>6539.2999999999993</v>
          </cell>
          <cell r="F199">
            <v>113.72695652173911</v>
          </cell>
          <cell r="G199">
            <v>79.3636761487965</v>
          </cell>
          <cell r="H199">
            <v>65.338768821877835</v>
          </cell>
          <cell r="I199">
            <v>617.20000000000005</v>
          </cell>
          <cell r="J199">
            <v>9.4383190861407211</v>
          </cell>
          <cell r="K199">
            <v>1093</v>
          </cell>
          <cell r="L199">
            <v>60203</v>
          </cell>
          <cell r="M199">
            <v>5911303</v>
          </cell>
          <cell r="N199">
            <v>5720575</v>
          </cell>
          <cell r="O199">
            <v>0.87479929044393145</v>
          </cell>
          <cell r="P199">
            <v>35990</v>
          </cell>
          <cell r="Q199">
            <v>5.5036471793617059</v>
          </cell>
        </row>
        <row r="200">
          <cell r="B200" t="str">
            <v>97-98</v>
          </cell>
          <cell r="C200">
            <v>1142.5</v>
          </cell>
          <cell r="D200">
            <v>6300</v>
          </cell>
          <cell r="E200">
            <v>7431.54</v>
          </cell>
          <cell r="F200">
            <v>117.96095238095238</v>
          </cell>
          <cell r="G200">
            <v>83.992997811816196</v>
          </cell>
          <cell r="H200">
            <v>74.253769371421726</v>
          </cell>
          <cell r="I200">
            <v>677.25599999999997</v>
          </cell>
          <cell r="J200">
            <v>9.1132658910535351</v>
          </cell>
          <cell r="K200">
            <v>1155</v>
          </cell>
          <cell r="L200">
            <v>202719</v>
          </cell>
          <cell r="M200">
            <v>6761934</v>
          </cell>
          <cell r="N200">
            <v>6488665</v>
          </cell>
          <cell r="O200">
            <v>0.87312522034463924</v>
          </cell>
          <cell r="P200">
            <v>27492</v>
          </cell>
          <cell r="Q200">
            <v>3.6993678295481152</v>
          </cell>
        </row>
        <row r="201">
          <cell r="B201" t="str">
            <v>98-99</v>
          </cell>
          <cell r="C201">
            <v>1142.5</v>
          </cell>
          <cell r="D201">
            <v>6100</v>
          </cell>
          <cell r="E201">
            <v>7638.05</v>
          </cell>
          <cell r="F201">
            <v>125.21393442622951</v>
          </cell>
          <cell r="G201">
            <v>83.45667396061269</v>
          </cell>
          <cell r="H201">
            <v>76.317156759889286</v>
          </cell>
          <cell r="I201">
            <v>673.8</v>
          </cell>
          <cell r="J201">
            <v>8.8216233200882428</v>
          </cell>
          <cell r="K201">
            <v>1151</v>
          </cell>
          <cell r="L201">
            <v>420745</v>
          </cell>
          <cell r="M201">
            <v>5623850</v>
          </cell>
          <cell r="N201">
            <v>6329151</v>
          </cell>
          <cell r="O201">
            <v>0.82863440275986677</v>
          </cell>
          <cell r="P201">
            <v>18110</v>
          </cell>
          <cell r="Q201">
            <v>2.3710240179103304</v>
          </cell>
        </row>
        <row r="202">
          <cell r="B202" t="str">
            <v>99-00</v>
          </cell>
          <cell r="C202">
            <v>1142.5</v>
          </cell>
          <cell r="D202">
            <v>7500</v>
          </cell>
          <cell r="E202">
            <v>7716.6</v>
          </cell>
          <cell r="F202">
            <v>102.9</v>
          </cell>
          <cell r="G202">
            <v>81.2</v>
          </cell>
          <cell r="H202">
            <v>76.900000000000006</v>
          </cell>
          <cell r="I202">
            <v>677.6</v>
          </cell>
          <cell r="J202">
            <v>8.7810693828888358</v>
          </cell>
          <cell r="K202">
            <v>1153</v>
          </cell>
          <cell r="L202">
            <v>218441</v>
          </cell>
          <cell r="M202">
            <v>5821951</v>
          </cell>
          <cell r="N202">
            <v>6049762</v>
          </cell>
          <cell r="O202">
            <v>0.78399320944457407</v>
          </cell>
          <cell r="P202">
            <v>14653</v>
          </cell>
          <cell r="Q202">
            <v>1.8988932949744706</v>
          </cell>
        </row>
        <row r="203">
          <cell r="B203" t="str">
            <v>00-01</v>
          </cell>
          <cell r="C203">
            <v>1142.5</v>
          </cell>
          <cell r="D203">
            <v>7650</v>
          </cell>
          <cell r="E203">
            <v>7203.11</v>
          </cell>
          <cell r="F203">
            <v>94.16</v>
          </cell>
          <cell r="G203">
            <v>78.55</v>
          </cell>
          <cell r="H203">
            <v>71.97</v>
          </cell>
          <cell r="I203">
            <v>642.57000000000005</v>
          </cell>
          <cell r="J203">
            <v>8.9207300735376815</v>
          </cell>
          <cell r="K203">
            <v>1129</v>
          </cell>
          <cell r="L203">
            <v>0</v>
          </cell>
          <cell r="M203">
            <v>6219252</v>
          </cell>
          <cell r="N203">
            <v>5907097</v>
          </cell>
          <cell r="O203">
            <v>0.82007591165482685</v>
          </cell>
          <cell r="P203">
            <v>20652</v>
          </cell>
          <cell r="Q203">
            <v>2.8670949076162935</v>
          </cell>
        </row>
        <row r="204">
          <cell r="A204" t="str">
            <v>Average last 5 years</v>
          </cell>
          <cell r="B204">
            <v>0</v>
          </cell>
          <cell r="C204">
            <v>0</v>
          </cell>
          <cell r="D204">
            <v>6660</v>
          </cell>
          <cell r="E204">
            <v>7305.7199999999993</v>
          </cell>
          <cell r="F204">
            <v>110.7923686657842</v>
          </cell>
          <cell r="G204">
            <v>81.312669584245072</v>
          </cell>
          <cell r="H204">
            <v>72.955938990637762</v>
          </cell>
          <cell r="I204">
            <v>657.68520000000012</v>
          </cell>
          <cell r="J204">
            <v>9.015001550741804</v>
          </cell>
          <cell r="K204">
            <v>1136.2</v>
          </cell>
          <cell r="L204">
            <v>180421.6</v>
          </cell>
          <cell r="M204">
            <v>6067658</v>
          </cell>
          <cell r="N204">
            <v>6099050</v>
          </cell>
          <cell r="O204">
            <v>0.83612560692956772</v>
          </cell>
          <cell r="P204">
            <v>23379.4</v>
          </cell>
          <cell r="Q204">
            <v>3.2680054458821837</v>
          </cell>
        </row>
        <row r="205">
          <cell r="A205" t="str">
            <v>SANJAY GANDHI I</v>
          </cell>
          <cell r="B205" t="str">
            <v>93-94</v>
          </cell>
          <cell r="C205">
            <v>210</v>
          </cell>
          <cell r="D205">
            <v>1500</v>
          </cell>
          <cell r="E205">
            <v>213.536</v>
          </cell>
          <cell r="F205">
            <v>14.235733333333332</v>
          </cell>
          <cell r="G205">
            <v>51.811609848484849</v>
          </cell>
          <cell r="H205">
            <v>11.607740813220266</v>
          </cell>
          <cell r="I205">
            <v>26.419</v>
          </cell>
          <cell r="J205">
            <v>12.372152704930317</v>
          </cell>
          <cell r="K205">
            <v>210</v>
          </cell>
          <cell r="L205">
            <v>27246</v>
          </cell>
          <cell r="M205">
            <v>163172</v>
          </cell>
          <cell r="N205">
            <v>147992.79999999999</v>
          </cell>
          <cell r="O205">
            <v>0.69305784504720513</v>
          </cell>
          <cell r="P205">
            <v>9704.1849999999995</v>
          </cell>
          <cell r="Q205">
            <v>45.445194252959688</v>
          </cell>
        </row>
        <row r="206">
          <cell r="B206" t="str">
            <v>94-95</v>
          </cell>
          <cell r="C206">
            <v>420</v>
          </cell>
          <cell r="D206">
            <v>1500</v>
          </cell>
          <cell r="E206">
            <v>1199</v>
          </cell>
          <cell r="F206">
            <v>79.933333333333337</v>
          </cell>
          <cell r="G206">
            <v>72.66</v>
          </cell>
          <cell r="H206">
            <v>35.287909758778738</v>
          </cell>
          <cell r="I206">
            <v>140.80000000000001</v>
          </cell>
          <cell r="J206">
            <v>11.743119266055047</v>
          </cell>
          <cell r="K206">
            <v>420</v>
          </cell>
          <cell r="L206">
            <v>42526</v>
          </cell>
          <cell r="M206">
            <v>900647</v>
          </cell>
          <cell r="N206">
            <v>920961</v>
          </cell>
          <cell r="O206">
            <v>0.76810758965804837</v>
          </cell>
          <cell r="P206">
            <v>34256</v>
          </cell>
          <cell r="Q206">
            <v>28.57047539616347</v>
          </cell>
        </row>
        <row r="207">
          <cell r="B207" t="str">
            <v>95-96</v>
          </cell>
          <cell r="C207">
            <v>420</v>
          </cell>
          <cell r="D207">
            <v>2420</v>
          </cell>
          <cell r="E207">
            <v>1991.4</v>
          </cell>
          <cell r="F207">
            <v>82.289256198347104</v>
          </cell>
          <cell r="G207">
            <v>74</v>
          </cell>
          <cell r="H207">
            <v>53.978011969815249</v>
          </cell>
          <cell r="I207">
            <v>202.1</v>
          </cell>
          <cell r="J207">
            <v>10.148639148337852</v>
          </cell>
          <cell r="K207">
            <v>420</v>
          </cell>
          <cell r="L207">
            <v>14598</v>
          </cell>
          <cell r="M207">
            <v>1425155</v>
          </cell>
          <cell r="N207">
            <v>1338274</v>
          </cell>
          <cell r="O207">
            <v>0.67202671487395804</v>
          </cell>
          <cell r="P207">
            <v>23294</v>
          </cell>
          <cell r="Q207">
            <v>11.697298383047102</v>
          </cell>
        </row>
        <row r="208">
          <cell r="B208" t="str">
            <v>96-97</v>
          </cell>
          <cell r="C208">
            <v>420</v>
          </cell>
          <cell r="D208">
            <v>2500</v>
          </cell>
          <cell r="E208">
            <v>2363</v>
          </cell>
          <cell r="F208">
            <v>94.52</v>
          </cell>
          <cell r="G208">
            <v>79.2</v>
          </cell>
          <cell r="H208">
            <v>64.225918677973468</v>
          </cell>
          <cell r="I208">
            <v>227.8</v>
          </cell>
          <cell r="J208">
            <v>9.6402877697841731</v>
          </cell>
          <cell r="K208">
            <v>420</v>
          </cell>
          <cell r="L208">
            <v>140663</v>
          </cell>
          <cell r="M208">
            <v>1583093</v>
          </cell>
          <cell r="N208">
            <v>1606855</v>
          </cell>
          <cell r="O208">
            <v>0.68000634786288616</v>
          </cell>
          <cell r="P208">
            <v>13542</v>
          </cell>
          <cell r="Q208">
            <v>5.7308506136267461</v>
          </cell>
        </row>
        <row r="209">
          <cell r="B209" t="str">
            <v>97-98</v>
          </cell>
          <cell r="C209">
            <v>420</v>
          </cell>
          <cell r="D209">
            <v>2450</v>
          </cell>
          <cell r="E209">
            <v>2249.6</v>
          </cell>
          <cell r="F209">
            <v>91.820408163265313</v>
          </cell>
          <cell r="G209">
            <v>71.7</v>
          </cell>
          <cell r="H209">
            <v>61.143726897151552</v>
          </cell>
          <cell r="I209">
            <v>240.256</v>
          </cell>
          <cell r="J209">
            <v>10.679943100995732</v>
          </cell>
          <cell r="K209">
            <v>428</v>
          </cell>
          <cell r="L209">
            <v>145240</v>
          </cell>
          <cell r="M209">
            <v>1590809</v>
          </cell>
          <cell r="N209">
            <v>1530284</v>
          </cell>
          <cell r="O209">
            <v>0.68024715504978661</v>
          </cell>
          <cell r="P209">
            <v>9014</v>
          </cell>
          <cell r="Q209">
            <v>4.0069345661450928</v>
          </cell>
        </row>
        <row r="210">
          <cell r="B210" t="str">
            <v>98-99</v>
          </cell>
          <cell r="C210">
            <v>420</v>
          </cell>
          <cell r="D210">
            <v>2600</v>
          </cell>
          <cell r="E210">
            <v>2518.15</v>
          </cell>
          <cell r="F210">
            <v>96.851923076923072</v>
          </cell>
          <cell r="G210">
            <v>80</v>
          </cell>
          <cell r="H210">
            <v>68.442868014785816</v>
          </cell>
          <cell r="I210">
            <v>252.1</v>
          </cell>
          <cell r="J210">
            <v>10.01131783253579</v>
          </cell>
          <cell r="K210">
            <v>422</v>
          </cell>
          <cell r="L210">
            <v>120443</v>
          </cell>
          <cell r="M210">
            <v>1750724</v>
          </cell>
          <cell r="N210">
            <v>1762685</v>
          </cell>
          <cell r="O210">
            <v>0.6999920576613784</v>
          </cell>
          <cell r="P210">
            <v>10321</v>
          </cell>
          <cell r="Q210">
            <v>4.0986438456803604</v>
          </cell>
        </row>
        <row r="211">
          <cell r="B211" t="str">
            <v>99-00</v>
          </cell>
          <cell r="C211">
            <v>420</v>
          </cell>
          <cell r="D211">
            <v>2750</v>
          </cell>
          <cell r="E211">
            <v>2308.1</v>
          </cell>
          <cell r="F211">
            <v>83.9</v>
          </cell>
          <cell r="G211">
            <v>76.099999999999994</v>
          </cell>
          <cell r="H211">
            <v>62.6</v>
          </cell>
          <cell r="I211">
            <v>235.9</v>
          </cell>
          <cell r="J211">
            <v>10.220527706771804</v>
          </cell>
          <cell r="K211">
            <v>410</v>
          </cell>
          <cell r="L211" t="str">
            <v xml:space="preserve"> </v>
          </cell>
          <cell r="M211">
            <v>5821951</v>
          </cell>
          <cell r="N211">
            <v>1629408</v>
          </cell>
          <cell r="O211">
            <v>0.70595208179888225</v>
          </cell>
          <cell r="P211">
            <v>6311</v>
          </cell>
          <cell r="Q211">
            <v>2.7342836098955852</v>
          </cell>
        </row>
        <row r="212">
          <cell r="B212" t="str">
            <v>00-01</v>
          </cell>
          <cell r="C212">
            <v>420</v>
          </cell>
          <cell r="D212">
            <v>2650</v>
          </cell>
          <cell r="E212">
            <v>2063.33</v>
          </cell>
          <cell r="F212">
            <v>77.89</v>
          </cell>
          <cell r="G212">
            <v>77.25</v>
          </cell>
          <cell r="H212">
            <v>56.08</v>
          </cell>
          <cell r="I212">
            <v>215.97</v>
          </cell>
          <cell r="J212">
            <v>10.46706052836919</v>
          </cell>
          <cell r="K212">
            <v>420</v>
          </cell>
          <cell r="L212">
            <v>86958</v>
          </cell>
          <cell r="M212">
            <v>6219252</v>
          </cell>
          <cell r="N212">
            <v>1511420</v>
          </cell>
          <cell r="O212">
            <v>0.73251491520987921</v>
          </cell>
          <cell r="P212">
            <v>13144</v>
          </cell>
          <cell r="Q212">
            <v>6.3702849277624036</v>
          </cell>
        </row>
        <row r="213">
          <cell r="A213" t="str">
            <v>Average last 5 years</v>
          </cell>
          <cell r="B213">
            <v>0</v>
          </cell>
          <cell r="C213">
            <v>0</v>
          </cell>
          <cell r="D213">
            <v>2590</v>
          </cell>
          <cell r="E213">
            <v>2300.4360000000001</v>
          </cell>
          <cell r="F213">
            <v>88.996466248037677</v>
          </cell>
          <cell r="G213">
            <v>76.849999999999994</v>
          </cell>
          <cell r="H213">
            <v>62.49850271798217</v>
          </cell>
          <cell r="I213">
            <v>234.40520000000001</v>
          </cell>
          <cell r="J213">
            <v>10.203827387691337</v>
          </cell>
          <cell r="K213">
            <v>420</v>
          </cell>
          <cell r="L213">
            <v>98660.800000000003</v>
          </cell>
          <cell r="M213">
            <v>3393165.8</v>
          </cell>
          <cell r="N213">
            <v>1608130.4</v>
          </cell>
          <cell r="O213">
            <v>0.69974251151656253</v>
          </cell>
          <cell r="P213">
            <v>10466.4</v>
          </cell>
          <cell r="Q213">
            <v>4.5881995126220376</v>
          </cell>
        </row>
        <row r="214">
          <cell r="A214" t="str">
            <v>SANJAY GANDHI II</v>
          </cell>
          <cell r="B214" t="str">
            <v>99-00</v>
          </cell>
          <cell r="C214">
            <v>420</v>
          </cell>
          <cell r="D214">
            <v>1000</v>
          </cell>
          <cell r="E214">
            <v>1466.19</v>
          </cell>
          <cell r="F214">
            <v>146.619</v>
          </cell>
          <cell r="G214">
            <v>90.47</v>
          </cell>
          <cell r="H214">
            <v>85.84</v>
          </cell>
          <cell r="I214">
            <v>155.31</v>
          </cell>
          <cell r="J214">
            <v>10.592760829087634</v>
          </cell>
          <cell r="K214">
            <v>420</v>
          </cell>
          <cell r="L214" t="str">
            <v xml:space="preserve"> </v>
          </cell>
          <cell r="M214" t="str">
            <v xml:space="preserve"> </v>
          </cell>
          <cell r="N214">
            <v>1024588</v>
          </cell>
          <cell r="O214">
            <v>0.69880984047088035</v>
          </cell>
          <cell r="P214">
            <v>17216.427</v>
          </cell>
          <cell r="Q214">
            <v>11.742289198534978</v>
          </cell>
        </row>
        <row r="215">
          <cell r="B215" t="str">
            <v>00-01</v>
          </cell>
          <cell r="C215">
            <v>420</v>
          </cell>
          <cell r="D215">
            <v>2700</v>
          </cell>
          <cell r="E215">
            <v>2860.88</v>
          </cell>
          <cell r="F215">
            <v>105.84</v>
          </cell>
          <cell r="G215">
            <v>89.52</v>
          </cell>
          <cell r="H215">
            <v>77.760000000000005</v>
          </cell>
          <cell r="I215">
            <v>283.33999999999997</v>
          </cell>
          <cell r="J215">
            <v>9.9</v>
          </cell>
          <cell r="K215">
            <v>420</v>
          </cell>
          <cell r="L215">
            <v>0</v>
          </cell>
          <cell r="M215">
            <v>0</v>
          </cell>
          <cell r="N215">
            <v>2096666</v>
          </cell>
          <cell r="O215">
            <v>0.73299999999999998</v>
          </cell>
          <cell r="P215">
            <v>8182</v>
          </cell>
          <cell r="Q215">
            <v>2.86</v>
          </cell>
        </row>
        <row r="216">
          <cell r="A216" t="str">
            <v>Average last 2 years</v>
          </cell>
          <cell r="B216">
            <v>0</v>
          </cell>
          <cell r="C216">
            <v>0</v>
          </cell>
          <cell r="D216">
            <v>1850</v>
          </cell>
          <cell r="E216">
            <v>2163.5349999999999</v>
          </cell>
          <cell r="F216">
            <v>126.2295</v>
          </cell>
          <cell r="G216">
            <v>89.995000000000005</v>
          </cell>
          <cell r="H216">
            <v>81.800000000000011</v>
          </cell>
          <cell r="I216">
            <v>219.32499999999999</v>
          </cell>
          <cell r="J216">
            <v>10.246380414543818</v>
          </cell>
          <cell r="K216">
            <v>420</v>
          </cell>
          <cell r="L216">
            <v>0</v>
          </cell>
          <cell r="M216">
            <v>0</v>
          </cell>
          <cell r="N216">
            <v>1560627</v>
          </cell>
          <cell r="O216">
            <v>0.71590492023544017</v>
          </cell>
          <cell r="P216">
            <v>12699.2135</v>
          </cell>
          <cell r="Q216">
            <v>7.3011445992674888</v>
          </cell>
        </row>
        <row r="217">
          <cell r="A217" t="str">
            <v>SANJAY GANDHI</v>
          </cell>
          <cell r="B217" t="str">
            <v>93-94</v>
          </cell>
          <cell r="C217">
            <v>210</v>
          </cell>
          <cell r="D217">
            <v>1500</v>
          </cell>
          <cell r="E217">
            <v>213.536</v>
          </cell>
          <cell r="F217">
            <v>14.235733333333332</v>
          </cell>
          <cell r="G217">
            <v>51.811609848484849</v>
          </cell>
          <cell r="H217">
            <v>11.607740813220266</v>
          </cell>
          <cell r="I217">
            <v>26.419</v>
          </cell>
          <cell r="J217">
            <v>12.372152704930317</v>
          </cell>
          <cell r="K217">
            <v>210</v>
          </cell>
          <cell r="L217">
            <v>27246</v>
          </cell>
          <cell r="M217">
            <v>163172</v>
          </cell>
          <cell r="N217">
            <v>147992.79999999999</v>
          </cell>
          <cell r="O217">
            <v>0.69305784504720513</v>
          </cell>
          <cell r="P217">
            <v>9704.1849999999995</v>
          </cell>
          <cell r="Q217">
            <v>45.445194252959688</v>
          </cell>
        </row>
        <row r="218">
          <cell r="B218" t="str">
            <v>94-95</v>
          </cell>
          <cell r="C218">
            <v>420</v>
          </cell>
          <cell r="D218">
            <v>1500</v>
          </cell>
          <cell r="E218">
            <v>1199</v>
          </cell>
          <cell r="F218">
            <v>79.933333333333337</v>
          </cell>
          <cell r="G218">
            <v>72.66</v>
          </cell>
          <cell r="H218">
            <v>35.287909758778738</v>
          </cell>
          <cell r="I218">
            <v>140.80000000000001</v>
          </cell>
          <cell r="J218">
            <v>11.743119266055047</v>
          </cell>
          <cell r="K218">
            <v>420</v>
          </cell>
          <cell r="L218">
            <v>42526</v>
          </cell>
          <cell r="M218">
            <v>900647</v>
          </cell>
          <cell r="N218">
            <v>920961</v>
          </cell>
          <cell r="O218">
            <v>0.76810758965804837</v>
          </cell>
          <cell r="P218">
            <v>34256</v>
          </cell>
          <cell r="Q218">
            <v>28.57047539616347</v>
          </cell>
        </row>
        <row r="219">
          <cell r="B219" t="str">
            <v>95-96</v>
          </cell>
          <cell r="C219">
            <v>420</v>
          </cell>
          <cell r="D219">
            <v>2420</v>
          </cell>
          <cell r="E219">
            <v>1991.4</v>
          </cell>
          <cell r="F219">
            <v>82.289256198347104</v>
          </cell>
          <cell r="G219">
            <v>74</v>
          </cell>
          <cell r="H219">
            <v>53.978011969815249</v>
          </cell>
          <cell r="I219">
            <v>202.1</v>
          </cell>
          <cell r="J219">
            <v>10.148639148337852</v>
          </cell>
          <cell r="K219">
            <v>420</v>
          </cell>
          <cell r="L219">
            <v>14598</v>
          </cell>
          <cell r="M219">
            <v>1425155</v>
          </cell>
          <cell r="N219">
            <v>1338274</v>
          </cell>
          <cell r="O219">
            <v>0.67202671487395804</v>
          </cell>
          <cell r="P219">
            <v>23294</v>
          </cell>
          <cell r="Q219">
            <v>11.697298383047102</v>
          </cell>
        </row>
        <row r="220">
          <cell r="B220" t="str">
            <v>96-97</v>
          </cell>
          <cell r="C220">
            <v>420</v>
          </cell>
          <cell r="D220">
            <v>2500</v>
          </cell>
          <cell r="E220">
            <v>2363</v>
          </cell>
          <cell r="F220">
            <v>94.52</v>
          </cell>
          <cell r="G220">
            <v>79.2</v>
          </cell>
          <cell r="H220">
            <v>64.225918677973468</v>
          </cell>
          <cell r="I220">
            <v>227.8</v>
          </cell>
          <cell r="J220">
            <v>9.6402877697841731</v>
          </cell>
          <cell r="K220">
            <v>420</v>
          </cell>
          <cell r="L220">
            <v>140663</v>
          </cell>
          <cell r="M220">
            <v>1583093</v>
          </cell>
          <cell r="N220">
            <v>1606855</v>
          </cell>
          <cell r="O220">
            <v>0.68000634786288616</v>
          </cell>
          <cell r="P220">
            <v>13542</v>
          </cell>
          <cell r="Q220">
            <v>5.7308506136267461</v>
          </cell>
        </row>
        <row r="221">
          <cell r="B221" t="str">
            <v>97-98</v>
          </cell>
          <cell r="C221">
            <v>420</v>
          </cell>
          <cell r="D221">
            <v>2450</v>
          </cell>
          <cell r="E221">
            <v>2249.6</v>
          </cell>
          <cell r="F221">
            <v>91.820408163265313</v>
          </cell>
          <cell r="G221">
            <v>71.7</v>
          </cell>
          <cell r="H221">
            <v>61.143726897151552</v>
          </cell>
          <cell r="I221">
            <v>240.256</v>
          </cell>
          <cell r="J221">
            <v>10.679943100995732</v>
          </cell>
          <cell r="K221">
            <v>428</v>
          </cell>
          <cell r="L221">
            <v>145240</v>
          </cell>
          <cell r="M221">
            <v>1590809</v>
          </cell>
          <cell r="N221">
            <v>1530284</v>
          </cell>
          <cell r="O221">
            <v>0.68024715504978661</v>
          </cell>
          <cell r="P221">
            <v>9014</v>
          </cell>
          <cell r="Q221">
            <v>4.0069345661450928</v>
          </cell>
        </row>
        <row r="222">
          <cell r="B222" t="str">
            <v>98-99</v>
          </cell>
          <cell r="C222">
            <v>420</v>
          </cell>
          <cell r="D222">
            <v>2600</v>
          </cell>
          <cell r="E222">
            <v>2518.15</v>
          </cell>
          <cell r="F222">
            <v>96.851923076923072</v>
          </cell>
          <cell r="G222">
            <v>80</v>
          </cell>
          <cell r="H222">
            <v>68.442868014785816</v>
          </cell>
          <cell r="I222">
            <v>252.1</v>
          </cell>
          <cell r="J222">
            <v>10.01131783253579</v>
          </cell>
          <cell r="K222">
            <v>422</v>
          </cell>
          <cell r="L222">
            <v>120443</v>
          </cell>
          <cell r="M222">
            <v>1750724</v>
          </cell>
          <cell r="N222">
            <v>1762685</v>
          </cell>
          <cell r="O222">
            <v>0.6999920576613784</v>
          </cell>
          <cell r="P222">
            <v>10321</v>
          </cell>
          <cell r="Q222">
            <v>4.0986438456803604</v>
          </cell>
        </row>
        <row r="223">
          <cell r="B223" t="str">
            <v>99-00</v>
          </cell>
          <cell r="C223">
            <v>840</v>
          </cell>
          <cell r="D223">
            <v>3750</v>
          </cell>
          <cell r="E223">
            <v>3774.29</v>
          </cell>
          <cell r="F223">
            <v>230.51900000000001</v>
          </cell>
          <cell r="G223">
            <v>166.57</v>
          </cell>
          <cell r="H223">
            <v>148.44</v>
          </cell>
          <cell r="I223">
            <v>391.21000000000004</v>
          </cell>
          <cell r="J223">
            <v>20.813288535859439</v>
          </cell>
          <cell r="K223">
            <v>830</v>
          </cell>
          <cell r="L223">
            <v>171738.57</v>
          </cell>
          <cell r="M223">
            <v>2540597.02</v>
          </cell>
          <cell r="N223">
            <v>2180367</v>
          </cell>
          <cell r="O223">
            <v>1.4047619222697625</v>
          </cell>
          <cell r="P223">
            <v>23527.427</v>
          </cell>
          <cell r="Q223">
            <v>14.476572808430564</v>
          </cell>
        </row>
        <row r="224">
          <cell r="B224" t="str">
            <v>00-01</v>
          </cell>
          <cell r="C224">
            <v>840</v>
          </cell>
          <cell r="D224">
            <v>5350</v>
          </cell>
          <cell r="E224">
            <v>4924.21</v>
          </cell>
          <cell r="F224">
            <v>92.01</v>
          </cell>
          <cell r="G224">
            <v>83.39</v>
          </cell>
          <cell r="H224">
            <v>66.92</v>
          </cell>
          <cell r="I224">
            <v>499.31</v>
          </cell>
          <cell r="J224">
            <v>10.14</v>
          </cell>
          <cell r="K224">
            <v>820</v>
          </cell>
          <cell r="L224">
            <v>58349</v>
          </cell>
          <cell r="M224">
            <v>3800562</v>
          </cell>
          <cell r="N224">
            <v>2979105</v>
          </cell>
          <cell r="O224">
            <v>0.73</v>
          </cell>
          <cell r="P224">
            <v>21325</v>
          </cell>
          <cell r="Q224">
            <v>4.33</v>
          </cell>
        </row>
        <row r="225">
          <cell r="A225" t="str">
            <v>Average last 5 years</v>
          </cell>
          <cell r="B225">
            <v>0</v>
          </cell>
          <cell r="C225">
            <v>0</v>
          </cell>
          <cell r="D225">
            <v>3330</v>
          </cell>
          <cell r="E225">
            <v>3165.85</v>
          </cell>
          <cell r="F225">
            <v>121.14426624803768</v>
          </cell>
          <cell r="G225">
            <v>96.171999999999997</v>
          </cell>
          <cell r="H225">
            <v>81.834502717982176</v>
          </cell>
          <cell r="I225">
            <v>322.1352</v>
          </cell>
          <cell r="J225">
            <v>12.256967447835027</v>
          </cell>
          <cell r="K225">
            <v>584</v>
          </cell>
          <cell r="L225">
            <v>127286.71400000001</v>
          </cell>
          <cell r="M225">
            <v>2253157.0039999997</v>
          </cell>
          <cell r="N225">
            <v>2011859.2</v>
          </cell>
          <cell r="O225">
            <v>0.83900149656876266</v>
          </cell>
          <cell r="P225">
            <v>15545.885399999999</v>
          </cell>
          <cell r="Q225">
            <v>6.5286003667765531</v>
          </cell>
        </row>
        <row r="226">
          <cell r="A226" t="str">
            <v xml:space="preserve"> * SANJAY GHANDHI : CONSIDERING SGTPS # 1 W.E.F 01.04.93  &amp;  SGTPS # 2 W.E.F; 26.05.94 .# 3 WE.F; 01.09.99</v>
          </cell>
        </row>
        <row r="227">
          <cell r="A227" t="str">
            <v>CONSIDERING SGTPS # 1 W.E.F; 01.01.95    P.L.F. FOR 94-95 = 66.0</v>
          </cell>
          <cell r="B227">
            <v>0</v>
          </cell>
          <cell r="C227">
            <v>0</v>
          </cell>
          <cell r="D227">
            <v>0</v>
          </cell>
          <cell r="E227">
            <v>0</v>
          </cell>
          <cell r="F227">
            <v>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cell r="I230" t="str">
            <v>AUXILIARY CONSUMPTION</v>
          </cell>
          <cell r="J230">
            <v>0</v>
          </cell>
          <cell r="K230" t="str">
            <v>MAXIMUM DEMAND</v>
          </cell>
          <cell r="L230" t="str">
            <v>COAL IN MT</v>
          </cell>
          <cell r="M230">
            <v>0</v>
          </cell>
          <cell r="N230" t="str">
            <v>COAL CONSUMED</v>
          </cell>
          <cell r="O230">
            <v>0</v>
          </cell>
          <cell r="P230" t="str">
            <v>FUEL OIL CONSUMPTION</v>
          </cell>
        </row>
        <row r="231">
          <cell r="C231" t="str">
            <v>MW</v>
          </cell>
          <cell r="D231" t="str">
            <v>MKwh</v>
          </cell>
          <cell r="E231" t="str">
            <v>MKwh</v>
          </cell>
          <cell r="F231" t="str">
            <v>%</v>
          </cell>
          <cell r="G231" t="str">
            <v>%</v>
          </cell>
          <cell r="H231" t="str">
            <v>%</v>
          </cell>
          <cell r="I231" t="str">
            <v>MKwh</v>
          </cell>
          <cell r="J231" t="str">
            <v>%</v>
          </cell>
          <cell r="K231" t="str">
            <v>MW</v>
          </cell>
          <cell r="L231" t="str">
            <v>OP.STOCK</v>
          </cell>
          <cell r="M231" t="str">
            <v>RECIEPT</v>
          </cell>
          <cell r="N231" t="str">
            <v>MT</v>
          </cell>
          <cell r="O231" t="str">
            <v>Kg/kWH</v>
          </cell>
          <cell r="P231" t="str">
            <v>KL</v>
          </cell>
          <cell r="Q231" t="str">
            <v>ml/KWH</v>
          </cell>
        </row>
        <row r="232">
          <cell r="A232" t="str">
            <v>THERMAL</v>
          </cell>
          <cell r="B232" t="str">
            <v>88-89</v>
          </cell>
          <cell r="C232">
            <v>2812.5</v>
          </cell>
          <cell r="D232">
            <v>13000</v>
          </cell>
          <cell r="E232">
            <v>12191.210000000001</v>
          </cell>
          <cell r="F232">
            <v>93.77853846153846</v>
          </cell>
          <cell r="G232">
            <v>68.689582222222228</v>
          </cell>
          <cell r="H232">
            <v>50.05</v>
          </cell>
          <cell r="I232">
            <v>0</v>
          </cell>
          <cell r="J232">
            <v>0</v>
          </cell>
          <cell r="K232">
            <v>2080</v>
          </cell>
          <cell r="L232">
            <v>0</v>
          </cell>
          <cell r="M232">
            <v>0</v>
          </cell>
          <cell r="N232">
            <v>9903110</v>
          </cell>
          <cell r="O232">
            <v>0.81231559459643454</v>
          </cell>
          <cell r="P232">
            <v>153018</v>
          </cell>
          <cell r="Q232">
            <v>12.551502270898458</v>
          </cell>
        </row>
        <row r="233">
          <cell r="B233" t="str">
            <v>89-90</v>
          </cell>
          <cell r="C233">
            <v>2812.5</v>
          </cell>
          <cell r="D233">
            <v>13000</v>
          </cell>
          <cell r="E233">
            <v>12464.71</v>
          </cell>
          <cell r="F233">
            <v>95.882384615384609</v>
          </cell>
          <cell r="G233">
            <v>71.313822222222228</v>
          </cell>
          <cell r="H233">
            <v>50.592430238457638</v>
          </cell>
          <cell r="I233">
            <v>1225</v>
          </cell>
          <cell r="J233">
            <v>9.827745691636629</v>
          </cell>
          <cell r="K233">
            <v>2080</v>
          </cell>
          <cell r="L233">
            <v>0</v>
          </cell>
          <cell r="M233">
            <v>9887181</v>
          </cell>
          <cell r="N233">
            <v>9880489</v>
          </cell>
          <cell r="O233">
            <v>0.79267700572255595</v>
          </cell>
          <cell r="P233">
            <v>222061</v>
          </cell>
          <cell r="Q233">
            <v>17.815175804330789</v>
          </cell>
        </row>
        <row r="234">
          <cell r="B234" t="str">
            <v>90-91</v>
          </cell>
          <cell r="C234">
            <v>2682.5</v>
          </cell>
          <cell r="D234">
            <v>13750</v>
          </cell>
          <cell r="E234">
            <v>12376.880000000001</v>
          </cell>
          <cell r="F234">
            <v>90.013672727272734</v>
          </cell>
          <cell r="G234">
            <v>71.034529356943153</v>
          </cell>
          <cell r="H234">
            <v>52.670488154663872</v>
          </cell>
          <cell r="I234">
            <v>1314.15</v>
          </cell>
          <cell r="J234">
            <v>10.61778089470044</v>
          </cell>
          <cell r="K234">
            <v>2176</v>
          </cell>
          <cell r="L234">
            <v>0</v>
          </cell>
          <cell r="M234">
            <v>9549897</v>
          </cell>
          <cell r="N234">
            <v>9845919</v>
          </cell>
          <cell r="O234">
            <v>0.79550896510267521</v>
          </cell>
          <cell r="P234">
            <v>180521</v>
          </cell>
          <cell r="Q234">
            <v>14.585339762524965</v>
          </cell>
        </row>
        <row r="235">
          <cell r="B235" t="str">
            <v>91-92</v>
          </cell>
          <cell r="C235">
            <v>2682.5</v>
          </cell>
          <cell r="D235">
            <v>13440</v>
          </cell>
          <cell r="E235">
            <v>11579.91</v>
          </cell>
          <cell r="F235">
            <v>86.160044642857144</v>
          </cell>
          <cell r="G235">
            <v>66.919506057781931</v>
          </cell>
          <cell r="H235">
            <v>49.144296925529261</v>
          </cell>
          <cell r="I235">
            <v>1235.07</v>
          </cell>
          <cell r="J235">
            <v>10.665626934924365</v>
          </cell>
          <cell r="K235">
            <v>1930</v>
          </cell>
          <cell r="L235">
            <v>0</v>
          </cell>
          <cell r="M235">
            <v>9509426</v>
          </cell>
          <cell r="N235">
            <v>9628339</v>
          </cell>
          <cell r="O235">
            <v>0.83146924285249191</v>
          </cell>
          <cell r="P235">
            <v>147302</v>
          </cell>
          <cell r="Q235">
            <v>12.720478829282785</v>
          </cell>
        </row>
        <row r="236">
          <cell r="B236" t="str">
            <v>92-93</v>
          </cell>
          <cell r="C236">
            <v>2682.5</v>
          </cell>
          <cell r="D236">
            <v>13240</v>
          </cell>
          <cell r="E236">
            <v>12363.220000000001</v>
          </cell>
          <cell r="F236">
            <v>93.377794561933541</v>
          </cell>
          <cell r="G236">
            <v>71.4544734389562</v>
          </cell>
          <cell r="H236">
            <v>52.612357279338859</v>
          </cell>
          <cell r="I236">
            <v>1288.08</v>
          </cell>
          <cell r="J236">
            <v>10.418644980838325</v>
          </cell>
          <cell r="K236">
            <v>2304</v>
          </cell>
          <cell r="L236">
            <v>0</v>
          </cell>
          <cell r="M236">
            <v>10240661</v>
          </cell>
          <cell r="N236">
            <v>10365511</v>
          </cell>
          <cell r="O236">
            <v>0.8384151539809207</v>
          </cell>
          <cell r="P236">
            <v>178366</v>
          </cell>
          <cell r="Q236">
            <v>14.427147620118381</v>
          </cell>
        </row>
        <row r="237">
          <cell r="B237" t="str">
            <v>93-94</v>
          </cell>
          <cell r="C237">
            <v>2882.5</v>
          </cell>
          <cell r="D237">
            <v>14885</v>
          </cell>
          <cell r="E237">
            <v>13331.489799999999</v>
          </cell>
          <cell r="F237">
            <v>89.563250251931478</v>
          </cell>
          <cell r="G237">
            <v>70.561553251088981</v>
          </cell>
          <cell r="H237">
            <v>52.796515740157702</v>
          </cell>
          <cell r="I237">
            <v>1393.0175370000002</v>
          </cell>
          <cell r="J237">
            <v>10.449076269030341</v>
          </cell>
          <cell r="K237">
            <v>2516</v>
          </cell>
          <cell r="L237" t="str">
            <v xml:space="preserve"> </v>
          </cell>
          <cell r="M237">
            <v>10774979</v>
          </cell>
          <cell r="N237">
            <v>10889112.170000002</v>
          </cell>
          <cell r="O237">
            <v>0.81679634709693161</v>
          </cell>
          <cell r="P237">
            <v>145021.60399999999</v>
          </cell>
          <cell r="Q237">
            <v>10.878124363865171</v>
          </cell>
        </row>
        <row r="238">
          <cell r="B238" t="str">
            <v>94-95</v>
          </cell>
          <cell r="C238">
            <v>3092.5</v>
          </cell>
          <cell r="D238">
            <v>14850</v>
          </cell>
          <cell r="E238">
            <v>14781.1</v>
          </cell>
          <cell r="F238">
            <v>99.536026936026943</v>
          </cell>
          <cell r="G238">
            <v>74.786483427647539</v>
          </cell>
          <cell r="H238">
            <v>54.56233411959262</v>
          </cell>
          <cell r="I238">
            <v>1558.8</v>
          </cell>
          <cell r="J238">
            <v>10.545899831541631</v>
          </cell>
          <cell r="K238">
            <v>2860</v>
          </cell>
          <cell r="L238" t="str">
            <v xml:space="preserve"> </v>
          </cell>
          <cell r="M238">
            <v>12293369</v>
          </cell>
          <cell r="N238">
            <v>12127995</v>
          </cell>
          <cell r="O238">
            <v>0.82050693114856132</v>
          </cell>
          <cell r="P238">
            <v>185245</v>
          </cell>
          <cell r="Q238">
            <v>12.53255846993796</v>
          </cell>
        </row>
        <row r="239">
          <cell r="B239" t="str">
            <v>95-96</v>
          </cell>
          <cell r="C239">
            <v>3092.5</v>
          </cell>
          <cell r="D239">
            <v>16620</v>
          </cell>
          <cell r="E239">
            <v>16071.3</v>
          </cell>
          <cell r="F239">
            <v>96.698555956678703</v>
          </cell>
          <cell r="G239">
            <v>75.344624090541629</v>
          </cell>
          <cell r="H239">
            <v>59.324924419441643</v>
          </cell>
          <cell r="I239">
            <v>1648.2999999999997</v>
          </cell>
          <cell r="J239">
            <v>10.256170938256394</v>
          </cell>
          <cell r="K239">
            <v>2888</v>
          </cell>
          <cell r="L239" t="str">
            <v xml:space="preserve"> </v>
          </cell>
          <cell r="M239">
            <v>12728814</v>
          </cell>
          <cell r="N239">
            <v>13030027</v>
          </cell>
          <cell r="O239">
            <v>0.81076372166532884</v>
          </cell>
          <cell r="P239">
            <v>124103</v>
          </cell>
          <cell r="Q239">
            <v>7.7220262206542101</v>
          </cell>
        </row>
        <row r="240">
          <cell r="B240" t="str">
            <v>96-97</v>
          </cell>
          <cell r="C240">
            <v>3092.5</v>
          </cell>
          <cell r="D240">
            <v>16950</v>
          </cell>
          <cell r="E240">
            <v>16867.099999999999</v>
          </cell>
          <cell r="F240">
            <v>99.51091445427727</v>
          </cell>
          <cell r="G240">
            <v>74.891188358932908</v>
          </cell>
          <cell r="H240">
            <v>62.262507244290383</v>
          </cell>
          <cell r="I240">
            <v>1650.6000000000001</v>
          </cell>
          <cell r="J240">
            <v>9.7859145911271064</v>
          </cell>
          <cell r="K240">
            <v>2756</v>
          </cell>
          <cell r="L240" t="str">
            <v xml:space="preserve"> </v>
          </cell>
          <cell r="M240">
            <v>13634273</v>
          </cell>
          <cell r="N240">
            <v>13482299</v>
          </cell>
          <cell r="O240">
            <v>0.7993252544895092</v>
          </cell>
          <cell r="P240">
            <v>86830</v>
          </cell>
          <cell r="Q240">
            <v>5.1478914573341008</v>
          </cell>
        </row>
        <row r="241">
          <cell r="B241" t="str">
            <v>97-98</v>
          </cell>
          <cell r="C241">
            <v>3092.5</v>
          </cell>
          <cell r="D241">
            <v>17200</v>
          </cell>
          <cell r="E241">
            <v>17966.71</v>
          </cell>
          <cell r="F241">
            <v>104.45761627906977</v>
          </cell>
          <cell r="G241">
            <v>76.25933710590138</v>
          </cell>
          <cell r="H241">
            <v>66.321561592156598</v>
          </cell>
          <cell r="I241">
            <v>1765.9490000000001</v>
          </cell>
          <cell r="J241">
            <v>9.8290059782787171</v>
          </cell>
          <cell r="K241">
            <v>2920</v>
          </cell>
          <cell r="L241" t="str">
            <v xml:space="preserve"> </v>
          </cell>
          <cell r="M241">
            <v>14706104</v>
          </cell>
          <cell r="N241">
            <v>14265230</v>
          </cell>
          <cell r="O241">
            <v>0.79398120190062627</v>
          </cell>
          <cell r="P241">
            <v>66354</v>
          </cell>
          <cell r="Q241">
            <v>3.6931636342992125</v>
          </cell>
        </row>
        <row r="242">
          <cell r="B242" t="str">
            <v>98-99</v>
          </cell>
          <cell r="C242">
            <v>3092.5</v>
          </cell>
          <cell r="D242">
            <v>17500</v>
          </cell>
          <cell r="E242">
            <v>18471.390000000003</v>
          </cell>
          <cell r="F242">
            <v>105.55080000000001</v>
          </cell>
          <cell r="G242">
            <v>76.04373484236055</v>
          </cell>
          <cell r="H242">
            <v>68.184516229056172</v>
          </cell>
          <cell r="I242">
            <v>1784</v>
          </cell>
          <cell r="J242">
            <v>9.6581794873044196</v>
          </cell>
          <cell r="K242">
            <v>2886</v>
          </cell>
          <cell r="L242" t="str">
            <v xml:space="preserve"> </v>
          </cell>
          <cell r="M242">
            <v>13851114</v>
          </cell>
          <cell r="N242">
            <v>14547769</v>
          </cell>
          <cell r="O242">
            <v>0.78758387971885158</v>
          </cell>
          <cell r="P242">
            <v>51346</v>
          </cell>
          <cell r="Q242">
            <v>2.7797583181341521</v>
          </cell>
        </row>
        <row r="243">
          <cell r="B243" t="str">
            <v>99-00</v>
          </cell>
          <cell r="C243">
            <v>3512.5</v>
          </cell>
          <cell r="D243">
            <v>19000</v>
          </cell>
          <cell r="E243">
            <v>20146.400000000001</v>
          </cell>
          <cell r="F243">
            <v>106</v>
          </cell>
          <cell r="G243">
            <v>79.099999999999994</v>
          </cell>
          <cell r="H243">
            <v>69.400000000000006</v>
          </cell>
          <cell r="I243">
            <v>1952.8</v>
          </cell>
          <cell r="J243">
            <v>9.6930468967160373</v>
          </cell>
          <cell r="K243">
            <v>3169</v>
          </cell>
          <cell r="L243">
            <v>0</v>
          </cell>
          <cell r="M243">
            <v>15499659</v>
          </cell>
          <cell r="N243">
            <v>15648859</v>
          </cell>
          <cell r="O243">
            <v>0.77675708811499822</v>
          </cell>
          <cell r="P243">
            <v>58343</v>
          </cell>
          <cell r="Q243">
            <v>2.29</v>
          </cell>
        </row>
        <row r="244">
          <cell r="B244" t="str">
            <v>00-01</v>
          </cell>
          <cell r="C244">
            <v>3512.5</v>
          </cell>
          <cell r="D244">
            <v>21850</v>
          </cell>
          <cell r="E244">
            <v>20415.89</v>
          </cell>
          <cell r="F244">
            <v>93.22</v>
          </cell>
          <cell r="G244">
            <v>77.67</v>
          </cell>
          <cell r="H244">
            <v>66.349999999999994</v>
          </cell>
          <cell r="I244">
            <v>1982.06</v>
          </cell>
          <cell r="J244">
            <v>9.7100000000000009</v>
          </cell>
          <cell r="K244">
            <v>3013</v>
          </cell>
          <cell r="L244">
            <v>0</v>
          </cell>
          <cell r="M244">
            <v>15975901</v>
          </cell>
          <cell r="N244">
            <v>16020288</v>
          </cell>
          <cell r="O244">
            <v>0.78469701786206725</v>
          </cell>
          <cell r="P244">
            <v>65679</v>
          </cell>
          <cell r="Q244">
            <v>3.22</v>
          </cell>
        </row>
        <row r="245">
          <cell r="A245" t="str">
            <v>Average last 5 years</v>
          </cell>
          <cell r="B245">
            <v>0</v>
          </cell>
          <cell r="C245">
            <v>0</v>
          </cell>
          <cell r="D245">
            <v>18500</v>
          </cell>
          <cell r="E245">
            <v>18773.498</v>
          </cell>
          <cell r="F245">
            <v>101.74786614666941</v>
          </cell>
          <cell r="G245">
            <v>76.792852061438964</v>
          </cell>
          <cell r="H245">
            <v>66.503717013100641</v>
          </cell>
          <cell r="I245">
            <v>1827.0817999999999</v>
          </cell>
          <cell r="J245">
            <v>9.7352293906852569</v>
          </cell>
          <cell r="K245">
            <v>2948.8</v>
          </cell>
          <cell r="L245">
            <v>0</v>
          </cell>
          <cell r="M245">
            <v>14733410.199999999</v>
          </cell>
          <cell r="N245">
            <v>14792889</v>
          </cell>
          <cell r="O245">
            <v>0.78846888841721063</v>
          </cell>
          <cell r="P245">
            <v>65710.399999999994</v>
          </cell>
          <cell r="Q245">
            <v>3.4261626819534925</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t="str">
            <v xml:space="preserve"> </v>
          </cell>
          <cell r="H249">
            <v>48.670693426781355</v>
          </cell>
          <cell r="I249">
            <v>0</v>
          </cell>
          <cell r="J249">
            <v>0</v>
          </cell>
          <cell r="K249" t="str">
            <v xml:space="preserve"> </v>
          </cell>
          <cell r="L249">
            <v>0</v>
          </cell>
          <cell r="M249">
            <v>0</v>
          </cell>
          <cell r="N249">
            <v>9295662.4000000004</v>
          </cell>
          <cell r="O249">
            <v>0.81126031108634111</v>
          </cell>
          <cell r="P249">
            <v>142896.79999999999</v>
          </cell>
          <cell r="Q249">
            <v>12.471031910672945</v>
          </cell>
        </row>
        <row r="250">
          <cell r="B250" t="str">
            <v>89-90</v>
          </cell>
          <cell r="C250">
            <v>2687.5</v>
          </cell>
          <cell r="D250">
            <v>12370</v>
          </cell>
          <cell r="E250">
            <v>11772.71</v>
          </cell>
          <cell r="F250">
            <v>95.171463217461607</v>
          </cell>
          <cell r="G250" t="str">
            <v xml:space="preserve"> </v>
          </cell>
          <cell r="H250">
            <v>50.006201550387594</v>
          </cell>
          <cell r="I250">
            <v>1151.8</v>
          </cell>
          <cell r="J250">
            <v>9.7836436980100601</v>
          </cell>
          <cell r="K250" t="str">
            <v xml:space="preserve"> </v>
          </cell>
          <cell r="L250">
            <v>0</v>
          </cell>
          <cell r="M250">
            <v>0</v>
          </cell>
          <cell r="N250">
            <v>9338119.8000000007</v>
          </cell>
          <cell r="O250">
            <v>0.7932005290200812</v>
          </cell>
          <cell r="P250">
            <v>205382.6</v>
          </cell>
          <cell r="Q250">
            <v>17.445651850763333</v>
          </cell>
        </row>
        <row r="251">
          <cell r="B251" t="str">
            <v>90-91</v>
          </cell>
          <cell r="C251">
            <v>2557.5</v>
          </cell>
          <cell r="D251">
            <v>13070</v>
          </cell>
          <cell r="E251">
            <v>11770.724</v>
          </cell>
          <cell r="F251">
            <v>90.059097169089512</v>
          </cell>
          <cell r="G251" t="str">
            <v xml:space="preserve"> </v>
          </cell>
          <cell r="H251">
            <v>52.539196650553258</v>
          </cell>
          <cell r="I251">
            <v>1245.9940000000001</v>
          </cell>
          <cell r="J251">
            <v>10.585534075898815</v>
          </cell>
          <cell r="K251" t="str">
            <v xml:space="preserve"> </v>
          </cell>
          <cell r="L251">
            <v>0</v>
          </cell>
          <cell r="M251">
            <v>0</v>
          </cell>
          <cell r="N251">
            <v>9339014.1999999993</v>
          </cell>
          <cell r="O251">
            <v>0.7934103458716727</v>
          </cell>
          <cell r="P251">
            <v>168809.8</v>
          </cell>
          <cell r="Q251">
            <v>14.341496750752119</v>
          </cell>
        </row>
        <row r="252">
          <cell r="B252" t="str">
            <v>91-92</v>
          </cell>
          <cell r="C252">
            <v>2557.5</v>
          </cell>
          <cell r="D252">
            <v>12760</v>
          </cell>
          <cell r="E252">
            <v>11025.722</v>
          </cell>
          <cell r="F252">
            <v>86.408479623824448</v>
          </cell>
          <cell r="G252" t="str">
            <v xml:space="preserve"> </v>
          </cell>
          <cell r="H252">
            <v>49.07938008678358</v>
          </cell>
          <cell r="I252">
            <v>1175.4099999999999</v>
          </cell>
          <cell r="J252">
            <v>10.660617055282184</v>
          </cell>
          <cell r="K252" t="str">
            <v xml:space="preserve"> </v>
          </cell>
          <cell r="L252">
            <v>0</v>
          </cell>
          <cell r="M252">
            <v>0</v>
          </cell>
          <cell r="N252">
            <v>9135691.4000000004</v>
          </cell>
          <cell r="O252">
            <v>0.82857987894126117</v>
          </cell>
          <cell r="P252">
            <v>137508.4</v>
          </cell>
          <cell r="Q252">
            <v>12.471600499268892</v>
          </cell>
        </row>
        <row r="253">
          <cell r="B253" t="str">
            <v>92-93</v>
          </cell>
          <cell r="C253">
            <v>2557.5</v>
          </cell>
          <cell r="D253">
            <v>12600</v>
          </cell>
          <cell r="E253">
            <v>11747.684000000001</v>
          </cell>
          <cell r="F253">
            <v>93.235587301587316</v>
          </cell>
          <cell r="G253" t="str">
            <v xml:space="preserve"> </v>
          </cell>
          <cell r="H253">
            <v>52.453775764346368</v>
          </cell>
          <cell r="I253">
            <v>1224.9159999999999</v>
          </cell>
          <cell r="J253">
            <v>10.426872224346516</v>
          </cell>
          <cell r="K253" t="str">
            <v xml:space="preserve"> </v>
          </cell>
          <cell r="L253">
            <v>0</v>
          </cell>
          <cell r="M253">
            <v>0</v>
          </cell>
          <cell r="N253">
            <v>9784266.5999999996</v>
          </cell>
          <cell r="O253">
            <v>0.83286770396616028</v>
          </cell>
          <cell r="P253">
            <v>167140</v>
          </cell>
          <cell r="Q253">
            <v>14.227485179206385</v>
          </cell>
        </row>
        <row r="254">
          <cell r="B254" t="str">
            <v>93-94</v>
          </cell>
          <cell r="C254">
            <v>2757.5</v>
          </cell>
          <cell r="D254">
            <v>14335</v>
          </cell>
          <cell r="E254">
            <v>12723.7418</v>
          </cell>
          <cell r="F254">
            <v>88.759970701081258</v>
          </cell>
          <cell r="G254" t="str">
            <v xml:space="preserve"> </v>
          </cell>
          <cell r="H254">
            <v>52.67386910749844</v>
          </cell>
          <cell r="I254">
            <v>1327.0063370000003</v>
          </cell>
          <cell r="J254">
            <v>10.429371782756551</v>
          </cell>
          <cell r="K254" t="str">
            <v xml:space="preserve"> </v>
          </cell>
          <cell r="L254">
            <v>0</v>
          </cell>
          <cell r="M254">
            <v>0</v>
          </cell>
          <cell r="N254">
            <v>10326945.770000001</v>
          </cell>
          <cell r="O254">
            <v>0.81162805189900999</v>
          </cell>
          <cell r="P254">
            <v>133056.89359999998</v>
          </cell>
          <cell r="Q254">
            <v>10.457371399976065</v>
          </cell>
        </row>
        <row r="255">
          <cell r="B255" t="str">
            <v>94-95</v>
          </cell>
          <cell r="C255">
            <v>2967.5</v>
          </cell>
          <cell r="D255">
            <v>14230</v>
          </cell>
          <cell r="E255">
            <v>14181.98</v>
          </cell>
          <cell r="F255">
            <v>99.662543921293036</v>
          </cell>
          <cell r="G255" t="str">
            <v xml:space="preserve"> </v>
          </cell>
          <cell r="H255">
            <v>54.555938958196286</v>
          </cell>
          <cell r="I255">
            <v>1494.36</v>
          </cell>
          <cell r="J255">
            <v>10.537033615898485</v>
          </cell>
          <cell r="K255" t="str">
            <v xml:space="preserve"> </v>
          </cell>
          <cell r="L255">
            <v>0</v>
          </cell>
          <cell r="M255">
            <v>0</v>
          </cell>
          <cell r="N255">
            <v>11574034.199999999</v>
          </cell>
          <cell r="O255">
            <v>0.81610848414678339</v>
          </cell>
          <cell r="P255">
            <v>177120.6</v>
          </cell>
          <cell r="Q255">
            <v>12.489130572740901</v>
          </cell>
        </row>
        <row r="256">
          <cell r="B256" t="str">
            <v>95-96</v>
          </cell>
          <cell r="C256">
            <v>2967.5</v>
          </cell>
          <cell r="D256">
            <v>16000</v>
          </cell>
          <cell r="E256">
            <v>15345.699999999999</v>
          </cell>
          <cell r="F256">
            <v>95.910624999999996</v>
          </cell>
          <cell r="G256" t="str">
            <v xml:space="preserve"> </v>
          </cell>
          <cell r="H256">
            <v>58.871303112191427</v>
          </cell>
          <cell r="I256">
            <v>1579.0199999999998</v>
          </cell>
          <cell r="J256">
            <v>10.28965768912464</v>
          </cell>
          <cell r="K256" t="str">
            <v xml:space="preserve"> </v>
          </cell>
          <cell r="L256">
            <v>0</v>
          </cell>
          <cell r="M256">
            <v>0</v>
          </cell>
          <cell r="N256">
            <v>12373859</v>
          </cell>
          <cell r="O256">
            <v>0.80634047322702784</v>
          </cell>
          <cell r="P256">
            <v>117168.6</v>
          </cell>
          <cell r="Q256">
            <v>7.6352724215904137</v>
          </cell>
        </row>
        <row r="257">
          <cell r="B257" t="str">
            <v>96-97</v>
          </cell>
          <cell r="C257">
            <v>2967.5</v>
          </cell>
          <cell r="D257">
            <v>16290</v>
          </cell>
          <cell r="E257">
            <v>16139.499999999998</v>
          </cell>
          <cell r="F257">
            <v>99.076120319214226</v>
          </cell>
          <cell r="G257" t="str">
            <v xml:space="preserve"> </v>
          </cell>
          <cell r="H257">
            <v>62.086223278823468</v>
          </cell>
          <cell r="I257">
            <v>1583.0000000000002</v>
          </cell>
          <cell r="J257">
            <v>9.8082344558381642</v>
          </cell>
          <cell r="K257" t="str">
            <v xml:space="preserve"> </v>
          </cell>
          <cell r="L257">
            <v>0</v>
          </cell>
          <cell r="M257">
            <v>0</v>
          </cell>
          <cell r="N257">
            <v>12828678.199999999</v>
          </cell>
          <cell r="O257">
            <v>0.79486218284333476</v>
          </cell>
          <cell r="P257">
            <v>81029.600000000006</v>
          </cell>
          <cell r="Q257">
            <v>5.0205768456271889</v>
          </cell>
        </row>
        <row r="258">
          <cell r="B258" t="str">
            <v>97-98</v>
          </cell>
          <cell r="C258">
            <v>2967.5</v>
          </cell>
          <cell r="D258">
            <v>16480</v>
          </cell>
          <cell r="E258">
            <v>17117.557999999997</v>
          </cell>
          <cell r="F258">
            <v>103.86867718446601</v>
          </cell>
          <cell r="G258" t="str">
            <v xml:space="preserve"> </v>
          </cell>
          <cell r="H258">
            <v>65.848664950971894</v>
          </cell>
          <cell r="I258">
            <v>1689.0150000000001</v>
          </cell>
          <cell r="J258">
            <v>9.8671492744467422</v>
          </cell>
          <cell r="K258" t="str">
            <v xml:space="preserve"> </v>
          </cell>
          <cell r="L258">
            <v>0</v>
          </cell>
          <cell r="M258">
            <v>0</v>
          </cell>
          <cell r="N258">
            <v>13509483.6</v>
          </cell>
          <cell r="O258">
            <v>0.78921792465958063</v>
          </cell>
          <cell r="P258">
            <v>62038.400000000001</v>
          </cell>
          <cell r="Q258">
            <v>3.6242552822078951</v>
          </cell>
        </row>
        <row r="259">
          <cell r="B259" t="str">
            <v>98-99</v>
          </cell>
          <cell r="C259">
            <v>2967.5</v>
          </cell>
          <cell r="D259">
            <v>16820</v>
          </cell>
          <cell r="E259">
            <v>17701.066000000003</v>
          </cell>
          <cell r="F259">
            <v>105.23820451843046</v>
          </cell>
          <cell r="G259" t="str">
            <v xml:space="preserve"> </v>
          </cell>
          <cell r="H259">
            <v>68.093332256215561</v>
          </cell>
          <cell r="I259">
            <v>1713.68</v>
          </cell>
          <cell r="J259">
            <v>9.6812248482661989</v>
          </cell>
          <cell r="K259" t="str">
            <v xml:space="preserve"> </v>
          </cell>
          <cell r="L259">
            <v>0</v>
          </cell>
          <cell r="M259">
            <v>0</v>
          </cell>
          <cell r="N259">
            <v>13872961</v>
          </cell>
          <cell r="O259">
            <v>0.78373590607480914</v>
          </cell>
          <cell r="P259">
            <v>47361.2</v>
          </cell>
          <cell r="Q259">
            <v>2.6756128698689667</v>
          </cell>
        </row>
        <row r="260">
          <cell r="B260" t="str">
            <v>99-00</v>
          </cell>
          <cell r="C260">
            <v>3387.5</v>
          </cell>
          <cell r="D260">
            <v>18240</v>
          </cell>
          <cell r="E260">
            <v>19305.5</v>
          </cell>
          <cell r="F260">
            <v>106.2</v>
          </cell>
          <cell r="G260">
            <v>0</v>
          </cell>
          <cell r="H260">
            <v>0</v>
          </cell>
          <cell r="I260">
            <v>1877.8</v>
          </cell>
          <cell r="J260">
            <v>9.7267618036310903</v>
          </cell>
          <cell r="K260">
            <v>0</v>
          </cell>
          <cell r="L260">
            <v>0</v>
          </cell>
          <cell r="M260">
            <v>0</v>
          </cell>
          <cell r="N260">
            <v>14983496.6</v>
          </cell>
        </row>
        <row r="261">
          <cell r="B261" t="str">
            <v>00-01</v>
          </cell>
          <cell r="C261">
            <v>3387.5</v>
          </cell>
          <cell r="D261">
            <v>21070</v>
          </cell>
          <cell r="E261">
            <v>19626.939999999999</v>
          </cell>
          <cell r="F261">
            <v>92.93</v>
          </cell>
          <cell r="G261">
            <v>0</v>
          </cell>
          <cell r="H261">
            <v>0</v>
          </cell>
          <cell r="I261">
            <v>1909.7</v>
          </cell>
          <cell r="J261">
            <v>9.7299935700623745</v>
          </cell>
          <cell r="K261">
            <v>0</v>
          </cell>
          <cell r="L261">
            <v>0</v>
          </cell>
          <cell r="M261">
            <v>0</v>
          </cell>
          <cell r="N261">
            <v>15354781.199999999</v>
          </cell>
        </row>
        <row r="262">
          <cell r="A262" t="str">
            <v>Average last 5 years</v>
          </cell>
          <cell r="B262">
            <v>0</v>
          </cell>
          <cell r="C262">
            <v>0</v>
          </cell>
          <cell r="D262">
            <v>17780</v>
          </cell>
          <cell r="E262">
            <v>17978.112799999999</v>
          </cell>
          <cell r="F262">
            <v>101.46260040442215</v>
          </cell>
          <cell r="G262">
            <v>0</v>
          </cell>
          <cell r="H262">
            <v>0</v>
          </cell>
          <cell r="I262">
            <v>1754.6390000000004</v>
          </cell>
          <cell r="J262">
            <v>9.7626727904489137</v>
          </cell>
        </row>
        <row r="263">
          <cell r="A263" t="str">
            <v>STATE  LOAD  DESPATCH  CENTRE  M.P.E.B.  JABALPUR</v>
          </cell>
        </row>
        <row r="264">
          <cell r="A264" t="str">
            <v>CHAMBAL COMPLEX</v>
          </cell>
        </row>
        <row r="265">
          <cell r="A265" t="str">
            <v>STATION NAME</v>
          </cell>
          <cell r="B265" t="str">
            <v>YEAR</v>
          </cell>
          <cell r="C265" t="str">
            <v>CAPACITY</v>
          </cell>
          <cell r="D265" t="str">
            <v>TARGET</v>
          </cell>
          <cell r="E265" t="str">
            <v>ACTUAL GENE.</v>
          </cell>
          <cell r="F265" t="str">
            <v>ACHIEVE-MENT</v>
          </cell>
          <cell r="G265" t="str">
            <v>AUXILIARY CONSUMPTION</v>
          </cell>
          <cell r="H265">
            <v>0</v>
          </cell>
          <cell r="I265" t="str">
            <v>MAXIMUM DEMAND</v>
          </cell>
          <cell r="J265" t="str">
            <v>WATER INFLOW</v>
          </cell>
          <cell r="K265" t="str">
            <v>WATER CONSUMED</v>
          </cell>
          <cell r="L265" t="str">
            <v>WATER CONSUMED</v>
          </cell>
          <cell r="M265" t="str">
            <v>LEVEL AT THE END</v>
          </cell>
          <cell r="N265" t="str">
            <v>MAXIMUM LEVEL</v>
          </cell>
          <cell r="O265">
            <v>0</v>
          </cell>
          <cell r="P265" t="str">
            <v>MINIMUM LEVEL</v>
          </cell>
        </row>
        <row r="266">
          <cell r="C266" t="str">
            <v>MW</v>
          </cell>
          <cell r="D266" t="str">
            <v>MKwh</v>
          </cell>
          <cell r="E266" t="str">
            <v>MKwh</v>
          </cell>
          <cell r="F266" t="str">
            <v>%</v>
          </cell>
          <cell r="G266" t="str">
            <v>MKwh</v>
          </cell>
          <cell r="H266" t="str">
            <v>%</v>
          </cell>
          <cell r="I266" t="str">
            <v>MW</v>
          </cell>
          <cell r="J266" t="str">
            <v>MAFT</v>
          </cell>
          <cell r="K266" t="str">
            <v>MCM</v>
          </cell>
          <cell r="L266" t="str">
            <v>MCM</v>
          </cell>
          <cell r="M266" t="str">
            <v>FT / M</v>
          </cell>
          <cell r="N266" t="str">
            <v>FT / M</v>
          </cell>
          <cell r="O266" t="str">
            <v>DATE</v>
          </cell>
          <cell r="P266" t="str">
            <v>FT / M</v>
          </cell>
          <cell r="Q266" t="str">
            <v>DATE</v>
          </cell>
        </row>
        <row r="267">
          <cell r="A267" t="str">
            <v>GANDHISAGAR</v>
          </cell>
          <cell r="B267" t="str">
            <v>88-89</v>
          </cell>
          <cell r="C267">
            <v>115</v>
          </cell>
          <cell r="D267">
            <v>415</v>
          </cell>
          <cell r="E267">
            <v>381</v>
          </cell>
          <cell r="F267">
            <v>91.807228915662648</v>
          </cell>
          <cell r="G267" t="str">
            <v xml:space="preserve"> </v>
          </cell>
          <cell r="H267">
            <v>0</v>
          </cell>
          <cell r="I267" t="str">
            <v xml:space="preserve"> </v>
          </cell>
          <cell r="J267" t="str">
            <v xml:space="preserve"> </v>
          </cell>
          <cell r="K267" t="str">
            <v xml:space="preserve"> </v>
          </cell>
          <cell r="L267" t="str">
            <v xml:space="preserve"> </v>
          </cell>
          <cell r="M267" t="str">
            <v xml:space="preserve"> </v>
          </cell>
          <cell r="N267" t="str">
            <v xml:space="preserve"> </v>
          </cell>
          <cell r="O267" t="str">
            <v xml:space="preserve"> </v>
          </cell>
          <cell r="P267" t="str">
            <v xml:space="preserve"> </v>
          </cell>
          <cell r="Q267" t="str">
            <v xml:space="preserve"> </v>
          </cell>
        </row>
        <row r="268">
          <cell r="B268" t="str">
            <v>89-90</v>
          </cell>
          <cell r="C268">
            <v>115</v>
          </cell>
          <cell r="D268">
            <v>415</v>
          </cell>
          <cell r="E268">
            <v>236.14</v>
          </cell>
          <cell r="F268">
            <v>56.901204819277112</v>
          </cell>
          <cell r="G268">
            <v>2</v>
          </cell>
          <cell r="H268">
            <v>0.84695519607012792</v>
          </cell>
          <cell r="I268">
            <v>106</v>
          </cell>
          <cell r="J268">
            <v>1.84</v>
          </cell>
          <cell r="K268">
            <v>2.2999999999999998</v>
          </cell>
          <cell r="L268">
            <v>2.2999999999999998</v>
          </cell>
          <cell r="M268">
            <v>1239.9000000000001</v>
          </cell>
          <cell r="N268">
            <v>1275.9000000000001</v>
          </cell>
          <cell r="O268" t="str">
            <v>26.09.89</v>
          </cell>
          <cell r="P268">
            <v>1240</v>
          </cell>
          <cell r="Q268" t="str">
            <v>31.03.90</v>
          </cell>
        </row>
        <row r="269">
          <cell r="B269" t="str">
            <v>90-91</v>
          </cell>
          <cell r="C269">
            <v>115</v>
          </cell>
          <cell r="D269">
            <v>370</v>
          </cell>
          <cell r="E269">
            <v>324.77999999999997</v>
          </cell>
          <cell r="F269">
            <v>87.778378378378363</v>
          </cell>
          <cell r="G269">
            <v>1</v>
          </cell>
          <cell r="H269">
            <v>0.30790073280374408</v>
          </cell>
          <cell r="I269">
            <v>116</v>
          </cell>
          <cell r="J269">
            <v>5.72</v>
          </cell>
          <cell r="K269">
            <v>2.36</v>
          </cell>
          <cell r="L269">
            <v>2.36</v>
          </cell>
          <cell r="M269">
            <v>1291.3900000000001</v>
          </cell>
          <cell r="N269">
            <v>1308.78</v>
          </cell>
          <cell r="O269" t="str">
            <v>21.10.90</v>
          </cell>
          <cell r="P269">
            <v>1234.92</v>
          </cell>
          <cell r="Q269" t="str">
            <v>27.06.90</v>
          </cell>
        </row>
        <row r="270">
          <cell r="B270" t="str">
            <v>91-92</v>
          </cell>
          <cell r="C270">
            <v>115</v>
          </cell>
          <cell r="D270">
            <v>370</v>
          </cell>
          <cell r="E270">
            <v>511.23</v>
          </cell>
          <cell r="F270">
            <v>138.17027027027027</v>
          </cell>
          <cell r="G270">
            <v>1</v>
          </cell>
          <cell r="H270">
            <v>0.19560667409972027</v>
          </cell>
          <cell r="I270">
            <v>110</v>
          </cell>
          <cell r="J270">
            <v>4.84</v>
          </cell>
          <cell r="K270">
            <v>2.68</v>
          </cell>
          <cell r="L270">
            <v>2.68</v>
          </cell>
          <cell r="M270">
            <v>1284.51</v>
          </cell>
          <cell r="N270">
            <v>1307.8499999999999</v>
          </cell>
          <cell r="O270" t="str">
            <v>05.09.91</v>
          </cell>
          <cell r="P270">
            <v>1280.07</v>
          </cell>
          <cell r="Q270" t="str">
            <v>21.07.91</v>
          </cell>
        </row>
        <row r="271">
          <cell r="B271" t="str">
            <v>92-93</v>
          </cell>
          <cell r="C271">
            <v>115</v>
          </cell>
          <cell r="D271">
            <v>400</v>
          </cell>
          <cell r="E271">
            <v>313.02</v>
          </cell>
          <cell r="F271">
            <v>78.254999999999995</v>
          </cell>
          <cell r="G271">
            <v>1</v>
          </cell>
          <cell r="H271">
            <v>0.31946840457478759</v>
          </cell>
          <cell r="I271">
            <v>109</v>
          </cell>
          <cell r="J271">
            <v>1.41</v>
          </cell>
          <cell r="K271">
            <v>2.74</v>
          </cell>
          <cell r="L271">
            <v>2.74</v>
          </cell>
          <cell r="M271">
            <v>1253.5</v>
          </cell>
          <cell r="N271">
            <v>1284.5</v>
          </cell>
          <cell r="O271" t="str">
            <v>17.10.92</v>
          </cell>
          <cell r="P271">
            <v>1272.3599999999999</v>
          </cell>
          <cell r="Q271" t="str">
            <v>26.07.92</v>
          </cell>
        </row>
        <row r="272">
          <cell r="B272" t="str">
            <v>93-94</v>
          </cell>
          <cell r="C272">
            <v>115</v>
          </cell>
          <cell r="D272">
            <v>500</v>
          </cell>
          <cell r="E272">
            <v>313.91899999999998</v>
          </cell>
          <cell r="F272">
            <v>62.783799999999992</v>
          </cell>
          <cell r="G272">
            <v>0.98</v>
          </cell>
          <cell r="H272">
            <v>0.31218244196751394</v>
          </cell>
          <cell r="I272">
            <v>110</v>
          </cell>
          <cell r="J272">
            <v>3.47</v>
          </cell>
          <cell r="K272">
            <v>2.6967169421487602</v>
          </cell>
          <cell r="L272">
            <v>2.6967169421487602</v>
          </cell>
          <cell r="M272">
            <v>1250.8900000000001</v>
          </cell>
          <cell r="N272">
            <v>1288.68</v>
          </cell>
          <cell r="O272" t="str">
            <v>06.10.93</v>
          </cell>
          <cell r="P272">
            <v>1248.72</v>
          </cell>
          <cell r="Q272" t="str">
            <v>19.06.93</v>
          </cell>
        </row>
        <row r="273">
          <cell r="B273" t="str">
            <v>94-95</v>
          </cell>
          <cell r="C273">
            <v>115</v>
          </cell>
          <cell r="D273">
            <v>415</v>
          </cell>
          <cell r="E273">
            <v>364.2</v>
          </cell>
          <cell r="F273">
            <v>87.759036144578317</v>
          </cell>
          <cell r="G273">
            <v>1</v>
          </cell>
          <cell r="H273">
            <v>0.27457440966501923</v>
          </cell>
          <cell r="I273">
            <v>116</v>
          </cell>
          <cell r="J273">
            <v>7.0490000000000004</v>
          </cell>
          <cell r="K273">
            <v>2.7308310376492195</v>
          </cell>
          <cell r="L273">
            <v>2.7308310376492195</v>
          </cell>
          <cell r="M273">
            <v>1295.7</v>
          </cell>
          <cell r="N273">
            <v>1311.25</v>
          </cell>
          <cell r="O273" t="str">
            <v>19.09.94</v>
          </cell>
          <cell r="P273">
            <v>1245.75</v>
          </cell>
          <cell r="Q273" t="str">
            <v>12.06.94</v>
          </cell>
        </row>
        <row r="274">
          <cell r="B274" t="str">
            <v>95-96</v>
          </cell>
          <cell r="C274">
            <v>115</v>
          </cell>
          <cell r="D274">
            <v>370</v>
          </cell>
          <cell r="E274">
            <v>572.9</v>
          </cell>
          <cell r="F274">
            <v>154.83783783783784</v>
          </cell>
          <cell r="G274">
            <v>1</v>
          </cell>
          <cell r="H274">
            <v>0.17455053237912377</v>
          </cell>
          <cell r="I274">
            <v>116</v>
          </cell>
          <cell r="J274">
            <v>4.3171999999999997</v>
          </cell>
          <cell r="K274">
            <v>4.3120504009163803</v>
          </cell>
          <cell r="L274">
            <v>4.3120504009163803</v>
          </cell>
          <cell r="M274">
            <v>1288.95</v>
          </cell>
          <cell r="N274">
            <v>1308.9100000000001</v>
          </cell>
          <cell r="O274" t="str">
            <v>09.09.95</v>
          </cell>
          <cell r="P274">
            <v>1282.1099999999999</v>
          </cell>
          <cell r="Q274" t="str">
            <v>17.07.95</v>
          </cell>
        </row>
        <row r="275">
          <cell r="B275" t="str">
            <v>96-97</v>
          </cell>
          <cell r="C275">
            <v>115</v>
          </cell>
          <cell r="D275">
            <v>400</v>
          </cell>
          <cell r="E275">
            <v>565.4</v>
          </cell>
          <cell r="F275">
            <v>141.35</v>
          </cell>
          <cell r="G275">
            <v>0.9</v>
          </cell>
          <cell r="H275">
            <v>0.1591793420587195</v>
          </cell>
          <cell r="I275">
            <v>111</v>
          </cell>
          <cell r="J275">
            <v>7.9</v>
          </cell>
          <cell r="K275">
            <v>4.3</v>
          </cell>
          <cell r="L275">
            <v>4.3</v>
          </cell>
          <cell r="M275">
            <v>1291.08</v>
          </cell>
          <cell r="N275">
            <v>1311.66</v>
          </cell>
          <cell r="O275" t="str">
            <v>17.09.96</v>
          </cell>
          <cell r="P275">
            <v>1277.9000000000001</v>
          </cell>
          <cell r="Q275" t="str">
            <v>21.07.96</v>
          </cell>
        </row>
        <row r="276">
          <cell r="B276" t="str">
            <v>97-98</v>
          </cell>
          <cell r="C276">
            <v>115</v>
          </cell>
          <cell r="D276">
            <v>400</v>
          </cell>
          <cell r="E276">
            <v>430.78</v>
          </cell>
          <cell r="F276">
            <v>107.69499999999999</v>
          </cell>
          <cell r="G276">
            <v>0.92900000000000005</v>
          </cell>
          <cell r="H276">
            <v>0.21565532290264175</v>
          </cell>
          <cell r="I276">
            <v>115</v>
          </cell>
          <cell r="J276">
            <v>4.5</v>
          </cell>
          <cell r="K276">
            <v>3.26</v>
          </cell>
          <cell r="L276">
            <v>0</v>
          </cell>
          <cell r="M276">
            <v>1295.8</v>
          </cell>
          <cell r="N276">
            <v>1308.46</v>
          </cell>
          <cell r="O276" t="str">
            <v>08.10.97</v>
          </cell>
          <cell r="P276">
            <v>1279.8800000000001</v>
          </cell>
          <cell r="Q276" t="str">
            <v>05.07.97</v>
          </cell>
        </row>
        <row r="277">
          <cell r="B277" t="str">
            <v>98-99</v>
          </cell>
          <cell r="C277">
            <v>115</v>
          </cell>
          <cell r="D277">
            <v>450</v>
          </cell>
          <cell r="E277">
            <v>539.29999999999995</v>
          </cell>
          <cell r="F277">
            <v>119.84444444444443</v>
          </cell>
          <cell r="G277">
            <v>0.9</v>
          </cell>
          <cell r="H277">
            <v>0.16688299647691454</v>
          </cell>
          <cell r="I277">
            <v>115</v>
          </cell>
          <cell r="J277">
            <v>2.7</v>
          </cell>
          <cell r="K277">
            <v>4.4000000000000004</v>
          </cell>
          <cell r="L277">
            <v>0</v>
          </cell>
          <cell r="M277">
            <v>1272.98</v>
          </cell>
          <cell r="N277">
            <v>1300.0899999999999</v>
          </cell>
          <cell r="O277" t="str">
            <v>03.10.98</v>
          </cell>
          <cell r="P277">
            <v>1273.28</v>
          </cell>
          <cell r="Q277" t="str">
            <v>30.03.99</v>
          </cell>
        </row>
        <row r="278">
          <cell r="B278" t="str">
            <v>99-00</v>
          </cell>
          <cell r="C278">
            <v>115</v>
          </cell>
          <cell r="D278">
            <v>450</v>
          </cell>
          <cell r="E278">
            <v>344.6</v>
          </cell>
          <cell r="F278">
            <v>76.599999999999994</v>
          </cell>
          <cell r="G278">
            <v>0.8</v>
          </cell>
          <cell r="H278">
            <v>0.23215322112594311</v>
          </cell>
          <cell r="I278">
            <v>110</v>
          </cell>
          <cell r="J278">
            <v>3.9569999999999999</v>
          </cell>
          <cell r="K278">
            <v>3.6440000000000001</v>
          </cell>
          <cell r="L278">
            <v>0</v>
          </cell>
          <cell r="M278">
            <v>1265.2</v>
          </cell>
          <cell r="N278">
            <v>1291.43</v>
          </cell>
          <cell r="O278" t="str">
            <v xml:space="preserve"> </v>
          </cell>
          <cell r="P278">
            <v>1263.98</v>
          </cell>
        </row>
        <row r="279">
          <cell r="B279" t="str">
            <v>00-01</v>
          </cell>
          <cell r="C279">
            <v>115</v>
          </cell>
          <cell r="D279">
            <v>425</v>
          </cell>
          <cell r="E279">
            <v>104.2</v>
          </cell>
          <cell r="F279">
            <v>24.52</v>
          </cell>
          <cell r="G279">
            <v>0.94</v>
          </cell>
          <cell r="H279">
            <v>0.90211132437619956</v>
          </cell>
          <cell r="I279">
            <v>100</v>
          </cell>
          <cell r="J279">
            <v>0.76</v>
          </cell>
          <cell r="K279">
            <v>1.06</v>
          </cell>
          <cell r="L279">
            <v>0</v>
          </cell>
          <cell r="M279">
            <v>1248.69</v>
          </cell>
        </row>
        <row r="280">
          <cell r="A280" t="str">
            <v>Average last 5 years</v>
          </cell>
          <cell r="B280">
            <v>0</v>
          </cell>
          <cell r="C280">
            <v>0</v>
          </cell>
          <cell r="D280">
            <v>414</v>
          </cell>
          <cell r="E280">
            <v>490.596</v>
          </cell>
          <cell r="F280">
            <v>120.06545645645645</v>
          </cell>
          <cell r="G280">
            <v>0.90579999999999994</v>
          </cell>
          <cell r="H280">
            <v>0.18968428298866855</v>
          </cell>
          <cell r="I280">
            <v>113.4</v>
          </cell>
          <cell r="J280">
            <v>4.6748399999999997</v>
          </cell>
          <cell r="K280">
            <v>4.1952100801832763</v>
          </cell>
          <cell r="L280">
            <v>1.7224100801832762</v>
          </cell>
          <cell r="M280">
            <v>1282.8019999999999</v>
          </cell>
          <cell r="N280">
            <v>1308.0740000000001</v>
          </cell>
          <cell r="O280">
            <v>0</v>
          </cell>
          <cell r="P280">
            <v>1271.7839999999999</v>
          </cell>
          <cell r="Q280">
            <v>0</v>
          </cell>
        </row>
        <row r="281">
          <cell r="A281" t="str">
            <v>R.P.SAGAR</v>
          </cell>
          <cell r="B281" t="str">
            <v>88-89</v>
          </cell>
          <cell r="C281">
            <v>172</v>
          </cell>
          <cell r="D281">
            <v>500</v>
          </cell>
          <cell r="E281">
            <v>435</v>
          </cell>
          <cell r="F281">
            <v>87</v>
          </cell>
          <cell r="G281" t="str">
            <v xml:space="preserve"> </v>
          </cell>
          <cell r="H281">
            <v>0</v>
          </cell>
          <cell r="I281" t="str">
            <v xml:space="preserve"> </v>
          </cell>
          <cell r="J281" t="str">
            <v xml:space="preserve"> </v>
          </cell>
          <cell r="K281" t="str">
            <v xml:space="preserve"> </v>
          </cell>
          <cell r="L281" t="str">
            <v xml:space="preserve"> </v>
          </cell>
          <cell r="M281" t="str">
            <v xml:space="preserve"> </v>
          </cell>
          <cell r="N281" t="str">
            <v xml:space="preserve"> </v>
          </cell>
          <cell r="O281" t="str">
            <v xml:space="preserve"> </v>
          </cell>
          <cell r="P281" t="str">
            <v xml:space="preserve"> </v>
          </cell>
          <cell r="Q281" t="str">
            <v xml:space="preserve"> </v>
          </cell>
        </row>
        <row r="282">
          <cell r="B282" t="str">
            <v>89-90</v>
          </cell>
          <cell r="C282">
            <v>172</v>
          </cell>
          <cell r="D282">
            <v>500</v>
          </cell>
          <cell r="E282">
            <v>374</v>
          </cell>
          <cell r="F282">
            <v>74.8</v>
          </cell>
          <cell r="G282">
            <v>5</v>
          </cell>
          <cell r="H282">
            <v>1.42</v>
          </cell>
          <cell r="I282">
            <v>172</v>
          </cell>
          <cell r="J282">
            <v>0</v>
          </cell>
          <cell r="K282">
            <v>2.2799999999999998</v>
          </cell>
          <cell r="L282">
            <v>2.2799999999999998</v>
          </cell>
          <cell r="M282">
            <v>1126.9000000000001</v>
          </cell>
          <cell r="N282">
            <v>1145.7</v>
          </cell>
          <cell r="O282" t="str">
            <v>07.08.89</v>
          </cell>
          <cell r="P282">
            <v>1126.9000000000001</v>
          </cell>
          <cell r="Q282" t="str">
            <v>31.03.90</v>
          </cell>
        </row>
        <row r="283">
          <cell r="B283" t="str">
            <v>90-91</v>
          </cell>
          <cell r="C283">
            <v>172</v>
          </cell>
          <cell r="D283">
            <v>440</v>
          </cell>
          <cell r="E283">
            <v>330.9</v>
          </cell>
          <cell r="F283">
            <v>75.209999999999994</v>
          </cell>
          <cell r="G283">
            <v>1.5</v>
          </cell>
          <cell r="H283">
            <v>0.45330915684496831</v>
          </cell>
          <cell r="I283">
            <v>172</v>
          </cell>
          <cell r="J283">
            <v>0</v>
          </cell>
          <cell r="K283">
            <v>2.2400000000000002</v>
          </cell>
          <cell r="L283">
            <v>2.2400000000000002</v>
          </cell>
          <cell r="M283">
            <v>1136.33</v>
          </cell>
          <cell r="N283">
            <v>1143.5</v>
          </cell>
          <cell r="O283" t="str">
            <v>10.10.90</v>
          </cell>
          <cell r="P283">
            <v>1126.0999999999999</v>
          </cell>
          <cell r="Q283" t="str">
            <v>26.05.90</v>
          </cell>
        </row>
        <row r="284">
          <cell r="B284" t="str">
            <v>91-92</v>
          </cell>
          <cell r="C284">
            <v>172</v>
          </cell>
          <cell r="D284">
            <v>440</v>
          </cell>
          <cell r="E284">
            <v>630.09</v>
          </cell>
          <cell r="F284">
            <v>143.19999999999999</v>
          </cell>
          <cell r="G284">
            <v>4.3</v>
          </cell>
          <cell r="H284">
            <v>0.68244219079813995</v>
          </cell>
          <cell r="I284">
            <v>180</v>
          </cell>
          <cell r="J284">
            <v>0</v>
          </cell>
          <cell r="K284">
            <v>4.18</v>
          </cell>
          <cell r="L284">
            <v>4.18</v>
          </cell>
          <cell r="M284">
            <v>1141.1099999999999</v>
          </cell>
          <cell r="N284">
            <v>1156.2</v>
          </cell>
          <cell r="O284" t="str">
            <v>01.09.91</v>
          </cell>
          <cell r="P284">
            <v>1136.3</v>
          </cell>
          <cell r="Q284" t="str">
            <v>01.04.91</v>
          </cell>
        </row>
        <row r="285">
          <cell r="B285" t="str">
            <v>92-93</v>
          </cell>
          <cell r="C285">
            <v>172</v>
          </cell>
          <cell r="D285">
            <v>450</v>
          </cell>
          <cell r="E285">
            <v>535.69000000000005</v>
          </cell>
          <cell r="F285">
            <v>119.04222222222224</v>
          </cell>
          <cell r="G285">
            <v>4.0999999999999996</v>
          </cell>
          <cell r="H285">
            <v>0.76536803001736065</v>
          </cell>
          <cell r="I285">
            <v>172</v>
          </cell>
          <cell r="J285">
            <v>0</v>
          </cell>
          <cell r="K285">
            <v>3.41</v>
          </cell>
          <cell r="L285">
            <v>3.41</v>
          </cell>
          <cell r="M285">
            <v>1130.4000000000001</v>
          </cell>
          <cell r="N285">
            <v>1154.0999999999999</v>
          </cell>
          <cell r="O285" t="str">
            <v>28.05.92</v>
          </cell>
          <cell r="P285">
            <v>1130.2</v>
          </cell>
          <cell r="Q285" t="str">
            <v>31.03.92</v>
          </cell>
        </row>
        <row r="286">
          <cell r="B286" t="str">
            <v>93-94</v>
          </cell>
          <cell r="C286">
            <v>172</v>
          </cell>
          <cell r="D286">
            <v>615</v>
          </cell>
          <cell r="E286">
            <v>395.6628</v>
          </cell>
          <cell r="F286">
            <v>64.335414634146346</v>
          </cell>
          <cell r="G286">
            <v>8.6999999999999993</v>
          </cell>
          <cell r="H286">
            <v>2.1988420442861951</v>
          </cell>
          <cell r="I286">
            <v>172</v>
          </cell>
          <cell r="J286">
            <v>0</v>
          </cell>
          <cell r="K286">
            <v>3.2350257116620753</v>
          </cell>
          <cell r="L286">
            <v>3.2350257116620753</v>
          </cell>
          <cell r="M286">
            <v>1127.81</v>
          </cell>
          <cell r="N286">
            <v>1135.75</v>
          </cell>
          <cell r="O286" t="str">
            <v>09.08.93</v>
          </cell>
          <cell r="P286">
            <v>1127.6300000000001</v>
          </cell>
          <cell r="Q286" t="str">
            <v>31.03.94</v>
          </cell>
        </row>
        <row r="287">
          <cell r="B287" t="str">
            <v>94-95</v>
          </cell>
          <cell r="C287">
            <v>172</v>
          </cell>
          <cell r="D287">
            <v>470</v>
          </cell>
          <cell r="E287">
            <v>595.9</v>
          </cell>
          <cell r="F287">
            <v>126.78723404255319</v>
          </cell>
          <cell r="G287">
            <v>7.9</v>
          </cell>
          <cell r="H287">
            <v>1.3257257929182749</v>
          </cell>
          <cell r="I287">
            <v>172</v>
          </cell>
          <cell r="J287">
            <v>0</v>
          </cell>
          <cell r="K287">
            <v>0</v>
          </cell>
          <cell r="L287">
            <v>0</v>
          </cell>
          <cell r="M287">
            <v>1125.7</v>
          </cell>
          <cell r="N287">
            <v>1153.6099999999999</v>
          </cell>
          <cell r="O287" t="str">
            <v>19.09.94</v>
          </cell>
          <cell r="P287">
            <v>1124.9000000000001</v>
          </cell>
          <cell r="Q287" t="str">
            <v>25.03.95</v>
          </cell>
        </row>
        <row r="288">
          <cell r="B288" t="str">
            <v>95-96</v>
          </cell>
          <cell r="C288">
            <v>172</v>
          </cell>
          <cell r="D288">
            <v>390</v>
          </cell>
          <cell r="E288">
            <v>625.20000000000005</v>
          </cell>
          <cell r="F288">
            <v>160.30769230769232</v>
          </cell>
          <cell r="G288">
            <v>8.3000000000000007</v>
          </cell>
          <cell r="H288">
            <v>1.327575175943698</v>
          </cell>
          <cell r="I288">
            <v>180</v>
          </cell>
          <cell r="J288">
            <v>0</v>
          </cell>
          <cell r="K288">
            <v>4.0110422405876953</v>
          </cell>
          <cell r="L288">
            <v>4.0110422405876953</v>
          </cell>
          <cell r="M288">
            <v>1131.05</v>
          </cell>
          <cell r="N288">
            <v>1155.0899999999999</v>
          </cell>
          <cell r="O288" t="str">
            <v>14.09.95</v>
          </cell>
          <cell r="P288">
            <v>1125.55</v>
          </cell>
          <cell r="Q288" t="str">
            <v>03.04.95</v>
          </cell>
        </row>
        <row r="289">
          <cell r="B289" t="str">
            <v>96-97</v>
          </cell>
          <cell r="C289">
            <v>172</v>
          </cell>
          <cell r="D289">
            <v>460</v>
          </cell>
          <cell r="E289">
            <v>692.7</v>
          </cell>
          <cell r="F289">
            <v>150.58695652173913</v>
          </cell>
          <cell r="G289">
            <v>5.5</v>
          </cell>
          <cell r="H289">
            <v>0.79399451421971989</v>
          </cell>
          <cell r="I289">
            <v>172</v>
          </cell>
          <cell r="J289">
            <v>0</v>
          </cell>
          <cell r="K289">
            <v>4.5</v>
          </cell>
          <cell r="L289">
            <v>4.5</v>
          </cell>
          <cell r="M289">
            <v>1145</v>
          </cell>
          <cell r="N289">
            <v>1157.3800000000001</v>
          </cell>
          <cell r="O289" t="str">
            <v>16.09.96</v>
          </cell>
          <cell r="P289">
            <v>1130.44</v>
          </cell>
          <cell r="Q289" t="str">
            <v>17.05.96</v>
          </cell>
        </row>
        <row r="290">
          <cell r="B290" t="str">
            <v>97-98</v>
          </cell>
          <cell r="C290">
            <v>172</v>
          </cell>
          <cell r="D290">
            <v>460</v>
          </cell>
          <cell r="E290">
            <v>549.24</v>
          </cell>
          <cell r="F290">
            <v>119.4</v>
          </cell>
          <cell r="G290">
            <v>5.84</v>
          </cell>
          <cell r="H290">
            <v>1.0632874517515112</v>
          </cell>
          <cell r="I290">
            <v>172</v>
          </cell>
          <cell r="J290">
            <v>0</v>
          </cell>
          <cell r="K290">
            <v>3.74</v>
          </cell>
          <cell r="L290">
            <v>0</v>
          </cell>
          <cell r="M290">
            <v>1137.04</v>
          </cell>
          <cell r="N290">
            <v>1152.71</v>
          </cell>
          <cell r="O290" t="str">
            <v>25.05.97</v>
          </cell>
          <cell r="P290">
            <v>1136.72</v>
          </cell>
          <cell r="Q290" t="str">
            <v>20.03.98</v>
          </cell>
        </row>
        <row r="291">
          <cell r="B291" t="str">
            <v>98-99</v>
          </cell>
          <cell r="C291">
            <v>172</v>
          </cell>
          <cell r="D291">
            <v>520</v>
          </cell>
          <cell r="E291">
            <v>554.29999999999995</v>
          </cell>
          <cell r="F291">
            <v>106.59615384615383</v>
          </cell>
          <cell r="G291">
            <v>7.1</v>
          </cell>
          <cell r="H291">
            <v>1.2808948222983945</v>
          </cell>
          <cell r="I291">
            <v>172</v>
          </cell>
          <cell r="J291">
            <v>0</v>
          </cell>
          <cell r="K291">
            <v>4</v>
          </cell>
          <cell r="L291">
            <v>0</v>
          </cell>
          <cell r="M291">
            <v>1139.9100000000001</v>
          </cell>
          <cell r="N291">
            <v>1140.98</v>
          </cell>
          <cell r="O291" t="str">
            <v>28.04.98</v>
          </cell>
          <cell r="P291">
            <v>1133.1500000000001</v>
          </cell>
          <cell r="Q291" t="str">
            <v>28.06.98</v>
          </cell>
        </row>
        <row r="292">
          <cell r="B292" t="str">
            <v>99-00</v>
          </cell>
          <cell r="C292">
            <v>172</v>
          </cell>
          <cell r="D292">
            <v>520</v>
          </cell>
          <cell r="E292">
            <v>479.5</v>
          </cell>
          <cell r="F292">
            <v>92.2</v>
          </cell>
          <cell r="G292">
            <v>6.8</v>
          </cell>
          <cell r="H292">
            <v>1.4181438998957248</v>
          </cell>
          <cell r="I292">
            <v>172</v>
          </cell>
          <cell r="J292">
            <v>0</v>
          </cell>
          <cell r="K292" t="str">
            <v xml:space="preserve"> </v>
          </cell>
          <cell r="L292">
            <v>0</v>
          </cell>
          <cell r="M292">
            <v>1134.51</v>
          </cell>
          <cell r="N292">
            <v>1143.3399999999999</v>
          </cell>
          <cell r="O292">
            <v>0</v>
          </cell>
          <cell r="P292">
            <v>1131.68</v>
          </cell>
        </row>
        <row r="293">
          <cell r="B293" t="str">
            <v>00-01</v>
          </cell>
          <cell r="C293">
            <v>172</v>
          </cell>
          <cell r="D293">
            <v>475</v>
          </cell>
          <cell r="E293">
            <v>182.92</v>
          </cell>
          <cell r="F293">
            <v>38.51</v>
          </cell>
          <cell r="G293">
            <v>4.72</v>
          </cell>
          <cell r="H293">
            <v>2.580363000218675</v>
          </cell>
          <cell r="I293">
            <v>172</v>
          </cell>
          <cell r="J293">
            <v>0</v>
          </cell>
          <cell r="K293">
            <v>0</v>
          </cell>
          <cell r="L293">
            <v>0</v>
          </cell>
          <cell r="M293">
            <v>1130.69</v>
          </cell>
        </row>
        <row r="294">
          <cell r="A294" t="str">
            <v>Average last 5 years</v>
          </cell>
          <cell r="B294">
            <v>0</v>
          </cell>
          <cell r="C294">
            <v>0</v>
          </cell>
          <cell r="D294">
            <v>470</v>
          </cell>
          <cell r="E294">
            <v>580.18799999999999</v>
          </cell>
          <cell r="F294">
            <v>125.81816053511707</v>
          </cell>
          <cell r="G294">
            <v>6.7080000000000002</v>
          </cell>
          <cell r="H294">
            <v>1.1767791728218095</v>
          </cell>
          <cell r="I294">
            <v>173.6</v>
          </cell>
          <cell r="J294">
            <v>0</v>
          </cell>
          <cell r="K294">
            <v>3.2502084481175388</v>
          </cell>
          <cell r="L294">
            <v>1.702208448117539</v>
          </cell>
          <cell r="M294">
            <v>1137.502</v>
          </cell>
          <cell r="N294">
            <v>1151.9540000000002</v>
          </cell>
          <cell r="O294">
            <v>0</v>
          </cell>
          <cell r="P294">
            <v>1130.152</v>
          </cell>
          <cell r="Q294">
            <v>0</v>
          </cell>
        </row>
        <row r="295">
          <cell r="A295" t="str">
            <v>J.SAGAR</v>
          </cell>
          <cell r="B295" t="str">
            <v>88-89</v>
          </cell>
          <cell r="C295">
            <v>99</v>
          </cell>
          <cell r="D295">
            <v>385</v>
          </cell>
          <cell r="E295">
            <v>339</v>
          </cell>
          <cell r="F295">
            <v>88.051948051948045</v>
          </cell>
          <cell r="G295" t="str">
            <v xml:space="preserve"> </v>
          </cell>
          <cell r="H295">
            <v>0</v>
          </cell>
          <cell r="I295" t="str">
            <v xml:space="preserve"> </v>
          </cell>
          <cell r="J295" t="str">
            <v xml:space="preserve"> </v>
          </cell>
          <cell r="K295" t="str">
            <v xml:space="preserve"> </v>
          </cell>
          <cell r="L295" t="str">
            <v xml:space="preserve"> </v>
          </cell>
          <cell r="M295" t="str">
            <v xml:space="preserve"> </v>
          </cell>
          <cell r="N295" t="str">
            <v xml:space="preserve"> </v>
          </cell>
          <cell r="O295" t="str">
            <v xml:space="preserve"> </v>
          </cell>
          <cell r="P295" t="str">
            <v xml:space="preserve"> </v>
          </cell>
          <cell r="Q295" t="str">
            <v xml:space="preserve"> </v>
          </cell>
        </row>
        <row r="296">
          <cell r="B296" t="str">
            <v>89-90</v>
          </cell>
          <cell r="C296">
            <v>99</v>
          </cell>
          <cell r="D296">
            <v>385</v>
          </cell>
          <cell r="E296">
            <v>296.37</v>
          </cell>
          <cell r="F296">
            <v>76.98</v>
          </cell>
          <cell r="G296">
            <v>5</v>
          </cell>
          <cell r="H296">
            <v>1.77</v>
          </cell>
          <cell r="I296">
            <v>99</v>
          </cell>
          <cell r="J296" t="str">
            <v xml:space="preserve">    </v>
          </cell>
          <cell r="K296">
            <v>3.05</v>
          </cell>
          <cell r="L296">
            <v>3.05</v>
          </cell>
          <cell r="M296">
            <v>968.2</v>
          </cell>
          <cell r="N296">
            <v>979.9</v>
          </cell>
          <cell r="O296" t="str">
            <v>06.01.90</v>
          </cell>
          <cell r="P296">
            <v>968.1</v>
          </cell>
          <cell r="Q296" t="str">
            <v>31.03.90</v>
          </cell>
        </row>
        <row r="297">
          <cell r="B297" t="str">
            <v>90-91</v>
          </cell>
          <cell r="C297">
            <v>99</v>
          </cell>
          <cell r="D297">
            <v>340</v>
          </cell>
          <cell r="E297">
            <v>261.92</v>
          </cell>
          <cell r="F297">
            <v>77.040000000000006</v>
          </cell>
          <cell r="G297">
            <v>2.5</v>
          </cell>
          <cell r="H297">
            <v>0.95448992058643856</v>
          </cell>
          <cell r="I297">
            <v>99</v>
          </cell>
          <cell r="J297">
            <v>0</v>
          </cell>
          <cell r="K297">
            <v>2.68</v>
          </cell>
          <cell r="L297">
            <v>2.68</v>
          </cell>
          <cell r="M297">
            <v>972.9</v>
          </cell>
          <cell r="N297">
            <v>978.9</v>
          </cell>
          <cell r="O297" t="str">
            <v>26.07.90</v>
          </cell>
          <cell r="P297">
            <v>953.5</v>
          </cell>
          <cell r="Q297" t="str">
            <v>28.06.90</v>
          </cell>
        </row>
        <row r="298">
          <cell r="B298" t="str">
            <v>91-92</v>
          </cell>
          <cell r="C298">
            <v>99</v>
          </cell>
          <cell r="D298">
            <v>340</v>
          </cell>
          <cell r="E298">
            <v>421.01</v>
          </cell>
          <cell r="F298">
            <v>123.83</v>
          </cell>
          <cell r="G298">
            <v>3.3</v>
          </cell>
          <cell r="H298">
            <v>0.78382936272297576</v>
          </cell>
          <cell r="I298">
            <v>100</v>
          </cell>
          <cell r="J298">
            <v>0</v>
          </cell>
          <cell r="K298">
            <v>4.42</v>
          </cell>
          <cell r="L298">
            <v>4.42</v>
          </cell>
          <cell r="M298">
            <v>975.9</v>
          </cell>
          <cell r="N298">
            <v>979.6</v>
          </cell>
          <cell r="O298" t="str">
            <v>02.06.91</v>
          </cell>
          <cell r="P298">
            <v>970</v>
          </cell>
          <cell r="Q298" t="str">
            <v>22.07.91</v>
          </cell>
        </row>
        <row r="299">
          <cell r="B299" t="str">
            <v>92-93</v>
          </cell>
          <cell r="C299">
            <v>99</v>
          </cell>
          <cell r="D299">
            <v>300</v>
          </cell>
          <cell r="E299">
            <v>390.68</v>
          </cell>
          <cell r="F299">
            <v>130.22666666666666</v>
          </cell>
          <cell r="G299">
            <v>3.3</v>
          </cell>
          <cell r="H299">
            <v>0.8446810689054981</v>
          </cell>
          <cell r="I299">
            <v>100</v>
          </cell>
          <cell r="J299">
            <v>0</v>
          </cell>
          <cell r="K299">
            <v>3.59</v>
          </cell>
          <cell r="L299">
            <v>3.59</v>
          </cell>
          <cell r="M299">
            <v>975.5</v>
          </cell>
          <cell r="N299">
            <v>979.4</v>
          </cell>
          <cell r="O299" t="str">
            <v>19.06.92</v>
          </cell>
          <cell r="P299">
            <v>970</v>
          </cell>
          <cell r="Q299" t="str">
            <v>06.12.92</v>
          </cell>
        </row>
        <row r="300">
          <cell r="B300" t="str">
            <v>93-94</v>
          </cell>
          <cell r="C300">
            <v>99</v>
          </cell>
          <cell r="D300">
            <v>385</v>
          </cell>
          <cell r="E300">
            <v>322.71699999999998</v>
          </cell>
          <cell r="F300">
            <v>83.822597402597395</v>
          </cell>
          <cell r="G300">
            <v>5.0999999999999996</v>
          </cell>
          <cell r="H300">
            <v>1.5803319936662772</v>
          </cell>
          <cell r="I300">
            <v>99</v>
          </cell>
          <cell r="J300">
            <v>0</v>
          </cell>
          <cell r="K300">
            <v>3.58</v>
          </cell>
          <cell r="L300">
            <v>3.58</v>
          </cell>
          <cell r="M300">
            <v>971.5</v>
          </cell>
          <cell r="N300">
            <v>979.5</v>
          </cell>
          <cell r="O300" t="str">
            <v>06.03.93</v>
          </cell>
          <cell r="P300">
            <v>970</v>
          </cell>
          <cell r="Q300" t="str">
            <v>13.08.93</v>
          </cell>
        </row>
        <row r="301">
          <cell r="B301" t="str">
            <v>94-95</v>
          </cell>
          <cell r="C301">
            <v>99</v>
          </cell>
          <cell r="D301">
            <v>315</v>
          </cell>
          <cell r="E301">
            <v>444.5</v>
          </cell>
          <cell r="F301">
            <v>141.11111111111111</v>
          </cell>
          <cell r="G301">
            <v>3.3</v>
          </cell>
          <cell r="H301">
            <v>0.74240719910011244</v>
          </cell>
          <cell r="I301">
            <v>99</v>
          </cell>
          <cell r="J301">
            <v>0</v>
          </cell>
          <cell r="K301">
            <v>0</v>
          </cell>
          <cell r="L301">
            <v>0</v>
          </cell>
          <cell r="M301">
            <v>971.7</v>
          </cell>
          <cell r="N301">
            <v>979.9</v>
          </cell>
          <cell r="O301" t="str">
            <v>27.03.95</v>
          </cell>
          <cell r="P301">
            <v>970.4</v>
          </cell>
          <cell r="Q301" t="str">
            <v>12.06.94</v>
          </cell>
        </row>
        <row r="302">
          <cell r="B302" t="str">
            <v>95-96</v>
          </cell>
          <cell r="C302">
            <v>99</v>
          </cell>
          <cell r="D302">
            <v>300</v>
          </cell>
          <cell r="E302">
            <v>444.2</v>
          </cell>
          <cell r="F302">
            <v>148.06666666666666</v>
          </cell>
          <cell r="G302">
            <v>4.9000000000000004</v>
          </cell>
          <cell r="H302">
            <v>1.1031067086897794</v>
          </cell>
          <cell r="I302">
            <v>99</v>
          </cell>
          <cell r="J302">
            <v>0</v>
          </cell>
          <cell r="K302">
            <v>4.5587695133149682</v>
          </cell>
          <cell r="L302">
            <v>4.5587695133149682</v>
          </cell>
          <cell r="M302">
            <v>970.5</v>
          </cell>
          <cell r="N302">
            <v>978.8</v>
          </cell>
          <cell r="O302" t="str">
            <v>28.07.95</v>
          </cell>
          <cell r="P302">
            <v>970.7</v>
          </cell>
          <cell r="Q302" t="str">
            <v>31.03.96</v>
          </cell>
        </row>
        <row r="303">
          <cell r="B303" t="str">
            <v>96-97</v>
          </cell>
          <cell r="C303">
            <v>99</v>
          </cell>
          <cell r="D303">
            <v>300</v>
          </cell>
          <cell r="E303">
            <v>481.4</v>
          </cell>
          <cell r="F303">
            <v>160.46666666666667</v>
          </cell>
          <cell r="G303">
            <v>4.0999999999999996</v>
          </cell>
          <cell r="H303">
            <v>0.85168259243872035</v>
          </cell>
          <cell r="I303">
            <v>99</v>
          </cell>
          <cell r="J303">
            <v>0</v>
          </cell>
          <cell r="K303">
            <v>4.9000000000000004</v>
          </cell>
          <cell r="L303">
            <v>4.9000000000000004</v>
          </cell>
          <cell r="M303">
            <v>971.1</v>
          </cell>
          <cell r="N303">
            <v>979.6</v>
          </cell>
          <cell r="O303" t="str">
            <v>18.09.96</v>
          </cell>
          <cell r="P303">
            <v>970.5</v>
          </cell>
          <cell r="Q303" t="str">
            <v>01.04.96</v>
          </cell>
        </row>
        <row r="304">
          <cell r="B304" t="str">
            <v>97-98</v>
          </cell>
          <cell r="C304">
            <v>99</v>
          </cell>
          <cell r="D304">
            <v>300</v>
          </cell>
          <cell r="E304">
            <v>382.55</v>
          </cell>
          <cell r="F304">
            <v>127.51666666666667</v>
          </cell>
          <cell r="G304">
            <v>4.8120000000000003</v>
          </cell>
          <cell r="H304">
            <v>1.2578747876094629</v>
          </cell>
          <cell r="I304">
            <v>99</v>
          </cell>
          <cell r="J304">
            <v>0</v>
          </cell>
          <cell r="K304">
            <v>4.01</v>
          </cell>
          <cell r="L304">
            <v>0</v>
          </cell>
          <cell r="M304">
            <v>973.5</v>
          </cell>
          <cell r="N304">
            <v>978</v>
          </cell>
          <cell r="O304" t="str">
            <v>03.04.97</v>
          </cell>
          <cell r="P304">
            <v>970</v>
          </cell>
          <cell r="Q304" t="str">
            <v>17.12.97</v>
          </cell>
        </row>
        <row r="305">
          <cell r="B305" t="str">
            <v>98-99</v>
          </cell>
          <cell r="C305">
            <v>99</v>
          </cell>
          <cell r="D305">
            <v>330</v>
          </cell>
          <cell r="E305">
            <v>392.8</v>
          </cell>
          <cell r="F305">
            <v>119.03030303030303</v>
          </cell>
          <cell r="G305">
            <v>5.2</v>
          </cell>
          <cell r="H305">
            <v>1.3238289205702647</v>
          </cell>
          <cell r="I305">
            <v>99</v>
          </cell>
          <cell r="J305">
            <v>0</v>
          </cell>
          <cell r="K305">
            <v>3.9</v>
          </cell>
          <cell r="L305">
            <v>0</v>
          </cell>
          <cell r="M305">
            <v>978.8</v>
          </cell>
          <cell r="N305">
            <v>979.4</v>
          </cell>
          <cell r="O305" t="str">
            <v>22.05.98</v>
          </cell>
          <cell r="P305">
            <v>970.2</v>
          </cell>
          <cell r="Q305" t="str">
            <v>29.08.98</v>
          </cell>
        </row>
        <row r="306">
          <cell r="B306" t="str">
            <v>99-00</v>
          </cell>
          <cell r="C306">
            <v>99</v>
          </cell>
          <cell r="D306">
            <v>330</v>
          </cell>
          <cell r="E306">
            <v>361.4</v>
          </cell>
          <cell r="F306">
            <v>109.5</v>
          </cell>
          <cell r="G306">
            <v>4.4000000000000004</v>
          </cell>
          <cell r="H306">
            <v>1.2</v>
          </cell>
          <cell r="I306">
            <v>99</v>
          </cell>
          <cell r="J306">
            <v>0</v>
          </cell>
          <cell r="K306" t="str">
            <v xml:space="preserve"> </v>
          </cell>
          <cell r="L306">
            <v>0</v>
          </cell>
          <cell r="M306">
            <v>979.2</v>
          </cell>
          <cell r="N306">
            <v>979.99</v>
          </cell>
          <cell r="O306" t="str">
            <v xml:space="preserve"> </v>
          </cell>
          <cell r="P306">
            <v>972.4</v>
          </cell>
        </row>
        <row r="307">
          <cell r="B307" t="str">
            <v>00-01</v>
          </cell>
          <cell r="C307">
            <v>99</v>
          </cell>
          <cell r="D307">
            <v>300</v>
          </cell>
          <cell r="E307">
            <v>140.33000000000001</v>
          </cell>
          <cell r="F307">
            <v>46.78</v>
          </cell>
          <cell r="G307">
            <v>3.01</v>
          </cell>
          <cell r="H307">
            <v>2.14</v>
          </cell>
          <cell r="I307">
            <v>99</v>
          </cell>
          <cell r="J307">
            <v>0</v>
          </cell>
          <cell r="K307">
            <v>0</v>
          </cell>
          <cell r="L307">
            <v>0</v>
          </cell>
          <cell r="M307">
            <v>976.7</v>
          </cell>
        </row>
        <row r="308">
          <cell r="A308" t="str">
            <v>Average last 5 years</v>
          </cell>
          <cell r="B308">
            <v>0</v>
          </cell>
          <cell r="C308">
            <v>0</v>
          </cell>
          <cell r="D308">
            <v>312</v>
          </cell>
          <cell r="E308">
            <v>412.46999999999997</v>
          </cell>
          <cell r="F308">
            <v>132.9160606060606</v>
          </cell>
          <cell r="G308">
            <v>4.6823999999999995</v>
          </cell>
          <cell r="H308">
            <v>1.1472986018616456</v>
          </cell>
          <cell r="I308">
            <v>99</v>
          </cell>
          <cell r="J308">
            <v>0</v>
          </cell>
          <cell r="K308">
            <v>3.473753902662994</v>
          </cell>
          <cell r="L308">
            <v>1.8917539026629939</v>
          </cell>
          <cell r="M308">
            <v>974.61999999999989</v>
          </cell>
          <cell r="N308">
            <v>979.14</v>
          </cell>
          <cell r="O308">
            <v>0</v>
          </cell>
          <cell r="P308">
            <v>970.36</v>
          </cell>
          <cell r="Q308">
            <v>0</v>
          </cell>
        </row>
        <row r="309">
          <cell r="A309" t="str">
            <v>STATE  LOAD  DESPATCH  CENTRE  M.P.E.B.  JABALPUR</v>
          </cell>
        </row>
        <row r="310">
          <cell r="A310" t="str">
            <v>CHAMBAL COMPLEX</v>
          </cell>
        </row>
        <row r="311">
          <cell r="A311" t="str">
            <v>STATION NAME</v>
          </cell>
          <cell r="B311" t="str">
            <v>YEAR</v>
          </cell>
          <cell r="C311" t="str">
            <v>CAPACITY</v>
          </cell>
          <cell r="D311" t="str">
            <v>TARGET</v>
          </cell>
          <cell r="E311" t="str">
            <v>ACTUAL GENE.</v>
          </cell>
          <cell r="F311" t="str">
            <v>ACHIEVE-MENT</v>
          </cell>
          <cell r="G311" t="str">
            <v>AUXILIARY CONSUMPTION</v>
          </cell>
          <cell r="H311">
            <v>0</v>
          </cell>
          <cell r="I311" t="str">
            <v>MAXIMUM DEMAND</v>
          </cell>
          <cell r="J311" t="str">
            <v>WATER INFLOW</v>
          </cell>
          <cell r="K311" t="str">
            <v>WATER CONSUMED</v>
          </cell>
          <cell r="L311" t="str">
            <v>WATER CONSUMED</v>
          </cell>
          <cell r="M311" t="str">
            <v>LEVEL AT THE END</v>
          </cell>
          <cell r="N311" t="str">
            <v>MAXIMUM LEVEL</v>
          </cell>
          <cell r="O311">
            <v>0</v>
          </cell>
          <cell r="P311" t="str">
            <v>MINIMUM LEVEL</v>
          </cell>
        </row>
        <row r="312">
          <cell r="C312" t="str">
            <v>MW</v>
          </cell>
          <cell r="D312" t="str">
            <v>MKwh</v>
          </cell>
          <cell r="E312" t="str">
            <v>MKwh</v>
          </cell>
          <cell r="F312" t="str">
            <v>%</v>
          </cell>
          <cell r="G312" t="str">
            <v>MKwh</v>
          </cell>
          <cell r="H312" t="str">
            <v>%</v>
          </cell>
          <cell r="I312" t="str">
            <v>MW</v>
          </cell>
          <cell r="J312" t="str">
            <v>MAFT</v>
          </cell>
          <cell r="K312" t="str">
            <v>MCM</v>
          </cell>
          <cell r="L312" t="str">
            <v>MCM</v>
          </cell>
          <cell r="M312" t="str">
            <v>FT / M</v>
          </cell>
          <cell r="N312" t="str">
            <v>FT / M</v>
          </cell>
          <cell r="O312" t="str">
            <v>DATE</v>
          </cell>
          <cell r="P312" t="str">
            <v>FT / M</v>
          </cell>
          <cell r="Q312" t="str">
            <v>DATE</v>
          </cell>
        </row>
        <row r="313">
          <cell r="A313" t="str">
            <v>CHAMBAL</v>
          </cell>
          <cell r="B313" t="str">
            <v>88-89</v>
          </cell>
          <cell r="C313">
            <v>386</v>
          </cell>
          <cell r="D313">
            <v>1300</v>
          </cell>
          <cell r="E313">
            <v>1155</v>
          </cell>
          <cell r="F313">
            <v>88.84615384615384</v>
          </cell>
          <cell r="G313">
            <v>0</v>
          </cell>
          <cell r="H313">
            <v>0</v>
          </cell>
        </row>
        <row r="314">
          <cell r="B314" t="str">
            <v>89-90</v>
          </cell>
          <cell r="C314">
            <v>386</v>
          </cell>
          <cell r="D314">
            <v>1300</v>
          </cell>
          <cell r="E314">
            <v>906.51</v>
          </cell>
          <cell r="F314">
            <v>69.731538461538463</v>
          </cell>
          <cell r="G314">
            <v>12</v>
          </cell>
          <cell r="H314">
            <v>1.3237581493861073</v>
          </cell>
        </row>
        <row r="315">
          <cell r="B315" t="str">
            <v>90-91</v>
          </cell>
          <cell r="C315">
            <v>386</v>
          </cell>
          <cell r="D315">
            <v>1150</v>
          </cell>
          <cell r="E315">
            <v>917.59999999999991</v>
          </cell>
          <cell r="F315">
            <v>79.79130434782607</v>
          </cell>
          <cell r="G315">
            <v>5</v>
          </cell>
          <cell r="H315">
            <v>0.54489973844812556</v>
          </cell>
        </row>
        <row r="316">
          <cell r="B316" t="str">
            <v>91-92</v>
          </cell>
          <cell r="C316">
            <v>386</v>
          </cell>
          <cell r="D316">
            <v>1150</v>
          </cell>
          <cell r="E316">
            <v>1562.3300000000002</v>
          </cell>
          <cell r="F316">
            <v>135.85478260869567</v>
          </cell>
          <cell r="G316">
            <v>8.6</v>
          </cell>
          <cell r="H316">
            <v>0.5504598900360359</v>
          </cell>
        </row>
        <row r="317">
          <cell r="B317" t="str">
            <v>92-93</v>
          </cell>
          <cell r="C317">
            <v>386</v>
          </cell>
          <cell r="D317">
            <v>1150</v>
          </cell>
          <cell r="E317">
            <v>1239.3900000000001</v>
          </cell>
          <cell r="F317">
            <v>107.77304347826089</v>
          </cell>
          <cell r="G317">
            <v>8.3999999999999986</v>
          </cell>
          <cell r="H317">
            <v>0.67775276547333752</v>
          </cell>
          <cell r="I317" t="str">
            <v xml:space="preserve"> </v>
          </cell>
          <cell r="J317">
            <v>0</v>
          </cell>
          <cell r="K317" t="str">
            <v xml:space="preserve"> </v>
          </cell>
          <cell r="L317" t="str">
            <v xml:space="preserve"> </v>
          </cell>
          <cell r="M317" t="str">
            <v xml:space="preserve"> </v>
          </cell>
        </row>
        <row r="318">
          <cell r="B318" t="str">
            <v>93-94</v>
          </cell>
          <cell r="C318">
            <v>386</v>
          </cell>
          <cell r="D318">
            <v>1500</v>
          </cell>
          <cell r="E318">
            <v>1032.2988</v>
          </cell>
          <cell r="F318">
            <v>68.819919999999996</v>
          </cell>
          <cell r="G318">
            <v>14.78</v>
          </cell>
          <cell r="H318">
            <v>1.4317559993288764</v>
          </cell>
          <cell r="I318" t="str">
            <v xml:space="preserve"> </v>
          </cell>
          <cell r="J318">
            <v>0</v>
          </cell>
          <cell r="K318" t="str">
            <v xml:space="preserve"> </v>
          </cell>
          <cell r="L318" t="str">
            <v xml:space="preserve"> </v>
          </cell>
          <cell r="M318" t="str">
            <v xml:space="preserve"> </v>
          </cell>
        </row>
        <row r="319">
          <cell r="B319" t="str">
            <v>94-95</v>
          </cell>
          <cell r="C319">
            <v>386</v>
          </cell>
          <cell r="D319">
            <v>1200</v>
          </cell>
          <cell r="E319">
            <v>1404.6</v>
          </cell>
          <cell r="F319">
            <v>117.05</v>
          </cell>
          <cell r="G319">
            <v>12.2</v>
          </cell>
          <cell r="H319">
            <v>0.86857468318382458</v>
          </cell>
          <cell r="I319" t="str">
            <v xml:space="preserve"> </v>
          </cell>
          <cell r="J319">
            <v>0</v>
          </cell>
          <cell r="K319" t="str">
            <v xml:space="preserve"> </v>
          </cell>
          <cell r="L319" t="str">
            <v xml:space="preserve"> </v>
          </cell>
          <cell r="M319" t="str">
            <v xml:space="preserve"> </v>
          </cell>
        </row>
        <row r="320">
          <cell r="B320" t="str">
            <v>95-96</v>
          </cell>
          <cell r="C320">
            <v>386</v>
          </cell>
          <cell r="D320">
            <v>1060</v>
          </cell>
          <cell r="E320">
            <v>1642.3</v>
          </cell>
          <cell r="F320">
            <v>154.93396226415095</v>
          </cell>
          <cell r="G320">
            <v>14.200000000000001</v>
          </cell>
          <cell r="H320">
            <v>0.8646410521829142</v>
          </cell>
          <cell r="I320" t="str">
            <v xml:space="preserve"> </v>
          </cell>
          <cell r="J320">
            <v>0</v>
          </cell>
          <cell r="K320" t="str">
            <v xml:space="preserve"> </v>
          </cell>
          <cell r="L320" t="str">
            <v xml:space="preserve"> </v>
          </cell>
          <cell r="M320" t="str">
            <v xml:space="preserve"> </v>
          </cell>
        </row>
        <row r="321">
          <cell r="B321" t="str">
            <v>96-97</v>
          </cell>
          <cell r="C321">
            <v>386</v>
          </cell>
          <cell r="D321">
            <v>1160</v>
          </cell>
          <cell r="E321">
            <v>1739.5</v>
          </cell>
          <cell r="F321">
            <v>149.95689655172413</v>
          </cell>
          <cell r="G321">
            <v>10.5</v>
          </cell>
          <cell r="H321">
            <v>0.60362173038229372</v>
          </cell>
          <cell r="I321" t="str">
            <v xml:space="preserve"> </v>
          </cell>
          <cell r="J321">
            <v>0</v>
          </cell>
          <cell r="K321" t="str">
            <v xml:space="preserve"> </v>
          </cell>
          <cell r="L321" t="str">
            <v xml:space="preserve"> </v>
          </cell>
          <cell r="M321" t="str">
            <v xml:space="preserve"> </v>
          </cell>
        </row>
        <row r="322">
          <cell r="B322" t="str">
            <v>97-98</v>
          </cell>
          <cell r="C322">
            <v>386</v>
          </cell>
          <cell r="D322">
            <v>1160</v>
          </cell>
          <cell r="E322">
            <v>1362.57</v>
          </cell>
          <cell r="F322">
            <v>117.46293103448276</v>
          </cell>
          <cell r="G322">
            <v>11.581</v>
          </cell>
          <cell r="H322">
            <v>0.84993798483747618</v>
          </cell>
          <cell r="I322" t="str">
            <v xml:space="preserve"> </v>
          </cell>
          <cell r="J322">
            <v>0</v>
          </cell>
          <cell r="K322" t="str">
            <v xml:space="preserve"> </v>
          </cell>
          <cell r="L322" t="str">
            <v xml:space="preserve"> </v>
          </cell>
          <cell r="M322" t="str">
            <v xml:space="preserve"> </v>
          </cell>
        </row>
        <row r="323">
          <cell r="B323" t="str">
            <v>98-99</v>
          </cell>
          <cell r="C323">
            <v>386</v>
          </cell>
          <cell r="D323">
            <v>1300</v>
          </cell>
          <cell r="E323">
            <v>1486.3999999999999</v>
          </cell>
          <cell r="F323">
            <v>114.33846153846154</v>
          </cell>
          <cell r="G323">
            <v>13.2</v>
          </cell>
          <cell r="H323">
            <v>0.88805166846071049</v>
          </cell>
          <cell r="I323" t="str">
            <v xml:space="preserve"> </v>
          </cell>
          <cell r="J323">
            <v>0</v>
          </cell>
          <cell r="K323" t="str">
            <v xml:space="preserve"> </v>
          </cell>
          <cell r="L323" t="str">
            <v xml:space="preserve"> </v>
          </cell>
          <cell r="M323" t="str">
            <v xml:space="preserve"> </v>
          </cell>
        </row>
        <row r="324">
          <cell r="B324" t="str">
            <v>99-00</v>
          </cell>
          <cell r="C324">
            <v>386</v>
          </cell>
          <cell r="D324">
            <v>1300</v>
          </cell>
          <cell r="E324">
            <v>1185.5</v>
          </cell>
          <cell r="F324">
            <v>91.192307692307693</v>
          </cell>
          <cell r="G324">
            <v>12</v>
          </cell>
          <cell r="H324">
            <v>1.0122311261071277</v>
          </cell>
        </row>
        <row r="325">
          <cell r="B325" t="str">
            <v>00-01</v>
          </cell>
          <cell r="C325">
            <v>386</v>
          </cell>
          <cell r="D325">
            <v>1200</v>
          </cell>
          <cell r="E325">
            <v>427.45</v>
          </cell>
          <cell r="F325">
            <v>35.619999999999997</v>
          </cell>
          <cell r="G325">
            <v>8.66</v>
          </cell>
          <cell r="H325">
            <v>2.0299999999999998</v>
          </cell>
        </row>
        <row r="326">
          <cell r="A326" t="str">
            <v>Average last 5 years</v>
          </cell>
          <cell r="B326">
            <v>0</v>
          </cell>
          <cell r="C326">
            <v>0</v>
          </cell>
          <cell r="D326">
            <v>1196</v>
          </cell>
          <cell r="E326">
            <v>1483.2539999999999</v>
          </cell>
          <cell r="F326">
            <v>125.57691181622542</v>
          </cell>
          <cell r="G326">
            <v>12.296200000000002</v>
          </cell>
          <cell r="H326">
            <v>0.84369671239410449</v>
          </cell>
          <cell r="I326">
            <v>0</v>
          </cell>
          <cell r="J326">
            <v>0</v>
          </cell>
          <cell r="K326">
            <v>0</v>
          </cell>
          <cell r="L326">
            <v>0</v>
          </cell>
          <cell r="M326">
            <v>0</v>
          </cell>
          <cell r="N326">
            <v>0</v>
          </cell>
          <cell r="O326">
            <v>0</v>
          </cell>
          <cell r="P326">
            <v>0</v>
          </cell>
          <cell r="Q326">
            <v>0</v>
          </cell>
        </row>
        <row r="327">
          <cell r="A327" t="str">
            <v>M.P.CHAMBAL</v>
          </cell>
          <cell r="B327" t="str">
            <v>88-89</v>
          </cell>
          <cell r="C327">
            <v>193</v>
          </cell>
          <cell r="D327">
            <v>650</v>
          </cell>
          <cell r="E327">
            <v>577.5</v>
          </cell>
          <cell r="F327">
            <v>88.84615384615384</v>
          </cell>
          <cell r="G327">
            <v>0</v>
          </cell>
          <cell r="H327">
            <v>0</v>
          </cell>
        </row>
        <row r="328">
          <cell r="B328" t="str">
            <v>89-90</v>
          </cell>
          <cell r="C328">
            <v>193</v>
          </cell>
          <cell r="D328">
            <v>650</v>
          </cell>
          <cell r="E328">
            <v>453.255</v>
          </cell>
          <cell r="F328">
            <v>69.731538461538463</v>
          </cell>
          <cell r="G328">
            <v>6</v>
          </cell>
          <cell r="H328">
            <v>1.3237581493861073</v>
          </cell>
        </row>
        <row r="329">
          <cell r="B329" t="str">
            <v>90-91</v>
          </cell>
          <cell r="C329">
            <v>193</v>
          </cell>
          <cell r="D329">
            <v>575</v>
          </cell>
          <cell r="E329">
            <v>458.79999999999995</v>
          </cell>
          <cell r="F329">
            <v>79.79130434782607</v>
          </cell>
          <cell r="G329">
            <v>2.5</v>
          </cell>
          <cell r="H329">
            <v>0.54489973844812556</v>
          </cell>
        </row>
        <row r="330">
          <cell r="B330" t="str">
            <v>91-92</v>
          </cell>
          <cell r="C330">
            <v>193</v>
          </cell>
          <cell r="D330">
            <v>575</v>
          </cell>
          <cell r="E330">
            <v>781.16500000000008</v>
          </cell>
          <cell r="F330">
            <v>135.85478260869567</v>
          </cell>
          <cell r="G330">
            <v>4.3</v>
          </cell>
          <cell r="H330">
            <v>0.5504598900360359</v>
          </cell>
        </row>
        <row r="331">
          <cell r="B331" t="str">
            <v>92-93</v>
          </cell>
          <cell r="C331">
            <v>193</v>
          </cell>
          <cell r="D331">
            <v>575</v>
          </cell>
          <cell r="E331">
            <v>619.69500000000005</v>
          </cell>
          <cell r="F331">
            <v>107.77304347826089</v>
          </cell>
          <cell r="G331">
            <v>4.1999999999999993</v>
          </cell>
          <cell r="H331">
            <v>0.67775276547333752</v>
          </cell>
        </row>
        <row r="332">
          <cell r="B332" t="str">
            <v>93-94</v>
          </cell>
          <cell r="C332">
            <v>193</v>
          </cell>
          <cell r="D332">
            <v>750</v>
          </cell>
          <cell r="E332">
            <v>516.14940000000001</v>
          </cell>
          <cell r="F332">
            <v>68.819919999999996</v>
          </cell>
          <cell r="G332">
            <v>7.39</v>
          </cell>
          <cell r="H332">
            <v>1.4317559993288764</v>
          </cell>
          <cell r="I332" t="str">
            <v xml:space="preserve"> </v>
          </cell>
          <cell r="J332">
            <v>0</v>
          </cell>
          <cell r="K332" t="str">
            <v xml:space="preserve"> </v>
          </cell>
          <cell r="L332" t="str">
            <v xml:space="preserve"> </v>
          </cell>
          <cell r="M332" t="str">
            <v xml:space="preserve"> </v>
          </cell>
        </row>
        <row r="333">
          <cell r="B333" t="str">
            <v>94-95</v>
          </cell>
          <cell r="C333">
            <v>193</v>
          </cell>
          <cell r="D333">
            <v>600</v>
          </cell>
          <cell r="E333">
            <v>702.3</v>
          </cell>
          <cell r="F333">
            <v>117.05</v>
          </cell>
          <cell r="G333">
            <v>6.1</v>
          </cell>
          <cell r="H333">
            <v>0.86857468318382458</v>
          </cell>
          <cell r="I333" t="str">
            <v xml:space="preserve"> </v>
          </cell>
          <cell r="J333">
            <v>0</v>
          </cell>
          <cell r="K333" t="str">
            <v xml:space="preserve"> </v>
          </cell>
          <cell r="L333" t="str">
            <v xml:space="preserve"> </v>
          </cell>
          <cell r="M333" t="str">
            <v xml:space="preserve"> </v>
          </cell>
        </row>
        <row r="334">
          <cell r="B334" t="str">
            <v>95-96</v>
          </cell>
          <cell r="C334">
            <v>193</v>
          </cell>
          <cell r="D334">
            <v>530</v>
          </cell>
          <cell r="E334">
            <v>821.15</v>
          </cell>
          <cell r="F334">
            <v>154.93396226415095</v>
          </cell>
          <cell r="G334">
            <v>7.1000000000000005</v>
          </cell>
          <cell r="H334">
            <v>0.8646410521829142</v>
          </cell>
        </row>
        <row r="335">
          <cell r="B335" t="str">
            <v>96-97</v>
          </cell>
          <cell r="C335">
            <v>193</v>
          </cell>
          <cell r="D335">
            <v>580</v>
          </cell>
          <cell r="E335">
            <v>869.75</v>
          </cell>
          <cell r="F335">
            <v>149.95689655172413</v>
          </cell>
          <cell r="G335">
            <v>5.25</v>
          </cell>
          <cell r="H335">
            <v>0.60362173038229372</v>
          </cell>
        </row>
        <row r="336">
          <cell r="B336" t="str">
            <v>97-98</v>
          </cell>
          <cell r="C336">
            <v>193</v>
          </cell>
          <cell r="D336">
            <v>580</v>
          </cell>
          <cell r="E336">
            <v>681.28499999999997</v>
          </cell>
          <cell r="F336">
            <v>117.46293103448276</v>
          </cell>
          <cell r="G336">
            <v>5.7904999999999998</v>
          </cell>
          <cell r="H336">
            <v>0.84993798483747618</v>
          </cell>
        </row>
        <row r="337">
          <cell r="B337" t="str">
            <v>98-99</v>
          </cell>
          <cell r="C337">
            <v>193</v>
          </cell>
          <cell r="D337">
            <v>650</v>
          </cell>
          <cell r="E337">
            <v>743.19999999999993</v>
          </cell>
          <cell r="F337">
            <v>114.33846153846154</v>
          </cell>
          <cell r="G337">
            <v>6.6</v>
          </cell>
          <cell r="H337">
            <v>0.88805166846071049</v>
          </cell>
        </row>
        <row r="338">
          <cell r="B338" t="str">
            <v>99-00</v>
          </cell>
          <cell r="C338">
            <v>193</v>
          </cell>
          <cell r="D338">
            <v>650</v>
          </cell>
          <cell r="E338">
            <v>592.75</v>
          </cell>
          <cell r="F338">
            <v>91.192307692307693</v>
          </cell>
          <cell r="G338">
            <v>6</v>
          </cell>
          <cell r="H338">
            <v>1.0122311261071277</v>
          </cell>
        </row>
        <row r="339">
          <cell r="B339" t="str">
            <v>00-01</v>
          </cell>
          <cell r="C339">
            <v>193</v>
          </cell>
          <cell r="D339">
            <v>600</v>
          </cell>
          <cell r="E339">
            <v>213.72</v>
          </cell>
          <cell r="F339">
            <v>35.619999999999997</v>
          </cell>
          <cell r="G339">
            <v>4.33</v>
          </cell>
          <cell r="H339">
            <v>2.0299999999999998</v>
          </cell>
        </row>
        <row r="340">
          <cell r="A340" t="str">
            <v>Average last 5 years</v>
          </cell>
          <cell r="B340">
            <v>0</v>
          </cell>
          <cell r="C340">
            <v>0</v>
          </cell>
          <cell r="D340">
            <v>598</v>
          </cell>
          <cell r="E340">
            <v>741.62699999999995</v>
          </cell>
          <cell r="F340">
            <v>125.57691181622542</v>
          </cell>
          <cell r="G340">
            <v>6.1481000000000012</v>
          </cell>
          <cell r="H340">
            <v>0.84369671239410449</v>
          </cell>
          <cell r="I340">
            <v>0</v>
          </cell>
          <cell r="J340">
            <v>0</v>
          </cell>
          <cell r="K340">
            <v>0</v>
          </cell>
          <cell r="L340">
            <v>0</v>
          </cell>
          <cell r="M340">
            <v>0</v>
          </cell>
          <cell r="N340">
            <v>0</v>
          </cell>
          <cell r="O340">
            <v>0</v>
          </cell>
          <cell r="P340">
            <v>0</v>
          </cell>
          <cell r="Q340">
            <v>0</v>
          </cell>
        </row>
        <row r="341">
          <cell r="A341" t="str">
            <v>PENCH</v>
          </cell>
          <cell r="B341" t="str">
            <v>88-89</v>
          </cell>
          <cell r="C341">
            <v>160</v>
          </cell>
          <cell r="D341">
            <v>240</v>
          </cell>
          <cell r="E341">
            <v>248</v>
          </cell>
          <cell r="F341">
            <v>103.33333333333333</v>
          </cell>
          <cell r="G341" t="str">
            <v xml:space="preserve"> </v>
          </cell>
          <cell r="H341">
            <v>0</v>
          </cell>
          <cell r="I341" t="str">
            <v xml:space="preserve"> </v>
          </cell>
          <cell r="J341" t="str">
            <v xml:space="preserve"> </v>
          </cell>
          <cell r="K341" t="str">
            <v xml:space="preserve"> </v>
          </cell>
          <cell r="L341" t="str">
            <v xml:space="preserve"> </v>
          </cell>
          <cell r="M341" t="str">
            <v xml:space="preserve"> </v>
          </cell>
          <cell r="N341" t="str">
            <v xml:space="preserve"> </v>
          </cell>
          <cell r="O341" t="str">
            <v xml:space="preserve"> </v>
          </cell>
          <cell r="P341" t="str">
            <v xml:space="preserve"> </v>
          </cell>
          <cell r="Q341" t="str">
            <v xml:space="preserve"> </v>
          </cell>
        </row>
        <row r="342">
          <cell r="B342" t="str">
            <v>89-90</v>
          </cell>
          <cell r="C342">
            <v>160</v>
          </cell>
          <cell r="D342">
            <v>240</v>
          </cell>
          <cell r="E342">
            <v>212.32</v>
          </cell>
          <cell r="F342">
            <v>88.46</v>
          </cell>
          <cell r="G342">
            <v>0.2</v>
          </cell>
          <cell r="H342">
            <v>0.08</v>
          </cell>
          <cell r="I342">
            <v>160</v>
          </cell>
          <cell r="J342">
            <v>306</v>
          </cell>
          <cell r="K342">
            <v>0</v>
          </cell>
          <cell r="L342">
            <v>0</v>
          </cell>
          <cell r="M342">
            <v>464.6</v>
          </cell>
          <cell r="N342">
            <v>478.73</v>
          </cell>
          <cell r="O342" t="str">
            <v>13.09.89</v>
          </cell>
          <cell r="P342">
            <v>463.3</v>
          </cell>
          <cell r="Q342" t="str">
            <v>28.06.89</v>
          </cell>
        </row>
        <row r="343">
          <cell r="B343" t="str">
            <v>90-91</v>
          </cell>
          <cell r="C343">
            <v>160</v>
          </cell>
          <cell r="D343">
            <v>390</v>
          </cell>
          <cell r="E343">
            <v>340.8</v>
          </cell>
          <cell r="F343">
            <v>87.384615384615387</v>
          </cell>
          <cell r="G343">
            <v>0.2</v>
          </cell>
          <cell r="H343">
            <v>5.8685446009389672E-2</v>
          </cell>
          <cell r="I343">
            <v>160</v>
          </cell>
          <cell r="J343">
            <v>1432</v>
          </cell>
          <cell r="K343">
            <v>984.66</v>
          </cell>
          <cell r="L343">
            <v>984.66</v>
          </cell>
          <cell r="M343">
            <v>477.76</v>
          </cell>
          <cell r="N343">
            <v>488.35</v>
          </cell>
          <cell r="O343" t="str">
            <v>13.10.90</v>
          </cell>
          <cell r="P343">
            <v>462.1</v>
          </cell>
          <cell r="Q343" t="str">
            <v>01.06.90</v>
          </cell>
        </row>
        <row r="344">
          <cell r="B344" t="str">
            <v>91-92</v>
          </cell>
          <cell r="C344">
            <v>160</v>
          </cell>
          <cell r="D344">
            <v>390</v>
          </cell>
          <cell r="E344">
            <v>286.27999999999997</v>
          </cell>
          <cell r="F344">
            <v>73.405128205128193</v>
          </cell>
          <cell r="G344">
            <v>0.2</v>
          </cell>
          <cell r="H344">
            <v>6.9861673885706313E-2</v>
          </cell>
          <cell r="I344">
            <v>150</v>
          </cell>
          <cell r="J344">
            <v>678</v>
          </cell>
          <cell r="K344">
            <v>874.4</v>
          </cell>
          <cell r="L344">
            <v>874.4</v>
          </cell>
          <cell r="M344">
            <v>464.42</v>
          </cell>
          <cell r="N344">
            <v>484.14</v>
          </cell>
          <cell r="O344" t="str">
            <v>14.09.91</v>
          </cell>
          <cell r="P344">
            <v>464.51</v>
          </cell>
          <cell r="Q344" t="str">
            <v>31.03.92</v>
          </cell>
        </row>
        <row r="345">
          <cell r="B345" t="str">
            <v>92-93</v>
          </cell>
          <cell r="C345">
            <v>160</v>
          </cell>
          <cell r="D345">
            <v>320</v>
          </cell>
          <cell r="E345">
            <v>273.24</v>
          </cell>
          <cell r="F345">
            <v>85.387500000000003</v>
          </cell>
          <cell r="G345">
            <v>0.3</v>
          </cell>
          <cell r="H345">
            <v>0.10979358805445762</v>
          </cell>
          <cell r="I345">
            <v>160</v>
          </cell>
          <cell r="J345">
            <v>1056</v>
          </cell>
          <cell r="K345">
            <v>659.9</v>
          </cell>
          <cell r="L345">
            <v>659.9</v>
          </cell>
          <cell r="M345">
            <v>474.9</v>
          </cell>
          <cell r="N345">
            <v>487.91</v>
          </cell>
          <cell r="O345" t="str">
            <v>15.09.92</v>
          </cell>
          <cell r="P345">
            <v>453.92</v>
          </cell>
          <cell r="Q345" t="str">
            <v>19.06.92</v>
          </cell>
        </row>
        <row r="346">
          <cell r="B346" t="str">
            <v>93-94</v>
          </cell>
          <cell r="C346">
            <v>160</v>
          </cell>
          <cell r="D346">
            <v>390</v>
          </cell>
          <cell r="E346">
            <v>400.93799999999999</v>
          </cell>
          <cell r="F346">
            <v>102.80461538461537</v>
          </cell>
          <cell r="G346">
            <v>0.5</v>
          </cell>
          <cell r="H346">
            <v>0.12470756076999437</v>
          </cell>
          <cell r="I346">
            <v>82</v>
          </cell>
          <cell r="J346">
            <v>1993</v>
          </cell>
          <cell r="K346">
            <v>1096.8499999999999</v>
          </cell>
          <cell r="L346">
            <v>1096.8499999999999</v>
          </cell>
          <cell r="M346">
            <v>483.64</v>
          </cell>
          <cell r="N346">
            <v>490.18</v>
          </cell>
          <cell r="O346" t="str">
            <v>27.09.94</v>
          </cell>
          <cell r="P346">
            <v>468.34</v>
          </cell>
          <cell r="Q346" t="str">
            <v>15.06.93</v>
          </cell>
        </row>
        <row r="347">
          <cell r="B347" t="str">
            <v>94-95</v>
          </cell>
          <cell r="C347">
            <v>160</v>
          </cell>
          <cell r="D347">
            <v>450</v>
          </cell>
          <cell r="E347">
            <v>609.79999999999995</v>
          </cell>
          <cell r="F347">
            <v>135.51111111111109</v>
          </cell>
          <cell r="G347">
            <v>1.6766179999999999</v>
          </cell>
          <cell r="H347">
            <v>0.27494555591997377</v>
          </cell>
          <cell r="I347">
            <v>160</v>
          </cell>
          <cell r="J347">
            <v>3286</v>
          </cell>
          <cell r="K347">
            <v>1773.508</v>
          </cell>
          <cell r="L347">
            <v>1773.508</v>
          </cell>
          <cell r="M347">
            <v>476.6</v>
          </cell>
          <cell r="N347">
            <v>490.43</v>
          </cell>
          <cell r="O347" t="str">
            <v>06.09.94</v>
          </cell>
          <cell r="P347">
            <v>474.65</v>
          </cell>
          <cell r="Q347" t="str">
            <v>30.06.94</v>
          </cell>
        </row>
        <row r="348">
          <cell r="B348" t="str">
            <v>95-96</v>
          </cell>
          <cell r="C348">
            <v>160</v>
          </cell>
          <cell r="D348">
            <v>450</v>
          </cell>
          <cell r="E348">
            <v>409.3</v>
          </cell>
          <cell r="F348">
            <v>90.955555555555549</v>
          </cell>
          <cell r="G348">
            <v>1.2</v>
          </cell>
          <cell r="H348">
            <v>0.29318348399706817</v>
          </cell>
          <cell r="I348">
            <v>160</v>
          </cell>
          <cell r="J348">
            <v>1304.69</v>
          </cell>
          <cell r="K348">
            <v>1237.548</v>
          </cell>
          <cell r="L348">
            <v>1237.548</v>
          </cell>
          <cell r="M348">
            <v>472.9</v>
          </cell>
          <cell r="N348">
            <v>486</v>
          </cell>
          <cell r="O348" t="str">
            <v>15.09.95</v>
          </cell>
          <cell r="P348">
            <v>468.55</v>
          </cell>
          <cell r="Q348" t="str">
            <v>30.06.95</v>
          </cell>
        </row>
        <row r="349">
          <cell r="B349" t="str">
            <v>96-97</v>
          </cell>
          <cell r="C349">
            <v>160</v>
          </cell>
          <cell r="D349">
            <v>525</v>
          </cell>
          <cell r="E349">
            <v>292.8</v>
          </cell>
          <cell r="F349">
            <v>55.771428571428572</v>
          </cell>
          <cell r="G349">
            <v>1</v>
          </cell>
          <cell r="H349">
            <v>0.34153005464480873</v>
          </cell>
          <cell r="I349">
            <v>160</v>
          </cell>
          <cell r="J349">
            <v>794.8</v>
          </cell>
          <cell r="K349">
            <v>0</v>
          </cell>
          <cell r="L349">
            <v>0</v>
          </cell>
          <cell r="M349">
            <v>467.3</v>
          </cell>
          <cell r="N349">
            <v>483.05</v>
          </cell>
          <cell r="O349" t="str">
            <v>30.09.96</v>
          </cell>
          <cell r="P349">
            <v>463.6</v>
          </cell>
          <cell r="Q349" t="str">
            <v>15.06.96</v>
          </cell>
        </row>
        <row r="350">
          <cell r="B350" t="str">
            <v>97-98</v>
          </cell>
          <cell r="C350">
            <v>160</v>
          </cell>
          <cell r="D350">
            <v>525</v>
          </cell>
          <cell r="E350">
            <v>474.97</v>
          </cell>
          <cell r="F350">
            <v>90.470476190476191</v>
          </cell>
          <cell r="G350">
            <v>1.032</v>
          </cell>
          <cell r="H350">
            <v>0.21727688064509337</v>
          </cell>
          <cell r="I350">
            <v>160</v>
          </cell>
          <cell r="J350">
            <v>3261.21</v>
          </cell>
          <cell r="K350">
            <v>911.9</v>
          </cell>
          <cell r="L350">
            <v>0</v>
          </cell>
          <cell r="M350">
            <v>486.66</v>
          </cell>
          <cell r="N350">
            <v>490.13</v>
          </cell>
          <cell r="O350" t="str">
            <v>31.12.97</v>
          </cell>
          <cell r="P350">
            <v>462.88</v>
          </cell>
          <cell r="Q350" t="str">
            <v>01.07.97</v>
          </cell>
        </row>
        <row r="351">
          <cell r="B351" t="str">
            <v>98-99</v>
          </cell>
          <cell r="C351">
            <v>160</v>
          </cell>
          <cell r="D351">
            <v>525</v>
          </cell>
          <cell r="E351">
            <v>561.1</v>
          </cell>
          <cell r="F351">
            <v>106.87619047619047</v>
          </cell>
          <cell r="G351">
            <v>1.1000000000000001</v>
          </cell>
          <cell r="H351">
            <v>0.19604348600962396</v>
          </cell>
          <cell r="I351">
            <v>160</v>
          </cell>
          <cell r="J351">
            <v>1358.9</v>
          </cell>
          <cell r="K351">
            <v>911.9</v>
          </cell>
          <cell r="L351">
            <v>0</v>
          </cell>
          <cell r="M351">
            <v>481.29</v>
          </cell>
          <cell r="N351">
            <v>490</v>
          </cell>
          <cell r="O351" t="str">
            <v>11.11.98</v>
          </cell>
          <cell r="P351">
            <v>477.5</v>
          </cell>
          <cell r="Q351" t="str">
            <v>27.06.98</v>
          </cell>
        </row>
        <row r="352">
          <cell r="B352" t="str">
            <v>99-00</v>
          </cell>
          <cell r="C352">
            <v>160</v>
          </cell>
          <cell r="D352">
            <v>525</v>
          </cell>
          <cell r="E352">
            <v>560.5</v>
          </cell>
          <cell r="F352">
            <v>106.8</v>
          </cell>
          <cell r="G352">
            <v>2.1</v>
          </cell>
          <cell r="H352">
            <v>0.37466547725245319</v>
          </cell>
          <cell r="I352">
            <v>160</v>
          </cell>
          <cell r="J352">
            <v>2994</v>
          </cell>
          <cell r="K352">
            <v>1635.48</v>
          </cell>
          <cell r="L352">
            <v>0</v>
          </cell>
          <cell r="M352">
            <v>478.86</v>
          </cell>
          <cell r="N352">
            <v>490.08</v>
          </cell>
          <cell r="O352">
            <v>0</v>
          </cell>
          <cell r="P352">
            <v>476.93</v>
          </cell>
        </row>
        <row r="353">
          <cell r="B353" t="str">
            <v>00-01</v>
          </cell>
          <cell r="C353">
            <v>160</v>
          </cell>
          <cell r="D353">
            <v>550</v>
          </cell>
          <cell r="E353">
            <v>284.22000000000003</v>
          </cell>
          <cell r="F353">
            <v>51.68</v>
          </cell>
          <cell r="G353">
            <v>0.73</v>
          </cell>
          <cell r="H353">
            <v>0.26</v>
          </cell>
          <cell r="I353">
            <v>164</v>
          </cell>
          <cell r="J353">
            <v>0</v>
          </cell>
          <cell r="K353">
            <v>0</v>
          </cell>
          <cell r="L353">
            <v>0</v>
          </cell>
          <cell r="M353">
            <v>463.46</v>
          </cell>
        </row>
        <row r="354">
          <cell r="A354" t="str">
            <v>Average last 5 years</v>
          </cell>
          <cell r="B354">
            <v>0</v>
          </cell>
          <cell r="C354">
            <v>0</v>
          </cell>
          <cell r="D354">
            <v>510</v>
          </cell>
          <cell r="E354">
            <v>459.73400000000004</v>
          </cell>
          <cell r="F354">
            <v>90.174730158730156</v>
          </cell>
          <cell r="G354">
            <v>1.4324000000000001</v>
          </cell>
          <cell r="H354">
            <v>0.2845398765098095</v>
          </cell>
          <cell r="I354">
            <v>160</v>
          </cell>
          <cell r="J354">
            <v>1942.72</v>
          </cell>
          <cell r="K354">
            <v>939.36559999999986</v>
          </cell>
          <cell r="L354">
            <v>247.50960000000001</v>
          </cell>
          <cell r="M354">
            <v>477.40200000000004</v>
          </cell>
          <cell r="N354">
            <v>487.92200000000003</v>
          </cell>
          <cell r="O354">
            <v>0</v>
          </cell>
          <cell r="P354">
            <v>469.43600000000004</v>
          </cell>
          <cell r="Q354">
            <v>0</v>
          </cell>
        </row>
        <row r="355">
          <cell r="A355" t="str">
            <v>STATE  LOAD  DESPATCH  CENTRE  M.P.E.B.  JABALPUR</v>
          </cell>
        </row>
        <row r="356">
          <cell r="A356" t="str">
            <v>OTHER HYDEL</v>
          </cell>
        </row>
        <row r="357">
          <cell r="A357" t="str">
            <v>STATION NAME</v>
          </cell>
          <cell r="B357" t="str">
            <v>YEAR</v>
          </cell>
          <cell r="C357" t="str">
            <v>CAPACITY</v>
          </cell>
          <cell r="D357" t="str">
            <v>TARGET</v>
          </cell>
          <cell r="E357" t="str">
            <v>ACTUAL GENE.</v>
          </cell>
          <cell r="F357" t="str">
            <v>ACHIEVE-MENT</v>
          </cell>
          <cell r="G357" t="str">
            <v>AUXILIARY CONSUMPTION</v>
          </cell>
          <cell r="H357">
            <v>0</v>
          </cell>
          <cell r="I357" t="str">
            <v>MAXIMUM DEMAND</v>
          </cell>
          <cell r="J357" t="str">
            <v>WATER INFLOW</v>
          </cell>
          <cell r="K357" t="str">
            <v>WATER CONSUMED</v>
          </cell>
          <cell r="L357" t="str">
            <v>WATER CONSUMED</v>
          </cell>
          <cell r="M357" t="str">
            <v>LEVEL AT THE END</v>
          </cell>
          <cell r="N357" t="str">
            <v>MAXIMUM LEVEL</v>
          </cell>
          <cell r="O357">
            <v>0</v>
          </cell>
          <cell r="P357" t="str">
            <v>MINIMUM LEVEL</v>
          </cell>
        </row>
        <row r="358">
          <cell r="C358" t="str">
            <v>MW</v>
          </cell>
          <cell r="D358" t="str">
            <v>MKwh</v>
          </cell>
          <cell r="E358" t="str">
            <v>MKwh</v>
          </cell>
          <cell r="F358" t="str">
            <v>%</v>
          </cell>
          <cell r="G358" t="str">
            <v>MKwh</v>
          </cell>
          <cell r="H358" t="str">
            <v>%</v>
          </cell>
          <cell r="I358" t="str">
            <v>MW</v>
          </cell>
          <cell r="J358" t="str">
            <v>MAFT</v>
          </cell>
          <cell r="K358" t="str">
            <v>MCM</v>
          </cell>
          <cell r="L358" t="str">
            <v>MCM</v>
          </cell>
          <cell r="M358" t="str">
            <v>FT / M</v>
          </cell>
          <cell r="N358" t="str">
            <v>FT / M</v>
          </cell>
          <cell r="O358" t="str">
            <v>DATE</v>
          </cell>
          <cell r="P358" t="str">
            <v>FT / M</v>
          </cell>
          <cell r="Q358" t="str">
            <v>DATE</v>
          </cell>
        </row>
        <row r="359">
          <cell r="A359" t="str">
            <v>BARGI</v>
          </cell>
          <cell r="B359" t="str">
            <v>88-89</v>
          </cell>
          <cell r="C359">
            <v>90</v>
          </cell>
          <cell r="D359">
            <v>100</v>
          </cell>
          <cell r="E359">
            <v>142</v>
          </cell>
          <cell r="F359">
            <v>142</v>
          </cell>
          <cell r="G359" t="str">
            <v xml:space="preserve"> </v>
          </cell>
          <cell r="H359">
            <v>0</v>
          </cell>
          <cell r="I359" t="str">
            <v xml:space="preserve"> </v>
          </cell>
          <cell r="J359" t="str">
            <v xml:space="preserve"> </v>
          </cell>
          <cell r="K359" t="str">
            <v xml:space="preserve"> </v>
          </cell>
          <cell r="L359" t="str">
            <v xml:space="preserve"> </v>
          </cell>
          <cell r="M359" t="str">
            <v xml:space="preserve"> </v>
          </cell>
          <cell r="N359" t="str">
            <v xml:space="preserve"> </v>
          </cell>
          <cell r="O359" t="str">
            <v xml:space="preserve"> </v>
          </cell>
          <cell r="P359" t="str">
            <v xml:space="preserve"> </v>
          </cell>
          <cell r="Q359" t="str">
            <v xml:space="preserve"> </v>
          </cell>
        </row>
        <row r="360">
          <cell r="B360" t="str">
            <v>89-90</v>
          </cell>
          <cell r="C360">
            <v>90</v>
          </cell>
          <cell r="D360">
            <v>140</v>
          </cell>
          <cell r="E360">
            <v>277.95</v>
          </cell>
          <cell r="F360">
            <v>198.54</v>
          </cell>
          <cell r="G360">
            <v>0.1</v>
          </cell>
          <cell r="H360">
            <v>0.04</v>
          </cell>
          <cell r="I360">
            <v>91</v>
          </cell>
          <cell r="J360">
            <v>0</v>
          </cell>
          <cell r="K360">
            <v>0</v>
          </cell>
          <cell r="L360">
            <v>0</v>
          </cell>
          <cell r="M360">
            <v>410.2</v>
          </cell>
          <cell r="N360">
            <v>418.7</v>
          </cell>
          <cell r="O360" t="str">
            <v>30.09.89</v>
          </cell>
          <cell r="P360">
            <v>403.9</v>
          </cell>
          <cell r="Q360" t="str">
            <v>22.06.89</v>
          </cell>
        </row>
        <row r="361">
          <cell r="B361" t="str">
            <v>90-91</v>
          </cell>
          <cell r="C361">
            <v>90</v>
          </cell>
          <cell r="D361">
            <v>200</v>
          </cell>
          <cell r="E361">
            <v>480.44</v>
          </cell>
          <cell r="F361">
            <v>240.22</v>
          </cell>
          <cell r="G361">
            <v>0.1</v>
          </cell>
          <cell r="H361">
            <v>2.0814253600865872E-2</v>
          </cell>
          <cell r="I361">
            <v>92</v>
          </cell>
          <cell r="J361">
            <v>0</v>
          </cell>
          <cell r="K361">
            <v>4279.8900000000003</v>
          </cell>
          <cell r="L361">
            <v>4279.8900000000003</v>
          </cell>
          <cell r="M361">
            <v>416.6</v>
          </cell>
          <cell r="N361">
            <v>422.76</v>
          </cell>
          <cell r="O361" t="str">
            <v>08.10.90</v>
          </cell>
          <cell r="P361">
            <v>406.65</v>
          </cell>
          <cell r="Q361" t="str">
            <v>19.06.90</v>
          </cell>
        </row>
        <row r="362">
          <cell r="B362" t="str">
            <v>91-92</v>
          </cell>
          <cell r="C362">
            <v>90</v>
          </cell>
          <cell r="D362">
            <v>250</v>
          </cell>
          <cell r="E362">
            <v>520.04999999999995</v>
          </cell>
          <cell r="F362">
            <v>208.01999999999998</v>
          </cell>
          <cell r="G362">
            <v>0.1</v>
          </cell>
          <cell r="H362">
            <v>1.9228920296125374E-2</v>
          </cell>
          <cell r="I362">
            <v>94</v>
          </cell>
          <cell r="J362">
            <v>0</v>
          </cell>
          <cell r="K362">
            <v>4609.5</v>
          </cell>
          <cell r="L362">
            <v>4609.5</v>
          </cell>
          <cell r="M362">
            <v>409.05</v>
          </cell>
          <cell r="N362">
            <v>421.6</v>
          </cell>
          <cell r="O362" t="str">
            <v>29.08.91</v>
          </cell>
          <cell r="P362">
            <v>408.6</v>
          </cell>
          <cell r="Q362" t="str">
            <v>15.07.91</v>
          </cell>
        </row>
        <row r="363">
          <cell r="B363" t="str">
            <v>92-93</v>
          </cell>
          <cell r="C363">
            <v>90</v>
          </cell>
          <cell r="D363">
            <v>400</v>
          </cell>
          <cell r="E363">
            <v>368.81</v>
          </cell>
          <cell r="F363">
            <v>92.202500000000001</v>
          </cell>
          <cell r="G363">
            <v>0.1</v>
          </cell>
          <cell r="H363">
            <v>2.7114232260513543E-2</v>
          </cell>
          <cell r="I363">
            <v>96</v>
          </cell>
          <cell r="J363">
            <v>0</v>
          </cell>
          <cell r="K363">
            <v>3105.7</v>
          </cell>
          <cell r="L363">
            <v>3105.7</v>
          </cell>
          <cell r="M363">
            <v>414.4</v>
          </cell>
          <cell r="N363">
            <v>422.75</v>
          </cell>
          <cell r="O363" t="str">
            <v>11.09.92</v>
          </cell>
          <cell r="P363">
            <v>404.6</v>
          </cell>
          <cell r="Q363" t="str">
            <v>13.07.92</v>
          </cell>
        </row>
        <row r="364">
          <cell r="B364" t="str">
            <v>93-94</v>
          </cell>
          <cell r="C364">
            <v>90</v>
          </cell>
          <cell r="D364">
            <v>520</v>
          </cell>
          <cell r="E364">
            <v>539.36582999999996</v>
          </cell>
          <cell r="F364">
            <v>103.72419807692307</v>
          </cell>
          <cell r="G364">
            <v>0.1</v>
          </cell>
          <cell r="H364">
            <v>1.8540292031477043E-2</v>
          </cell>
          <cell r="I364">
            <v>90</v>
          </cell>
          <cell r="J364">
            <v>0</v>
          </cell>
          <cell r="K364">
            <v>4484.13</v>
          </cell>
          <cell r="L364">
            <v>4484.13</v>
          </cell>
          <cell r="M364">
            <v>413.55</v>
          </cell>
          <cell r="N364">
            <v>422.45</v>
          </cell>
          <cell r="O364" t="str">
            <v>16.10.94</v>
          </cell>
          <cell r="P364">
            <v>408.9</v>
          </cell>
          <cell r="Q364" t="str">
            <v>08.07.94</v>
          </cell>
        </row>
        <row r="365">
          <cell r="B365" t="str">
            <v>94-95</v>
          </cell>
          <cell r="C365">
            <v>90</v>
          </cell>
          <cell r="D365">
            <v>470</v>
          </cell>
          <cell r="E365">
            <v>533.1</v>
          </cell>
          <cell r="F365">
            <v>113.42553191489361</v>
          </cell>
          <cell r="G365">
            <v>0.1</v>
          </cell>
          <cell r="H365">
            <v>1.8758206715438003E-2</v>
          </cell>
          <cell r="I365">
            <v>90</v>
          </cell>
          <cell r="J365">
            <v>22742</v>
          </cell>
          <cell r="K365">
            <v>4573</v>
          </cell>
          <cell r="L365">
            <v>4573</v>
          </cell>
          <cell r="M365">
            <v>415.6</v>
          </cell>
          <cell r="N365">
            <v>422.75</v>
          </cell>
          <cell r="O365" t="str">
            <v>01.10.94</v>
          </cell>
          <cell r="P365">
            <v>405.9</v>
          </cell>
          <cell r="Q365" t="str">
            <v>19.06.94</v>
          </cell>
        </row>
        <row r="366">
          <cell r="B366" t="str">
            <v>95-96</v>
          </cell>
          <cell r="C366">
            <v>90</v>
          </cell>
          <cell r="D366">
            <v>540</v>
          </cell>
          <cell r="E366">
            <v>561.9</v>
          </cell>
          <cell r="F366">
            <v>104.05555555555556</v>
          </cell>
          <cell r="G366">
            <v>0.1</v>
          </cell>
          <cell r="H366">
            <v>1.7796760989499911E-2</v>
          </cell>
          <cell r="I366">
            <v>90</v>
          </cell>
          <cell r="J366">
            <v>9012</v>
          </cell>
          <cell r="K366">
            <v>4894</v>
          </cell>
          <cell r="L366">
            <v>4894</v>
          </cell>
          <cell r="M366">
            <v>411.2</v>
          </cell>
          <cell r="N366">
            <v>422.45</v>
          </cell>
          <cell r="O366" t="str">
            <v>16.09.95</v>
          </cell>
          <cell r="P366">
            <v>409.35</v>
          </cell>
          <cell r="Q366" t="str">
            <v>06.07.95</v>
          </cell>
        </row>
        <row r="367">
          <cell r="B367" t="str">
            <v>96-97</v>
          </cell>
          <cell r="C367">
            <v>90</v>
          </cell>
          <cell r="D367">
            <v>540</v>
          </cell>
          <cell r="E367">
            <v>486.9</v>
          </cell>
          <cell r="F367">
            <v>90.166666666666671</v>
          </cell>
          <cell r="G367">
            <v>0.1</v>
          </cell>
          <cell r="H367">
            <v>2.0538098172109262E-2</v>
          </cell>
          <cell r="I367">
            <v>90</v>
          </cell>
          <cell r="J367">
            <v>18701</v>
          </cell>
          <cell r="K367">
            <v>0</v>
          </cell>
          <cell r="L367">
            <v>0</v>
          </cell>
          <cell r="M367">
            <v>411.35</v>
          </cell>
          <cell r="N367">
            <v>422.1</v>
          </cell>
          <cell r="O367" t="str">
            <v>20.09.96</v>
          </cell>
          <cell r="P367">
            <v>405.05</v>
          </cell>
          <cell r="Q367" t="str">
            <v>14.07.96</v>
          </cell>
        </row>
        <row r="368">
          <cell r="B368" t="str">
            <v>97-98</v>
          </cell>
          <cell r="C368">
            <v>90</v>
          </cell>
          <cell r="D368">
            <v>540</v>
          </cell>
          <cell r="E368">
            <v>567.63</v>
          </cell>
          <cell r="F368">
            <v>105.11666666666666</v>
          </cell>
          <cell r="G368">
            <v>0.11</v>
          </cell>
          <cell r="H368">
            <v>1.9378820710674208E-2</v>
          </cell>
          <cell r="I368">
            <v>90</v>
          </cell>
          <cell r="J368">
            <v>9016.1</v>
          </cell>
          <cell r="K368">
            <v>4491</v>
          </cell>
          <cell r="L368">
            <v>0</v>
          </cell>
          <cell r="M368">
            <v>416.75</v>
          </cell>
          <cell r="N368">
            <v>422.75</v>
          </cell>
          <cell r="O368" t="str">
            <v>17.09.97</v>
          </cell>
          <cell r="P368">
            <v>404.75</v>
          </cell>
          <cell r="Q368" t="str">
            <v>27.06.97</v>
          </cell>
        </row>
        <row r="369">
          <cell r="B369" t="str">
            <v>98-99</v>
          </cell>
          <cell r="C369">
            <v>90</v>
          </cell>
          <cell r="D369">
            <v>550</v>
          </cell>
          <cell r="E369">
            <v>652.70000000000005</v>
          </cell>
          <cell r="F369">
            <v>118.67272727272729</v>
          </cell>
          <cell r="G369">
            <v>0.1</v>
          </cell>
          <cell r="H369">
            <v>1.5320974413972727E-2</v>
          </cell>
          <cell r="I369">
            <v>90</v>
          </cell>
          <cell r="J369">
            <v>0</v>
          </cell>
          <cell r="K369" t="str">
            <v xml:space="preserve"> </v>
          </cell>
          <cell r="L369" t="str">
            <v xml:space="preserve"> </v>
          </cell>
          <cell r="M369">
            <v>410.45</v>
          </cell>
          <cell r="N369">
            <v>422.76</v>
          </cell>
          <cell r="O369" t="str">
            <v>19.09.98</v>
          </cell>
          <cell r="P369">
            <v>407.5</v>
          </cell>
          <cell r="Q369" t="str">
            <v>11.06.98</v>
          </cell>
        </row>
        <row r="370">
          <cell r="B370" t="str">
            <v>99-00</v>
          </cell>
          <cell r="C370">
            <v>90</v>
          </cell>
          <cell r="D370">
            <v>550</v>
          </cell>
          <cell r="E370">
            <v>480.3</v>
          </cell>
          <cell r="F370">
            <v>87.3</v>
          </cell>
          <cell r="G370">
            <v>0.6</v>
          </cell>
          <cell r="H370">
            <v>0.12492192379762648</v>
          </cell>
          <cell r="I370">
            <v>90</v>
          </cell>
          <cell r="J370">
            <v>22028.13</v>
          </cell>
          <cell r="K370">
            <v>4179.07</v>
          </cell>
          <cell r="L370">
            <v>0</v>
          </cell>
          <cell r="M370">
            <v>411.05</v>
          </cell>
          <cell r="N370">
            <v>423.55</v>
          </cell>
          <cell r="O370">
            <v>0</v>
          </cell>
          <cell r="P370">
            <v>406.9</v>
          </cell>
        </row>
        <row r="371">
          <cell r="B371" t="str">
            <v>00-01</v>
          </cell>
          <cell r="C371">
            <v>90</v>
          </cell>
          <cell r="D371">
            <v>550</v>
          </cell>
          <cell r="E371">
            <v>363.84</v>
          </cell>
          <cell r="F371">
            <v>66.150000000000006</v>
          </cell>
          <cell r="G371">
            <v>0.61</v>
          </cell>
          <cell r="H371">
            <v>0.16765611257695692</v>
          </cell>
          <cell r="I371">
            <v>90</v>
          </cell>
          <cell r="J371">
            <v>0</v>
          </cell>
          <cell r="K371">
            <v>0</v>
          </cell>
          <cell r="L371">
            <v>0</v>
          </cell>
          <cell r="M371">
            <v>410</v>
          </cell>
        </row>
        <row r="372">
          <cell r="A372" t="str">
            <v>Average last 5 years</v>
          </cell>
          <cell r="B372">
            <v>0</v>
          </cell>
          <cell r="C372">
            <v>0</v>
          </cell>
          <cell r="D372">
            <v>544</v>
          </cell>
          <cell r="E372">
            <v>549.88600000000008</v>
          </cell>
          <cell r="F372">
            <v>101.06232323232324</v>
          </cell>
          <cell r="G372">
            <v>0.20200000000000001</v>
          </cell>
          <cell r="H372">
            <v>3.9591315616776521E-2</v>
          </cell>
          <cell r="I372">
            <v>90</v>
          </cell>
          <cell r="J372">
            <v>11751.446</v>
          </cell>
          <cell r="K372">
            <v>2712.8139999999999</v>
          </cell>
          <cell r="L372">
            <v>978.8</v>
          </cell>
          <cell r="M372">
            <v>412.16</v>
          </cell>
          <cell r="N372">
            <v>422.56200000000007</v>
          </cell>
          <cell r="O372">
            <v>0</v>
          </cell>
          <cell r="P372">
            <v>406.51</v>
          </cell>
          <cell r="Q372">
            <v>0</v>
          </cell>
        </row>
        <row r="373">
          <cell r="A373" t="str">
            <v>TONS</v>
          </cell>
          <cell r="B373" t="str">
            <v>88-89</v>
          </cell>
        </row>
        <row r="374">
          <cell r="B374" t="str">
            <v>89-90</v>
          </cell>
        </row>
        <row r="375">
          <cell r="B375" t="str">
            <v>90-91</v>
          </cell>
          <cell r="C375">
            <v>0</v>
          </cell>
          <cell r="D375">
            <v>50</v>
          </cell>
          <cell r="E375">
            <v>0</v>
          </cell>
          <cell r="F375">
            <v>0</v>
          </cell>
          <cell r="G375" t="str">
            <v xml:space="preserve"> </v>
          </cell>
        </row>
        <row r="376">
          <cell r="B376" t="str">
            <v>91-92</v>
          </cell>
          <cell r="C376">
            <v>315</v>
          </cell>
          <cell r="D376">
            <v>761</v>
          </cell>
          <cell r="E376">
            <v>6.59</v>
          </cell>
          <cell r="F376">
            <v>0.86596583442838371</v>
          </cell>
          <cell r="G376" t="str">
            <v xml:space="preserve"> </v>
          </cell>
        </row>
        <row r="377">
          <cell r="B377" t="str">
            <v>92-93</v>
          </cell>
          <cell r="C377">
            <v>315</v>
          </cell>
          <cell r="D377">
            <v>700</v>
          </cell>
          <cell r="E377">
            <v>322.45</v>
          </cell>
          <cell r="F377">
            <v>46.064285714285717</v>
          </cell>
          <cell r="G377">
            <v>3.1</v>
          </cell>
          <cell r="H377">
            <v>0.96138936269189024</v>
          </cell>
          <cell r="I377">
            <v>315</v>
          </cell>
          <cell r="J377">
            <v>0</v>
          </cell>
          <cell r="K377">
            <v>0</v>
          </cell>
          <cell r="L377">
            <v>0</v>
          </cell>
          <cell r="M377">
            <v>277.8</v>
          </cell>
          <cell r="N377">
            <v>283.2</v>
          </cell>
          <cell r="O377" t="str">
            <v>17.09.92</v>
          </cell>
          <cell r="P377">
            <v>274.3</v>
          </cell>
          <cell r="Q377" t="str">
            <v>28.02.93</v>
          </cell>
        </row>
        <row r="378">
          <cell r="B378" t="str">
            <v>93-94</v>
          </cell>
          <cell r="C378">
            <v>315</v>
          </cell>
          <cell r="D378">
            <v>410</v>
          </cell>
          <cell r="E378">
            <v>300.02724999999998</v>
          </cell>
          <cell r="F378">
            <v>73.177378048780483</v>
          </cell>
          <cell r="G378">
            <v>2.15</v>
          </cell>
          <cell r="H378">
            <v>0.71660157535690516</v>
          </cell>
          <cell r="I378">
            <v>315</v>
          </cell>
          <cell r="J378">
            <v>0</v>
          </cell>
          <cell r="K378">
            <v>0</v>
          </cell>
          <cell r="L378">
            <v>0</v>
          </cell>
          <cell r="M378">
            <v>277.10000000000002</v>
          </cell>
          <cell r="N378">
            <v>280.5</v>
          </cell>
          <cell r="O378" t="str">
            <v>29.09.93</v>
          </cell>
          <cell r="P378">
            <v>275.7</v>
          </cell>
          <cell r="Q378" t="str">
            <v>18.04.93</v>
          </cell>
        </row>
        <row r="379">
          <cell r="B379" t="str">
            <v>94-95</v>
          </cell>
          <cell r="C379">
            <v>315</v>
          </cell>
          <cell r="D379">
            <v>350</v>
          </cell>
          <cell r="E379">
            <v>457</v>
          </cell>
          <cell r="F379">
            <v>130.57142857142858</v>
          </cell>
          <cell r="G379">
            <v>1.2</v>
          </cell>
          <cell r="H379">
            <v>0.26258205689277897</v>
          </cell>
          <cell r="I379">
            <v>315</v>
          </cell>
          <cell r="J379">
            <v>0</v>
          </cell>
          <cell r="K379">
            <v>0</v>
          </cell>
          <cell r="L379">
            <v>0</v>
          </cell>
          <cell r="M379">
            <v>277.10000000000002</v>
          </cell>
          <cell r="N379">
            <v>280.5</v>
          </cell>
          <cell r="O379" t="str">
            <v>21.09.94</v>
          </cell>
          <cell r="P379">
            <v>277.10000000000002</v>
          </cell>
          <cell r="Q379" t="str">
            <v>01.04.94</v>
          </cell>
        </row>
        <row r="380">
          <cell r="B380" t="str">
            <v>95-96</v>
          </cell>
          <cell r="C380">
            <v>315</v>
          </cell>
          <cell r="D380">
            <v>350</v>
          </cell>
          <cell r="E380">
            <v>257.3</v>
          </cell>
          <cell r="F380">
            <v>73.51428571428572</v>
          </cell>
          <cell r="G380">
            <v>1.5</v>
          </cell>
          <cell r="H380">
            <v>0.58297706956859696</v>
          </cell>
          <cell r="I380">
            <v>210</v>
          </cell>
          <cell r="J380">
            <v>0</v>
          </cell>
          <cell r="K380">
            <v>0</v>
          </cell>
          <cell r="L380">
            <v>0</v>
          </cell>
          <cell r="M380">
            <v>277.3</v>
          </cell>
          <cell r="N380">
            <v>280.39999999999998</v>
          </cell>
          <cell r="O380" t="str">
            <v>19.10.95</v>
          </cell>
          <cell r="P380">
            <v>277</v>
          </cell>
          <cell r="Q380" t="str">
            <v>05.07.95</v>
          </cell>
        </row>
        <row r="381">
          <cell r="B381" t="str">
            <v>96-97</v>
          </cell>
          <cell r="C381">
            <v>315</v>
          </cell>
          <cell r="D381">
            <v>350</v>
          </cell>
          <cell r="E381">
            <v>324.3</v>
          </cell>
          <cell r="F381">
            <v>92.657142857142858</v>
          </cell>
          <cell r="G381">
            <v>1.3</v>
          </cell>
          <cell r="H381">
            <v>0.40086339808818994</v>
          </cell>
          <cell r="I381">
            <v>315</v>
          </cell>
          <cell r="J381">
            <v>721.2</v>
          </cell>
          <cell r="K381">
            <v>0</v>
          </cell>
          <cell r="L381">
            <v>0</v>
          </cell>
          <cell r="M381">
            <v>277.2</v>
          </cell>
          <cell r="N381">
            <v>280.39999999999998</v>
          </cell>
          <cell r="O381" t="str">
            <v>14.09.96</v>
          </cell>
          <cell r="P381">
            <v>277</v>
          </cell>
          <cell r="Q381" t="str">
            <v>10.06.96</v>
          </cell>
        </row>
        <row r="382">
          <cell r="B382" t="str">
            <v>97-98</v>
          </cell>
          <cell r="C382">
            <v>315</v>
          </cell>
          <cell r="D382">
            <v>350</v>
          </cell>
          <cell r="E382">
            <v>501.98</v>
          </cell>
          <cell r="F382">
            <v>143.42285714285714</v>
          </cell>
          <cell r="G382">
            <v>1.8540000000000001</v>
          </cell>
          <cell r="H382">
            <v>0.36933742380174511</v>
          </cell>
          <cell r="I382">
            <v>315</v>
          </cell>
          <cell r="J382">
            <v>0</v>
          </cell>
          <cell r="K382">
            <v>0</v>
          </cell>
          <cell r="L382">
            <v>0</v>
          </cell>
          <cell r="M382">
            <v>277.2</v>
          </cell>
          <cell r="N382">
            <v>280.60000000000002</v>
          </cell>
          <cell r="O382" t="str">
            <v>02.09.97</v>
          </cell>
          <cell r="P382">
            <v>277.2</v>
          </cell>
          <cell r="Q382" t="str">
            <v>17.02.98</v>
          </cell>
        </row>
        <row r="383">
          <cell r="B383" t="str">
            <v>98-99</v>
          </cell>
          <cell r="C383">
            <v>315</v>
          </cell>
          <cell r="D383">
            <v>350</v>
          </cell>
          <cell r="E383">
            <v>429.3</v>
          </cell>
          <cell r="F383">
            <v>122.65714285714286</v>
          </cell>
          <cell r="G383">
            <v>1.4</v>
          </cell>
          <cell r="H383">
            <v>0.32611227579781038</v>
          </cell>
          <cell r="I383">
            <v>315</v>
          </cell>
          <cell r="J383">
            <v>0</v>
          </cell>
          <cell r="K383">
            <v>0</v>
          </cell>
          <cell r="L383">
            <v>0</v>
          </cell>
          <cell r="M383">
            <v>277</v>
          </cell>
          <cell r="N383">
            <v>279.89999999999998</v>
          </cell>
          <cell r="O383" t="str">
            <v>01.11.98</v>
          </cell>
          <cell r="P383">
            <v>277</v>
          </cell>
          <cell r="Q383" t="str">
            <v>20.06.98</v>
          </cell>
        </row>
        <row r="384">
          <cell r="B384" t="str">
            <v>99-00</v>
          </cell>
          <cell r="C384">
            <v>315</v>
          </cell>
          <cell r="D384">
            <v>350</v>
          </cell>
          <cell r="E384">
            <v>570</v>
          </cell>
          <cell r="F384">
            <v>162.85714285714286</v>
          </cell>
          <cell r="G384">
            <v>1.6</v>
          </cell>
          <cell r="H384">
            <v>0.2807017543859649</v>
          </cell>
          <cell r="I384">
            <v>315</v>
          </cell>
          <cell r="J384">
            <v>0</v>
          </cell>
          <cell r="K384">
            <v>0</v>
          </cell>
          <cell r="L384">
            <v>0</v>
          </cell>
          <cell r="M384">
            <v>275</v>
          </cell>
          <cell r="N384">
            <v>406.9</v>
          </cell>
          <cell r="O384">
            <v>0</v>
          </cell>
          <cell r="P384">
            <v>280.5</v>
          </cell>
        </row>
        <row r="385">
          <cell r="B385" t="str">
            <v>00-01</v>
          </cell>
          <cell r="C385">
            <v>315</v>
          </cell>
          <cell r="D385">
            <v>425</v>
          </cell>
          <cell r="E385">
            <v>745.37</v>
          </cell>
          <cell r="F385">
            <v>175.38</v>
          </cell>
          <cell r="G385">
            <v>2.7</v>
          </cell>
          <cell r="H385">
            <v>0.36223620483786578</v>
          </cell>
          <cell r="I385">
            <v>315</v>
          </cell>
          <cell r="J385">
            <v>0</v>
          </cell>
          <cell r="K385">
            <v>0</v>
          </cell>
          <cell r="L385">
            <v>0</v>
          </cell>
          <cell r="M385">
            <v>276.3</v>
          </cell>
        </row>
        <row r="386">
          <cell r="A386" t="str">
            <v>Average</v>
          </cell>
          <cell r="B386">
            <v>0</v>
          </cell>
          <cell r="C386">
            <v>0</v>
          </cell>
          <cell r="D386">
            <v>496.375</v>
          </cell>
          <cell r="E386">
            <v>396.11840625000002</v>
          </cell>
          <cell r="F386">
            <v>105.72345369968683</v>
          </cell>
          <cell r="G386">
            <v>2.1004999999999998</v>
          </cell>
          <cell r="H386">
            <v>0.53285014017771848</v>
          </cell>
          <cell r="I386">
            <v>341.25</v>
          </cell>
          <cell r="J386">
            <v>90.15</v>
          </cell>
          <cell r="K386">
            <v>0</v>
          </cell>
          <cell r="L386">
            <v>0</v>
          </cell>
          <cell r="M386">
            <v>311.50000000000006</v>
          </cell>
          <cell r="N386">
            <v>406.9</v>
          </cell>
          <cell r="O386" t="str">
            <v xml:space="preserve"> </v>
          </cell>
          <cell r="P386">
            <v>274.3</v>
          </cell>
          <cell r="Q386" t="str">
            <v xml:space="preserve"> </v>
          </cell>
        </row>
        <row r="387">
          <cell r="A387" t="str">
            <v>BIRSINGHPUR</v>
          </cell>
          <cell r="B387" t="str">
            <v>88-89</v>
          </cell>
        </row>
        <row r="388">
          <cell r="B388" t="str">
            <v>89-90</v>
          </cell>
        </row>
        <row r="389">
          <cell r="B389" t="str">
            <v>90-91</v>
          </cell>
          <cell r="C389">
            <v>0</v>
          </cell>
          <cell r="D389">
            <v>0</v>
          </cell>
          <cell r="E389">
            <v>0</v>
          </cell>
          <cell r="F389" t="str">
            <v xml:space="preserve"> </v>
          </cell>
          <cell r="G389">
            <v>0</v>
          </cell>
          <cell r="H389">
            <v>0</v>
          </cell>
          <cell r="I389" t="str">
            <v xml:space="preserve"> </v>
          </cell>
        </row>
        <row r="390">
          <cell r="B390" t="str">
            <v>91-92</v>
          </cell>
          <cell r="C390">
            <v>0</v>
          </cell>
          <cell r="D390">
            <v>0</v>
          </cell>
          <cell r="E390">
            <v>0</v>
          </cell>
          <cell r="F390" t="str">
            <v xml:space="preserve"> </v>
          </cell>
          <cell r="G390">
            <v>0</v>
          </cell>
          <cell r="H390">
            <v>0</v>
          </cell>
          <cell r="I390" t="str">
            <v xml:space="preserve"> </v>
          </cell>
        </row>
        <row r="391">
          <cell r="B391" t="str">
            <v>92-93</v>
          </cell>
          <cell r="C391">
            <v>20</v>
          </cell>
          <cell r="D391">
            <v>50</v>
          </cell>
          <cell r="E391">
            <v>18.38</v>
          </cell>
          <cell r="F391">
            <v>36.76</v>
          </cell>
          <cell r="G391">
            <v>0.1</v>
          </cell>
          <cell r="H391">
            <v>0.54406964091403698</v>
          </cell>
          <cell r="I391">
            <v>21</v>
          </cell>
          <cell r="J391">
            <v>0</v>
          </cell>
          <cell r="K391">
            <v>0</v>
          </cell>
          <cell r="L391">
            <v>0</v>
          </cell>
          <cell r="M391">
            <v>472.9</v>
          </cell>
          <cell r="N391">
            <v>476.1</v>
          </cell>
          <cell r="O391" t="str">
            <v>15.09.92</v>
          </cell>
          <cell r="P391">
            <v>470.8</v>
          </cell>
          <cell r="Q391" t="str">
            <v>02.08.92</v>
          </cell>
        </row>
        <row r="392">
          <cell r="B392" t="str">
            <v>93-94</v>
          </cell>
          <cell r="C392">
            <v>20</v>
          </cell>
          <cell r="D392">
            <v>50</v>
          </cell>
          <cell r="E392">
            <v>35.423999999999999</v>
          </cell>
          <cell r="F392">
            <v>70.847999999999999</v>
          </cell>
          <cell r="G392">
            <v>0.8</v>
          </cell>
          <cell r="H392">
            <v>2.2583559168925023</v>
          </cell>
          <cell r="I392">
            <v>21</v>
          </cell>
          <cell r="J392">
            <v>0</v>
          </cell>
          <cell r="K392">
            <v>0</v>
          </cell>
          <cell r="L392">
            <v>0</v>
          </cell>
          <cell r="M392">
            <v>475.97</v>
          </cell>
          <cell r="N392">
            <v>477</v>
          </cell>
          <cell r="O392" t="str">
            <v>21.09.93</v>
          </cell>
          <cell r="P392">
            <v>469.1</v>
          </cell>
          <cell r="Q392" t="str">
            <v>01.07.93</v>
          </cell>
        </row>
        <row r="393">
          <cell r="B393" t="str">
            <v>94-95</v>
          </cell>
          <cell r="C393">
            <v>20</v>
          </cell>
          <cell r="D393">
            <v>30</v>
          </cell>
          <cell r="E393">
            <v>60.3</v>
          </cell>
          <cell r="F393">
            <v>201</v>
          </cell>
          <cell r="G393">
            <v>1</v>
          </cell>
          <cell r="H393">
            <v>1.6583747927031509</v>
          </cell>
          <cell r="I393">
            <v>20</v>
          </cell>
          <cell r="J393">
            <v>1985</v>
          </cell>
          <cell r="K393">
            <v>0</v>
          </cell>
          <cell r="L393">
            <v>0</v>
          </cell>
          <cell r="M393">
            <v>474.7</v>
          </cell>
          <cell r="N393">
            <v>476.82</v>
          </cell>
          <cell r="O393" t="str">
            <v>01.12.94</v>
          </cell>
          <cell r="P393">
            <v>472.62</v>
          </cell>
          <cell r="Q393" t="str">
            <v>20.06.94</v>
          </cell>
        </row>
        <row r="394">
          <cell r="B394" t="str">
            <v>95-96</v>
          </cell>
          <cell r="C394">
            <v>20</v>
          </cell>
          <cell r="D394">
            <v>30</v>
          </cell>
          <cell r="E394">
            <v>43.1</v>
          </cell>
          <cell r="F394">
            <v>143.66666666666666</v>
          </cell>
          <cell r="G394">
            <v>0.9</v>
          </cell>
          <cell r="H394">
            <v>2.0881670533642689</v>
          </cell>
          <cell r="I394">
            <v>20</v>
          </cell>
          <cell r="J394">
            <v>690</v>
          </cell>
          <cell r="K394">
            <v>0</v>
          </cell>
          <cell r="L394">
            <v>0</v>
          </cell>
          <cell r="M394">
            <v>474.69</v>
          </cell>
          <cell r="N394">
            <v>476.28</v>
          </cell>
          <cell r="O394" t="str">
            <v>29.08.95</v>
          </cell>
          <cell r="P394">
            <v>471.83</v>
          </cell>
          <cell r="Q394" t="str">
            <v>13.07.95</v>
          </cell>
        </row>
        <row r="395">
          <cell r="B395" t="str">
            <v>96-97</v>
          </cell>
          <cell r="C395">
            <v>20</v>
          </cell>
          <cell r="D395">
            <v>30</v>
          </cell>
          <cell r="E395">
            <v>39</v>
          </cell>
          <cell r="F395">
            <v>130</v>
          </cell>
          <cell r="G395">
            <v>0.8</v>
          </cell>
          <cell r="H395">
            <v>2.0512820512820511</v>
          </cell>
          <cell r="I395">
            <v>20</v>
          </cell>
          <cell r="J395" t="str">
            <v xml:space="preserve"> </v>
          </cell>
          <cell r="K395">
            <v>0</v>
          </cell>
          <cell r="L395">
            <v>0</v>
          </cell>
          <cell r="M395">
            <v>475.01</v>
          </cell>
          <cell r="N395">
            <v>476.75</v>
          </cell>
          <cell r="O395" t="str">
            <v>18.09.96</v>
          </cell>
          <cell r="P395">
            <v>472.49</v>
          </cell>
          <cell r="Q395" t="str">
            <v>26.06.96</v>
          </cell>
        </row>
        <row r="396">
          <cell r="B396" t="str">
            <v>97-98</v>
          </cell>
          <cell r="C396">
            <v>20</v>
          </cell>
          <cell r="D396">
            <v>30</v>
          </cell>
          <cell r="E396">
            <v>68.23</v>
          </cell>
          <cell r="F396">
            <v>227.43333333333334</v>
          </cell>
          <cell r="G396">
            <v>0.63800000000000001</v>
          </cell>
          <cell r="H396">
            <v>0.93507254873222923</v>
          </cell>
          <cell r="I396">
            <v>20</v>
          </cell>
          <cell r="J396">
            <v>1177.4000000000001</v>
          </cell>
          <cell r="K396">
            <v>608.4</v>
          </cell>
          <cell r="L396">
            <v>0</v>
          </cell>
          <cell r="M396">
            <v>475.65</v>
          </cell>
          <cell r="N396">
            <v>476.9</v>
          </cell>
          <cell r="O396" t="str">
            <v>17.09.97</v>
          </cell>
          <cell r="P396">
            <v>472.41</v>
          </cell>
          <cell r="Q396" t="str">
            <v>14.07.97</v>
          </cell>
        </row>
        <row r="397">
          <cell r="B397" t="str">
            <v>98-99</v>
          </cell>
          <cell r="C397">
            <v>20</v>
          </cell>
          <cell r="D397">
            <v>50</v>
          </cell>
          <cell r="E397">
            <v>40.4</v>
          </cell>
          <cell r="F397">
            <v>80.8</v>
          </cell>
          <cell r="G397">
            <v>0.4</v>
          </cell>
          <cell r="H397">
            <v>0.99009900990099009</v>
          </cell>
          <cell r="I397">
            <v>20</v>
          </cell>
          <cell r="J397">
            <v>0</v>
          </cell>
          <cell r="K397">
            <v>608.4</v>
          </cell>
          <cell r="L397">
            <v>0</v>
          </cell>
          <cell r="M397">
            <v>474.63</v>
          </cell>
          <cell r="N397">
            <v>476.71</v>
          </cell>
          <cell r="O397" t="str">
            <v>14.09.98</v>
          </cell>
          <cell r="P397">
            <v>473.45</v>
          </cell>
          <cell r="Q397" t="str">
            <v>02.06.98</v>
          </cell>
        </row>
        <row r="398">
          <cell r="B398" t="str">
            <v>99-00</v>
          </cell>
          <cell r="C398">
            <v>20</v>
          </cell>
          <cell r="D398">
            <v>55</v>
          </cell>
          <cell r="E398">
            <v>46.3</v>
          </cell>
          <cell r="F398">
            <v>84.181818181818187</v>
          </cell>
          <cell r="G398">
            <v>0.3</v>
          </cell>
          <cell r="H398">
            <v>0.64794816414686829</v>
          </cell>
          <cell r="I398">
            <v>20</v>
          </cell>
          <cell r="J398">
            <v>0</v>
          </cell>
          <cell r="K398">
            <v>0</v>
          </cell>
          <cell r="L398">
            <v>0</v>
          </cell>
          <cell r="M398">
            <v>475.37</v>
          </cell>
          <cell r="N398">
            <v>476.92</v>
          </cell>
          <cell r="O398">
            <v>0</v>
          </cell>
          <cell r="P398">
            <v>472.95</v>
          </cell>
        </row>
        <row r="399">
          <cell r="B399" t="str">
            <v>00-01</v>
          </cell>
          <cell r="C399">
            <v>20</v>
          </cell>
          <cell r="D399">
            <v>50</v>
          </cell>
          <cell r="E399">
            <v>34.71</v>
          </cell>
          <cell r="F399">
            <v>99.18</v>
          </cell>
          <cell r="G399">
            <v>0.37</v>
          </cell>
          <cell r="H399">
            <v>1.065975223278594</v>
          </cell>
          <cell r="I399">
            <v>20</v>
          </cell>
          <cell r="J399">
            <v>0</v>
          </cell>
          <cell r="K399">
            <v>0</v>
          </cell>
          <cell r="L399">
            <v>0</v>
          </cell>
          <cell r="M399">
            <v>474.48</v>
          </cell>
        </row>
        <row r="400">
          <cell r="A400" t="str">
            <v>Average</v>
          </cell>
          <cell r="B400">
            <v>0</v>
          </cell>
          <cell r="C400">
            <v>0</v>
          </cell>
          <cell r="D400">
            <v>81</v>
          </cell>
          <cell r="E400">
            <v>85.354250000000008</v>
          </cell>
          <cell r="F400">
            <v>158.5635</v>
          </cell>
          <cell r="G400">
            <v>47.829749999999997</v>
          </cell>
          <cell r="H400">
            <v>48.565677626723655</v>
          </cell>
          <cell r="I400">
            <v>65</v>
          </cell>
          <cell r="J400">
            <v>528.79999999999995</v>
          </cell>
          <cell r="K400">
            <v>199.35</v>
          </cell>
          <cell r="L400">
            <v>47.25</v>
          </cell>
          <cell r="M400">
            <v>462.69375000000002</v>
          </cell>
          <cell r="N400">
            <v>477</v>
          </cell>
          <cell r="O400" t="str">
            <v xml:space="preserve"> </v>
          </cell>
          <cell r="P400">
            <v>469.1</v>
          </cell>
          <cell r="Q400" t="str">
            <v xml:space="preserve"> </v>
          </cell>
        </row>
        <row r="401">
          <cell r="A401" t="str">
            <v>STATE  LOAD  DESPATCH  CENTRE  M.P.E.B.  JABALPUR</v>
          </cell>
        </row>
        <row r="402">
          <cell r="A402" t="str">
            <v>HYDEL</v>
          </cell>
        </row>
        <row r="403">
          <cell r="A403" t="str">
            <v>STATION NAME</v>
          </cell>
          <cell r="B403" t="str">
            <v>YEAR</v>
          </cell>
          <cell r="C403" t="str">
            <v>CAPACITY</v>
          </cell>
          <cell r="D403" t="str">
            <v>TARGET</v>
          </cell>
          <cell r="E403" t="str">
            <v>ACTUAL GENE.</v>
          </cell>
          <cell r="F403" t="str">
            <v>ACHIEVE-MENT</v>
          </cell>
          <cell r="G403" t="str">
            <v>AUXILIARY CONSUMPTION</v>
          </cell>
          <cell r="H403">
            <v>0</v>
          </cell>
          <cell r="I403" t="str">
            <v>MAXIMUM DEMAND</v>
          </cell>
          <cell r="J403" t="str">
            <v>WATER INFLOW</v>
          </cell>
          <cell r="K403" t="str">
            <v>WATER CONSUMED</v>
          </cell>
          <cell r="L403" t="str">
            <v>WATER CONSUMED</v>
          </cell>
          <cell r="M403" t="str">
            <v>LEVEL AT THE END</v>
          </cell>
          <cell r="N403" t="str">
            <v>MAXIMUM LEVEL</v>
          </cell>
          <cell r="O403">
            <v>0</v>
          </cell>
          <cell r="P403" t="str">
            <v>MINIMUM LEVEL</v>
          </cell>
        </row>
        <row r="404">
          <cell r="C404" t="str">
            <v>MW</v>
          </cell>
          <cell r="D404" t="str">
            <v>MKwh</v>
          </cell>
          <cell r="E404" t="str">
            <v>MKwh</v>
          </cell>
          <cell r="F404" t="str">
            <v>%</v>
          </cell>
          <cell r="G404" t="str">
            <v>MKwh</v>
          </cell>
          <cell r="H404" t="str">
            <v>%</v>
          </cell>
          <cell r="I404" t="str">
            <v>MW</v>
          </cell>
          <cell r="J404" t="str">
            <v>MAFT</v>
          </cell>
          <cell r="K404" t="str">
            <v>MCM</v>
          </cell>
          <cell r="L404" t="str">
            <v>MCM</v>
          </cell>
          <cell r="M404" t="str">
            <v>FT / M</v>
          </cell>
          <cell r="N404" t="str">
            <v>FT / M</v>
          </cell>
          <cell r="O404" t="str">
            <v>DATE</v>
          </cell>
          <cell r="P404" t="str">
            <v>FT / M</v>
          </cell>
          <cell r="Q404" t="str">
            <v>DATE</v>
          </cell>
        </row>
        <row r="405">
          <cell r="A405" t="str">
            <v>HASDEO BANGO</v>
          </cell>
          <cell r="B405" t="str">
            <v>94-95</v>
          </cell>
          <cell r="C405">
            <v>120</v>
          </cell>
          <cell r="D405">
            <v>250</v>
          </cell>
          <cell r="E405">
            <v>256.10000000000002</v>
          </cell>
          <cell r="F405">
            <v>102.44000000000001</v>
          </cell>
          <cell r="G405">
            <v>8</v>
          </cell>
          <cell r="H405">
            <v>3.1237797735259663</v>
          </cell>
          <cell r="I405">
            <v>120</v>
          </cell>
          <cell r="J405">
            <v>6240</v>
          </cell>
          <cell r="K405">
            <v>0</v>
          </cell>
          <cell r="L405">
            <v>0</v>
          </cell>
          <cell r="M405">
            <v>349</v>
          </cell>
          <cell r="N405">
            <v>359.28</v>
          </cell>
          <cell r="O405" t="str">
            <v>09.10.94</v>
          </cell>
          <cell r="P405">
            <v>347.8</v>
          </cell>
          <cell r="Q405" t="str">
            <v>10.06.94</v>
          </cell>
        </row>
        <row r="406">
          <cell r="B406" t="str">
            <v>95-96</v>
          </cell>
          <cell r="C406">
            <v>120</v>
          </cell>
          <cell r="D406">
            <v>250</v>
          </cell>
          <cell r="E406">
            <v>296.8</v>
          </cell>
          <cell r="F406">
            <v>118.72</v>
          </cell>
          <cell r="G406">
            <v>3.5</v>
          </cell>
          <cell r="H406">
            <v>1.1792452830188678</v>
          </cell>
          <cell r="I406">
            <v>127</v>
          </cell>
          <cell r="J406">
            <v>2389</v>
          </cell>
          <cell r="K406">
            <v>0</v>
          </cell>
          <cell r="L406">
            <v>0</v>
          </cell>
          <cell r="M406">
            <v>347.98</v>
          </cell>
          <cell r="N406">
            <v>355.5</v>
          </cell>
          <cell r="O406" t="str">
            <v>18.09.95</v>
          </cell>
          <cell r="P406">
            <v>342.6</v>
          </cell>
          <cell r="Q406" t="str">
            <v>20.06.95</v>
          </cell>
        </row>
        <row r="407">
          <cell r="B407" t="str">
            <v>96-97</v>
          </cell>
          <cell r="C407">
            <v>120</v>
          </cell>
          <cell r="D407">
            <v>350</v>
          </cell>
          <cell r="E407">
            <v>359.1</v>
          </cell>
          <cell r="F407">
            <v>102.6</v>
          </cell>
          <cell r="G407">
            <v>2.4</v>
          </cell>
          <cell r="H407">
            <v>0.66833751044277356</v>
          </cell>
          <cell r="I407">
            <v>126</v>
          </cell>
          <cell r="J407">
            <v>0</v>
          </cell>
          <cell r="K407">
            <v>0</v>
          </cell>
          <cell r="L407">
            <v>0</v>
          </cell>
          <cell r="M407">
            <v>345</v>
          </cell>
          <cell r="N407">
            <v>357.08</v>
          </cell>
          <cell r="O407" t="str">
            <v>18.09.96</v>
          </cell>
          <cell r="P407">
            <v>344.17</v>
          </cell>
          <cell r="Q407" t="str">
            <v>20.06.96</v>
          </cell>
        </row>
        <row r="408">
          <cell r="B408" t="str">
            <v>97-98</v>
          </cell>
          <cell r="C408">
            <v>120</v>
          </cell>
          <cell r="D408">
            <v>350</v>
          </cell>
          <cell r="E408">
            <v>189.14</v>
          </cell>
          <cell r="F408">
            <v>54.04</v>
          </cell>
          <cell r="G408">
            <v>0.27700000000000002</v>
          </cell>
          <cell r="H408">
            <v>0.14645236332875122</v>
          </cell>
          <cell r="I408">
            <v>130</v>
          </cell>
          <cell r="J408">
            <v>0</v>
          </cell>
          <cell r="K408">
            <v>2745.8</v>
          </cell>
          <cell r="L408">
            <v>0</v>
          </cell>
          <cell r="M408">
            <v>355.56</v>
          </cell>
          <cell r="N408">
            <v>357.17</v>
          </cell>
          <cell r="O408" t="str">
            <v>24.09.97</v>
          </cell>
          <cell r="P408">
            <v>341.04</v>
          </cell>
          <cell r="Q408" t="str">
            <v>24.06.97</v>
          </cell>
        </row>
        <row r="409">
          <cell r="B409" t="str">
            <v>98-99</v>
          </cell>
          <cell r="C409">
            <v>120</v>
          </cell>
          <cell r="D409">
            <v>350</v>
          </cell>
          <cell r="E409">
            <v>610.92740000000003</v>
          </cell>
          <cell r="F409">
            <v>174.55068571428572</v>
          </cell>
          <cell r="G409">
            <v>0.36320999999999998</v>
          </cell>
          <cell r="H409">
            <v>5.9452236059472856E-2</v>
          </cell>
          <cell r="I409">
            <v>124</v>
          </cell>
          <cell r="J409">
            <v>0</v>
          </cell>
          <cell r="K409">
            <v>2745.8</v>
          </cell>
          <cell r="L409">
            <v>0</v>
          </cell>
          <cell r="M409">
            <v>334.51</v>
          </cell>
          <cell r="N409">
            <v>357.1</v>
          </cell>
          <cell r="O409" t="str">
            <v>03.10.98</v>
          </cell>
          <cell r="P409">
            <v>343.6</v>
          </cell>
          <cell r="Q409" t="str">
            <v>30.03.99</v>
          </cell>
        </row>
        <row r="410">
          <cell r="B410" t="str">
            <v>99-00</v>
          </cell>
          <cell r="C410">
            <v>120</v>
          </cell>
          <cell r="D410">
            <v>350</v>
          </cell>
          <cell r="E410">
            <v>430.4</v>
          </cell>
          <cell r="F410">
            <v>122.97142857142858</v>
          </cell>
          <cell r="G410">
            <v>0.3</v>
          </cell>
          <cell r="H410">
            <v>6.9702602230483274E-2</v>
          </cell>
          <cell r="I410">
            <v>123</v>
          </cell>
          <cell r="J410">
            <v>4046.5</v>
          </cell>
          <cell r="K410" t="str">
            <v xml:space="preserve"> </v>
          </cell>
          <cell r="L410">
            <v>0</v>
          </cell>
          <cell r="M410">
            <v>344.57</v>
          </cell>
          <cell r="N410">
            <v>357.8</v>
          </cell>
          <cell r="O410">
            <v>0</v>
          </cell>
          <cell r="P410">
            <v>338.38</v>
          </cell>
        </row>
        <row r="411">
          <cell r="B411" t="str">
            <v>00-01</v>
          </cell>
          <cell r="C411">
            <v>120</v>
          </cell>
          <cell r="D411">
            <v>400</v>
          </cell>
          <cell r="E411">
            <v>233.76</v>
          </cell>
          <cell r="F411">
            <v>58.44</v>
          </cell>
          <cell r="G411">
            <v>0.47</v>
          </cell>
          <cell r="H411">
            <v>0.2010609171800137</v>
          </cell>
          <cell r="I411">
            <v>121</v>
          </cell>
          <cell r="J411">
            <v>0</v>
          </cell>
          <cell r="K411">
            <v>0</v>
          </cell>
          <cell r="L411">
            <v>0</v>
          </cell>
          <cell r="M411">
            <v>345.48</v>
          </cell>
        </row>
        <row r="412">
          <cell r="A412" t="str">
            <v>Average</v>
          </cell>
        </row>
        <row r="413">
          <cell r="A413" t="str">
            <v>RAJGHAT</v>
          </cell>
          <cell r="B413" t="str">
            <v>99-00</v>
          </cell>
          <cell r="C413">
            <v>15</v>
          </cell>
          <cell r="D413">
            <v>160</v>
          </cell>
          <cell r="E413">
            <v>27.28</v>
          </cell>
          <cell r="F413">
            <v>17.05</v>
          </cell>
          <cell r="G413">
            <v>0.12</v>
          </cell>
          <cell r="H413">
            <v>0.44</v>
          </cell>
          <cell r="I413">
            <v>0</v>
          </cell>
          <cell r="J413">
            <v>0</v>
          </cell>
          <cell r="K413">
            <v>0</v>
          </cell>
          <cell r="L413">
            <v>0</v>
          </cell>
          <cell r="M413">
            <v>351.7</v>
          </cell>
        </row>
        <row r="414">
          <cell r="B414" t="str">
            <v>00-01</v>
          </cell>
          <cell r="C414">
            <v>45</v>
          </cell>
          <cell r="D414">
            <v>100</v>
          </cell>
          <cell r="E414">
            <v>58.17</v>
          </cell>
          <cell r="F414">
            <v>61.24</v>
          </cell>
          <cell r="G414">
            <v>0.41</v>
          </cell>
          <cell r="H414">
            <v>0.71</v>
          </cell>
          <cell r="I414">
            <v>40</v>
          </cell>
          <cell r="J414">
            <v>0</v>
          </cell>
          <cell r="K414">
            <v>0</v>
          </cell>
          <cell r="L414">
            <v>0</v>
          </cell>
          <cell r="M414">
            <v>359</v>
          </cell>
        </row>
        <row r="415">
          <cell r="A415" t="str">
            <v>Average</v>
          </cell>
        </row>
        <row r="416">
          <cell r="A416" t="str">
            <v>M.P.RAJGHAT</v>
          </cell>
          <cell r="B416" t="str">
            <v>99-00</v>
          </cell>
          <cell r="C416">
            <v>7.5</v>
          </cell>
          <cell r="D416">
            <v>80</v>
          </cell>
          <cell r="E416">
            <v>13.64</v>
          </cell>
          <cell r="F416">
            <v>17.05</v>
          </cell>
          <cell r="G416">
            <v>0.06</v>
          </cell>
          <cell r="H416">
            <v>0.03</v>
          </cell>
        </row>
        <row r="417">
          <cell r="B417" t="str">
            <v>00-01</v>
          </cell>
          <cell r="C417">
            <v>22.5</v>
          </cell>
          <cell r="D417">
            <v>50</v>
          </cell>
          <cell r="E417">
            <v>29.09</v>
          </cell>
          <cell r="F417">
            <v>61.24</v>
          </cell>
          <cell r="G417">
            <v>0.21</v>
          </cell>
          <cell r="H417">
            <v>0.04</v>
          </cell>
        </row>
        <row r="418">
          <cell r="A418" t="str">
            <v>Average</v>
          </cell>
          <cell r="B418">
            <v>0</v>
          </cell>
          <cell r="C418">
            <v>0</v>
          </cell>
          <cell r="D418">
            <v>426.66666666666669</v>
          </cell>
          <cell r="E418">
            <v>410.27956666666665</v>
          </cell>
          <cell r="F418">
            <v>112.55368571428572</v>
          </cell>
          <cell r="G418">
            <v>2.6400350000000001</v>
          </cell>
          <cell r="H418">
            <v>0.87449496143438588</v>
          </cell>
          <cell r="I418">
            <v>145.16666666666666</v>
          </cell>
          <cell r="J418">
            <v>2112.5833333333335</v>
          </cell>
          <cell r="K418">
            <v>915.26666666666677</v>
          </cell>
          <cell r="L418">
            <v>0</v>
          </cell>
          <cell r="M418">
            <v>522.13333333333333</v>
          </cell>
          <cell r="N418">
            <v>477</v>
          </cell>
          <cell r="O418" t="str">
            <v xml:space="preserve"> </v>
          </cell>
          <cell r="P418">
            <v>0</v>
          </cell>
          <cell r="Q418">
            <v>0</v>
          </cell>
        </row>
        <row r="419">
          <cell r="A419" t="str">
            <v>M.P.HYDEL</v>
          </cell>
          <cell r="B419" t="str">
            <v>88-89</v>
          </cell>
          <cell r="C419">
            <v>389.66666666666663</v>
          </cell>
          <cell r="D419">
            <v>910</v>
          </cell>
          <cell r="E419">
            <v>884.83333333333326</v>
          </cell>
          <cell r="F419">
            <v>97.234432234432234</v>
          </cell>
          <cell r="G419">
            <v>0</v>
          </cell>
          <cell r="H419">
            <v>0</v>
          </cell>
          <cell r="I419" t="str">
            <v xml:space="preserve"> </v>
          </cell>
        </row>
        <row r="420">
          <cell r="B420" t="str">
            <v>89-90</v>
          </cell>
          <cell r="C420">
            <v>389.66666666666663</v>
          </cell>
          <cell r="D420">
            <v>950</v>
          </cell>
          <cell r="E420">
            <v>872.75166666666655</v>
          </cell>
          <cell r="F420">
            <v>91.868596491228061</v>
          </cell>
          <cell r="G420">
            <v>6.2333333333333334</v>
          </cell>
          <cell r="H420">
            <v>0.71421614777781395</v>
          </cell>
          <cell r="I420" t="str">
            <v xml:space="preserve"> </v>
          </cell>
        </row>
        <row r="421">
          <cell r="B421" t="str">
            <v>90-91</v>
          </cell>
          <cell r="C421">
            <v>389.66666666666663</v>
          </cell>
          <cell r="D421">
            <v>1085</v>
          </cell>
          <cell r="E421">
            <v>1166.44</v>
          </cell>
          <cell r="F421">
            <v>107.50599078341014</v>
          </cell>
          <cell r="G421">
            <v>2.7333333333333334</v>
          </cell>
          <cell r="H421">
            <v>0.23433124149834822</v>
          </cell>
          <cell r="I421" t="str">
            <v xml:space="preserve"> </v>
          </cell>
        </row>
        <row r="422">
          <cell r="B422" t="str">
            <v>91-92</v>
          </cell>
          <cell r="C422">
            <v>704.66666666666663</v>
          </cell>
          <cell r="D422">
            <v>1846</v>
          </cell>
          <cell r="E422">
            <v>1498.6583333333333</v>
          </cell>
          <cell r="F422">
            <v>81.184091729866381</v>
          </cell>
          <cell r="G422">
            <v>4.5333333333333332</v>
          </cell>
          <cell r="H422">
            <v>0.30249278521344092</v>
          </cell>
          <cell r="I422" t="str">
            <v xml:space="preserve"> </v>
          </cell>
        </row>
        <row r="423">
          <cell r="B423" t="str">
            <v>92-93</v>
          </cell>
          <cell r="C423">
            <v>724.66666666666663</v>
          </cell>
          <cell r="D423">
            <v>1938.3333333333333</v>
          </cell>
          <cell r="E423">
            <v>1511.4950000000001</v>
          </cell>
          <cell r="F423">
            <v>77.979105760963023</v>
          </cell>
          <cell r="G423">
            <v>7.6999999999999993</v>
          </cell>
          <cell r="H423">
            <v>0.5094294059854646</v>
          </cell>
          <cell r="I423" t="str">
            <v xml:space="preserve"> </v>
          </cell>
        </row>
        <row r="424">
          <cell r="B424" t="str">
            <v>93-94</v>
          </cell>
          <cell r="C424">
            <v>724.66666666666663</v>
          </cell>
          <cell r="D424">
            <v>1990</v>
          </cell>
          <cell r="E424">
            <v>1658.25848</v>
          </cell>
          <cell r="F424">
            <v>83.329571859296479</v>
          </cell>
          <cell r="G424">
            <v>10.773333333333333</v>
          </cell>
          <cell r="H424">
            <v>0.64967756614959893</v>
          </cell>
          <cell r="I424" t="str">
            <v xml:space="preserve"> </v>
          </cell>
        </row>
        <row r="425">
          <cell r="B425" t="str">
            <v>94-95</v>
          </cell>
          <cell r="C425">
            <v>844.66666666666663</v>
          </cell>
          <cell r="D425">
            <v>2000</v>
          </cell>
          <cell r="E425">
            <v>2415.3333333333335</v>
          </cell>
          <cell r="F425">
            <v>120.76666666666667</v>
          </cell>
          <cell r="G425">
            <v>17.51774533333333</v>
          </cell>
          <cell r="H425">
            <v>0.72527237096328989</v>
          </cell>
          <cell r="I425" t="str">
            <v xml:space="preserve"> </v>
          </cell>
        </row>
        <row r="426">
          <cell r="B426" t="str">
            <v>95-96</v>
          </cell>
          <cell r="C426">
            <v>844.66666666666663</v>
          </cell>
          <cell r="D426">
            <v>2000</v>
          </cell>
          <cell r="E426">
            <v>2253.1166666666663</v>
          </cell>
          <cell r="F426">
            <v>112.65583333333332</v>
          </cell>
          <cell r="G426">
            <v>13.9</v>
          </cell>
          <cell r="H426">
            <v>0.61692322486629636</v>
          </cell>
        </row>
        <row r="427">
          <cell r="B427" t="str">
            <v>96-97</v>
          </cell>
          <cell r="C427">
            <v>844.66666666666663</v>
          </cell>
          <cell r="D427">
            <v>2200</v>
          </cell>
          <cell r="E427">
            <v>2274.25</v>
          </cell>
          <cell r="F427">
            <v>103.375</v>
          </cell>
          <cell r="G427">
            <v>10.516666666666667</v>
          </cell>
          <cell r="H427">
            <v>0.46242350958191347</v>
          </cell>
        </row>
        <row r="428">
          <cell r="B428" t="str">
            <v>97-98</v>
          </cell>
          <cell r="C428">
            <v>844.66666666666663</v>
          </cell>
          <cell r="D428">
            <v>2200</v>
          </cell>
          <cell r="E428">
            <v>2324.9116666666664</v>
          </cell>
          <cell r="F428">
            <v>105.67780303030301</v>
          </cell>
          <cell r="G428">
            <v>9.3574999999999982</v>
          </cell>
          <cell r="H428">
            <v>0.40248840995392648</v>
          </cell>
        </row>
        <row r="429">
          <cell r="B429" t="str">
            <v>98-99</v>
          </cell>
          <cell r="C429">
            <v>844.66666666666663</v>
          </cell>
          <cell r="D429">
            <v>2300</v>
          </cell>
          <cell r="E429">
            <v>2850.594066666667</v>
          </cell>
          <cell r="F429">
            <v>123.93887246376812</v>
          </cell>
          <cell r="G429">
            <v>9.596543333333333</v>
          </cell>
          <cell r="H429">
            <v>0.33665064575662362</v>
          </cell>
        </row>
        <row r="430">
          <cell r="B430" t="str">
            <v>99-00</v>
          </cell>
          <cell r="C430">
            <v>0</v>
          </cell>
          <cell r="D430">
            <v>2440</v>
          </cell>
          <cell r="E430">
            <v>2507.17</v>
          </cell>
          <cell r="F430">
            <v>102.75286885245902</v>
          </cell>
          <cell r="G430">
            <v>5.9</v>
          </cell>
          <cell r="H430">
            <v>0.23532508764862373</v>
          </cell>
        </row>
        <row r="431">
          <cell r="B431" t="str">
            <v>00-01</v>
          </cell>
          <cell r="C431">
            <v>867.5</v>
          </cell>
          <cell r="D431">
            <v>2442</v>
          </cell>
          <cell r="E431">
            <v>1809.98</v>
          </cell>
          <cell r="F431">
            <v>74.118755118755118</v>
          </cell>
          <cell r="G431">
            <v>9.17</v>
          </cell>
          <cell r="H431">
            <v>0.50663543243571751</v>
          </cell>
        </row>
        <row r="432">
          <cell r="A432" t="str">
            <v>Average last 5 years</v>
          </cell>
          <cell r="B432">
            <v>0</v>
          </cell>
          <cell r="C432">
            <v>0</v>
          </cell>
          <cell r="D432">
            <v>2140</v>
          </cell>
          <cell r="E432">
            <v>2423.6411466666664</v>
          </cell>
          <cell r="F432">
            <v>113.28283509881423</v>
          </cell>
          <cell r="G432">
            <v>12.177691066666664</v>
          </cell>
          <cell r="H432">
            <v>0.50875163222440989</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cell r="P432" t="str">
            <v xml:space="preserve"> </v>
          </cell>
          <cell r="Q432" t="str">
            <v xml:space="preserve"> </v>
          </cell>
        </row>
        <row r="433">
          <cell r="A433" t="str">
            <v>M.P.TOTAL</v>
          </cell>
          <cell r="B433" t="str">
            <v>88-89</v>
          </cell>
          <cell r="C433">
            <v>3077.1666666666665</v>
          </cell>
          <cell r="D433">
            <v>13250</v>
          </cell>
          <cell r="E433">
            <v>12343.131333333335</v>
          </cell>
          <cell r="F433">
            <v>93.155708176100646</v>
          </cell>
          <cell r="G433">
            <v>0</v>
          </cell>
          <cell r="H433">
            <v>0</v>
          </cell>
        </row>
        <row r="434">
          <cell r="B434" t="str">
            <v>89-90</v>
          </cell>
          <cell r="C434">
            <v>3077.1666666666665</v>
          </cell>
          <cell r="D434">
            <v>13320</v>
          </cell>
          <cell r="E434">
            <v>12645.461666666666</v>
          </cell>
          <cell r="F434">
            <v>94.935898398398393</v>
          </cell>
          <cell r="G434">
            <v>1158.0333333333333</v>
          </cell>
          <cell r="H434">
            <v>9.1576991323764769</v>
          </cell>
        </row>
        <row r="435">
          <cell r="B435" t="str">
            <v>90-91</v>
          </cell>
          <cell r="C435">
            <v>2947.1666666666665</v>
          </cell>
          <cell r="D435">
            <v>14155</v>
          </cell>
          <cell r="E435">
            <v>12937.164000000001</v>
          </cell>
          <cell r="F435">
            <v>91.396425291416477</v>
          </cell>
          <cell r="G435">
            <v>1248.7273333333335</v>
          </cell>
          <cell r="H435">
            <v>9.652249390464041</v>
          </cell>
          <cell r="I435" t="str">
            <v xml:space="preserve"> </v>
          </cell>
        </row>
        <row r="436">
          <cell r="B436" t="str">
            <v>91-92</v>
          </cell>
          <cell r="C436">
            <v>3262.1666666666665</v>
          </cell>
          <cell r="D436">
            <v>14606</v>
          </cell>
          <cell r="E436">
            <v>12524.380333333333</v>
          </cell>
          <cell r="F436">
            <v>85.748187959286128</v>
          </cell>
          <cell r="G436">
            <v>1179.9433333333332</v>
          </cell>
          <cell r="H436">
            <v>9.4211713628094067</v>
          </cell>
          <cell r="I436" t="str">
            <v xml:space="preserve"> </v>
          </cell>
        </row>
        <row r="437">
          <cell r="B437" t="str">
            <v>92-93</v>
          </cell>
          <cell r="C437">
            <v>3282.1666666666665</v>
          </cell>
          <cell r="D437">
            <v>14538.333333333334</v>
          </cell>
          <cell r="E437">
            <v>13259.179000000002</v>
          </cell>
          <cell r="F437">
            <v>91.20150636248998</v>
          </cell>
          <cell r="G437">
            <v>1232.616</v>
          </cell>
          <cell r="H437">
            <v>9.296322193101096</v>
          </cell>
          <cell r="I437" t="str">
            <v xml:space="preserve"> </v>
          </cell>
        </row>
        <row r="438">
          <cell r="B438" t="str">
            <v>93-94</v>
          </cell>
          <cell r="C438">
            <v>3482.1666666666665</v>
          </cell>
          <cell r="D438">
            <v>16325</v>
          </cell>
          <cell r="E438">
            <v>14382.00028</v>
          </cell>
          <cell r="F438">
            <v>88.098010903522194</v>
          </cell>
          <cell r="G438">
            <v>1337.7796703333336</v>
          </cell>
          <cell r="H438">
            <v>9.3017636231984095</v>
          </cell>
          <cell r="I438" t="str">
            <v xml:space="preserve"> </v>
          </cell>
        </row>
        <row r="439">
          <cell r="B439" t="str">
            <v>94-95</v>
          </cell>
          <cell r="C439">
            <v>3812.1666666666665</v>
          </cell>
          <cell r="D439">
            <v>16230</v>
          </cell>
          <cell r="E439">
            <v>16597.313333333332</v>
          </cell>
          <cell r="F439">
            <v>102.2631751899774</v>
          </cell>
          <cell r="G439">
            <v>1511.8777453333332</v>
          </cell>
          <cell r="H439">
            <v>9.1091715566816642</v>
          </cell>
          <cell r="I439" t="str">
            <v xml:space="preserve"> </v>
          </cell>
        </row>
        <row r="440">
          <cell r="B440" t="str">
            <v>95-96</v>
          </cell>
          <cell r="C440">
            <v>3812.1666666666665</v>
          </cell>
          <cell r="D440">
            <v>18000</v>
          </cell>
          <cell r="E440">
            <v>17598.816666666666</v>
          </cell>
          <cell r="F440">
            <v>97.771203703703691</v>
          </cell>
          <cell r="G440">
            <v>1592.9199999999998</v>
          </cell>
          <cell r="H440">
            <v>9.0512903803191307</v>
          </cell>
        </row>
        <row r="441">
          <cell r="B441" t="str">
            <v>96-97</v>
          </cell>
          <cell r="C441">
            <v>3812.1666666666665</v>
          </cell>
          <cell r="D441">
            <v>18490</v>
          </cell>
          <cell r="E441">
            <v>18413.75</v>
          </cell>
          <cell r="F441">
            <v>99.587614926987555</v>
          </cell>
          <cell r="G441">
            <v>1593.5166666666669</v>
          </cell>
          <cell r="H441">
            <v>8.653949720543979</v>
          </cell>
        </row>
        <row r="442">
          <cell r="B442" t="str">
            <v>97-98</v>
          </cell>
          <cell r="C442">
            <v>3812.1666666666665</v>
          </cell>
          <cell r="D442">
            <v>18680</v>
          </cell>
          <cell r="E442">
            <v>19442.469666666664</v>
          </cell>
          <cell r="F442">
            <v>104.08174339757315</v>
          </cell>
          <cell r="G442">
            <v>1698.3725000000002</v>
          </cell>
          <cell r="H442">
            <v>8.7353743074718118</v>
          </cell>
        </row>
        <row r="443">
          <cell r="B443" t="str">
            <v>98-99</v>
          </cell>
          <cell r="C443">
            <v>3812.1666666666665</v>
          </cell>
          <cell r="D443">
            <v>19120</v>
          </cell>
          <cell r="E443">
            <v>20551.660066666671</v>
          </cell>
          <cell r="F443">
            <v>107.4877618549512</v>
          </cell>
          <cell r="G443">
            <v>1723.2765433333334</v>
          </cell>
          <cell r="H443">
            <v>8.3850965700253344</v>
          </cell>
        </row>
        <row r="444">
          <cell r="B444" t="str">
            <v>99-00</v>
          </cell>
          <cell r="C444">
            <v>0</v>
          </cell>
          <cell r="D444">
            <v>20565</v>
          </cell>
          <cell r="E444">
            <v>21812.7</v>
          </cell>
          <cell r="F444">
            <v>106.1</v>
          </cell>
          <cell r="G444">
            <v>1888.1</v>
          </cell>
          <cell r="H444">
            <v>8.6999999999999993</v>
          </cell>
        </row>
        <row r="445">
          <cell r="B445" t="str">
            <v>00-01</v>
          </cell>
          <cell r="C445">
            <v>4255</v>
          </cell>
          <cell r="D445">
            <v>23512</v>
          </cell>
          <cell r="E445">
            <v>21436.92</v>
          </cell>
          <cell r="F445">
            <v>91.05</v>
          </cell>
          <cell r="G445">
            <v>1918.86</v>
          </cell>
          <cell r="H445">
            <v>8.9499999999999993</v>
          </cell>
        </row>
      </sheetData>
      <sheetData sheetId="5">
        <row r="3">
          <cell r="A3" t="str">
            <v>STATION NAME</v>
          </cell>
        </row>
      </sheetData>
      <sheetData sheetId="6">
        <row r="3">
          <cell r="A3" t="str">
            <v>STATION NAME</v>
          </cell>
        </row>
      </sheetData>
      <sheetData sheetId="7">
        <row r="3">
          <cell r="A3" t="str">
            <v>STATION NAME</v>
          </cell>
        </row>
      </sheetData>
      <sheetData sheetId="8">
        <row r="3">
          <cell r="A3" t="str">
            <v>STATION NAME</v>
          </cell>
        </row>
      </sheetData>
      <sheetData sheetId="9">
        <row r="3">
          <cell r="A3" t="str">
            <v>STATION NAME</v>
          </cell>
        </row>
      </sheetData>
      <sheetData sheetId="10">
        <row r="3">
          <cell r="A3" t="str">
            <v>STATION NAME</v>
          </cell>
        </row>
      </sheetData>
      <sheetData sheetId="11">
        <row r="3">
          <cell r="A3" t="str">
            <v>STATION NAME</v>
          </cell>
        </row>
      </sheetData>
      <sheetData sheetId="12">
        <row r="3">
          <cell r="A3" t="str">
            <v>STATION NAME</v>
          </cell>
        </row>
      </sheetData>
      <sheetData sheetId="13">
        <row r="3">
          <cell r="A3" t="str">
            <v>STATION NAME</v>
          </cell>
        </row>
      </sheetData>
      <sheetData sheetId="14">
        <row r="3">
          <cell r="A3" t="str">
            <v>STATION NAME</v>
          </cell>
        </row>
      </sheetData>
      <sheetData sheetId="15">
        <row r="3">
          <cell r="A3" t="str">
            <v>STATION NAME</v>
          </cell>
        </row>
      </sheetData>
      <sheetData sheetId="16">
        <row r="3">
          <cell r="A3" t="str">
            <v>STATION NAME</v>
          </cell>
        </row>
      </sheetData>
      <sheetData sheetId="17">
        <row r="3">
          <cell r="A3" t="str">
            <v>STATION NAME</v>
          </cell>
        </row>
      </sheetData>
      <sheetData sheetId="18">
        <row r="3">
          <cell r="A3" t="str">
            <v>STATION NAME</v>
          </cell>
        </row>
      </sheetData>
      <sheetData sheetId="19">
        <row r="3">
          <cell r="A3" t="str">
            <v>STATION NAME</v>
          </cell>
        </row>
      </sheetData>
      <sheetData sheetId="20">
        <row r="3">
          <cell r="A3" t="str">
            <v>STATION NAME</v>
          </cell>
        </row>
      </sheetData>
      <sheetData sheetId="21">
        <row r="3">
          <cell r="A3" t="str">
            <v>STATION NAME</v>
          </cell>
        </row>
      </sheetData>
      <sheetData sheetId="22">
        <row r="3">
          <cell r="A3" t="str">
            <v>STATION NAME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4">
          <cell r="A4" t="str">
            <v/>
          </cell>
        </row>
      </sheetData>
      <sheetData sheetId="39">
        <row r="3">
          <cell r="A3" t="str">
            <v>STATION NAME</v>
          </cell>
        </row>
      </sheetData>
      <sheetData sheetId="40"/>
      <sheetData sheetId="41"/>
      <sheetData sheetId="42">
        <row r="3">
          <cell r="A3" t="str">
            <v>STATION NAME</v>
          </cell>
        </row>
      </sheetData>
      <sheetData sheetId="43">
        <row r="3">
          <cell r="A3" t="str">
            <v>STATION NAME</v>
          </cell>
        </row>
      </sheetData>
      <sheetData sheetId="44"/>
      <sheetData sheetId="45"/>
      <sheetData sheetId="46">
        <row r="3">
          <cell r="A3" t="str">
            <v>STATION NAME</v>
          </cell>
        </row>
      </sheetData>
      <sheetData sheetId="47">
        <row r="3">
          <cell r="A3" t="str">
            <v>STATION 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ow r="3">
          <cell r="A3" t="str">
            <v>STATION NAME</v>
          </cell>
        </row>
      </sheetData>
      <sheetData sheetId="65"/>
      <sheetData sheetId="66"/>
      <sheetData sheetId="67"/>
      <sheetData sheetId="68"/>
      <sheetData sheetId="69"/>
      <sheetData sheetId="70"/>
      <sheetData sheetId="71"/>
      <sheetData sheetId="72"/>
      <sheetData sheetId="73"/>
      <sheetData sheetId="74" refreshError="1"/>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 of Generation"/>
      <sheetName val="No.of Tube Leakage"/>
      <sheetName val="EB PS"/>
      <sheetName val="400 KV"/>
      <sheetName val="MCRH"/>
      <sheetName val="LONG DURATION OUTAGE"/>
      <sheetName val="TIME DURATION CAUSE ANALYSIS"/>
      <sheetName val="CAUSE ANALYSIS"/>
      <sheetName val="BREAKUP OF OIL"/>
      <sheetName val="PARTIAL LOSS"/>
      <sheetName val="R.Hrs. Since Comm"/>
      <sheetName val="STN WISE EMR"/>
      <sheetName val="agl-pump-sets"/>
      <sheetName val="EG"/>
      <sheetName val="pump-sets(AI)"/>
      <sheetName val="installes-capacity"/>
      <sheetName val="per-capita"/>
      <sheetName val="towns&amp;villages"/>
      <sheetName val="A"/>
      <sheetName val="A2-02-03"/>
      <sheetName val="ATC Loss Red"/>
      <sheetName val="Demand Raised wrt adj targe "/>
      <sheetName val="EDWise"/>
      <sheetName val="Sheet1"/>
      <sheetName val="DLC"/>
      <sheetName val="Salient1"/>
      <sheetName val="Executive Summary -Thermal"/>
      <sheetName val="Stationwise Thermal &amp; Hydel Gen"/>
      <sheetName val="TWELVE"/>
      <sheetName val="Loss_of_Generation"/>
      <sheetName val="No_of_Tube_Leakage"/>
      <sheetName val="EB_PS"/>
      <sheetName val="400_KV"/>
      <sheetName val="LONG_DURATION_OUTAGE"/>
      <sheetName val="TIME_DURATION_CAUSE_ANALYSIS"/>
      <sheetName val="CAUSE_ANALYSIS"/>
      <sheetName val="BREAKUP_OF_OIL"/>
      <sheetName val="PARTIAL_LOSS"/>
      <sheetName val="STN_WISE_EMR"/>
      <sheetName val="R_Hrs__Since_Comm"/>
      <sheetName val="SPT vs PHI"/>
      <sheetName val="ATC_Loss_Red"/>
      <sheetName val="Demand_Raised_wrt_adj_targe_"/>
      <sheetName val="01.11.2004"/>
      <sheetName val="data"/>
      <sheetName val="A1-Continuous"/>
      <sheetName val="CASH-FLOW"/>
      <sheetName val="7.11 p1"/>
      <sheetName val="Sec-1a"/>
      <sheetName val="Sec-5a"/>
      <sheetName val="Sec-8d"/>
      <sheetName val="Sec-3a"/>
      <sheetName val="Sec-1b"/>
      <sheetName val="Sec-1c"/>
      <sheetName val="Sec-8c"/>
      <sheetName val="Lead statement-VJA"/>
      <sheetName val="Mortars"/>
      <sheetName val="Lead "/>
      <sheetName val="Lead statement"/>
      <sheetName val="Labour charges"/>
      <sheetName val="Sept "/>
      <sheetName val="Newabstract"/>
      <sheetName val="Detail Estt."/>
      <sheetName val="04REL"/>
      <sheetName val="Form_A"/>
      <sheetName val="Inputs"/>
      <sheetName val="Lead statement-Tpt"/>
      <sheetName val="MO EY"/>
      <sheetName val="MO CY"/>
      <sheetName val="Data 2010-11"/>
      <sheetName val="cls"/>
      <sheetName val="SS-III &amp; SS-V"/>
      <sheetName val="2004"/>
      <sheetName val="all"/>
      <sheetName val="C.S.GENERATION"/>
      <sheetName val="LF-Inst-Demand"/>
      <sheetName val="A 3.7"/>
      <sheetName val="Executive_Summary_-Thermal"/>
      <sheetName val="Stationwise_Thermal_&amp;_Hydel_Gen"/>
      <sheetName val="A_3_7"/>
      <sheetName val="HDPE"/>
      <sheetName val="DI"/>
      <sheetName val="pvc"/>
      <sheetName val="hdpe_basic"/>
      <sheetName val="pvc_basic"/>
      <sheetName val="Addl.40"/>
      <sheetName val="feasibility requir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p 03-04"/>
      <sheetName val="Cap_03-04"/>
      <sheetName val="Fee Rate Summary"/>
      <sheetName val="04REL"/>
    </sheetNames>
    <sheetDataSet>
      <sheetData sheetId="0" refreshError="1">
        <row r="721">
          <cell r="F721">
            <v>0.90799276391293349</v>
          </cell>
        </row>
      </sheetData>
      <sheetData sheetId="1" refreshError="1"/>
      <sheetData sheetId="2"/>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DBForeC"/>
      <sheetName val="Short-Term"/>
      <sheetName val="R15 00-01"/>
      <sheetName val="DBHis"/>
      <sheetName val="Agri"/>
      <sheetName val="Agri-support"/>
      <sheetName val="Base Year"/>
      <sheetName val="Dom"/>
      <sheetName val="Dom-sup."/>
      <sheetName val="Dom-Free"/>
      <sheetName val="Chart1"/>
      <sheetName val="LT_Ind"/>
      <sheetName val="NonDom"/>
      <sheetName val="LT_WW"/>
      <sheetName val="LT_Street"/>
      <sheetName val="HT Ind"/>
      <sheetName val="Coal"/>
      <sheetName val="Steel"/>
      <sheetName val="Traction"/>
      <sheetName val="Licensees"/>
      <sheetName val="HT_WW"/>
      <sheetName val="HT_Agr"/>
      <sheetName val="Villages"/>
      <sheetName val="Captive"/>
      <sheetName val="Market"/>
      <sheetName val="Load"/>
      <sheetName val="Growth Rates"/>
      <sheetName val="Services"/>
      <sheetName val="Serv-Worksheet"/>
      <sheetName val="High Sens."/>
      <sheetName val="Low Sens."/>
      <sheetName val="Graphs"/>
      <sheetName val="MODI MPSEB ASSESS"/>
      <sheetName val="Assump-Sens."/>
      <sheetName val="Stationwise Thermal &amp; Hydel Gen"/>
      <sheetName val="Executive Summary -Thermal"/>
      <sheetName val="TWELVE"/>
      <sheetName val="ATP"/>
      <sheetName val="data"/>
      <sheetName val="BREAKUP OF OIL"/>
      <sheetName val="Demand"/>
      <sheetName val="Salient1"/>
      <sheetName val="A 3.7"/>
      <sheetName val="cls"/>
      <sheetName val="R15_00-01"/>
      <sheetName val="Base_Year"/>
      <sheetName val="Dom-sup_"/>
      <sheetName val="HT_Ind"/>
      <sheetName val="Growth_Rates"/>
      <sheetName val="High_Sens_"/>
      <sheetName val="Low_Sens_"/>
      <sheetName val="MODI_MPSEB_ASSESS"/>
      <sheetName val="Assump-Sens_"/>
      <sheetName val="Stationwise_Thermal_&amp;_Hydel_Gen"/>
      <sheetName val="Executive_Summary_-Thermal"/>
      <sheetName val="BREAKUP_OF_OIL"/>
      <sheetName val="A_3_7"/>
      <sheetName val="SUMMERY"/>
      <sheetName val="Sheet1"/>
      <sheetName val="dpc cost"/>
      <sheetName val="Discom Details"/>
      <sheetName val="Cat_Ser_load"/>
      <sheetName val="R_Abstract"/>
      <sheetName val="Schema_x0000__x0000__x0000__x0000__x0000__x0000_&quot;[Global model 28th"/>
      <sheetName val="04REL"/>
      <sheetName val="Code"/>
      <sheetName val="PACK (B)"/>
      <sheetName val="Schema??????&quot;[Global model 28th"/>
      <sheetName val="Schema______&quot;_Global model 28th"/>
      <sheetName val="final abstract"/>
      <sheetName val="SS-III &amp; SS-V"/>
      <sheetName val="7.11 p1"/>
      <sheetName val="Lead Statement"/>
      <sheetName val="Labour charges"/>
      <sheetName val="Detailed Estimate"/>
      <sheetName val="Sheet3"/>
      <sheetName val="ZKOK6"/>
      <sheetName val="Form_A"/>
      <sheetName val="Lead "/>
      <sheetName val="DLC"/>
      <sheetName val="Sept "/>
      <sheetName val="EG"/>
      <sheetName val="pump-sets(AI)"/>
      <sheetName val="per-capita"/>
      <sheetName val="towns&amp;villages"/>
      <sheetName val="Sec-1a"/>
      <sheetName val="Schema_x005f_x0000__x005f_x0000__x005f_x0000__x00"/>
      <sheetName val="Lead statement-VJA"/>
      <sheetName val="Mortars"/>
      <sheetName val="Newabstract"/>
      <sheetName val="Schema_x0000__x0000__x0000__x00"/>
      <sheetName val="Schema_x005f_x005f_x005f_x0000__x005f_x005f_x0000"/>
      <sheetName val="agl-pump-sets"/>
      <sheetName val="installes-capacity"/>
      <sheetName val="A"/>
      <sheetName val="Addl.40"/>
      <sheetName val="Ag 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H9" t="str">
            <v>92-93</v>
          </cell>
          <cell r="I9" t="str">
            <v>93-94</v>
          </cell>
          <cell r="J9" t="str">
            <v>94-95</v>
          </cell>
          <cell r="K9" t="str">
            <v>95-96</v>
          </cell>
          <cell r="L9" t="str">
            <v>96-97</v>
          </cell>
          <cell r="M9" t="str">
            <v>97-98</v>
          </cell>
          <cell r="N9" t="str">
            <v>98-99</v>
          </cell>
          <cell r="O9" t="str">
            <v>99-00</v>
          </cell>
          <cell r="P9" t="str">
            <v>00-01</v>
          </cell>
          <cell r="Q9" t="str">
            <v>Comments</v>
          </cell>
        </row>
        <row r="11">
          <cell r="H11" t="str">
            <v>92-93</v>
          </cell>
          <cell r="I11" t="str">
            <v>93-94</v>
          </cell>
          <cell r="J11" t="str">
            <v>94-95</v>
          </cell>
          <cell r="K11" t="str">
            <v>95-96</v>
          </cell>
          <cell r="L11" t="str">
            <v>96-97</v>
          </cell>
          <cell r="M11" t="str">
            <v>97-98</v>
          </cell>
          <cell r="N11" t="str">
            <v>98-99</v>
          </cell>
          <cell r="O11" t="str">
            <v>99-00</v>
          </cell>
          <cell r="P11" t="str">
            <v>00-01</v>
          </cell>
          <cell r="Q11" t="str">
            <v>Comments</v>
          </cell>
        </row>
        <row r="12">
          <cell r="E12" t="str">
            <v>Actual</v>
          </cell>
          <cell r="F12">
            <v>0</v>
          </cell>
          <cell r="G12">
            <v>0</v>
          </cell>
          <cell r="H12">
            <v>1146.9464337763561</v>
          </cell>
          <cell r="I12">
            <v>1348.8086210103572</v>
          </cell>
          <cell r="J12">
            <v>1378.8953544924971</v>
          </cell>
          <cell r="K12">
            <v>1514.8534401882121</v>
          </cell>
          <cell r="L12">
            <v>1604.1975852061873</v>
          </cell>
          <cell r="M12">
            <v>1635.3729424049175</v>
          </cell>
          <cell r="N12">
            <v>1759.8646367337187</v>
          </cell>
          <cell r="O12">
            <v>2252.0943689999999</v>
          </cell>
          <cell r="P12">
            <v>2398.1461873885523</v>
          </cell>
        </row>
        <row r="13">
          <cell r="E13" t="str">
            <v>Suppressed</v>
          </cell>
          <cell r="F13">
            <v>0</v>
          </cell>
          <cell r="G13">
            <v>0</v>
          </cell>
          <cell r="H13">
            <v>65.11538689110921</v>
          </cell>
          <cell r="I13">
            <v>37.988839175032126</v>
          </cell>
          <cell r="J13">
            <v>61.718945381111098</v>
          </cell>
          <cell r="K13">
            <v>92.59736102715533</v>
          </cell>
          <cell r="L13">
            <v>144.18354908010042</v>
          </cell>
          <cell r="M13">
            <v>58.013753112049471</v>
          </cell>
          <cell r="N13">
            <v>60.180182643709031</v>
          </cell>
          <cell r="O13">
            <v>87.996130161098336</v>
          </cell>
          <cell r="P13">
            <v>372.95381261144757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8.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9.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10.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11.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12.xml"/><Relationship Id="rId1" Type="http://schemas.openxmlformats.org/officeDocument/2006/relationships/printerSettings" Target="../printerSettings/printerSettings74.bin"/><Relationship Id="rId4" Type="http://schemas.openxmlformats.org/officeDocument/2006/relationships/comments" Target="../comments69.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R772"/>
  <sheetViews>
    <sheetView workbookViewId="0">
      <pane xSplit="2" ySplit="3" topLeftCell="C696" activePane="bottomRight" state="frozen"/>
      <selection pane="topRight" activeCell="C1" sqref="C1"/>
      <selection pane="bottomLeft" activeCell="A2" sqref="A2"/>
      <selection pane="bottomRight" activeCell="D702" sqref="D702"/>
    </sheetView>
  </sheetViews>
  <sheetFormatPr defaultRowHeight="12.75"/>
  <cols>
    <col min="1" max="1" width="18.7109375" style="4" bestFit="1" customWidth="1"/>
    <col min="2" max="2" width="37.28515625" style="4" customWidth="1"/>
    <col min="3" max="3" width="9.28515625" style="4" bestFit="1" customWidth="1"/>
    <col min="4" max="4" width="15.85546875" style="4" customWidth="1"/>
    <col min="5" max="5" width="32.85546875" style="4" customWidth="1"/>
    <col min="6" max="6" width="16.28515625" style="4" customWidth="1"/>
    <col min="7" max="7" width="41.5703125" style="4" customWidth="1"/>
    <col min="8" max="8" width="24.85546875" style="4" customWidth="1"/>
    <col min="9" max="9" width="48.140625" style="4" customWidth="1"/>
    <col min="10" max="10" width="16.140625" style="4" customWidth="1"/>
    <col min="11" max="11" width="15.28515625" style="4" customWidth="1"/>
    <col min="12" max="255" width="9.140625" style="4"/>
    <col min="256" max="256" width="18.7109375" style="4" bestFit="1" customWidth="1"/>
    <col min="257" max="257" width="37.28515625" style="4" customWidth="1"/>
    <col min="258" max="258" width="9.28515625" style="4" bestFit="1" customWidth="1"/>
    <col min="259" max="259" width="15.85546875" style="4" customWidth="1"/>
    <col min="260" max="260" width="32.85546875" style="4" customWidth="1"/>
    <col min="261" max="261" width="16.28515625" style="4" customWidth="1"/>
    <col min="262" max="262" width="40.85546875" style="4" customWidth="1"/>
    <col min="263" max="263" width="20" style="4" customWidth="1"/>
    <col min="264" max="264" width="24.85546875" style="4" customWidth="1"/>
    <col min="265" max="265" width="48.140625" style="4" customWidth="1"/>
    <col min="266" max="266" width="16.140625" style="4" customWidth="1"/>
    <col min="267" max="267" width="15.28515625" style="4" customWidth="1"/>
    <col min="268" max="511" width="9.140625" style="4"/>
    <col min="512" max="512" width="18.7109375" style="4" bestFit="1" customWidth="1"/>
    <col min="513" max="513" width="37.28515625" style="4" customWidth="1"/>
    <col min="514" max="514" width="9.28515625" style="4" bestFit="1" customWidth="1"/>
    <col min="515" max="515" width="15.85546875" style="4" customWidth="1"/>
    <col min="516" max="516" width="32.85546875" style="4" customWidth="1"/>
    <col min="517" max="517" width="16.28515625" style="4" customWidth="1"/>
    <col min="518" max="518" width="40.85546875" style="4" customWidth="1"/>
    <col min="519" max="519" width="20" style="4" customWidth="1"/>
    <col min="520" max="520" width="24.85546875" style="4" customWidth="1"/>
    <col min="521" max="521" width="48.140625" style="4" customWidth="1"/>
    <col min="522" max="522" width="16.140625" style="4" customWidth="1"/>
    <col min="523" max="523" width="15.28515625" style="4" customWidth="1"/>
    <col min="524" max="767" width="9.140625" style="4"/>
    <col min="768" max="768" width="18.7109375" style="4" bestFit="1" customWidth="1"/>
    <col min="769" max="769" width="37.28515625" style="4" customWidth="1"/>
    <col min="770" max="770" width="9.28515625" style="4" bestFit="1" customWidth="1"/>
    <col min="771" max="771" width="15.85546875" style="4" customWidth="1"/>
    <col min="772" max="772" width="32.85546875" style="4" customWidth="1"/>
    <col min="773" max="773" width="16.28515625" style="4" customWidth="1"/>
    <col min="774" max="774" width="40.85546875" style="4" customWidth="1"/>
    <col min="775" max="775" width="20" style="4" customWidth="1"/>
    <col min="776" max="776" width="24.85546875" style="4" customWidth="1"/>
    <col min="777" max="777" width="48.140625" style="4" customWidth="1"/>
    <col min="778" max="778" width="16.140625" style="4" customWidth="1"/>
    <col min="779" max="779" width="15.28515625" style="4" customWidth="1"/>
    <col min="780" max="1023" width="9.140625" style="4"/>
    <col min="1024" max="1024" width="18.7109375" style="4" bestFit="1" customWidth="1"/>
    <col min="1025" max="1025" width="37.28515625" style="4" customWidth="1"/>
    <col min="1026" max="1026" width="9.28515625" style="4" bestFit="1" customWidth="1"/>
    <col min="1027" max="1027" width="15.85546875" style="4" customWidth="1"/>
    <col min="1028" max="1028" width="32.85546875" style="4" customWidth="1"/>
    <col min="1029" max="1029" width="16.28515625" style="4" customWidth="1"/>
    <col min="1030" max="1030" width="40.85546875" style="4" customWidth="1"/>
    <col min="1031" max="1031" width="20" style="4" customWidth="1"/>
    <col min="1032" max="1032" width="24.85546875" style="4" customWidth="1"/>
    <col min="1033" max="1033" width="48.140625" style="4" customWidth="1"/>
    <col min="1034" max="1034" width="16.140625" style="4" customWidth="1"/>
    <col min="1035" max="1035" width="15.28515625" style="4" customWidth="1"/>
    <col min="1036" max="1279" width="9.140625" style="4"/>
    <col min="1280" max="1280" width="18.7109375" style="4" bestFit="1" customWidth="1"/>
    <col min="1281" max="1281" width="37.28515625" style="4" customWidth="1"/>
    <col min="1282" max="1282" width="9.28515625" style="4" bestFit="1" customWidth="1"/>
    <col min="1283" max="1283" width="15.85546875" style="4" customWidth="1"/>
    <col min="1284" max="1284" width="32.85546875" style="4" customWidth="1"/>
    <col min="1285" max="1285" width="16.28515625" style="4" customWidth="1"/>
    <col min="1286" max="1286" width="40.85546875" style="4" customWidth="1"/>
    <col min="1287" max="1287" width="20" style="4" customWidth="1"/>
    <col min="1288" max="1288" width="24.85546875" style="4" customWidth="1"/>
    <col min="1289" max="1289" width="48.140625" style="4" customWidth="1"/>
    <col min="1290" max="1290" width="16.140625" style="4" customWidth="1"/>
    <col min="1291" max="1291" width="15.28515625" style="4" customWidth="1"/>
    <col min="1292" max="1535" width="9.140625" style="4"/>
    <col min="1536" max="1536" width="18.7109375" style="4" bestFit="1" customWidth="1"/>
    <col min="1537" max="1537" width="37.28515625" style="4" customWidth="1"/>
    <col min="1538" max="1538" width="9.28515625" style="4" bestFit="1" customWidth="1"/>
    <col min="1539" max="1539" width="15.85546875" style="4" customWidth="1"/>
    <col min="1540" max="1540" width="32.85546875" style="4" customWidth="1"/>
    <col min="1541" max="1541" width="16.28515625" style="4" customWidth="1"/>
    <col min="1542" max="1542" width="40.85546875" style="4" customWidth="1"/>
    <col min="1543" max="1543" width="20" style="4" customWidth="1"/>
    <col min="1544" max="1544" width="24.85546875" style="4" customWidth="1"/>
    <col min="1545" max="1545" width="48.140625" style="4" customWidth="1"/>
    <col min="1546" max="1546" width="16.140625" style="4" customWidth="1"/>
    <col min="1547" max="1547" width="15.28515625" style="4" customWidth="1"/>
    <col min="1548" max="1791" width="9.140625" style="4"/>
    <col min="1792" max="1792" width="18.7109375" style="4" bestFit="1" customWidth="1"/>
    <col min="1793" max="1793" width="37.28515625" style="4" customWidth="1"/>
    <col min="1794" max="1794" width="9.28515625" style="4" bestFit="1" customWidth="1"/>
    <col min="1795" max="1795" width="15.85546875" style="4" customWidth="1"/>
    <col min="1796" max="1796" width="32.85546875" style="4" customWidth="1"/>
    <col min="1797" max="1797" width="16.28515625" style="4" customWidth="1"/>
    <col min="1798" max="1798" width="40.85546875" style="4" customWidth="1"/>
    <col min="1799" max="1799" width="20" style="4" customWidth="1"/>
    <col min="1800" max="1800" width="24.85546875" style="4" customWidth="1"/>
    <col min="1801" max="1801" width="48.140625" style="4" customWidth="1"/>
    <col min="1802" max="1802" width="16.140625" style="4" customWidth="1"/>
    <col min="1803" max="1803" width="15.28515625" style="4" customWidth="1"/>
    <col min="1804" max="2047" width="9.140625" style="4"/>
    <col min="2048" max="2048" width="18.7109375" style="4" bestFit="1" customWidth="1"/>
    <col min="2049" max="2049" width="37.28515625" style="4" customWidth="1"/>
    <col min="2050" max="2050" width="9.28515625" style="4" bestFit="1" customWidth="1"/>
    <col min="2051" max="2051" width="15.85546875" style="4" customWidth="1"/>
    <col min="2052" max="2052" width="32.85546875" style="4" customWidth="1"/>
    <col min="2053" max="2053" width="16.28515625" style="4" customWidth="1"/>
    <col min="2054" max="2054" width="40.85546875" style="4" customWidth="1"/>
    <col min="2055" max="2055" width="20" style="4" customWidth="1"/>
    <col min="2056" max="2056" width="24.85546875" style="4" customWidth="1"/>
    <col min="2057" max="2057" width="48.140625" style="4" customWidth="1"/>
    <col min="2058" max="2058" width="16.140625" style="4" customWidth="1"/>
    <col min="2059" max="2059" width="15.28515625" style="4" customWidth="1"/>
    <col min="2060" max="2303" width="9.140625" style="4"/>
    <col min="2304" max="2304" width="18.7109375" style="4" bestFit="1" customWidth="1"/>
    <col min="2305" max="2305" width="37.28515625" style="4" customWidth="1"/>
    <col min="2306" max="2306" width="9.28515625" style="4" bestFit="1" customWidth="1"/>
    <col min="2307" max="2307" width="15.85546875" style="4" customWidth="1"/>
    <col min="2308" max="2308" width="32.85546875" style="4" customWidth="1"/>
    <col min="2309" max="2309" width="16.28515625" style="4" customWidth="1"/>
    <col min="2310" max="2310" width="40.85546875" style="4" customWidth="1"/>
    <col min="2311" max="2311" width="20" style="4" customWidth="1"/>
    <col min="2312" max="2312" width="24.85546875" style="4" customWidth="1"/>
    <col min="2313" max="2313" width="48.140625" style="4" customWidth="1"/>
    <col min="2314" max="2314" width="16.140625" style="4" customWidth="1"/>
    <col min="2315" max="2315" width="15.28515625" style="4" customWidth="1"/>
    <col min="2316" max="2559" width="9.140625" style="4"/>
    <col min="2560" max="2560" width="18.7109375" style="4" bestFit="1" customWidth="1"/>
    <col min="2561" max="2561" width="37.28515625" style="4" customWidth="1"/>
    <col min="2562" max="2562" width="9.28515625" style="4" bestFit="1" customWidth="1"/>
    <col min="2563" max="2563" width="15.85546875" style="4" customWidth="1"/>
    <col min="2564" max="2564" width="32.85546875" style="4" customWidth="1"/>
    <col min="2565" max="2565" width="16.28515625" style="4" customWidth="1"/>
    <col min="2566" max="2566" width="40.85546875" style="4" customWidth="1"/>
    <col min="2567" max="2567" width="20" style="4" customWidth="1"/>
    <col min="2568" max="2568" width="24.85546875" style="4" customWidth="1"/>
    <col min="2569" max="2569" width="48.140625" style="4" customWidth="1"/>
    <col min="2570" max="2570" width="16.140625" style="4" customWidth="1"/>
    <col min="2571" max="2571" width="15.28515625" style="4" customWidth="1"/>
    <col min="2572" max="2815" width="9.140625" style="4"/>
    <col min="2816" max="2816" width="18.7109375" style="4" bestFit="1" customWidth="1"/>
    <col min="2817" max="2817" width="37.28515625" style="4" customWidth="1"/>
    <col min="2818" max="2818" width="9.28515625" style="4" bestFit="1" customWidth="1"/>
    <col min="2819" max="2819" width="15.85546875" style="4" customWidth="1"/>
    <col min="2820" max="2820" width="32.85546875" style="4" customWidth="1"/>
    <col min="2821" max="2821" width="16.28515625" style="4" customWidth="1"/>
    <col min="2822" max="2822" width="40.85546875" style="4" customWidth="1"/>
    <col min="2823" max="2823" width="20" style="4" customWidth="1"/>
    <col min="2824" max="2824" width="24.85546875" style="4" customWidth="1"/>
    <col min="2825" max="2825" width="48.140625" style="4" customWidth="1"/>
    <col min="2826" max="2826" width="16.140625" style="4" customWidth="1"/>
    <col min="2827" max="2827" width="15.28515625" style="4" customWidth="1"/>
    <col min="2828" max="3071" width="9.140625" style="4"/>
    <col min="3072" max="3072" width="18.7109375" style="4" bestFit="1" customWidth="1"/>
    <col min="3073" max="3073" width="37.28515625" style="4" customWidth="1"/>
    <col min="3074" max="3074" width="9.28515625" style="4" bestFit="1" customWidth="1"/>
    <col min="3075" max="3075" width="15.85546875" style="4" customWidth="1"/>
    <col min="3076" max="3076" width="32.85546875" style="4" customWidth="1"/>
    <col min="3077" max="3077" width="16.28515625" style="4" customWidth="1"/>
    <col min="3078" max="3078" width="40.85546875" style="4" customWidth="1"/>
    <col min="3079" max="3079" width="20" style="4" customWidth="1"/>
    <col min="3080" max="3080" width="24.85546875" style="4" customWidth="1"/>
    <col min="3081" max="3081" width="48.140625" style="4" customWidth="1"/>
    <col min="3082" max="3082" width="16.140625" style="4" customWidth="1"/>
    <col min="3083" max="3083" width="15.28515625" style="4" customWidth="1"/>
    <col min="3084" max="3327" width="9.140625" style="4"/>
    <col min="3328" max="3328" width="18.7109375" style="4" bestFit="1" customWidth="1"/>
    <col min="3329" max="3329" width="37.28515625" style="4" customWidth="1"/>
    <col min="3330" max="3330" width="9.28515625" style="4" bestFit="1" customWidth="1"/>
    <col min="3331" max="3331" width="15.85546875" style="4" customWidth="1"/>
    <col min="3332" max="3332" width="32.85546875" style="4" customWidth="1"/>
    <col min="3333" max="3333" width="16.28515625" style="4" customWidth="1"/>
    <col min="3334" max="3334" width="40.85546875" style="4" customWidth="1"/>
    <col min="3335" max="3335" width="20" style="4" customWidth="1"/>
    <col min="3336" max="3336" width="24.85546875" style="4" customWidth="1"/>
    <col min="3337" max="3337" width="48.140625" style="4" customWidth="1"/>
    <col min="3338" max="3338" width="16.140625" style="4" customWidth="1"/>
    <col min="3339" max="3339" width="15.28515625" style="4" customWidth="1"/>
    <col min="3340" max="3583" width="9.140625" style="4"/>
    <col min="3584" max="3584" width="18.7109375" style="4" bestFit="1" customWidth="1"/>
    <col min="3585" max="3585" width="37.28515625" style="4" customWidth="1"/>
    <col min="3586" max="3586" width="9.28515625" style="4" bestFit="1" customWidth="1"/>
    <col min="3587" max="3587" width="15.85546875" style="4" customWidth="1"/>
    <col min="3588" max="3588" width="32.85546875" style="4" customWidth="1"/>
    <col min="3589" max="3589" width="16.28515625" style="4" customWidth="1"/>
    <col min="3590" max="3590" width="40.85546875" style="4" customWidth="1"/>
    <col min="3591" max="3591" width="20" style="4" customWidth="1"/>
    <col min="3592" max="3592" width="24.85546875" style="4" customWidth="1"/>
    <col min="3593" max="3593" width="48.140625" style="4" customWidth="1"/>
    <col min="3594" max="3594" width="16.140625" style="4" customWidth="1"/>
    <col min="3595" max="3595" width="15.28515625" style="4" customWidth="1"/>
    <col min="3596" max="3839" width="9.140625" style="4"/>
    <col min="3840" max="3840" width="18.7109375" style="4" bestFit="1" customWidth="1"/>
    <col min="3841" max="3841" width="37.28515625" style="4" customWidth="1"/>
    <col min="3842" max="3842" width="9.28515625" style="4" bestFit="1" customWidth="1"/>
    <col min="3843" max="3843" width="15.85546875" style="4" customWidth="1"/>
    <col min="3844" max="3844" width="32.85546875" style="4" customWidth="1"/>
    <col min="3845" max="3845" width="16.28515625" style="4" customWidth="1"/>
    <col min="3846" max="3846" width="40.85546875" style="4" customWidth="1"/>
    <col min="3847" max="3847" width="20" style="4" customWidth="1"/>
    <col min="3848" max="3848" width="24.85546875" style="4" customWidth="1"/>
    <col min="3849" max="3849" width="48.140625" style="4" customWidth="1"/>
    <col min="3850" max="3850" width="16.140625" style="4" customWidth="1"/>
    <col min="3851" max="3851" width="15.28515625" style="4" customWidth="1"/>
    <col min="3852" max="4095" width="9.140625" style="4"/>
    <col min="4096" max="4096" width="18.7109375" style="4" bestFit="1" customWidth="1"/>
    <col min="4097" max="4097" width="37.28515625" style="4" customWidth="1"/>
    <col min="4098" max="4098" width="9.28515625" style="4" bestFit="1" customWidth="1"/>
    <col min="4099" max="4099" width="15.85546875" style="4" customWidth="1"/>
    <col min="4100" max="4100" width="32.85546875" style="4" customWidth="1"/>
    <col min="4101" max="4101" width="16.28515625" style="4" customWidth="1"/>
    <col min="4102" max="4102" width="40.85546875" style="4" customWidth="1"/>
    <col min="4103" max="4103" width="20" style="4" customWidth="1"/>
    <col min="4104" max="4104" width="24.85546875" style="4" customWidth="1"/>
    <col min="4105" max="4105" width="48.140625" style="4" customWidth="1"/>
    <col min="4106" max="4106" width="16.140625" style="4" customWidth="1"/>
    <col min="4107" max="4107" width="15.28515625" style="4" customWidth="1"/>
    <col min="4108" max="4351" width="9.140625" style="4"/>
    <col min="4352" max="4352" width="18.7109375" style="4" bestFit="1" customWidth="1"/>
    <col min="4353" max="4353" width="37.28515625" style="4" customWidth="1"/>
    <col min="4354" max="4354" width="9.28515625" style="4" bestFit="1" customWidth="1"/>
    <col min="4355" max="4355" width="15.85546875" style="4" customWidth="1"/>
    <col min="4356" max="4356" width="32.85546875" style="4" customWidth="1"/>
    <col min="4357" max="4357" width="16.28515625" style="4" customWidth="1"/>
    <col min="4358" max="4358" width="40.85546875" style="4" customWidth="1"/>
    <col min="4359" max="4359" width="20" style="4" customWidth="1"/>
    <col min="4360" max="4360" width="24.85546875" style="4" customWidth="1"/>
    <col min="4361" max="4361" width="48.140625" style="4" customWidth="1"/>
    <col min="4362" max="4362" width="16.140625" style="4" customWidth="1"/>
    <col min="4363" max="4363" width="15.28515625" style="4" customWidth="1"/>
    <col min="4364" max="4607" width="9.140625" style="4"/>
    <col min="4608" max="4608" width="18.7109375" style="4" bestFit="1" customWidth="1"/>
    <col min="4609" max="4609" width="37.28515625" style="4" customWidth="1"/>
    <col min="4610" max="4610" width="9.28515625" style="4" bestFit="1" customWidth="1"/>
    <col min="4611" max="4611" width="15.85546875" style="4" customWidth="1"/>
    <col min="4612" max="4612" width="32.85546875" style="4" customWidth="1"/>
    <col min="4613" max="4613" width="16.28515625" style="4" customWidth="1"/>
    <col min="4614" max="4614" width="40.85546875" style="4" customWidth="1"/>
    <col min="4615" max="4615" width="20" style="4" customWidth="1"/>
    <col min="4616" max="4616" width="24.85546875" style="4" customWidth="1"/>
    <col min="4617" max="4617" width="48.140625" style="4" customWidth="1"/>
    <col min="4618" max="4618" width="16.140625" style="4" customWidth="1"/>
    <col min="4619" max="4619" width="15.28515625" style="4" customWidth="1"/>
    <col min="4620" max="4863" width="9.140625" style="4"/>
    <col min="4864" max="4864" width="18.7109375" style="4" bestFit="1" customWidth="1"/>
    <col min="4865" max="4865" width="37.28515625" style="4" customWidth="1"/>
    <col min="4866" max="4866" width="9.28515625" style="4" bestFit="1" customWidth="1"/>
    <col min="4867" max="4867" width="15.85546875" style="4" customWidth="1"/>
    <col min="4868" max="4868" width="32.85546875" style="4" customWidth="1"/>
    <col min="4869" max="4869" width="16.28515625" style="4" customWidth="1"/>
    <col min="4870" max="4870" width="40.85546875" style="4" customWidth="1"/>
    <col min="4871" max="4871" width="20" style="4" customWidth="1"/>
    <col min="4872" max="4872" width="24.85546875" style="4" customWidth="1"/>
    <col min="4873" max="4873" width="48.140625" style="4" customWidth="1"/>
    <col min="4874" max="4874" width="16.140625" style="4" customWidth="1"/>
    <col min="4875" max="4875" width="15.28515625" style="4" customWidth="1"/>
    <col min="4876" max="5119" width="9.140625" style="4"/>
    <col min="5120" max="5120" width="18.7109375" style="4" bestFit="1" customWidth="1"/>
    <col min="5121" max="5121" width="37.28515625" style="4" customWidth="1"/>
    <col min="5122" max="5122" width="9.28515625" style="4" bestFit="1" customWidth="1"/>
    <col min="5123" max="5123" width="15.85546875" style="4" customWidth="1"/>
    <col min="5124" max="5124" width="32.85546875" style="4" customWidth="1"/>
    <col min="5125" max="5125" width="16.28515625" style="4" customWidth="1"/>
    <col min="5126" max="5126" width="40.85546875" style="4" customWidth="1"/>
    <col min="5127" max="5127" width="20" style="4" customWidth="1"/>
    <col min="5128" max="5128" width="24.85546875" style="4" customWidth="1"/>
    <col min="5129" max="5129" width="48.140625" style="4" customWidth="1"/>
    <col min="5130" max="5130" width="16.140625" style="4" customWidth="1"/>
    <col min="5131" max="5131" width="15.28515625" style="4" customWidth="1"/>
    <col min="5132" max="5375" width="9.140625" style="4"/>
    <col min="5376" max="5376" width="18.7109375" style="4" bestFit="1" customWidth="1"/>
    <col min="5377" max="5377" width="37.28515625" style="4" customWidth="1"/>
    <col min="5378" max="5378" width="9.28515625" style="4" bestFit="1" customWidth="1"/>
    <col min="5379" max="5379" width="15.85546875" style="4" customWidth="1"/>
    <col min="5380" max="5380" width="32.85546875" style="4" customWidth="1"/>
    <col min="5381" max="5381" width="16.28515625" style="4" customWidth="1"/>
    <col min="5382" max="5382" width="40.85546875" style="4" customWidth="1"/>
    <col min="5383" max="5383" width="20" style="4" customWidth="1"/>
    <col min="5384" max="5384" width="24.85546875" style="4" customWidth="1"/>
    <col min="5385" max="5385" width="48.140625" style="4" customWidth="1"/>
    <col min="5386" max="5386" width="16.140625" style="4" customWidth="1"/>
    <col min="5387" max="5387" width="15.28515625" style="4" customWidth="1"/>
    <col min="5388" max="5631" width="9.140625" style="4"/>
    <col min="5632" max="5632" width="18.7109375" style="4" bestFit="1" customWidth="1"/>
    <col min="5633" max="5633" width="37.28515625" style="4" customWidth="1"/>
    <col min="5634" max="5634" width="9.28515625" style="4" bestFit="1" customWidth="1"/>
    <col min="5635" max="5635" width="15.85546875" style="4" customWidth="1"/>
    <col min="5636" max="5636" width="32.85546875" style="4" customWidth="1"/>
    <col min="5637" max="5637" width="16.28515625" style="4" customWidth="1"/>
    <col min="5638" max="5638" width="40.85546875" style="4" customWidth="1"/>
    <col min="5639" max="5639" width="20" style="4" customWidth="1"/>
    <col min="5640" max="5640" width="24.85546875" style="4" customWidth="1"/>
    <col min="5641" max="5641" width="48.140625" style="4" customWidth="1"/>
    <col min="5642" max="5642" width="16.140625" style="4" customWidth="1"/>
    <col min="5643" max="5643" width="15.28515625" style="4" customWidth="1"/>
    <col min="5644" max="5887" width="9.140625" style="4"/>
    <col min="5888" max="5888" width="18.7109375" style="4" bestFit="1" customWidth="1"/>
    <col min="5889" max="5889" width="37.28515625" style="4" customWidth="1"/>
    <col min="5890" max="5890" width="9.28515625" style="4" bestFit="1" customWidth="1"/>
    <col min="5891" max="5891" width="15.85546875" style="4" customWidth="1"/>
    <col min="5892" max="5892" width="32.85546875" style="4" customWidth="1"/>
    <col min="5893" max="5893" width="16.28515625" style="4" customWidth="1"/>
    <col min="5894" max="5894" width="40.85546875" style="4" customWidth="1"/>
    <col min="5895" max="5895" width="20" style="4" customWidth="1"/>
    <col min="5896" max="5896" width="24.85546875" style="4" customWidth="1"/>
    <col min="5897" max="5897" width="48.140625" style="4" customWidth="1"/>
    <col min="5898" max="5898" width="16.140625" style="4" customWidth="1"/>
    <col min="5899" max="5899" width="15.28515625" style="4" customWidth="1"/>
    <col min="5900" max="6143" width="9.140625" style="4"/>
    <col min="6144" max="6144" width="18.7109375" style="4" bestFit="1" customWidth="1"/>
    <col min="6145" max="6145" width="37.28515625" style="4" customWidth="1"/>
    <col min="6146" max="6146" width="9.28515625" style="4" bestFit="1" customWidth="1"/>
    <col min="6147" max="6147" width="15.85546875" style="4" customWidth="1"/>
    <col min="6148" max="6148" width="32.85546875" style="4" customWidth="1"/>
    <col min="6149" max="6149" width="16.28515625" style="4" customWidth="1"/>
    <col min="6150" max="6150" width="40.85546875" style="4" customWidth="1"/>
    <col min="6151" max="6151" width="20" style="4" customWidth="1"/>
    <col min="6152" max="6152" width="24.85546875" style="4" customWidth="1"/>
    <col min="6153" max="6153" width="48.140625" style="4" customWidth="1"/>
    <col min="6154" max="6154" width="16.140625" style="4" customWidth="1"/>
    <col min="6155" max="6155" width="15.28515625" style="4" customWidth="1"/>
    <col min="6156" max="6399" width="9.140625" style="4"/>
    <col min="6400" max="6400" width="18.7109375" style="4" bestFit="1" customWidth="1"/>
    <col min="6401" max="6401" width="37.28515625" style="4" customWidth="1"/>
    <col min="6402" max="6402" width="9.28515625" style="4" bestFit="1" customWidth="1"/>
    <col min="6403" max="6403" width="15.85546875" style="4" customWidth="1"/>
    <col min="6404" max="6404" width="32.85546875" style="4" customWidth="1"/>
    <col min="6405" max="6405" width="16.28515625" style="4" customWidth="1"/>
    <col min="6406" max="6406" width="40.85546875" style="4" customWidth="1"/>
    <col min="6407" max="6407" width="20" style="4" customWidth="1"/>
    <col min="6408" max="6408" width="24.85546875" style="4" customWidth="1"/>
    <col min="6409" max="6409" width="48.140625" style="4" customWidth="1"/>
    <col min="6410" max="6410" width="16.140625" style="4" customWidth="1"/>
    <col min="6411" max="6411" width="15.28515625" style="4" customWidth="1"/>
    <col min="6412" max="6655" width="9.140625" style="4"/>
    <col min="6656" max="6656" width="18.7109375" style="4" bestFit="1" customWidth="1"/>
    <col min="6657" max="6657" width="37.28515625" style="4" customWidth="1"/>
    <col min="6658" max="6658" width="9.28515625" style="4" bestFit="1" customWidth="1"/>
    <col min="6659" max="6659" width="15.85546875" style="4" customWidth="1"/>
    <col min="6660" max="6660" width="32.85546875" style="4" customWidth="1"/>
    <col min="6661" max="6661" width="16.28515625" style="4" customWidth="1"/>
    <col min="6662" max="6662" width="40.85546875" style="4" customWidth="1"/>
    <col min="6663" max="6663" width="20" style="4" customWidth="1"/>
    <col min="6664" max="6664" width="24.85546875" style="4" customWidth="1"/>
    <col min="6665" max="6665" width="48.140625" style="4" customWidth="1"/>
    <col min="6666" max="6666" width="16.140625" style="4" customWidth="1"/>
    <col min="6667" max="6667" width="15.28515625" style="4" customWidth="1"/>
    <col min="6668" max="6911" width="9.140625" style="4"/>
    <col min="6912" max="6912" width="18.7109375" style="4" bestFit="1" customWidth="1"/>
    <col min="6913" max="6913" width="37.28515625" style="4" customWidth="1"/>
    <col min="6914" max="6914" width="9.28515625" style="4" bestFit="1" customWidth="1"/>
    <col min="6915" max="6915" width="15.85546875" style="4" customWidth="1"/>
    <col min="6916" max="6916" width="32.85546875" style="4" customWidth="1"/>
    <col min="6917" max="6917" width="16.28515625" style="4" customWidth="1"/>
    <col min="6918" max="6918" width="40.85546875" style="4" customWidth="1"/>
    <col min="6919" max="6919" width="20" style="4" customWidth="1"/>
    <col min="6920" max="6920" width="24.85546875" style="4" customWidth="1"/>
    <col min="6921" max="6921" width="48.140625" style="4" customWidth="1"/>
    <col min="6922" max="6922" width="16.140625" style="4" customWidth="1"/>
    <col min="6923" max="6923" width="15.28515625" style="4" customWidth="1"/>
    <col min="6924" max="7167" width="9.140625" style="4"/>
    <col min="7168" max="7168" width="18.7109375" style="4" bestFit="1" customWidth="1"/>
    <col min="7169" max="7169" width="37.28515625" style="4" customWidth="1"/>
    <col min="7170" max="7170" width="9.28515625" style="4" bestFit="1" customWidth="1"/>
    <col min="7171" max="7171" width="15.85546875" style="4" customWidth="1"/>
    <col min="7172" max="7172" width="32.85546875" style="4" customWidth="1"/>
    <col min="7173" max="7173" width="16.28515625" style="4" customWidth="1"/>
    <col min="7174" max="7174" width="40.85546875" style="4" customWidth="1"/>
    <col min="7175" max="7175" width="20" style="4" customWidth="1"/>
    <col min="7176" max="7176" width="24.85546875" style="4" customWidth="1"/>
    <col min="7177" max="7177" width="48.140625" style="4" customWidth="1"/>
    <col min="7178" max="7178" width="16.140625" style="4" customWidth="1"/>
    <col min="7179" max="7179" width="15.28515625" style="4" customWidth="1"/>
    <col min="7180" max="7423" width="9.140625" style="4"/>
    <col min="7424" max="7424" width="18.7109375" style="4" bestFit="1" customWidth="1"/>
    <col min="7425" max="7425" width="37.28515625" style="4" customWidth="1"/>
    <col min="7426" max="7426" width="9.28515625" style="4" bestFit="1" customWidth="1"/>
    <col min="7427" max="7427" width="15.85546875" style="4" customWidth="1"/>
    <col min="7428" max="7428" width="32.85546875" style="4" customWidth="1"/>
    <col min="7429" max="7429" width="16.28515625" style="4" customWidth="1"/>
    <col min="7430" max="7430" width="40.85546875" style="4" customWidth="1"/>
    <col min="7431" max="7431" width="20" style="4" customWidth="1"/>
    <col min="7432" max="7432" width="24.85546875" style="4" customWidth="1"/>
    <col min="7433" max="7433" width="48.140625" style="4" customWidth="1"/>
    <col min="7434" max="7434" width="16.140625" style="4" customWidth="1"/>
    <col min="7435" max="7435" width="15.28515625" style="4" customWidth="1"/>
    <col min="7436" max="7679" width="9.140625" style="4"/>
    <col min="7680" max="7680" width="18.7109375" style="4" bestFit="1" customWidth="1"/>
    <col min="7681" max="7681" width="37.28515625" style="4" customWidth="1"/>
    <col min="7682" max="7682" width="9.28515625" style="4" bestFit="1" customWidth="1"/>
    <col min="7683" max="7683" width="15.85546875" style="4" customWidth="1"/>
    <col min="7684" max="7684" width="32.85546875" style="4" customWidth="1"/>
    <col min="7685" max="7685" width="16.28515625" style="4" customWidth="1"/>
    <col min="7686" max="7686" width="40.85546875" style="4" customWidth="1"/>
    <col min="7687" max="7687" width="20" style="4" customWidth="1"/>
    <col min="7688" max="7688" width="24.85546875" style="4" customWidth="1"/>
    <col min="7689" max="7689" width="48.140625" style="4" customWidth="1"/>
    <col min="7690" max="7690" width="16.140625" style="4" customWidth="1"/>
    <col min="7691" max="7691" width="15.28515625" style="4" customWidth="1"/>
    <col min="7692" max="7935" width="9.140625" style="4"/>
    <col min="7936" max="7936" width="18.7109375" style="4" bestFit="1" customWidth="1"/>
    <col min="7937" max="7937" width="37.28515625" style="4" customWidth="1"/>
    <col min="7938" max="7938" width="9.28515625" style="4" bestFit="1" customWidth="1"/>
    <col min="7939" max="7939" width="15.85546875" style="4" customWidth="1"/>
    <col min="7940" max="7940" width="32.85546875" style="4" customWidth="1"/>
    <col min="7941" max="7941" width="16.28515625" style="4" customWidth="1"/>
    <col min="7942" max="7942" width="40.85546875" style="4" customWidth="1"/>
    <col min="7943" max="7943" width="20" style="4" customWidth="1"/>
    <col min="7944" max="7944" width="24.85546875" style="4" customWidth="1"/>
    <col min="7945" max="7945" width="48.140625" style="4" customWidth="1"/>
    <col min="7946" max="7946" width="16.140625" style="4" customWidth="1"/>
    <col min="7947" max="7947" width="15.28515625" style="4" customWidth="1"/>
    <col min="7948" max="8191" width="9.140625" style="4"/>
    <col min="8192" max="8192" width="18.7109375" style="4" bestFit="1" customWidth="1"/>
    <col min="8193" max="8193" width="37.28515625" style="4" customWidth="1"/>
    <col min="8194" max="8194" width="9.28515625" style="4" bestFit="1" customWidth="1"/>
    <col min="8195" max="8195" width="15.85546875" style="4" customWidth="1"/>
    <col min="8196" max="8196" width="32.85546875" style="4" customWidth="1"/>
    <col min="8197" max="8197" width="16.28515625" style="4" customWidth="1"/>
    <col min="8198" max="8198" width="40.85546875" style="4" customWidth="1"/>
    <col min="8199" max="8199" width="20" style="4" customWidth="1"/>
    <col min="8200" max="8200" width="24.85546875" style="4" customWidth="1"/>
    <col min="8201" max="8201" width="48.140625" style="4" customWidth="1"/>
    <col min="8202" max="8202" width="16.140625" style="4" customWidth="1"/>
    <col min="8203" max="8203" width="15.28515625" style="4" customWidth="1"/>
    <col min="8204" max="8447" width="9.140625" style="4"/>
    <col min="8448" max="8448" width="18.7109375" style="4" bestFit="1" customWidth="1"/>
    <col min="8449" max="8449" width="37.28515625" style="4" customWidth="1"/>
    <col min="8450" max="8450" width="9.28515625" style="4" bestFit="1" customWidth="1"/>
    <col min="8451" max="8451" width="15.85546875" style="4" customWidth="1"/>
    <col min="8452" max="8452" width="32.85546875" style="4" customWidth="1"/>
    <col min="8453" max="8453" width="16.28515625" style="4" customWidth="1"/>
    <col min="8454" max="8454" width="40.85546875" style="4" customWidth="1"/>
    <col min="8455" max="8455" width="20" style="4" customWidth="1"/>
    <col min="8456" max="8456" width="24.85546875" style="4" customWidth="1"/>
    <col min="8457" max="8457" width="48.140625" style="4" customWidth="1"/>
    <col min="8458" max="8458" width="16.140625" style="4" customWidth="1"/>
    <col min="8459" max="8459" width="15.28515625" style="4" customWidth="1"/>
    <col min="8460" max="8703" width="9.140625" style="4"/>
    <col min="8704" max="8704" width="18.7109375" style="4" bestFit="1" customWidth="1"/>
    <col min="8705" max="8705" width="37.28515625" style="4" customWidth="1"/>
    <col min="8706" max="8706" width="9.28515625" style="4" bestFit="1" customWidth="1"/>
    <col min="8707" max="8707" width="15.85546875" style="4" customWidth="1"/>
    <col min="8708" max="8708" width="32.85546875" style="4" customWidth="1"/>
    <col min="8709" max="8709" width="16.28515625" style="4" customWidth="1"/>
    <col min="8710" max="8710" width="40.85546875" style="4" customWidth="1"/>
    <col min="8711" max="8711" width="20" style="4" customWidth="1"/>
    <col min="8712" max="8712" width="24.85546875" style="4" customWidth="1"/>
    <col min="8713" max="8713" width="48.140625" style="4" customWidth="1"/>
    <col min="8714" max="8714" width="16.140625" style="4" customWidth="1"/>
    <col min="8715" max="8715" width="15.28515625" style="4" customWidth="1"/>
    <col min="8716" max="8959" width="9.140625" style="4"/>
    <col min="8960" max="8960" width="18.7109375" style="4" bestFit="1" customWidth="1"/>
    <col min="8961" max="8961" width="37.28515625" style="4" customWidth="1"/>
    <col min="8962" max="8962" width="9.28515625" style="4" bestFit="1" customWidth="1"/>
    <col min="8963" max="8963" width="15.85546875" style="4" customWidth="1"/>
    <col min="8964" max="8964" width="32.85546875" style="4" customWidth="1"/>
    <col min="8965" max="8965" width="16.28515625" style="4" customWidth="1"/>
    <col min="8966" max="8966" width="40.85546875" style="4" customWidth="1"/>
    <col min="8967" max="8967" width="20" style="4" customWidth="1"/>
    <col min="8968" max="8968" width="24.85546875" style="4" customWidth="1"/>
    <col min="8969" max="8969" width="48.140625" style="4" customWidth="1"/>
    <col min="8970" max="8970" width="16.140625" style="4" customWidth="1"/>
    <col min="8971" max="8971" width="15.28515625" style="4" customWidth="1"/>
    <col min="8972" max="9215" width="9.140625" style="4"/>
    <col min="9216" max="9216" width="18.7109375" style="4" bestFit="1" customWidth="1"/>
    <col min="9217" max="9217" width="37.28515625" style="4" customWidth="1"/>
    <col min="9218" max="9218" width="9.28515625" style="4" bestFit="1" customWidth="1"/>
    <col min="9219" max="9219" width="15.85546875" style="4" customWidth="1"/>
    <col min="9220" max="9220" width="32.85546875" style="4" customWidth="1"/>
    <col min="9221" max="9221" width="16.28515625" style="4" customWidth="1"/>
    <col min="9222" max="9222" width="40.85546875" style="4" customWidth="1"/>
    <col min="9223" max="9223" width="20" style="4" customWidth="1"/>
    <col min="9224" max="9224" width="24.85546875" style="4" customWidth="1"/>
    <col min="9225" max="9225" width="48.140625" style="4" customWidth="1"/>
    <col min="9226" max="9226" width="16.140625" style="4" customWidth="1"/>
    <col min="9227" max="9227" width="15.28515625" style="4" customWidth="1"/>
    <col min="9228" max="9471" width="9.140625" style="4"/>
    <col min="9472" max="9472" width="18.7109375" style="4" bestFit="1" customWidth="1"/>
    <col min="9473" max="9473" width="37.28515625" style="4" customWidth="1"/>
    <col min="9474" max="9474" width="9.28515625" style="4" bestFit="1" customWidth="1"/>
    <col min="9475" max="9475" width="15.85546875" style="4" customWidth="1"/>
    <col min="9476" max="9476" width="32.85546875" style="4" customWidth="1"/>
    <col min="9477" max="9477" width="16.28515625" style="4" customWidth="1"/>
    <col min="9478" max="9478" width="40.85546875" style="4" customWidth="1"/>
    <col min="9479" max="9479" width="20" style="4" customWidth="1"/>
    <col min="9480" max="9480" width="24.85546875" style="4" customWidth="1"/>
    <col min="9481" max="9481" width="48.140625" style="4" customWidth="1"/>
    <col min="9482" max="9482" width="16.140625" style="4" customWidth="1"/>
    <col min="9483" max="9483" width="15.28515625" style="4" customWidth="1"/>
    <col min="9484" max="9727" width="9.140625" style="4"/>
    <col min="9728" max="9728" width="18.7109375" style="4" bestFit="1" customWidth="1"/>
    <col min="9729" max="9729" width="37.28515625" style="4" customWidth="1"/>
    <col min="9730" max="9730" width="9.28515625" style="4" bestFit="1" customWidth="1"/>
    <col min="9731" max="9731" width="15.85546875" style="4" customWidth="1"/>
    <col min="9732" max="9732" width="32.85546875" style="4" customWidth="1"/>
    <col min="9733" max="9733" width="16.28515625" style="4" customWidth="1"/>
    <col min="9734" max="9734" width="40.85546875" style="4" customWidth="1"/>
    <col min="9735" max="9735" width="20" style="4" customWidth="1"/>
    <col min="9736" max="9736" width="24.85546875" style="4" customWidth="1"/>
    <col min="9737" max="9737" width="48.140625" style="4" customWidth="1"/>
    <col min="9738" max="9738" width="16.140625" style="4" customWidth="1"/>
    <col min="9739" max="9739" width="15.28515625" style="4" customWidth="1"/>
    <col min="9740" max="9983" width="9.140625" style="4"/>
    <col min="9984" max="9984" width="18.7109375" style="4" bestFit="1" customWidth="1"/>
    <col min="9985" max="9985" width="37.28515625" style="4" customWidth="1"/>
    <col min="9986" max="9986" width="9.28515625" style="4" bestFit="1" customWidth="1"/>
    <col min="9987" max="9987" width="15.85546875" style="4" customWidth="1"/>
    <col min="9988" max="9988" width="32.85546875" style="4" customWidth="1"/>
    <col min="9989" max="9989" width="16.28515625" style="4" customWidth="1"/>
    <col min="9990" max="9990" width="40.85546875" style="4" customWidth="1"/>
    <col min="9991" max="9991" width="20" style="4" customWidth="1"/>
    <col min="9992" max="9992" width="24.85546875" style="4" customWidth="1"/>
    <col min="9993" max="9993" width="48.140625" style="4" customWidth="1"/>
    <col min="9994" max="9994" width="16.140625" style="4" customWidth="1"/>
    <col min="9995" max="9995" width="15.28515625" style="4" customWidth="1"/>
    <col min="9996" max="10239" width="9.140625" style="4"/>
    <col min="10240" max="10240" width="18.7109375" style="4" bestFit="1" customWidth="1"/>
    <col min="10241" max="10241" width="37.28515625" style="4" customWidth="1"/>
    <col min="10242" max="10242" width="9.28515625" style="4" bestFit="1" customWidth="1"/>
    <col min="10243" max="10243" width="15.85546875" style="4" customWidth="1"/>
    <col min="10244" max="10244" width="32.85546875" style="4" customWidth="1"/>
    <col min="10245" max="10245" width="16.28515625" style="4" customWidth="1"/>
    <col min="10246" max="10246" width="40.85546875" style="4" customWidth="1"/>
    <col min="10247" max="10247" width="20" style="4" customWidth="1"/>
    <col min="10248" max="10248" width="24.85546875" style="4" customWidth="1"/>
    <col min="10249" max="10249" width="48.140625" style="4" customWidth="1"/>
    <col min="10250" max="10250" width="16.140625" style="4" customWidth="1"/>
    <col min="10251" max="10251" width="15.28515625" style="4" customWidth="1"/>
    <col min="10252" max="10495" width="9.140625" style="4"/>
    <col min="10496" max="10496" width="18.7109375" style="4" bestFit="1" customWidth="1"/>
    <col min="10497" max="10497" width="37.28515625" style="4" customWidth="1"/>
    <col min="10498" max="10498" width="9.28515625" style="4" bestFit="1" customWidth="1"/>
    <col min="10499" max="10499" width="15.85546875" style="4" customWidth="1"/>
    <col min="10500" max="10500" width="32.85546875" style="4" customWidth="1"/>
    <col min="10501" max="10501" width="16.28515625" style="4" customWidth="1"/>
    <col min="10502" max="10502" width="40.85546875" style="4" customWidth="1"/>
    <col min="10503" max="10503" width="20" style="4" customWidth="1"/>
    <col min="10504" max="10504" width="24.85546875" style="4" customWidth="1"/>
    <col min="10505" max="10505" width="48.140625" style="4" customWidth="1"/>
    <col min="10506" max="10506" width="16.140625" style="4" customWidth="1"/>
    <col min="10507" max="10507" width="15.28515625" style="4" customWidth="1"/>
    <col min="10508" max="10751" width="9.140625" style="4"/>
    <col min="10752" max="10752" width="18.7109375" style="4" bestFit="1" customWidth="1"/>
    <col min="10753" max="10753" width="37.28515625" style="4" customWidth="1"/>
    <col min="10754" max="10754" width="9.28515625" style="4" bestFit="1" customWidth="1"/>
    <col min="10755" max="10755" width="15.85546875" style="4" customWidth="1"/>
    <col min="10756" max="10756" width="32.85546875" style="4" customWidth="1"/>
    <col min="10757" max="10757" width="16.28515625" style="4" customWidth="1"/>
    <col min="10758" max="10758" width="40.85546875" style="4" customWidth="1"/>
    <col min="10759" max="10759" width="20" style="4" customWidth="1"/>
    <col min="10760" max="10760" width="24.85546875" style="4" customWidth="1"/>
    <col min="10761" max="10761" width="48.140625" style="4" customWidth="1"/>
    <col min="10762" max="10762" width="16.140625" style="4" customWidth="1"/>
    <col min="10763" max="10763" width="15.28515625" style="4" customWidth="1"/>
    <col min="10764" max="11007" width="9.140625" style="4"/>
    <col min="11008" max="11008" width="18.7109375" style="4" bestFit="1" customWidth="1"/>
    <col min="11009" max="11009" width="37.28515625" style="4" customWidth="1"/>
    <col min="11010" max="11010" width="9.28515625" style="4" bestFit="1" customWidth="1"/>
    <col min="11011" max="11011" width="15.85546875" style="4" customWidth="1"/>
    <col min="11012" max="11012" width="32.85546875" style="4" customWidth="1"/>
    <col min="11013" max="11013" width="16.28515625" style="4" customWidth="1"/>
    <col min="11014" max="11014" width="40.85546875" style="4" customWidth="1"/>
    <col min="11015" max="11015" width="20" style="4" customWidth="1"/>
    <col min="11016" max="11016" width="24.85546875" style="4" customWidth="1"/>
    <col min="11017" max="11017" width="48.140625" style="4" customWidth="1"/>
    <col min="11018" max="11018" width="16.140625" style="4" customWidth="1"/>
    <col min="11019" max="11019" width="15.28515625" style="4" customWidth="1"/>
    <col min="11020" max="11263" width="9.140625" style="4"/>
    <col min="11264" max="11264" width="18.7109375" style="4" bestFit="1" customWidth="1"/>
    <col min="11265" max="11265" width="37.28515625" style="4" customWidth="1"/>
    <col min="11266" max="11266" width="9.28515625" style="4" bestFit="1" customWidth="1"/>
    <col min="11267" max="11267" width="15.85546875" style="4" customWidth="1"/>
    <col min="11268" max="11268" width="32.85546875" style="4" customWidth="1"/>
    <col min="11269" max="11269" width="16.28515625" style="4" customWidth="1"/>
    <col min="11270" max="11270" width="40.85546875" style="4" customWidth="1"/>
    <col min="11271" max="11271" width="20" style="4" customWidth="1"/>
    <col min="11272" max="11272" width="24.85546875" style="4" customWidth="1"/>
    <col min="11273" max="11273" width="48.140625" style="4" customWidth="1"/>
    <col min="11274" max="11274" width="16.140625" style="4" customWidth="1"/>
    <col min="11275" max="11275" width="15.28515625" style="4" customWidth="1"/>
    <col min="11276" max="11519" width="9.140625" style="4"/>
    <col min="11520" max="11520" width="18.7109375" style="4" bestFit="1" customWidth="1"/>
    <col min="11521" max="11521" width="37.28515625" style="4" customWidth="1"/>
    <col min="11522" max="11522" width="9.28515625" style="4" bestFit="1" customWidth="1"/>
    <col min="11523" max="11523" width="15.85546875" style="4" customWidth="1"/>
    <col min="11524" max="11524" width="32.85546875" style="4" customWidth="1"/>
    <col min="11525" max="11525" width="16.28515625" style="4" customWidth="1"/>
    <col min="11526" max="11526" width="40.85546875" style="4" customWidth="1"/>
    <col min="11527" max="11527" width="20" style="4" customWidth="1"/>
    <col min="11528" max="11528" width="24.85546875" style="4" customWidth="1"/>
    <col min="11529" max="11529" width="48.140625" style="4" customWidth="1"/>
    <col min="11530" max="11530" width="16.140625" style="4" customWidth="1"/>
    <col min="11531" max="11531" width="15.28515625" style="4" customWidth="1"/>
    <col min="11532" max="11775" width="9.140625" style="4"/>
    <col min="11776" max="11776" width="18.7109375" style="4" bestFit="1" customWidth="1"/>
    <col min="11777" max="11777" width="37.28515625" style="4" customWidth="1"/>
    <col min="11778" max="11778" width="9.28515625" style="4" bestFit="1" customWidth="1"/>
    <col min="11779" max="11779" width="15.85546875" style="4" customWidth="1"/>
    <col min="11780" max="11780" width="32.85546875" style="4" customWidth="1"/>
    <col min="11781" max="11781" width="16.28515625" style="4" customWidth="1"/>
    <col min="11782" max="11782" width="40.85546875" style="4" customWidth="1"/>
    <col min="11783" max="11783" width="20" style="4" customWidth="1"/>
    <col min="11784" max="11784" width="24.85546875" style="4" customWidth="1"/>
    <col min="11785" max="11785" width="48.140625" style="4" customWidth="1"/>
    <col min="11786" max="11786" width="16.140625" style="4" customWidth="1"/>
    <col min="11787" max="11787" width="15.28515625" style="4" customWidth="1"/>
    <col min="11788" max="12031" width="9.140625" style="4"/>
    <col min="12032" max="12032" width="18.7109375" style="4" bestFit="1" customWidth="1"/>
    <col min="12033" max="12033" width="37.28515625" style="4" customWidth="1"/>
    <col min="12034" max="12034" width="9.28515625" style="4" bestFit="1" customWidth="1"/>
    <col min="12035" max="12035" width="15.85546875" style="4" customWidth="1"/>
    <col min="12036" max="12036" width="32.85546875" style="4" customWidth="1"/>
    <col min="12037" max="12037" width="16.28515625" style="4" customWidth="1"/>
    <col min="12038" max="12038" width="40.85546875" style="4" customWidth="1"/>
    <col min="12039" max="12039" width="20" style="4" customWidth="1"/>
    <col min="12040" max="12040" width="24.85546875" style="4" customWidth="1"/>
    <col min="12041" max="12041" width="48.140625" style="4" customWidth="1"/>
    <col min="12042" max="12042" width="16.140625" style="4" customWidth="1"/>
    <col min="12043" max="12043" width="15.28515625" style="4" customWidth="1"/>
    <col min="12044" max="12287" width="9.140625" style="4"/>
    <col min="12288" max="12288" width="18.7109375" style="4" bestFit="1" customWidth="1"/>
    <col min="12289" max="12289" width="37.28515625" style="4" customWidth="1"/>
    <col min="12290" max="12290" width="9.28515625" style="4" bestFit="1" customWidth="1"/>
    <col min="12291" max="12291" width="15.85546875" style="4" customWidth="1"/>
    <col min="12292" max="12292" width="32.85546875" style="4" customWidth="1"/>
    <col min="12293" max="12293" width="16.28515625" style="4" customWidth="1"/>
    <col min="12294" max="12294" width="40.85546875" style="4" customWidth="1"/>
    <col min="12295" max="12295" width="20" style="4" customWidth="1"/>
    <col min="12296" max="12296" width="24.85546875" style="4" customWidth="1"/>
    <col min="12297" max="12297" width="48.140625" style="4" customWidth="1"/>
    <col min="12298" max="12298" width="16.140625" style="4" customWidth="1"/>
    <col min="12299" max="12299" width="15.28515625" style="4" customWidth="1"/>
    <col min="12300" max="12543" width="9.140625" style="4"/>
    <col min="12544" max="12544" width="18.7109375" style="4" bestFit="1" customWidth="1"/>
    <col min="12545" max="12545" width="37.28515625" style="4" customWidth="1"/>
    <col min="12546" max="12546" width="9.28515625" style="4" bestFit="1" customWidth="1"/>
    <col min="12547" max="12547" width="15.85546875" style="4" customWidth="1"/>
    <col min="12548" max="12548" width="32.85546875" style="4" customWidth="1"/>
    <col min="12549" max="12549" width="16.28515625" style="4" customWidth="1"/>
    <col min="12550" max="12550" width="40.85546875" style="4" customWidth="1"/>
    <col min="12551" max="12551" width="20" style="4" customWidth="1"/>
    <col min="12552" max="12552" width="24.85546875" style="4" customWidth="1"/>
    <col min="12553" max="12553" width="48.140625" style="4" customWidth="1"/>
    <col min="12554" max="12554" width="16.140625" style="4" customWidth="1"/>
    <col min="12555" max="12555" width="15.28515625" style="4" customWidth="1"/>
    <col min="12556" max="12799" width="9.140625" style="4"/>
    <col min="12800" max="12800" width="18.7109375" style="4" bestFit="1" customWidth="1"/>
    <col min="12801" max="12801" width="37.28515625" style="4" customWidth="1"/>
    <col min="12802" max="12802" width="9.28515625" style="4" bestFit="1" customWidth="1"/>
    <col min="12803" max="12803" width="15.85546875" style="4" customWidth="1"/>
    <col min="12804" max="12804" width="32.85546875" style="4" customWidth="1"/>
    <col min="12805" max="12805" width="16.28515625" style="4" customWidth="1"/>
    <col min="12806" max="12806" width="40.85546875" style="4" customWidth="1"/>
    <col min="12807" max="12807" width="20" style="4" customWidth="1"/>
    <col min="12808" max="12808" width="24.85546875" style="4" customWidth="1"/>
    <col min="12809" max="12809" width="48.140625" style="4" customWidth="1"/>
    <col min="12810" max="12810" width="16.140625" style="4" customWidth="1"/>
    <col min="12811" max="12811" width="15.28515625" style="4" customWidth="1"/>
    <col min="12812" max="13055" width="9.140625" style="4"/>
    <col min="13056" max="13056" width="18.7109375" style="4" bestFit="1" customWidth="1"/>
    <col min="13057" max="13057" width="37.28515625" style="4" customWidth="1"/>
    <col min="13058" max="13058" width="9.28515625" style="4" bestFit="1" customWidth="1"/>
    <col min="13059" max="13059" width="15.85546875" style="4" customWidth="1"/>
    <col min="13060" max="13060" width="32.85546875" style="4" customWidth="1"/>
    <col min="13061" max="13061" width="16.28515625" style="4" customWidth="1"/>
    <col min="13062" max="13062" width="40.85546875" style="4" customWidth="1"/>
    <col min="13063" max="13063" width="20" style="4" customWidth="1"/>
    <col min="13064" max="13064" width="24.85546875" style="4" customWidth="1"/>
    <col min="13065" max="13065" width="48.140625" style="4" customWidth="1"/>
    <col min="13066" max="13066" width="16.140625" style="4" customWidth="1"/>
    <col min="13067" max="13067" width="15.28515625" style="4" customWidth="1"/>
    <col min="13068" max="13311" width="9.140625" style="4"/>
    <col min="13312" max="13312" width="18.7109375" style="4" bestFit="1" customWidth="1"/>
    <col min="13313" max="13313" width="37.28515625" style="4" customWidth="1"/>
    <col min="13314" max="13314" width="9.28515625" style="4" bestFit="1" customWidth="1"/>
    <col min="13315" max="13315" width="15.85546875" style="4" customWidth="1"/>
    <col min="13316" max="13316" width="32.85546875" style="4" customWidth="1"/>
    <col min="13317" max="13317" width="16.28515625" style="4" customWidth="1"/>
    <col min="13318" max="13318" width="40.85546875" style="4" customWidth="1"/>
    <col min="13319" max="13319" width="20" style="4" customWidth="1"/>
    <col min="13320" max="13320" width="24.85546875" style="4" customWidth="1"/>
    <col min="13321" max="13321" width="48.140625" style="4" customWidth="1"/>
    <col min="13322" max="13322" width="16.140625" style="4" customWidth="1"/>
    <col min="13323" max="13323" width="15.28515625" style="4" customWidth="1"/>
    <col min="13324" max="13567" width="9.140625" style="4"/>
    <col min="13568" max="13568" width="18.7109375" style="4" bestFit="1" customWidth="1"/>
    <col min="13569" max="13569" width="37.28515625" style="4" customWidth="1"/>
    <col min="13570" max="13570" width="9.28515625" style="4" bestFit="1" customWidth="1"/>
    <col min="13571" max="13571" width="15.85546875" style="4" customWidth="1"/>
    <col min="13572" max="13572" width="32.85546875" style="4" customWidth="1"/>
    <col min="13573" max="13573" width="16.28515625" style="4" customWidth="1"/>
    <col min="13574" max="13574" width="40.85546875" style="4" customWidth="1"/>
    <col min="13575" max="13575" width="20" style="4" customWidth="1"/>
    <col min="13576" max="13576" width="24.85546875" style="4" customWidth="1"/>
    <col min="13577" max="13577" width="48.140625" style="4" customWidth="1"/>
    <col min="13578" max="13578" width="16.140625" style="4" customWidth="1"/>
    <col min="13579" max="13579" width="15.28515625" style="4" customWidth="1"/>
    <col min="13580" max="13823" width="9.140625" style="4"/>
    <col min="13824" max="13824" width="18.7109375" style="4" bestFit="1" customWidth="1"/>
    <col min="13825" max="13825" width="37.28515625" style="4" customWidth="1"/>
    <col min="13826" max="13826" width="9.28515625" style="4" bestFit="1" customWidth="1"/>
    <col min="13827" max="13827" width="15.85546875" style="4" customWidth="1"/>
    <col min="13828" max="13828" width="32.85546875" style="4" customWidth="1"/>
    <col min="13829" max="13829" width="16.28515625" style="4" customWidth="1"/>
    <col min="13830" max="13830" width="40.85546875" style="4" customWidth="1"/>
    <col min="13831" max="13831" width="20" style="4" customWidth="1"/>
    <col min="13832" max="13832" width="24.85546875" style="4" customWidth="1"/>
    <col min="13833" max="13833" width="48.140625" style="4" customWidth="1"/>
    <col min="13834" max="13834" width="16.140625" style="4" customWidth="1"/>
    <col min="13835" max="13835" width="15.28515625" style="4" customWidth="1"/>
    <col min="13836" max="14079" width="9.140625" style="4"/>
    <col min="14080" max="14080" width="18.7109375" style="4" bestFit="1" customWidth="1"/>
    <col min="14081" max="14081" width="37.28515625" style="4" customWidth="1"/>
    <col min="14082" max="14082" width="9.28515625" style="4" bestFit="1" customWidth="1"/>
    <col min="14083" max="14083" width="15.85546875" style="4" customWidth="1"/>
    <col min="14084" max="14084" width="32.85546875" style="4" customWidth="1"/>
    <col min="14085" max="14085" width="16.28515625" style="4" customWidth="1"/>
    <col min="14086" max="14086" width="40.85546875" style="4" customWidth="1"/>
    <col min="14087" max="14087" width="20" style="4" customWidth="1"/>
    <col min="14088" max="14088" width="24.85546875" style="4" customWidth="1"/>
    <col min="14089" max="14089" width="48.140625" style="4" customWidth="1"/>
    <col min="14090" max="14090" width="16.140625" style="4" customWidth="1"/>
    <col min="14091" max="14091" width="15.28515625" style="4" customWidth="1"/>
    <col min="14092" max="14335" width="9.140625" style="4"/>
    <col min="14336" max="14336" width="18.7109375" style="4" bestFit="1" customWidth="1"/>
    <col min="14337" max="14337" width="37.28515625" style="4" customWidth="1"/>
    <col min="14338" max="14338" width="9.28515625" style="4" bestFit="1" customWidth="1"/>
    <col min="14339" max="14339" width="15.85546875" style="4" customWidth="1"/>
    <col min="14340" max="14340" width="32.85546875" style="4" customWidth="1"/>
    <col min="14341" max="14341" width="16.28515625" style="4" customWidth="1"/>
    <col min="14342" max="14342" width="40.85546875" style="4" customWidth="1"/>
    <col min="14343" max="14343" width="20" style="4" customWidth="1"/>
    <col min="14344" max="14344" width="24.85546875" style="4" customWidth="1"/>
    <col min="14345" max="14345" width="48.140625" style="4" customWidth="1"/>
    <col min="14346" max="14346" width="16.140625" style="4" customWidth="1"/>
    <col min="14347" max="14347" width="15.28515625" style="4" customWidth="1"/>
    <col min="14348" max="14591" width="9.140625" style="4"/>
    <col min="14592" max="14592" width="18.7109375" style="4" bestFit="1" customWidth="1"/>
    <col min="14593" max="14593" width="37.28515625" style="4" customWidth="1"/>
    <col min="14594" max="14594" width="9.28515625" style="4" bestFit="1" customWidth="1"/>
    <col min="14595" max="14595" width="15.85546875" style="4" customWidth="1"/>
    <col min="14596" max="14596" width="32.85546875" style="4" customWidth="1"/>
    <col min="14597" max="14597" width="16.28515625" style="4" customWidth="1"/>
    <col min="14598" max="14598" width="40.85546875" style="4" customWidth="1"/>
    <col min="14599" max="14599" width="20" style="4" customWidth="1"/>
    <col min="14600" max="14600" width="24.85546875" style="4" customWidth="1"/>
    <col min="14601" max="14601" width="48.140625" style="4" customWidth="1"/>
    <col min="14602" max="14602" width="16.140625" style="4" customWidth="1"/>
    <col min="14603" max="14603" width="15.28515625" style="4" customWidth="1"/>
    <col min="14604" max="14847" width="9.140625" style="4"/>
    <col min="14848" max="14848" width="18.7109375" style="4" bestFit="1" customWidth="1"/>
    <col min="14849" max="14849" width="37.28515625" style="4" customWidth="1"/>
    <col min="14850" max="14850" width="9.28515625" style="4" bestFit="1" customWidth="1"/>
    <col min="14851" max="14851" width="15.85546875" style="4" customWidth="1"/>
    <col min="14852" max="14852" width="32.85546875" style="4" customWidth="1"/>
    <col min="14853" max="14853" width="16.28515625" style="4" customWidth="1"/>
    <col min="14854" max="14854" width="40.85546875" style="4" customWidth="1"/>
    <col min="14855" max="14855" width="20" style="4" customWidth="1"/>
    <col min="14856" max="14856" width="24.85546875" style="4" customWidth="1"/>
    <col min="14857" max="14857" width="48.140625" style="4" customWidth="1"/>
    <col min="14858" max="14858" width="16.140625" style="4" customWidth="1"/>
    <col min="14859" max="14859" width="15.28515625" style="4" customWidth="1"/>
    <col min="14860" max="15103" width="9.140625" style="4"/>
    <col min="15104" max="15104" width="18.7109375" style="4" bestFit="1" customWidth="1"/>
    <col min="15105" max="15105" width="37.28515625" style="4" customWidth="1"/>
    <col min="15106" max="15106" width="9.28515625" style="4" bestFit="1" customWidth="1"/>
    <col min="15107" max="15107" width="15.85546875" style="4" customWidth="1"/>
    <col min="15108" max="15108" width="32.85546875" style="4" customWidth="1"/>
    <col min="15109" max="15109" width="16.28515625" style="4" customWidth="1"/>
    <col min="15110" max="15110" width="40.85546875" style="4" customWidth="1"/>
    <col min="15111" max="15111" width="20" style="4" customWidth="1"/>
    <col min="15112" max="15112" width="24.85546875" style="4" customWidth="1"/>
    <col min="15113" max="15113" width="48.140625" style="4" customWidth="1"/>
    <col min="15114" max="15114" width="16.140625" style="4" customWidth="1"/>
    <col min="15115" max="15115" width="15.28515625" style="4" customWidth="1"/>
    <col min="15116" max="15359" width="9.140625" style="4"/>
    <col min="15360" max="15360" width="18.7109375" style="4" bestFit="1" customWidth="1"/>
    <col min="15361" max="15361" width="37.28515625" style="4" customWidth="1"/>
    <col min="15362" max="15362" width="9.28515625" style="4" bestFit="1" customWidth="1"/>
    <col min="15363" max="15363" width="15.85546875" style="4" customWidth="1"/>
    <col min="15364" max="15364" width="32.85546875" style="4" customWidth="1"/>
    <col min="15365" max="15365" width="16.28515625" style="4" customWidth="1"/>
    <col min="15366" max="15366" width="40.85546875" style="4" customWidth="1"/>
    <col min="15367" max="15367" width="20" style="4" customWidth="1"/>
    <col min="15368" max="15368" width="24.85546875" style="4" customWidth="1"/>
    <col min="15369" max="15369" width="48.140625" style="4" customWidth="1"/>
    <col min="15370" max="15370" width="16.140625" style="4" customWidth="1"/>
    <col min="15371" max="15371" width="15.28515625" style="4" customWidth="1"/>
    <col min="15372" max="15615" width="9.140625" style="4"/>
    <col min="15616" max="15616" width="18.7109375" style="4" bestFit="1" customWidth="1"/>
    <col min="15617" max="15617" width="37.28515625" style="4" customWidth="1"/>
    <col min="15618" max="15618" width="9.28515625" style="4" bestFit="1" customWidth="1"/>
    <col min="15619" max="15619" width="15.85546875" style="4" customWidth="1"/>
    <col min="15620" max="15620" width="32.85546875" style="4" customWidth="1"/>
    <col min="15621" max="15621" width="16.28515625" style="4" customWidth="1"/>
    <col min="15622" max="15622" width="40.85546875" style="4" customWidth="1"/>
    <col min="15623" max="15623" width="20" style="4" customWidth="1"/>
    <col min="15624" max="15624" width="24.85546875" style="4" customWidth="1"/>
    <col min="15625" max="15625" width="48.140625" style="4" customWidth="1"/>
    <col min="15626" max="15626" width="16.140625" style="4" customWidth="1"/>
    <col min="15627" max="15627" width="15.28515625" style="4" customWidth="1"/>
    <col min="15628" max="15871" width="9.140625" style="4"/>
    <col min="15872" max="15872" width="18.7109375" style="4" bestFit="1" customWidth="1"/>
    <col min="15873" max="15873" width="37.28515625" style="4" customWidth="1"/>
    <col min="15874" max="15874" width="9.28515625" style="4" bestFit="1" customWidth="1"/>
    <col min="15875" max="15875" width="15.85546875" style="4" customWidth="1"/>
    <col min="15876" max="15876" width="32.85546875" style="4" customWidth="1"/>
    <col min="15877" max="15877" width="16.28515625" style="4" customWidth="1"/>
    <col min="15878" max="15878" width="40.85546875" style="4" customWidth="1"/>
    <col min="15879" max="15879" width="20" style="4" customWidth="1"/>
    <col min="15880" max="15880" width="24.85546875" style="4" customWidth="1"/>
    <col min="15881" max="15881" width="48.140625" style="4" customWidth="1"/>
    <col min="15882" max="15882" width="16.140625" style="4" customWidth="1"/>
    <col min="15883" max="15883" width="15.28515625" style="4" customWidth="1"/>
    <col min="15884" max="16127" width="9.140625" style="4"/>
    <col min="16128" max="16128" width="18.7109375" style="4" bestFit="1" customWidth="1"/>
    <col min="16129" max="16129" width="37.28515625" style="4" customWidth="1"/>
    <col min="16130" max="16130" width="9.28515625" style="4" bestFit="1" customWidth="1"/>
    <col min="16131" max="16131" width="15.85546875" style="4" customWidth="1"/>
    <col min="16132" max="16132" width="32.85546875" style="4" customWidth="1"/>
    <col min="16133" max="16133" width="16.28515625" style="4" customWidth="1"/>
    <col min="16134" max="16134" width="40.85546875" style="4" customWidth="1"/>
    <col min="16135" max="16135" width="20" style="4" customWidth="1"/>
    <col min="16136" max="16136" width="24.85546875" style="4" customWidth="1"/>
    <col min="16137" max="16137" width="48.140625" style="4" customWidth="1"/>
    <col min="16138" max="16138" width="16.140625" style="4" customWidth="1"/>
    <col min="16139" max="16139" width="15.28515625" style="4" customWidth="1"/>
    <col min="16140" max="16384" width="9.140625" style="4"/>
  </cols>
  <sheetData>
    <row r="1" spans="1:11" ht="18" customHeight="1">
      <c r="B1" s="3024" t="s">
        <v>1349</v>
      </c>
      <c r="C1" s="3024"/>
      <c r="D1" s="3024"/>
    </row>
    <row r="2" spans="1:11" ht="21" customHeight="1">
      <c r="A2" s="3025" t="s">
        <v>247</v>
      </c>
      <c r="B2" s="3025"/>
      <c r="C2" s="3025"/>
      <c r="D2" s="3025"/>
      <c r="E2" s="3025"/>
      <c r="J2" s="244"/>
      <c r="K2" s="269"/>
    </row>
    <row r="3" spans="1:11" s="37" customFormat="1" ht="25.5">
      <c r="A3" s="961" t="s">
        <v>248</v>
      </c>
      <c r="B3" s="961" t="s">
        <v>249</v>
      </c>
      <c r="C3" s="961" t="s">
        <v>5</v>
      </c>
      <c r="D3" s="961" t="s">
        <v>1621</v>
      </c>
      <c r="E3" s="961" t="s">
        <v>250</v>
      </c>
      <c r="F3" s="3023" t="s">
        <v>251</v>
      </c>
      <c r="G3" s="3023"/>
    </row>
    <row r="4" spans="1:11" ht="20.25" customHeight="1">
      <c r="A4" s="962">
        <v>7130200201</v>
      </c>
      <c r="B4" s="963" t="s">
        <v>252</v>
      </c>
      <c r="C4" s="964" t="s">
        <v>76</v>
      </c>
      <c r="D4" s="965">
        <v>4073</v>
      </c>
      <c r="E4" s="966"/>
      <c r="F4" s="12"/>
      <c r="G4" s="270" t="s">
        <v>47</v>
      </c>
      <c r="H4" s="271"/>
    </row>
    <row r="5" spans="1:11" ht="30.75" customHeight="1">
      <c r="A5" s="962">
        <v>7130200001</v>
      </c>
      <c r="B5" s="963" t="s">
        <v>1369</v>
      </c>
      <c r="C5" s="964" t="s">
        <v>76</v>
      </c>
      <c r="D5" s="965">
        <v>3552</v>
      </c>
      <c r="E5" s="966"/>
      <c r="F5" s="328" t="s">
        <v>841</v>
      </c>
      <c r="G5" s="270" t="s">
        <v>1399</v>
      </c>
      <c r="H5" s="271"/>
    </row>
    <row r="6" spans="1:11" ht="25.5" customHeight="1">
      <c r="A6" s="964">
        <v>7130200202</v>
      </c>
      <c r="B6" s="963" t="s">
        <v>253</v>
      </c>
      <c r="C6" s="964" t="s">
        <v>76</v>
      </c>
      <c r="D6" s="965">
        <v>2970</v>
      </c>
      <c r="E6" s="966"/>
      <c r="F6" s="272" t="s">
        <v>62</v>
      </c>
      <c r="G6" s="270" t="s">
        <v>47</v>
      </c>
    </row>
    <row r="7" spans="1:11" ht="27" customHeight="1">
      <c r="A7" s="967">
        <v>7130200204</v>
      </c>
      <c r="B7" s="968" t="s">
        <v>254</v>
      </c>
      <c r="C7" s="969" t="s">
        <v>255</v>
      </c>
      <c r="D7" s="965">
        <v>200.46</v>
      </c>
      <c r="E7" s="968" t="s">
        <v>256</v>
      </c>
      <c r="F7" s="273"/>
    </row>
    <row r="8" spans="1:11" ht="16.5" customHeight="1">
      <c r="A8" s="967">
        <v>7130200401</v>
      </c>
      <c r="B8" s="968" t="s">
        <v>257</v>
      </c>
      <c r="C8" s="969" t="s">
        <v>258</v>
      </c>
      <c r="D8" s="965">
        <v>320</v>
      </c>
      <c r="E8" s="970" t="s">
        <v>259</v>
      </c>
      <c r="F8" s="273"/>
    </row>
    <row r="9" spans="1:11" ht="18.75" customHeight="1">
      <c r="A9" s="967">
        <v>7130201343</v>
      </c>
      <c r="B9" s="968" t="s">
        <v>260</v>
      </c>
      <c r="C9" s="964" t="s">
        <v>33</v>
      </c>
      <c r="D9" s="965">
        <v>33</v>
      </c>
      <c r="E9" s="970"/>
      <c r="F9" s="273"/>
      <c r="G9" s="270" t="s">
        <v>47</v>
      </c>
    </row>
    <row r="10" spans="1:11" ht="19.5" customHeight="1">
      <c r="A10" s="971">
        <v>7130210809</v>
      </c>
      <c r="B10" s="963" t="s">
        <v>162</v>
      </c>
      <c r="C10" s="964" t="s">
        <v>261</v>
      </c>
      <c r="D10" s="965">
        <v>432.63</v>
      </c>
      <c r="E10" s="970" t="s">
        <v>262</v>
      </c>
      <c r="F10" s="273"/>
    </row>
    <row r="11" spans="1:11" ht="19.5" customHeight="1">
      <c r="A11" s="967">
        <v>7130211121</v>
      </c>
      <c r="B11" s="968" t="s">
        <v>263</v>
      </c>
      <c r="C11" s="969" t="s">
        <v>29</v>
      </c>
      <c r="D11" s="965">
        <v>331.21</v>
      </c>
      <c r="E11" s="970"/>
      <c r="F11" s="273"/>
    </row>
    <row r="12" spans="1:11" ht="19.5" customHeight="1">
      <c r="A12" s="971">
        <v>7130211158</v>
      </c>
      <c r="B12" s="963" t="s">
        <v>161</v>
      </c>
      <c r="C12" s="964" t="s">
        <v>261</v>
      </c>
      <c r="D12" s="965">
        <v>193.62</v>
      </c>
      <c r="E12" s="970" t="s">
        <v>264</v>
      </c>
      <c r="F12" s="273"/>
    </row>
    <row r="13" spans="1:11" ht="27" customHeight="1">
      <c r="A13" s="969">
        <v>7130300025</v>
      </c>
      <c r="B13" s="968" t="s">
        <v>265</v>
      </c>
      <c r="C13" s="965" t="s">
        <v>266</v>
      </c>
      <c r="D13" s="965">
        <v>242282.93</v>
      </c>
      <c r="E13" s="968" t="s">
        <v>267</v>
      </c>
      <c r="F13" s="274" t="s">
        <v>268</v>
      </c>
      <c r="G13" s="275"/>
      <c r="H13" s="276"/>
    </row>
    <row r="14" spans="1:11" ht="25.5">
      <c r="A14" s="964">
        <v>7130310007</v>
      </c>
      <c r="B14" s="963" t="s">
        <v>269</v>
      </c>
      <c r="C14" s="964" t="s">
        <v>270</v>
      </c>
      <c r="D14" s="965">
        <v>62827.98</v>
      </c>
      <c r="E14" s="968" t="s">
        <v>271</v>
      </c>
      <c r="F14" s="274" t="s">
        <v>268</v>
      </c>
    </row>
    <row r="15" spans="1:11" ht="25.5" customHeight="1">
      <c r="A15" s="964">
        <v>7130310008</v>
      </c>
      <c r="B15" s="963" t="s">
        <v>272</v>
      </c>
      <c r="C15" s="964" t="s">
        <v>270</v>
      </c>
      <c r="D15" s="965">
        <v>126632.86</v>
      </c>
      <c r="E15" s="968" t="s">
        <v>273</v>
      </c>
      <c r="F15" s="274" t="s">
        <v>268</v>
      </c>
    </row>
    <row r="16" spans="1:11" ht="27" customHeight="1">
      <c r="A16" s="967">
        <v>7130310020</v>
      </c>
      <c r="B16" s="963" t="s">
        <v>1411</v>
      </c>
      <c r="C16" s="969" t="s">
        <v>266</v>
      </c>
      <c r="D16" s="965">
        <v>2797680.05</v>
      </c>
      <c r="E16" s="968" t="s">
        <v>274</v>
      </c>
      <c r="F16" s="273"/>
    </row>
    <row r="17" spans="1:9" ht="27" customHeight="1">
      <c r="A17" s="964">
        <v>7130310021</v>
      </c>
      <c r="B17" s="963" t="s">
        <v>275</v>
      </c>
      <c r="C17" s="964" t="s">
        <v>270</v>
      </c>
      <c r="D17" s="965">
        <v>42882.39</v>
      </c>
      <c r="E17" s="968" t="s">
        <v>276</v>
      </c>
      <c r="F17" s="274" t="s">
        <v>268</v>
      </c>
    </row>
    <row r="18" spans="1:9" ht="25.5">
      <c r="A18" s="964">
        <v>7130310022</v>
      </c>
      <c r="B18" s="963" t="s">
        <v>277</v>
      </c>
      <c r="C18" s="964" t="s">
        <v>270</v>
      </c>
      <c r="D18" s="965">
        <v>46467.88</v>
      </c>
      <c r="E18" s="968" t="s">
        <v>278</v>
      </c>
      <c r="F18" s="274" t="s">
        <v>268</v>
      </c>
    </row>
    <row r="19" spans="1:9" ht="27.75" customHeight="1">
      <c r="A19" s="964">
        <v>7130310031</v>
      </c>
      <c r="B19" s="968" t="s">
        <v>279</v>
      </c>
      <c r="C19" s="965" t="s">
        <v>266</v>
      </c>
      <c r="D19" s="965">
        <v>101047.23</v>
      </c>
      <c r="E19" s="968" t="s">
        <v>280</v>
      </c>
      <c r="F19" s="274" t="s">
        <v>268</v>
      </c>
      <c r="G19" s="275"/>
    </row>
    <row r="20" spans="1:9" ht="27.75" customHeight="1">
      <c r="A20" s="964">
        <v>7130310032</v>
      </c>
      <c r="B20" s="968" t="s">
        <v>281</v>
      </c>
      <c r="C20" s="965" t="s">
        <v>266</v>
      </c>
      <c r="D20" s="965">
        <v>111811.81</v>
      </c>
      <c r="E20" s="968" t="s">
        <v>282</v>
      </c>
      <c r="F20" s="274" t="s">
        <v>268</v>
      </c>
      <c r="G20" s="275"/>
    </row>
    <row r="21" spans="1:9" ht="27.75" customHeight="1">
      <c r="A21" s="964">
        <v>7130310033</v>
      </c>
      <c r="B21" s="968" t="s">
        <v>283</v>
      </c>
      <c r="C21" s="965" t="s">
        <v>266</v>
      </c>
      <c r="D21" s="965">
        <v>136780.26999999999</v>
      </c>
      <c r="E21" s="968" t="s">
        <v>284</v>
      </c>
      <c r="F21" s="274" t="s">
        <v>268</v>
      </c>
      <c r="G21" s="275"/>
    </row>
    <row r="22" spans="1:9" ht="25.5">
      <c r="A22" s="972">
        <v>7130310038</v>
      </c>
      <c r="B22" s="963" t="s">
        <v>285</v>
      </c>
      <c r="C22" s="964" t="s">
        <v>286</v>
      </c>
      <c r="D22" s="965">
        <v>8.9700000000000006</v>
      </c>
      <c r="E22" s="968" t="s">
        <v>287</v>
      </c>
      <c r="F22" s="273"/>
    </row>
    <row r="23" spans="1:9" ht="25.5">
      <c r="A23" s="972">
        <v>7130310039</v>
      </c>
      <c r="B23" s="963" t="s">
        <v>288</v>
      </c>
      <c r="C23" s="964" t="s">
        <v>286</v>
      </c>
      <c r="D23" s="965">
        <v>37.83</v>
      </c>
      <c r="E23" s="968" t="s">
        <v>289</v>
      </c>
      <c r="F23" s="273"/>
    </row>
    <row r="24" spans="1:9" ht="26.25" customHeight="1">
      <c r="A24" s="962">
        <v>7130310040</v>
      </c>
      <c r="B24" s="963" t="s">
        <v>290</v>
      </c>
      <c r="C24" s="964" t="s">
        <v>286</v>
      </c>
      <c r="D24" s="965">
        <v>78.39</v>
      </c>
      <c r="E24" s="968" t="s">
        <v>291</v>
      </c>
      <c r="F24" s="273"/>
      <c r="I24" s="12"/>
    </row>
    <row r="25" spans="1:9" ht="25.5">
      <c r="A25" s="962">
        <v>7130310041</v>
      </c>
      <c r="B25" s="963" t="s">
        <v>292</v>
      </c>
      <c r="C25" s="964" t="s">
        <v>270</v>
      </c>
      <c r="D25" s="965">
        <v>121602.12</v>
      </c>
      <c r="E25" s="968" t="s">
        <v>293</v>
      </c>
      <c r="F25" s="274" t="s">
        <v>268</v>
      </c>
    </row>
    <row r="26" spans="1:9" ht="25.5">
      <c r="A26" s="962">
        <v>7130310042</v>
      </c>
      <c r="B26" s="963" t="s">
        <v>294</v>
      </c>
      <c r="C26" s="969" t="s">
        <v>266</v>
      </c>
      <c r="D26" s="965">
        <v>51175.54</v>
      </c>
      <c r="E26" s="968" t="s">
        <v>295</v>
      </c>
      <c r="F26" s="273"/>
    </row>
    <row r="27" spans="1:9" ht="25.5">
      <c r="A27" s="962">
        <v>7130310044</v>
      </c>
      <c r="B27" s="970" t="s">
        <v>290</v>
      </c>
      <c r="C27" s="969" t="s">
        <v>266</v>
      </c>
      <c r="D27" s="965">
        <v>74331.23</v>
      </c>
      <c r="E27" s="968" t="s">
        <v>296</v>
      </c>
      <c r="F27" s="273"/>
    </row>
    <row r="28" spans="1:9" ht="18" customHeight="1">
      <c r="A28" s="967">
        <v>7130310048</v>
      </c>
      <c r="B28" s="970" t="s">
        <v>297</v>
      </c>
      <c r="C28" s="969" t="s">
        <v>266</v>
      </c>
      <c r="D28" s="965">
        <v>118129.59</v>
      </c>
      <c r="E28" s="970"/>
      <c r="F28" s="273"/>
    </row>
    <row r="29" spans="1:9" ht="18" customHeight="1">
      <c r="A29" s="973">
        <v>7130310049</v>
      </c>
      <c r="B29" s="974" t="s">
        <v>298</v>
      </c>
      <c r="C29" s="975" t="s">
        <v>266</v>
      </c>
      <c r="D29" s="965"/>
      <c r="E29" s="970"/>
      <c r="F29" s="273"/>
      <c r="G29" s="277" t="s">
        <v>299</v>
      </c>
    </row>
    <row r="30" spans="1:9" ht="18" customHeight="1">
      <c r="A30" s="976">
        <v>7130310050</v>
      </c>
      <c r="B30" s="974" t="s">
        <v>300</v>
      </c>
      <c r="C30" s="975" t="s">
        <v>266</v>
      </c>
      <c r="D30" s="965"/>
      <c r="E30" s="970"/>
      <c r="F30" s="273"/>
      <c r="G30" s="277" t="s">
        <v>299</v>
      </c>
    </row>
    <row r="31" spans="1:9" ht="25.5">
      <c r="A31" s="967">
        <v>7130310051</v>
      </c>
      <c r="B31" s="970" t="s">
        <v>301</v>
      </c>
      <c r="C31" s="969" t="s">
        <v>266</v>
      </c>
      <c r="D31" s="965">
        <v>1197974.8600000001</v>
      </c>
      <c r="E31" s="968" t="s">
        <v>302</v>
      </c>
      <c r="F31" s="273"/>
    </row>
    <row r="32" spans="1:9" ht="21" customHeight="1">
      <c r="A32" s="967">
        <v>7130310052</v>
      </c>
      <c r="B32" s="970" t="s">
        <v>303</v>
      </c>
      <c r="C32" s="969" t="s">
        <v>266</v>
      </c>
      <c r="D32" s="965">
        <v>1470582.49</v>
      </c>
      <c r="E32" s="970"/>
      <c r="F32" s="273"/>
    </row>
    <row r="33" spans="1:7" ht="27" customHeight="1">
      <c r="A33" s="967">
        <v>7130310053</v>
      </c>
      <c r="B33" s="970" t="s">
        <v>304</v>
      </c>
      <c r="C33" s="969" t="s">
        <v>266</v>
      </c>
      <c r="D33" s="965">
        <v>1680817</v>
      </c>
      <c r="E33" s="968" t="s">
        <v>305</v>
      </c>
      <c r="F33" s="273"/>
    </row>
    <row r="34" spans="1:7" ht="25.5">
      <c r="A34" s="967">
        <v>7130310054</v>
      </c>
      <c r="B34" s="970" t="s">
        <v>306</v>
      </c>
      <c r="C34" s="969" t="s">
        <v>266</v>
      </c>
      <c r="D34" s="965">
        <v>2137332.4900000002</v>
      </c>
      <c r="E34" s="968" t="s">
        <v>307</v>
      </c>
      <c r="F34" s="273"/>
    </row>
    <row r="35" spans="1:7" ht="28.5" customHeight="1">
      <c r="A35" s="967">
        <v>7130310055</v>
      </c>
      <c r="B35" s="977" t="s">
        <v>308</v>
      </c>
      <c r="C35" s="969" t="s">
        <v>40</v>
      </c>
      <c r="D35" s="965">
        <v>22875.11</v>
      </c>
      <c r="E35" s="970"/>
      <c r="F35" s="273"/>
    </row>
    <row r="36" spans="1:7" ht="28.5" customHeight="1">
      <c r="A36" s="967">
        <v>7130310056</v>
      </c>
      <c r="B36" s="977" t="s">
        <v>309</v>
      </c>
      <c r="C36" s="969" t="s">
        <v>40</v>
      </c>
      <c r="D36" s="965">
        <v>32678.73</v>
      </c>
      <c r="E36" s="970"/>
      <c r="F36" s="273"/>
    </row>
    <row r="37" spans="1:7" ht="28.5" customHeight="1">
      <c r="A37" s="967">
        <v>7130310057</v>
      </c>
      <c r="B37" s="968" t="s">
        <v>310</v>
      </c>
      <c r="C37" s="965" t="s">
        <v>266</v>
      </c>
      <c r="D37" s="965">
        <v>470572.2</v>
      </c>
      <c r="E37" s="968" t="s">
        <v>311</v>
      </c>
      <c r="F37" s="273"/>
    </row>
    <row r="38" spans="1:7" ht="28.5" customHeight="1">
      <c r="A38" s="967">
        <v>7130310058</v>
      </c>
      <c r="B38" s="968" t="s">
        <v>312</v>
      </c>
      <c r="C38" s="965" t="s">
        <v>266</v>
      </c>
      <c r="D38" s="965">
        <v>666953.69999999995</v>
      </c>
      <c r="E38" s="970"/>
      <c r="F38" s="273"/>
    </row>
    <row r="39" spans="1:7" ht="28.5" customHeight="1">
      <c r="A39" s="967">
        <v>7130310059</v>
      </c>
      <c r="B39" s="968" t="s">
        <v>313</v>
      </c>
      <c r="C39" s="965" t="s">
        <v>266</v>
      </c>
      <c r="D39" s="965">
        <v>809438.7</v>
      </c>
      <c r="E39" s="970"/>
      <c r="F39" s="273"/>
    </row>
    <row r="40" spans="1:7" ht="25.5">
      <c r="A40" s="967">
        <v>7130310060</v>
      </c>
      <c r="B40" s="968" t="s">
        <v>314</v>
      </c>
      <c r="C40" s="965" t="s">
        <v>266</v>
      </c>
      <c r="D40" s="965">
        <v>945728.7</v>
      </c>
      <c r="E40" s="970"/>
      <c r="F40" s="273"/>
    </row>
    <row r="41" spans="1:7" ht="27.75" customHeight="1">
      <c r="A41" s="967">
        <v>7130310061</v>
      </c>
      <c r="B41" s="977" t="s">
        <v>315</v>
      </c>
      <c r="C41" s="969" t="s">
        <v>40</v>
      </c>
      <c r="D41" s="965">
        <v>4992.58</v>
      </c>
      <c r="E41" s="968" t="s">
        <v>316</v>
      </c>
      <c r="F41" s="273"/>
    </row>
    <row r="42" spans="1:7" ht="27.75" customHeight="1">
      <c r="A42" s="967">
        <v>7130310062</v>
      </c>
      <c r="B42" s="977" t="s">
        <v>317</v>
      </c>
      <c r="C42" s="969" t="s">
        <v>40</v>
      </c>
      <c r="D42" s="965">
        <v>5253.9</v>
      </c>
      <c r="E42" s="968" t="s">
        <v>316</v>
      </c>
      <c r="F42" s="273"/>
    </row>
    <row r="43" spans="1:7" ht="27.75" customHeight="1">
      <c r="A43" s="962">
        <v>7130310063</v>
      </c>
      <c r="B43" s="968" t="s">
        <v>318</v>
      </c>
      <c r="C43" s="965" t="s">
        <v>266</v>
      </c>
      <c r="D43" s="965">
        <v>62281.1</v>
      </c>
      <c r="E43" s="968" t="s">
        <v>319</v>
      </c>
      <c r="F43" s="273"/>
      <c r="G43" s="275"/>
    </row>
    <row r="44" spans="1:7" ht="28.5" customHeight="1">
      <c r="A44" s="964">
        <v>7130310065</v>
      </c>
      <c r="B44" s="968" t="s">
        <v>320</v>
      </c>
      <c r="C44" s="965" t="s">
        <v>266</v>
      </c>
      <c r="D44" s="965">
        <v>126066.73</v>
      </c>
      <c r="E44" s="968" t="s">
        <v>321</v>
      </c>
      <c r="F44" s="274" t="s">
        <v>268</v>
      </c>
      <c r="G44" s="275"/>
    </row>
    <row r="45" spans="1:7" ht="28.5" customHeight="1">
      <c r="A45" s="962">
        <v>7130310066</v>
      </c>
      <c r="B45" s="968" t="s">
        <v>322</v>
      </c>
      <c r="C45" s="965" t="s">
        <v>266</v>
      </c>
      <c r="D45" s="965">
        <v>123287.19</v>
      </c>
      <c r="E45" s="968" t="s">
        <v>323</v>
      </c>
      <c r="F45" s="274"/>
      <c r="G45" s="278"/>
    </row>
    <row r="46" spans="1:7" ht="28.5" customHeight="1">
      <c r="A46" s="964">
        <v>7130310068</v>
      </c>
      <c r="B46" s="978" t="s">
        <v>1407</v>
      </c>
      <c r="C46" s="979" t="s">
        <v>266</v>
      </c>
      <c r="D46" s="965">
        <v>309287.45</v>
      </c>
      <c r="E46" s="968"/>
      <c r="F46" s="274"/>
      <c r="G46" s="328" t="s">
        <v>841</v>
      </c>
    </row>
    <row r="47" spans="1:7" ht="28.5" customHeight="1">
      <c r="A47" s="964">
        <v>7130310092</v>
      </c>
      <c r="B47" s="978" t="s">
        <v>1408</v>
      </c>
      <c r="C47" s="979" t="s">
        <v>266</v>
      </c>
      <c r="D47" s="965">
        <v>386127.45</v>
      </c>
      <c r="E47" s="968"/>
      <c r="F47" s="274"/>
      <c r="G47" s="328" t="s">
        <v>841</v>
      </c>
    </row>
    <row r="48" spans="1:7" ht="28.5" customHeight="1">
      <c r="A48" s="969">
        <v>7130310070</v>
      </c>
      <c r="B48" s="968" t="s">
        <v>324</v>
      </c>
      <c r="C48" s="965" t="s">
        <v>266</v>
      </c>
      <c r="D48" s="965">
        <v>73683.5</v>
      </c>
      <c r="E48" s="970" t="s">
        <v>325</v>
      </c>
      <c r="F48" s="274" t="s">
        <v>268</v>
      </c>
      <c r="G48" s="279"/>
    </row>
    <row r="49" spans="1:7" ht="28.5" customHeight="1">
      <c r="A49" s="969">
        <v>7130310073</v>
      </c>
      <c r="B49" s="968" t="s">
        <v>326</v>
      </c>
      <c r="C49" s="965" t="s">
        <v>266</v>
      </c>
      <c r="D49" s="965">
        <v>79044.070000000007</v>
      </c>
      <c r="E49" s="970" t="s">
        <v>327</v>
      </c>
      <c r="F49" s="274" t="s">
        <v>268</v>
      </c>
      <c r="G49" s="279"/>
    </row>
    <row r="50" spans="1:7" ht="28.5" customHeight="1">
      <c r="A50" s="969">
        <v>7130640032</v>
      </c>
      <c r="B50" s="968" t="s">
        <v>1409</v>
      </c>
      <c r="C50" s="965" t="s">
        <v>266</v>
      </c>
      <c r="D50" s="965">
        <v>1697666</v>
      </c>
      <c r="E50" s="968" t="s">
        <v>1409</v>
      </c>
      <c r="F50" s="274"/>
      <c r="G50" s="328" t="s">
        <v>841</v>
      </c>
    </row>
    <row r="51" spans="1:7" ht="26.25" customHeight="1">
      <c r="A51" s="967">
        <v>7130310075</v>
      </c>
      <c r="B51" s="963" t="s">
        <v>1410</v>
      </c>
      <c r="C51" s="969" t="s">
        <v>266</v>
      </c>
      <c r="D51" s="965">
        <v>2560069.88</v>
      </c>
      <c r="E51" s="968" t="s">
        <v>328</v>
      </c>
      <c r="F51" s="273"/>
      <c r="G51" s="280"/>
    </row>
    <row r="52" spans="1:7" ht="27" customHeight="1">
      <c r="A52" s="967">
        <v>7130310076</v>
      </c>
      <c r="B52" s="968" t="s">
        <v>329</v>
      </c>
      <c r="C52" s="964" t="s">
        <v>266</v>
      </c>
      <c r="D52" s="965">
        <v>683204.17</v>
      </c>
      <c r="E52" s="968" t="s">
        <v>330</v>
      </c>
      <c r="F52" s="281"/>
      <c r="G52" s="280"/>
    </row>
    <row r="53" spans="1:7" ht="25.5">
      <c r="A53" s="967">
        <v>7130310077</v>
      </c>
      <c r="B53" s="968" t="s">
        <v>331</v>
      </c>
      <c r="C53" s="964" t="s">
        <v>266</v>
      </c>
      <c r="D53" s="965">
        <v>691233.82</v>
      </c>
      <c r="E53" s="968" t="s">
        <v>332</v>
      </c>
      <c r="F53" s="273"/>
      <c r="G53" s="280"/>
    </row>
    <row r="54" spans="1:7" ht="25.5">
      <c r="A54" s="967">
        <v>7130310078</v>
      </c>
      <c r="B54" s="968" t="s">
        <v>333</v>
      </c>
      <c r="C54" s="964" t="s">
        <v>266</v>
      </c>
      <c r="D54" s="965">
        <v>1030768.93</v>
      </c>
      <c r="E54" s="968" t="s">
        <v>334</v>
      </c>
      <c r="F54" s="273"/>
      <c r="G54" s="280"/>
    </row>
    <row r="55" spans="1:7" ht="25.5">
      <c r="A55" s="967">
        <v>7130310079</v>
      </c>
      <c r="B55" s="968" t="s">
        <v>335</v>
      </c>
      <c r="C55" s="964" t="s">
        <v>266</v>
      </c>
      <c r="D55" s="965">
        <v>1248889.6000000001</v>
      </c>
      <c r="E55" s="968" t="s">
        <v>336</v>
      </c>
      <c r="F55" s="273"/>
      <c r="G55" s="280"/>
    </row>
    <row r="56" spans="1:7" ht="25.5">
      <c r="A56" s="967">
        <v>7130310080</v>
      </c>
      <c r="B56" s="968" t="s">
        <v>337</v>
      </c>
      <c r="C56" s="964" t="s">
        <v>266</v>
      </c>
      <c r="D56" s="965">
        <v>1924217.9</v>
      </c>
      <c r="E56" s="968" t="s">
        <v>338</v>
      </c>
      <c r="F56" s="273"/>
      <c r="G56" s="280"/>
    </row>
    <row r="57" spans="1:7" ht="41.25" customHeight="1">
      <c r="A57" s="971">
        <v>7130310082</v>
      </c>
      <c r="B57" s="980" t="s">
        <v>339</v>
      </c>
      <c r="C57" s="964" t="s">
        <v>286</v>
      </c>
      <c r="D57" s="965">
        <v>17.61</v>
      </c>
      <c r="E57" s="980" t="s">
        <v>340</v>
      </c>
      <c r="F57" s="273"/>
      <c r="G57" s="282"/>
    </row>
    <row r="58" spans="1:7" ht="27.75" customHeight="1">
      <c r="A58" s="969">
        <v>7130310083</v>
      </c>
      <c r="B58" s="968" t="s">
        <v>341</v>
      </c>
      <c r="C58" s="981" t="s">
        <v>266</v>
      </c>
      <c r="D58" s="965">
        <v>437828.42</v>
      </c>
      <c r="E58" s="968" t="s">
        <v>342</v>
      </c>
      <c r="F58" s="273"/>
      <c r="G58" s="282"/>
    </row>
    <row r="59" spans="1:7" ht="28.5" customHeight="1">
      <c r="A59" s="969">
        <v>7130310084</v>
      </c>
      <c r="B59" s="968" t="s">
        <v>343</v>
      </c>
      <c r="C59" s="981" t="s">
        <v>266</v>
      </c>
      <c r="D59" s="965">
        <v>533868.19999999995</v>
      </c>
      <c r="E59" s="968" t="s">
        <v>344</v>
      </c>
      <c r="F59" s="273"/>
      <c r="G59" s="282"/>
    </row>
    <row r="60" spans="1:7" ht="27.75" customHeight="1">
      <c r="A60" s="969">
        <v>7130310085</v>
      </c>
      <c r="B60" s="968" t="s">
        <v>345</v>
      </c>
      <c r="C60" s="981" t="s">
        <v>266</v>
      </c>
      <c r="D60" s="965">
        <v>805980.92</v>
      </c>
      <c r="E60" s="968" t="s">
        <v>346</v>
      </c>
      <c r="F60" s="273"/>
      <c r="G60" s="282"/>
    </row>
    <row r="61" spans="1:7" ht="28.5" customHeight="1">
      <c r="A61" s="969">
        <v>7130310086</v>
      </c>
      <c r="B61" s="968" t="s">
        <v>347</v>
      </c>
      <c r="C61" s="981" t="s">
        <v>266</v>
      </c>
      <c r="D61" s="965">
        <v>1539461.21</v>
      </c>
      <c r="E61" s="968" t="s">
        <v>348</v>
      </c>
      <c r="F61" s="273"/>
      <c r="G61" s="282"/>
    </row>
    <row r="62" spans="1:7" ht="28.5" customHeight="1">
      <c r="A62" s="969">
        <v>7130310087</v>
      </c>
      <c r="B62" s="968" t="s">
        <v>349</v>
      </c>
      <c r="C62" s="981" t="s">
        <v>266</v>
      </c>
      <c r="D62" s="965">
        <v>1956575.17</v>
      </c>
      <c r="E62" s="968" t="s">
        <v>350</v>
      </c>
      <c r="F62" s="273"/>
      <c r="G62" s="282"/>
    </row>
    <row r="63" spans="1:7" ht="28.5" customHeight="1">
      <c r="A63" s="969">
        <v>7130310088</v>
      </c>
      <c r="B63" s="978" t="s">
        <v>351</v>
      </c>
      <c r="C63" s="982" t="s">
        <v>40</v>
      </c>
      <c r="D63" s="965">
        <v>43451.48</v>
      </c>
      <c r="E63" s="978" t="s">
        <v>352</v>
      </c>
      <c r="F63" s="273"/>
      <c r="G63" s="282"/>
    </row>
    <row r="64" spans="1:7" ht="51">
      <c r="A64" s="969">
        <v>7130310089</v>
      </c>
      <c r="B64" s="978" t="s">
        <v>353</v>
      </c>
      <c r="C64" s="982" t="s">
        <v>40</v>
      </c>
      <c r="D64" s="965">
        <v>73272.58</v>
      </c>
      <c r="E64" s="978" t="s">
        <v>354</v>
      </c>
      <c r="F64" s="273"/>
      <c r="G64" s="282"/>
    </row>
    <row r="65" spans="1:7" ht="51">
      <c r="A65" s="969">
        <v>7130310090</v>
      </c>
      <c r="B65" s="978" t="s">
        <v>355</v>
      </c>
      <c r="C65" s="982" t="s">
        <v>12</v>
      </c>
      <c r="D65" s="965">
        <v>82052.42</v>
      </c>
      <c r="E65" s="978" t="s">
        <v>356</v>
      </c>
      <c r="F65" s="273"/>
      <c r="G65" s="282"/>
    </row>
    <row r="66" spans="1:7" ht="25.5">
      <c r="A66" s="971">
        <v>7130310652</v>
      </c>
      <c r="B66" s="963" t="s">
        <v>357</v>
      </c>
      <c r="C66" s="964" t="s">
        <v>270</v>
      </c>
      <c r="D66" s="965">
        <v>55294.81</v>
      </c>
      <c r="E66" s="968" t="s">
        <v>358</v>
      </c>
      <c r="F66" s="281"/>
      <c r="G66" s="280"/>
    </row>
    <row r="67" spans="1:7" ht="25.5">
      <c r="A67" s="971">
        <v>7130310652</v>
      </c>
      <c r="B67" s="963" t="s">
        <v>359</v>
      </c>
      <c r="C67" s="964" t="s">
        <v>270</v>
      </c>
      <c r="D67" s="965"/>
      <c r="E67" s="968" t="s">
        <v>358</v>
      </c>
      <c r="F67" s="273"/>
      <c r="G67" s="277" t="s">
        <v>299</v>
      </c>
    </row>
    <row r="68" spans="1:7" ht="25.5">
      <c r="A68" s="971">
        <v>7130310654</v>
      </c>
      <c r="B68" s="963" t="s">
        <v>360</v>
      </c>
      <c r="C68" s="964" t="s">
        <v>270</v>
      </c>
      <c r="D68" s="965">
        <v>98983.89</v>
      </c>
      <c r="E68" s="968" t="s">
        <v>361</v>
      </c>
      <c r="F68" s="281"/>
      <c r="G68" s="280"/>
    </row>
    <row r="69" spans="1:7" ht="25.5">
      <c r="A69" s="964">
        <v>7130310654</v>
      </c>
      <c r="B69" s="963" t="s">
        <v>362</v>
      </c>
      <c r="C69" s="964" t="s">
        <v>270</v>
      </c>
      <c r="D69" s="965"/>
      <c r="E69" s="968" t="s">
        <v>361</v>
      </c>
      <c r="F69" s="281"/>
      <c r="G69" s="277" t="s">
        <v>299</v>
      </c>
    </row>
    <row r="70" spans="1:7" ht="25.5">
      <c r="A70" s="971">
        <v>7130310658</v>
      </c>
      <c r="B70" s="963" t="s">
        <v>363</v>
      </c>
      <c r="C70" s="964" t="s">
        <v>270</v>
      </c>
      <c r="D70" s="965">
        <v>188917.79</v>
      </c>
      <c r="E70" s="968" t="s">
        <v>364</v>
      </c>
      <c r="F70" s="281"/>
      <c r="G70" s="280"/>
    </row>
    <row r="71" spans="1:7" ht="25.5">
      <c r="A71" s="971">
        <v>7130310681</v>
      </c>
      <c r="B71" s="963" t="s">
        <v>365</v>
      </c>
      <c r="C71" s="964" t="s">
        <v>270</v>
      </c>
      <c r="D71" s="965">
        <v>237232.05</v>
      </c>
      <c r="E71" s="968" t="s">
        <v>366</v>
      </c>
      <c r="F71" s="281"/>
      <c r="G71" s="279"/>
    </row>
    <row r="72" spans="1:7" ht="25.5">
      <c r="A72" s="971">
        <v>7130310660</v>
      </c>
      <c r="B72" s="963" t="s">
        <v>367</v>
      </c>
      <c r="C72" s="964" t="s">
        <v>270</v>
      </c>
      <c r="D72" s="965">
        <v>258713.48</v>
      </c>
      <c r="E72" s="968" t="s">
        <v>366</v>
      </c>
      <c r="F72" s="281"/>
      <c r="G72" s="280"/>
    </row>
    <row r="73" spans="1:7" ht="25.5">
      <c r="A73" s="971">
        <v>7130310662</v>
      </c>
      <c r="B73" s="963" t="s">
        <v>368</v>
      </c>
      <c r="C73" s="964" t="s">
        <v>270</v>
      </c>
      <c r="D73" s="965">
        <v>244446.49</v>
      </c>
      <c r="E73" s="968" t="s">
        <v>369</v>
      </c>
      <c r="F73" s="281"/>
      <c r="G73" s="280"/>
    </row>
    <row r="74" spans="1:7" ht="25.5">
      <c r="A74" s="969">
        <v>7130311008</v>
      </c>
      <c r="B74" s="963" t="s">
        <v>370</v>
      </c>
      <c r="C74" s="964" t="s">
        <v>371</v>
      </c>
      <c r="D74" s="965">
        <v>24908.2</v>
      </c>
      <c r="E74" s="968" t="s">
        <v>372</v>
      </c>
      <c r="F74" s="281"/>
      <c r="G74" s="280"/>
    </row>
    <row r="75" spans="1:7" ht="25.5">
      <c r="A75" s="964">
        <v>7130311009</v>
      </c>
      <c r="B75" s="963" t="s">
        <v>373</v>
      </c>
      <c r="C75" s="964" t="s">
        <v>371</v>
      </c>
      <c r="D75" s="965">
        <v>58804.33</v>
      </c>
      <c r="E75" s="968" t="s">
        <v>374</v>
      </c>
      <c r="F75" s="281"/>
      <c r="G75" s="280"/>
    </row>
    <row r="76" spans="1:7" ht="25.5">
      <c r="A76" s="964">
        <v>7130311010</v>
      </c>
      <c r="B76" s="963" t="s">
        <v>329</v>
      </c>
      <c r="C76" s="964" t="s">
        <v>371</v>
      </c>
      <c r="D76" s="965">
        <v>79580.55</v>
      </c>
      <c r="E76" s="968" t="s">
        <v>375</v>
      </c>
      <c r="F76" s="281"/>
      <c r="G76" s="280"/>
    </row>
    <row r="77" spans="1:7" ht="25.5">
      <c r="A77" s="964">
        <v>7130311011</v>
      </c>
      <c r="B77" s="963" t="s">
        <v>376</v>
      </c>
      <c r="C77" s="964" t="s">
        <v>371</v>
      </c>
      <c r="D77" s="965">
        <v>155451.42000000001</v>
      </c>
      <c r="E77" s="968" t="s">
        <v>377</v>
      </c>
      <c r="F77" s="281"/>
      <c r="G77" s="280"/>
    </row>
    <row r="78" spans="1:7" ht="25.5">
      <c r="A78" s="964">
        <v>7130311012</v>
      </c>
      <c r="B78" s="963" t="s">
        <v>378</v>
      </c>
      <c r="C78" s="964" t="s">
        <v>371</v>
      </c>
      <c r="D78" s="965">
        <v>305837.82</v>
      </c>
      <c r="E78" s="968" t="s">
        <v>379</v>
      </c>
      <c r="F78" s="281"/>
      <c r="G78" s="280"/>
    </row>
    <row r="79" spans="1:7" ht="25.5">
      <c r="A79" s="964">
        <v>7130311013</v>
      </c>
      <c r="B79" s="963" t="s">
        <v>337</v>
      </c>
      <c r="C79" s="964" t="s">
        <v>371</v>
      </c>
      <c r="D79" s="965">
        <v>382047.36</v>
      </c>
      <c r="E79" s="968" t="s">
        <v>380</v>
      </c>
      <c r="F79" s="281"/>
      <c r="G79" s="280"/>
    </row>
    <row r="80" spans="1:7" ht="25.5">
      <c r="A80" s="971">
        <v>7130311054</v>
      </c>
      <c r="B80" s="963" t="s">
        <v>381</v>
      </c>
      <c r="C80" s="969" t="s">
        <v>266</v>
      </c>
      <c r="D80" s="965"/>
      <c r="E80" s="968" t="s">
        <v>382</v>
      </c>
      <c r="F80" s="283"/>
      <c r="G80" s="284" t="s">
        <v>299</v>
      </c>
    </row>
    <row r="81" spans="1:7" ht="25.5">
      <c r="A81" s="971">
        <v>7130311057</v>
      </c>
      <c r="B81" s="963" t="s">
        <v>292</v>
      </c>
      <c r="C81" s="969" t="s">
        <v>266</v>
      </c>
      <c r="D81" s="965"/>
      <c r="E81" s="968" t="s">
        <v>383</v>
      </c>
      <c r="F81" s="281"/>
      <c r="G81" s="284" t="s">
        <v>299</v>
      </c>
    </row>
    <row r="82" spans="1:7" ht="25.5">
      <c r="A82" s="971">
        <v>7130311061</v>
      </c>
      <c r="B82" s="963" t="s">
        <v>384</v>
      </c>
      <c r="C82" s="969" t="s">
        <v>266</v>
      </c>
      <c r="D82" s="965"/>
      <c r="E82" s="968" t="s">
        <v>385</v>
      </c>
      <c r="F82" s="281"/>
      <c r="G82" s="284" t="s">
        <v>299</v>
      </c>
    </row>
    <row r="83" spans="1:7" ht="25.5">
      <c r="A83" s="971">
        <v>7130311084</v>
      </c>
      <c r="B83" s="963" t="s">
        <v>294</v>
      </c>
      <c r="C83" s="969" t="s">
        <v>266</v>
      </c>
      <c r="D83" s="965">
        <v>78216.34</v>
      </c>
      <c r="E83" s="968" t="s">
        <v>386</v>
      </c>
      <c r="F83" s="281"/>
      <c r="G83" s="280"/>
    </row>
    <row r="84" spans="1:7" ht="25.5">
      <c r="A84" s="967">
        <v>7130320037</v>
      </c>
      <c r="B84" s="977" t="s">
        <v>387</v>
      </c>
      <c r="C84" s="969" t="s">
        <v>40</v>
      </c>
      <c r="D84" s="965">
        <v>13071.5</v>
      </c>
      <c r="E84" s="983"/>
      <c r="F84" s="281"/>
      <c r="G84" s="280"/>
    </row>
    <row r="85" spans="1:7" ht="25.5">
      <c r="A85" s="967">
        <v>7130320038</v>
      </c>
      <c r="B85" s="977" t="s">
        <v>388</v>
      </c>
      <c r="C85" s="969" t="s">
        <v>40</v>
      </c>
      <c r="D85" s="965">
        <v>16339.36</v>
      </c>
      <c r="E85" s="968" t="s">
        <v>389</v>
      </c>
      <c r="F85" s="273"/>
      <c r="G85" s="280"/>
    </row>
    <row r="86" spans="1:7" ht="25.5">
      <c r="A86" s="967">
        <v>7130320039</v>
      </c>
      <c r="B86" s="968" t="s">
        <v>390</v>
      </c>
      <c r="C86" s="969" t="s">
        <v>40</v>
      </c>
      <c r="D86" s="965">
        <v>19607.23</v>
      </c>
      <c r="E86" s="968" t="s">
        <v>391</v>
      </c>
      <c r="F86" s="273"/>
      <c r="G86" s="280"/>
    </row>
    <row r="87" spans="1:7" ht="26.25" customHeight="1">
      <c r="A87" s="967">
        <v>7130320040</v>
      </c>
      <c r="B87" s="968" t="s">
        <v>392</v>
      </c>
      <c r="C87" s="969" t="s">
        <v>40</v>
      </c>
      <c r="D87" s="965">
        <v>22875.11</v>
      </c>
      <c r="E87" s="968" t="s">
        <v>393</v>
      </c>
      <c r="F87" s="273"/>
      <c r="G87" s="280"/>
    </row>
    <row r="88" spans="1:7" ht="21" customHeight="1">
      <c r="A88" s="967">
        <v>7130320041</v>
      </c>
      <c r="B88" s="968" t="s">
        <v>394</v>
      </c>
      <c r="C88" s="969" t="s">
        <v>40</v>
      </c>
      <c r="D88" s="965">
        <v>24509.05</v>
      </c>
      <c r="E88" s="983"/>
      <c r="F88" s="281"/>
      <c r="G88" s="280"/>
    </row>
    <row r="89" spans="1:7" ht="18" customHeight="1">
      <c r="A89" s="967">
        <v>7130320042</v>
      </c>
      <c r="B89" s="968" t="s">
        <v>395</v>
      </c>
      <c r="C89" s="969" t="s">
        <v>40</v>
      </c>
      <c r="D89" s="965">
        <v>29410.86</v>
      </c>
      <c r="E89" s="983"/>
      <c r="F89" s="281"/>
      <c r="G89" s="280"/>
    </row>
    <row r="90" spans="1:7" ht="28.5" customHeight="1">
      <c r="A90" s="967">
        <v>7130320043</v>
      </c>
      <c r="B90" s="968" t="s">
        <v>152</v>
      </c>
      <c r="C90" s="969" t="s">
        <v>33</v>
      </c>
      <c r="D90" s="965">
        <v>1028.78</v>
      </c>
      <c r="E90" s="968" t="s">
        <v>396</v>
      </c>
      <c r="F90" s="273"/>
      <c r="G90" s="280"/>
    </row>
    <row r="91" spans="1:7" ht="27.75" customHeight="1">
      <c r="A91" s="984">
        <v>7130320044</v>
      </c>
      <c r="B91" s="968" t="s">
        <v>151</v>
      </c>
      <c r="C91" s="969" t="s">
        <v>33</v>
      </c>
      <c r="D91" s="965">
        <v>1111.29</v>
      </c>
      <c r="E91" s="983"/>
      <c r="F91" s="281"/>
      <c r="G91" s="280"/>
    </row>
    <row r="92" spans="1:7" ht="19.5" customHeight="1">
      <c r="A92" s="984">
        <v>7130320045</v>
      </c>
      <c r="B92" s="968" t="s">
        <v>397</v>
      </c>
      <c r="C92" s="969" t="s">
        <v>33</v>
      </c>
      <c r="D92" s="965">
        <v>33.01</v>
      </c>
      <c r="E92" s="983"/>
      <c r="F92" s="281"/>
      <c r="G92" s="280"/>
    </row>
    <row r="93" spans="1:7" ht="27.75" customHeight="1">
      <c r="A93" s="985">
        <v>7130320047</v>
      </c>
      <c r="B93" s="986" t="s">
        <v>398</v>
      </c>
      <c r="C93" s="985" t="s">
        <v>12</v>
      </c>
      <c r="D93" s="987">
        <v>4957.54</v>
      </c>
      <c r="E93" s="968" t="s">
        <v>399</v>
      </c>
      <c r="F93" s="285"/>
      <c r="G93" s="286"/>
    </row>
    <row r="94" spans="1:7" ht="27.75" customHeight="1">
      <c r="A94" s="967">
        <v>7130320048</v>
      </c>
      <c r="B94" s="968" t="s">
        <v>400</v>
      </c>
      <c r="C94" s="969" t="s">
        <v>40</v>
      </c>
      <c r="D94" s="965">
        <v>3161.96</v>
      </c>
      <c r="E94" s="968" t="s">
        <v>401</v>
      </c>
      <c r="F94" s="273"/>
      <c r="G94" s="280"/>
    </row>
    <row r="95" spans="1:7" ht="25.5">
      <c r="A95" s="967">
        <v>7130320049</v>
      </c>
      <c r="B95" s="977" t="s">
        <v>402</v>
      </c>
      <c r="C95" s="969" t="s">
        <v>40</v>
      </c>
      <c r="D95" s="965">
        <v>3331.14</v>
      </c>
      <c r="E95" s="970"/>
      <c r="F95" s="273"/>
      <c r="G95" s="280"/>
    </row>
    <row r="96" spans="1:7" ht="25.5">
      <c r="A96" s="967">
        <v>7130320053</v>
      </c>
      <c r="B96" s="968" t="s">
        <v>403</v>
      </c>
      <c r="C96" s="969" t="s">
        <v>12</v>
      </c>
      <c r="D96" s="965">
        <v>6.91</v>
      </c>
      <c r="E96" s="968" t="s">
        <v>404</v>
      </c>
      <c r="F96" s="273"/>
      <c r="G96" s="280"/>
    </row>
    <row r="97" spans="1:8" ht="25.5">
      <c r="A97" s="967">
        <v>7130352010</v>
      </c>
      <c r="B97" s="968" t="s">
        <v>405</v>
      </c>
      <c r="C97" s="964" t="s">
        <v>40</v>
      </c>
      <c r="D97" s="965">
        <v>43795.05</v>
      </c>
      <c r="E97" s="968" t="s">
        <v>406</v>
      </c>
      <c r="F97" s="273"/>
      <c r="G97" s="280"/>
    </row>
    <row r="98" spans="1:8" ht="25.5" customHeight="1">
      <c r="A98" s="962">
        <v>7130352030</v>
      </c>
      <c r="B98" s="970" t="s">
        <v>407</v>
      </c>
      <c r="C98" s="969" t="s">
        <v>40</v>
      </c>
      <c r="D98" s="965">
        <v>1060.4100000000001</v>
      </c>
      <c r="E98" s="968" t="s">
        <v>409</v>
      </c>
      <c r="F98" s="273"/>
      <c r="G98" s="280"/>
    </row>
    <row r="99" spans="1:8" ht="25.5">
      <c r="A99" s="962">
        <v>7130352031</v>
      </c>
      <c r="B99" s="970" t="s">
        <v>408</v>
      </c>
      <c r="C99" s="969" t="s">
        <v>40</v>
      </c>
      <c r="D99" s="965">
        <v>1060.4100000000001</v>
      </c>
      <c r="E99" s="968" t="s">
        <v>409</v>
      </c>
      <c r="F99" s="273"/>
      <c r="G99" s="280"/>
    </row>
    <row r="100" spans="1:8" ht="19.5" customHeight="1">
      <c r="A100" s="962">
        <v>7130352032</v>
      </c>
      <c r="B100" s="970" t="s">
        <v>410</v>
      </c>
      <c r="C100" s="969" t="s">
        <v>40</v>
      </c>
      <c r="D100" s="965">
        <v>1138.8</v>
      </c>
      <c r="E100" s="983"/>
      <c r="F100" s="281"/>
      <c r="G100" s="280"/>
    </row>
    <row r="101" spans="1:8" ht="19.5" customHeight="1">
      <c r="A101" s="962">
        <v>7130352033</v>
      </c>
      <c r="B101" s="970" t="s">
        <v>411</v>
      </c>
      <c r="C101" s="969" t="s">
        <v>40</v>
      </c>
      <c r="D101" s="965">
        <v>1600.93</v>
      </c>
      <c r="E101" s="983"/>
      <c r="F101" s="281"/>
      <c r="G101" s="280"/>
    </row>
    <row r="102" spans="1:8" ht="19.5" customHeight="1">
      <c r="A102" s="962">
        <v>7130352034</v>
      </c>
      <c r="B102" s="970" t="s">
        <v>412</v>
      </c>
      <c r="C102" s="969" t="s">
        <v>40</v>
      </c>
      <c r="D102" s="965">
        <v>2386.2600000000002</v>
      </c>
      <c r="E102" s="983"/>
      <c r="F102" s="281"/>
      <c r="G102" s="280"/>
    </row>
    <row r="103" spans="1:8" ht="19.5" customHeight="1">
      <c r="A103" s="962">
        <v>7130352035</v>
      </c>
      <c r="B103" s="970" t="s">
        <v>413</v>
      </c>
      <c r="C103" s="969" t="s">
        <v>40</v>
      </c>
      <c r="D103" s="965">
        <v>3856.54</v>
      </c>
      <c r="E103" s="983"/>
      <c r="F103" s="281"/>
      <c r="G103" s="280"/>
    </row>
    <row r="104" spans="1:8" ht="19.5" customHeight="1">
      <c r="A104" s="962">
        <v>7130352036</v>
      </c>
      <c r="B104" s="970" t="s">
        <v>414</v>
      </c>
      <c r="C104" s="969" t="s">
        <v>40</v>
      </c>
      <c r="D104" s="965">
        <v>4927.9399999999996</v>
      </c>
      <c r="E104" s="983"/>
      <c r="F104" s="281"/>
      <c r="G104" s="280"/>
    </row>
    <row r="105" spans="1:8" ht="28.5" customHeight="1">
      <c r="A105" s="967">
        <v>7130352037</v>
      </c>
      <c r="B105" s="968" t="s">
        <v>415</v>
      </c>
      <c r="C105" s="964" t="s">
        <v>40</v>
      </c>
      <c r="D105" s="965">
        <v>29525.38</v>
      </c>
      <c r="E105" s="968" t="s">
        <v>416</v>
      </c>
      <c r="F105" s="287"/>
      <c r="G105" s="280"/>
      <c r="H105" s="244"/>
    </row>
    <row r="106" spans="1:8" ht="27.75" customHeight="1">
      <c r="A106" s="967">
        <v>7130352038</v>
      </c>
      <c r="B106" s="970" t="s">
        <v>417</v>
      </c>
      <c r="C106" s="969" t="s">
        <v>40</v>
      </c>
      <c r="D106" s="965">
        <v>17648.72</v>
      </c>
      <c r="E106" s="968" t="s">
        <v>418</v>
      </c>
      <c r="F106" s="281"/>
      <c r="G106" s="280"/>
    </row>
    <row r="107" spans="1:8" ht="27" customHeight="1">
      <c r="A107" s="967">
        <v>7130352039</v>
      </c>
      <c r="B107" s="970" t="s">
        <v>419</v>
      </c>
      <c r="C107" s="969" t="s">
        <v>40</v>
      </c>
      <c r="D107" s="965">
        <v>17648.72</v>
      </c>
      <c r="E107" s="968" t="s">
        <v>420</v>
      </c>
      <c r="F107" s="281"/>
      <c r="G107" s="280"/>
    </row>
    <row r="108" spans="1:8" ht="28.5" customHeight="1">
      <c r="A108" s="967">
        <v>7130352040</v>
      </c>
      <c r="B108" s="970" t="s">
        <v>421</v>
      </c>
      <c r="C108" s="969" t="s">
        <v>40</v>
      </c>
      <c r="D108" s="965">
        <v>23367.49</v>
      </c>
      <c r="E108" s="968" t="s">
        <v>422</v>
      </c>
      <c r="F108" s="281"/>
      <c r="G108" s="280"/>
    </row>
    <row r="109" spans="1:8" ht="27" customHeight="1">
      <c r="A109" s="967">
        <v>7130352041</v>
      </c>
      <c r="B109" s="970" t="s">
        <v>423</v>
      </c>
      <c r="C109" s="969" t="s">
        <v>40</v>
      </c>
      <c r="D109" s="965">
        <v>25556.400000000001</v>
      </c>
      <c r="E109" s="968" t="s">
        <v>424</v>
      </c>
      <c r="F109" s="281"/>
      <c r="G109" s="280"/>
    </row>
    <row r="110" spans="1:8" ht="28.5" customHeight="1">
      <c r="A110" s="967">
        <v>7130352042</v>
      </c>
      <c r="B110" s="970" t="s">
        <v>425</v>
      </c>
      <c r="C110" s="969" t="s">
        <v>40</v>
      </c>
      <c r="D110" s="965">
        <v>25556.400000000001</v>
      </c>
      <c r="E110" s="968" t="s">
        <v>426</v>
      </c>
      <c r="F110" s="281"/>
      <c r="G110" s="280"/>
    </row>
    <row r="111" spans="1:8" ht="27" customHeight="1">
      <c r="A111" s="967">
        <v>7130352043</v>
      </c>
      <c r="B111" s="970" t="s">
        <v>419</v>
      </c>
      <c r="C111" s="969" t="s">
        <v>40</v>
      </c>
      <c r="D111" s="965">
        <v>9174.14</v>
      </c>
      <c r="E111" s="968" t="s">
        <v>427</v>
      </c>
      <c r="F111" s="281"/>
      <c r="G111" s="280"/>
    </row>
    <row r="112" spans="1:8" ht="25.5">
      <c r="A112" s="967">
        <v>7130352044</v>
      </c>
      <c r="B112" s="970" t="s">
        <v>423</v>
      </c>
      <c r="C112" s="969" t="s">
        <v>40</v>
      </c>
      <c r="D112" s="965">
        <v>11074.74</v>
      </c>
      <c r="E112" s="968" t="s">
        <v>428</v>
      </c>
      <c r="F112" s="281"/>
      <c r="G112" s="280"/>
    </row>
    <row r="113" spans="1:7" ht="25.5">
      <c r="A113" s="967">
        <v>7130352045</v>
      </c>
      <c r="B113" s="970" t="s">
        <v>425</v>
      </c>
      <c r="C113" s="969" t="s">
        <v>40</v>
      </c>
      <c r="D113" s="965">
        <v>11393.33</v>
      </c>
      <c r="E113" s="968" t="s">
        <v>429</v>
      </c>
      <c r="F113" s="281"/>
      <c r="G113" s="280"/>
    </row>
    <row r="114" spans="1:7" ht="27" customHeight="1">
      <c r="A114" s="972">
        <v>7130352046</v>
      </c>
      <c r="B114" s="963" t="s">
        <v>430</v>
      </c>
      <c r="C114" s="964" t="s">
        <v>68</v>
      </c>
      <c r="D114" s="965">
        <v>3896.24</v>
      </c>
      <c r="E114" s="970" t="s">
        <v>431</v>
      </c>
      <c r="F114" s="281"/>
      <c r="G114" s="280"/>
    </row>
    <row r="115" spans="1:7" ht="25.5">
      <c r="A115" s="967">
        <v>7130354274</v>
      </c>
      <c r="B115" s="968" t="s">
        <v>432</v>
      </c>
      <c r="C115" s="969" t="s">
        <v>255</v>
      </c>
      <c r="D115" s="965">
        <v>2.81</v>
      </c>
      <c r="E115" s="968" t="s">
        <v>433</v>
      </c>
      <c r="F115" s="281"/>
      <c r="G115" s="280"/>
    </row>
    <row r="116" spans="1:7" ht="25.5">
      <c r="A116" s="967">
        <v>7130354275</v>
      </c>
      <c r="B116" s="968" t="s">
        <v>434</v>
      </c>
      <c r="C116" s="969" t="s">
        <v>255</v>
      </c>
      <c r="D116" s="965">
        <v>2.81</v>
      </c>
      <c r="E116" s="968" t="s">
        <v>435</v>
      </c>
      <c r="F116" s="281"/>
      <c r="G116" s="280"/>
    </row>
    <row r="117" spans="1:7" ht="21.75" customHeight="1">
      <c r="A117" s="967">
        <v>7130354276</v>
      </c>
      <c r="B117" s="968" t="s">
        <v>436</v>
      </c>
      <c r="C117" s="969" t="s">
        <v>255</v>
      </c>
      <c r="D117" s="965">
        <v>5.62</v>
      </c>
      <c r="E117" s="983"/>
      <c r="F117" s="281"/>
      <c r="G117" s="280"/>
    </row>
    <row r="118" spans="1:7" ht="20.25" customHeight="1">
      <c r="A118" s="967">
        <v>7130354277</v>
      </c>
      <c r="B118" s="968" t="s">
        <v>437</v>
      </c>
      <c r="C118" s="969" t="s">
        <v>255</v>
      </c>
      <c r="D118" s="965">
        <v>7.03</v>
      </c>
      <c r="E118" s="983"/>
      <c r="F118" s="281"/>
      <c r="G118" s="280"/>
    </row>
    <row r="119" spans="1:7" ht="25.5">
      <c r="A119" s="967">
        <v>7130354278</v>
      </c>
      <c r="B119" s="968" t="s">
        <v>438</v>
      </c>
      <c r="C119" s="969" t="s">
        <v>255</v>
      </c>
      <c r="D119" s="965">
        <v>11.27</v>
      </c>
      <c r="E119" s="968" t="s">
        <v>439</v>
      </c>
      <c r="F119" s="281"/>
      <c r="G119" s="280"/>
    </row>
    <row r="120" spans="1:7" ht="25.5">
      <c r="A120" s="967">
        <v>7130354279</v>
      </c>
      <c r="B120" s="968" t="s">
        <v>440</v>
      </c>
      <c r="C120" s="969" t="s">
        <v>255</v>
      </c>
      <c r="D120" s="965">
        <v>16.89</v>
      </c>
      <c r="E120" s="968" t="s">
        <v>441</v>
      </c>
      <c r="F120" s="281"/>
      <c r="G120" s="280"/>
    </row>
    <row r="121" spans="1:7" ht="25.5">
      <c r="A121" s="967">
        <v>7130354280</v>
      </c>
      <c r="B121" s="968" t="s">
        <v>442</v>
      </c>
      <c r="C121" s="969" t="s">
        <v>255</v>
      </c>
      <c r="D121" s="965">
        <v>21.11</v>
      </c>
      <c r="E121" s="968" t="s">
        <v>443</v>
      </c>
      <c r="F121" s="281"/>
      <c r="G121" s="280"/>
    </row>
    <row r="122" spans="1:7" ht="25.5">
      <c r="A122" s="967">
        <v>7130354281</v>
      </c>
      <c r="B122" s="968" t="s">
        <v>444</v>
      </c>
      <c r="C122" s="969" t="s">
        <v>255</v>
      </c>
      <c r="D122" s="965">
        <v>29.56</v>
      </c>
      <c r="E122" s="968" t="s">
        <v>445</v>
      </c>
      <c r="F122" s="281"/>
      <c r="G122" s="280"/>
    </row>
    <row r="123" spans="1:7" ht="25.5">
      <c r="A123" s="967">
        <v>7130354282</v>
      </c>
      <c r="B123" s="968" t="s">
        <v>446</v>
      </c>
      <c r="C123" s="969" t="s">
        <v>255</v>
      </c>
      <c r="D123" s="965">
        <v>33.78</v>
      </c>
      <c r="E123" s="968" t="s">
        <v>447</v>
      </c>
      <c r="F123" s="273"/>
      <c r="G123" s="41"/>
    </row>
    <row r="124" spans="1:7" ht="18.75" customHeight="1">
      <c r="A124" s="967">
        <v>7130354283</v>
      </c>
      <c r="B124" s="968" t="s">
        <v>448</v>
      </c>
      <c r="C124" s="969" t="s">
        <v>255</v>
      </c>
      <c r="D124" s="965">
        <v>53.48</v>
      </c>
      <c r="E124" s="983"/>
      <c r="F124" s="281"/>
      <c r="G124" s="280"/>
    </row>
    <row r="125" spans="1:7" ht="18.75" customHeight="1">
      <c r="A125" s="967">
        <v>7130354284</v>
      </c>
      <c r="B125" s="968" t="s">
        <v>449</v>
      </c>
      <c r="C125" s="969" t="s">
        <v>255</v>
      </c>
      <c r="D125" s="965">
        <v>60.52</v>
      </c>
      <c r="E125" s="983"/>
      <c r="F125" s="281"/>
      <c r="G125" s="280"/>
    </row>
    <row r="126" spans="1:7" ht="18.75" customHeight="1">
      <c r="A126" s="967">
        <v>7130354285</v>
      </c>
      <c r="B126" s="968" t="s">
        <v>450</v>
      </c>
      <c r="C126" s="969" t="s">
        <v>255</v>
      </c>
      <c r="D126" s="965">
        <v>87.27</v>
      </c>
      <c r="E126" s="983"/>
      <c r="F126" s="281"/>
      <c r="G126" s="280"/>
    </row>
    <row r="127" spans="1:7" ht="25.5">
      <c r="A127" s="967">
        <v>7130354286</v>
      </c>
      <c r="B127" s="968" t="s">
        <v>451</v>
      </c>
      <c r="C127" s="969" t="s">
        <v>255</v>
      </c>
      <c r="D127" s="965">
        <v>102.75</v>
      </c>
      <c r="E127" s="968" t="s">
        <v>452</v>
      </c>
      <c r="F127" s="281"/>
      <c r="G127" s="280"/>
    </row>
    <row r="128" spans="1:7" ht="17.25" customHeight="1">
      <c r="A128" s="967">
        <v>7130354287</v>
      </c>
      <c r="B128" s="968" t="s">
        <v>453</v>
      </c>
      <c r="C128" s="969" t="s">
        <v>255</v>
      </c>
      <c r="D128" s="965">
        <v>132.31</v>
      </c>
      <c r="E128" s="983"/>
      <c r="F128" s="281"/>
      <c r="G128" s="280"/>
    </row>
    <row r="129" spans="1:7" ht="25.5">
      <c r="A129" s="969">
        <v>7130354442</v>
      </c>
      <c r="B129" s="968" t="s">
        <v>454</v>
      </c>
      <c r="C129" s="965" t="s">
        <v>255</v>
      </c>
      <c r="D129" s="965">
        <v>848.32</v>
      </c>
      <c r="E129" s="968" t="s">
        <v>455</v>
      </c>
      <c r="F129" s="273"/>
      <c r="G129" s="280"/>
    </row>
    <row r="130" spans="1:7" ht="38.25">
      <c r="A130" s="969">
        <v>7130390003</v>
      </c>
      <c r="B130" s="968" t="s">
        <v>456</v>
      </c>
      <c r="C130" s="965" t="s">
        <v>255</v>
      </c>
      <c r="D130" s="965">
        <v>96.28</v>
      </c>
      <c r="E130" s="968" t="s">
        <v>457</v>
      </c>
      <c r="F130" s="273"/>
      <c r="G130" s="280"/>
    </row>
    <row r="131" spans="1:7" ht="38.25">
      <c r="A131" s="969">
        <v>7130390004</v>
      </c>
      <c r="B131" s="968" t="s">
        <v>458</v>
      </c>
      <c r="C131" s="965" t="s">
        <v>255</v>
      </c>
      <c r="D131" s="965">
        <v>125.42</v>
      </c>
      <c r="E131" s="968" t="s">
        <v>459</v>
      </c>
      <c r="F131" s="273"/>
      <c r="G131" s="280"/>
    </row>
    <row r="132" spans="1:7" ht="39.75" customHeight="1">
      <c r="A132" s="969">
        <v>7130390005</v>
      </c>
      <c r="B132" s="968" t="s">
        <v>460</v>
      </c>
      <c r="C132" s="965" t="s">
        <v>255</v>
      </c>
      <c r="D132" s="965">
        <v>174.82</v>
      </c>
      <c r="E132" s="968" t="s">
        <v>461</v>
      </c>
      <c r="F132" s="273"/>
      <c r="G132" s="280"/>
    </row>
    <row r="133" spans="1:7" ht="25.5">
      <c r="A133" s="967">
        <v>7130390006</v>
      </c>
      <c r="B133" s="968" t="s">
        <v>462</v>
      </c>
      <c r="C133" s="969" t="s">
        <v>33</v>
      </c>
      <c r="D133" s="965">
        <v>153.72999999999999</v>
      </c>
      <c r="E133" s="968" t="s">
        <v>463</v>
      </c>
      <c r="F133" s="273"/>
      <c r="G133" s="280"/>
    </row>
    <row r="134" spans="1:7" ht="18.75" customHeight="1">
      <c r="A134" s="969">
        <v>7130390007</v>
      </c>
      <c r="B134" s="968" t="s">
        <v>464</v>
      </c>
      <c r="C134" s="965" t="s">
        <v>255</v>
      </c>
      <c r="D134" s="965">
        <v>217.24</v>
      </c>
      <c r="E134" s="970" t="s">
        <v>465</v>
      </c>
      <c r="F134" s="273"/>
      <c r="G134" s="280"/>
    </row>
    <row r="135" spans="1:7" ht="18.75" customHeight="1">
      <c r="A135" s="967">
        <v>7130390019</v>
      </c>
      <c r="B135" s="968" t="s">
        <v>466</v>
      </c>
      <c r="C135" s="969" t="s">
        <v>255</v>
      </c>
      <c r="D135" s="965">
        <v>37.130000000000003</v>
      </c>
      <c r="E135" s="970" t="s">
        <v>467</v>
      </c>
      <c r="F135" s="273"/>
      <c r="G135" s="280"/>
    </row>
    <row r="136" spans="1:7" ht="18.75" customHeight="1">
      <c r="A136" s="969">
        <v>7130640040</v>
      </c>
      <c r="B136" s="988" t="s">
        <v>468</v>
      </c>
      <c r="C136" s="964" t="s">
        <v>469</v>
      </c>
      <c r="D136" s="965">
        <v>46225.86</v>
      </c>
      <c r="E136" s="988" t="s">
        <v>468</v>
      </c>
      <c r="F136" s="273"/>
      <c r="G136" s="282"/>
    </row>
    <row r="137" spans="1:7" ht="18.75" customHeight="1">
      <c r="A137" s="971">
        <v>7130600023</v>
      </c>
      <c r="B137" s="963" t="s">
        <v>470</v>
      </c>
      <c r="C137" s="964" t="s">
        <v>469</v>
      </c>
      <c r="D137" s="965">
        <v>54512.97</v>
      </c>
      <c r="E137" s="970" t="s">
        <v>471</v>
      </c>
      <c r="F137" s="273"/>
      <c r="G137" s="280"/>
    </row>
    <row r="138" spans="1:7" ht="18.75" customHeight="1">
      <c r="A138" s="971">
        <v>7130600032</v>
      </c>
      <c r="B138" s="963" t="s">
        <v>472</v>
      </c>
      <c r="C138" s="964" t="s">
        <v>469</v>
      </c>
      <c r="D138" s="965">
        <v>54512.97</v>
      </c>
      <c r="E138" s="970" t="s">
        <v>473</v>
      </c>
      <c r="F138" s="273"/>
      <c r="G138" s="280"/>
    </row>
    <row r="139" spans="1:7" ht="18.75" customHeight="1">
      <c r="A139" s="971">
        <v>7130600051</v>
      </c>
      <c r="B139" s="963" t="s">
        <v>474</v>
      </c>
      <c r="C139" s="964" t="s">
        <v>469</v>
      </c>
      <c r="D139" s="965">
        <v>54512.97</v>
      </c>
      <c r="E139" s="970" t="s">
        <v>475</v>
      </c>
      <c r="F139" s="273"/>
      <c r="G139" s="280"/>
    </row>
    <row r="140" spans="1:7" ht="18.75" customHeight="1">
      <c r="A140" s="964">
        <v>7130600166</v>
      </c>
      <c r="B140" s="963" t="s">
        <v>476</v>
      </c>
      <c r="C140" s="964" t="s">
        <v>469</v>
      </c>
      <c r="D140" s="965">
        <v>54512.97</v>
      </c>
      <c r="E140" s="970" t="s">
        <v>477</v>
      </c>
      <c r="F140" s="273"/>
      <c r="G140" s="280"/>
    </row>
    <row r="141" spans="1:7" ht="18.75" customHeight="1">
      <c r="A141" s="962">
        <v>7130600173</v>
      </c>
      <c r="B141" s="963" t="s">
        <v>478</v>
      </c>
      <c r="C141" s="964" t="s">
        <v>469</v>
      </c>
      <c r="D141" s="965">
        <v>57763.91</v>
      </c>
      <c r="E141" s="970" t="s">
        <v>479</v>
      </c>
      <c r="F141" s="273"/>
      <c r="G141" s="280"/>
    </row>
    <row r="142" spans="1:7" ht="21" customHeight="1">
      <c r="A142" s="964">
        <v>7130600230</v>
      </c>
      <c r="B142" s="963" t="s">
        <v>480</v>
      </c>
      <c r="C142" s="964" t="s">
        <v>469</v>
      </c>
      <c r="D142" s="965">
        <v>54512.97</v>
      </c>
      <c r="E142" s="970" t="s">
        <v>481</v>
      </c>
      <c r="F142" s="273"/>
      <c r="G142" s="280"/>
    </row>
    <row r="143" spans="1:7" ht="22.5" customHeight="1">
      <c r="A143" s="964">
        <v>7130600495</v>
      </c>
      <c r="B143" s="963" t="s">
        <v>482</v>
      </c>
      <c r="C143" s="964" t="s">
        <v>469</v>
      </c>
      <c r="D143" s="965">
        <v>57763.91</v>
      </c>
      <c r="E143" s="970" t="s">
        <v>483</v>
      </c>
      <c r="F143" s="273"/>
      <c r="G143" s="280"/>
    </row>
    <row r="144" spans="1:7" ht="22.5" customHeight="1">
      <c r="A144" s="971">
        <v>7130600635</v>
      </c>
      <c r="B144" s="963" t="s">
        <v>484</v>
      </c>
      <c r="C144" s="964" t="s">
        <v>469</v>
      </c>
      <c r="D144" s="965"/>
      <c r="E144" s="970" t="s">
        <v>485</v>
      </c>
      <c r="F144" s="273"/>
      <c r="G144" s="277" t="s">
        <v>299</v>
      </c>
    </row>
    <row r="145" spans="1:7" ht="22.5" customHeight="1">
      <c r="A145" s="971">
        <v>7130600675</v>
      </c>
      <c r="B145" s="963" t="s">
        <v>486</v>
      </c>
      <c r="C145" s="964" t="s">
        <v>469</v>
      </c>
      <c r="D145" s="965">
        <v>68748.59</v>
      </c>
      <c r="E145" s="970" t="s">
        <v>487</v>
      </c>
      <c r="F145" s="274" t="s">
        <v>268</v>
      </c>
      <c r="G145" s="279"/>
    </row>
    <row r="146" spans="1:7" ht="25.5">
      <c r="A146" s="971">
        <v>7130601070</v>
      </c>
      <c r="B146" s="989" t="s">
        <v>488</v>
      </c>
      <c r="C146" s="964" t="s">
        <v>469</v>
      </c>
      <c r="D146" s="965">
        <v>85255.96</v>
      </c>
      <c r="E146" s="968" t="s">
        <v>489</v>
      </c>
      <c r="F146" s="273"/>
      <c r="G146" s="288"/>
    </row>
    <row r="147" spans="1:7" ht="24.75" customHeight="1">
      <c r="A147" s="971">
        <v>7130601072</v>
      </c>
      <c r="B147" s="989" t="s">
        <v>490</v>
      </c>
      <c r="C147" s="964" t="s">
        <v>469</v>
      </c>
      <c r="D147" s="965">
        <v>85255.96</v>
      </c>
      <c r="E147" s="970" t="s">
        <v>491</v>
      </c>
      <c r="F147" s="273"/>
      <c r="G147" s="288"/>
    </row>
    <row r="148" spans="1:7" ht="27.75" customHeight="1">
      <c r="A148" s="971">
        <v>7130601958</v>
      </c>
      <c r="B148" s="963" t="s">
        <v>492</v>
      </c>
      <c r="C148" s="964" t="s">
        <v>469</v>
      </c>
      <c r="D148" s="965">
        <v>64326.52</v>
      </c>
      <c r="E148" s="968" t="s">
        <v>493</v>
      </c>
      <c r="F148" s="274" t="s">
        <v>268</v>
      </c>
      <c r="G148" s="275"/>
    </row>
    <row r="149" spans="1:7" ht="27.75" customHeight="1">
      <c r="A149" s="971">
        <v>7130601965</v>
      </c>
      <c r="B149" s="963" t="s">
        <v>494</v>
      </c>
      <c r="C149" s="964" t="s">
        <v>469</v>
      </c>
      <c r="D149" s="965">
        <v>63913.52</v>
      </c>
      <c r="E149" s="968" t="s">
        <v>495</v>
      </c>
      <c r="F149" s="274" t="s">
        <v>268</v>
      </c>
      <c r="G149" s="275"/>
    </row>
    <row r="150" spans="1:7" ht="41.25" customHeight="1">
      <c r="A150" s="990">
        <v>7130600012</v>
      </c>
      <c r="B150" s="988" t="s">
        <v>496</v>
      </c>
      <c r="C150" s="991" t="s">
        <v>469</v>
      </c>
      <c r="D150" s="965">
        <v>70449.960000000006</v>
      </c>
      <c r="E150" s="968"/>
      <c r="F150" s="274"/>
      <c r="G150" s="282"/>
    </row>
    <row r="151" spans="1:7" ht="42" customHeight="1">
      <c r="A151" s="992">
        <v>7130600011</v>
      </c>
      <c r="B151" s="988" t="s">
        <v>497</v>
      </c>
      <c r="C151" s="993" t="s">
        <v>469</v>
      </c>
      <c r="D151" s="965">
        <v>69671.17</v>
      </c>
      <c r="E151" s="968"/>
      <c r="F151" s="274"/>
      <c r="G151" s="282"/>
    </row>
    <row r="152" spans="1:7" ht="20.25" customHeight="1">
      <c r="A152" s="971">
        <v>7130610206</v>
      </c>
      <c r="B152" s="963" t="s">
        <v>498</v>
      </c>
      <c r="C152" s="964" t="s">
        <v>469</v>
      </c>
      <c r="D152" s="965">
        <v>97233.43</v>
      </c>
      <c r="E152" s="970" t="s">
        <v>499</v>
      </c>
      <c r="F152" s="273"/>
      <c r="G152" s="280"/>
    </row>
    <row r="153" spans="1:7" ht="25.5">
      <c r="A153" s="971">
        <v>7130620013</v>
      </c>
      <c r="B153" s="963" t="s">
        <v>500</v>
      </c>
      <c r="C153" s="964" t="s">
        <v>12</v>
      </c>
      <c r="D153" s="965">
        <v>156.05000000000001</v>
      </c>
      <c r="E153" s="968" t="s">
        <v>501</v>
      </c>
      <c r="F153" s="273"/>
      <c r="G153" s="280"/>
    </row>
    <row r="154" spans="1:7" ht="24" customHeight="1">
      <c r="A154" s="962">
        <v>7130620049</v>
      </c>
      <c r="B154" s="963" t="s">
        <v>502</v>
      </c>
      <c r="C154" s="964" t="s">
        <v>26</v>
      </c>
      <c r="D154" s="965">
        <v>87.23</v>
      </c>
      <c r="E154" s="970"/>
      <c r="F154" s="273"/>
      <c r="G154" s="280"/>
    </row>
    <row r="155" spans="1:7" ht="25.5" customHeight="1">
      <c r="A155" s="964">
        <v>7130620133</v>
      </c>
      <c r="B155" s="963" t="s">
        <v>79</v>
      </c>
      <c r="C155" s="964" t="s">
        <v>26</v>
      </c>
      <c r="D155" s="965">
        <v>120.67</v>
      </c>
      <c r="E155" s="970" t="s">
        <v>503</v>
      </c>
      <c r="F155" s="273"/>
      <c r="G155" s="280"/>
    </row>
    <row r="156" spans="1:7" ht="25.5" customHeight="1">
      <c r="A156" s="964">
        <v>7130620140</v>
      </c>
      <c r="B156" s="963" t="s">
        <v>111</v>
      </c>
      <c r="C156" s="964" t="s">
        <v>26</v>
      </c>
      <c r="D156" s="965">
        <v>120.67</v>
      </c>
      <c r="E156" s="970" t="s">
        <v>504</v>
      </c>
      <c r="F156" s="273"/>
      <c r="G156" s="280"/>
    </row>
    <row r="157" spans="1:7" ht="21" customHeight="1">
      <c r="A157" s="964">
        <v>7130620573</v>
      </c>
      <c r="B157" s="963" t="s">
        <v>505</v>
      </c>
      <c r="C157" s="964" t="s">
        <v>26</v>
      </c>
      <c r="D157" s="965">
        <v>87.23</v>
      </c>
      <c r="E157" s="970" t="s">
        <v>506</v>
      </c>
      <c r="F157" s="273"/>
      <c r="G157" s="280"/>
    </row>
    <row r="158" spans="1:7" ht="25.5">
      <c r="A158" s="971">
        <v>7130620575</v>
      </c>
      <c r="B158" s="963" t="s">
        <v>507</v>
      </c>
      <c r="C158" s="964" t="s">
        <v>26</v>
      </c>
      <c r="D158" s="965">
        <v>88.68</v>
      </c>
      <c r="E158" s="968" t="s">
        <v>508</v>
      </c>
      <c r="F158" s="273"/>
      <c r="G158" s="280"/>
    </row>
    <row r="159" spans="1:7" ht="25.5">
      <c r="A159" s="971">
        <v>7130620577</v>
      </c>
      <c r="B159" s="963" t="s">
        <v>509</v>
      </c>
      <c r="C159" s="964" t="s">
        <v>26</v>
      </c>
      <c r="D159" s="965">
        <v>88.68</v>
      </c>
      <c r="E159" s="968" t="s">
        <v>510</v>
      </c>
      <c r="F159" s="273"/>
      <c r="G159" s="280"/>
    </row>
    <row r="160" spans="1:7" ht="25.5">
      <c r="A160" s="971">
        <v>7130620609</v>
      </c>
      <c r="B160" s="963" t="s">
        <v>79</v>
      </c>
      <c r="C160" s="964" t="s">
        <v>26</v>
      </c>
      <c r="D160" s="965">
        <v>87.23</v>
      </c>
      <c r="E160" s="968" t="s">
        <v>511</v>
      </c>
      <c r="F160" s="273"/>
      <c r="G160" s="280"/>
    </row>
    <row r="161" spans="1:8" ht="25.5">
      <c r="A161" s="971">
        <v>7130620614</v>
      </c>
      <c r="B161" s="963" t="s">
        <v>111</v>
      </c>
      <c r="C161" s="964" t="s">
        <v>26</v>
      </c>
      <c r="D161" s="965">
        <v>85.77</v>
      </c>
      <c r="E161" s="968" t="s">
        <v>512</v>
      </c>
      <c r="F161" s="273"/>
      <c r="G161" s="280"/>
    </row>
    <row r="162" spans="1:8" ht="25.5">
      <c r="A162" s="971">
        <v>7130620619</v>
      </c>
      <c r="B162" s="963" t="s">
        <v>36</v>
      </c>
      <c r="C162" s="964" t="s">
        <v>26</v>
      </c>
      <c r="D162" s="965">
        <v>85.77</v>
      </c>
      <c r="E162" s="968" t="s">
        <v>513</v>
      </c>
      <c r="F162" s="273"/>
      <c r="G162" s="280"/>
    </row>
    <row r="163" spans="1:8" ht="25.5">
      <c r="A163" s="971">
        <v>7130620621</v>
      </c>
      <c r="B163" s="963" t="s">
        <v>514</v>
      </c>
      <c r="C163" s="964" t="s">
        <v>26</v>
      </c>
      <c r="D163" s="965">
        <v>84.32</v>
      </c>
      <c r="E163" s="968" t="s">
        <v>515</v>
      </c>
      <c r="F163" s="273"/>
      <c r="G163" s="280"/>
    </row>
    <row r="164" spans="1:8" ht="25.5">
      <c r="A164" s="971">
        <v>7130620625</v>
      </c>
      <c r="B164" s="963" t="s">
        <v>112</v>
      </c>
      <c r="C164" s="964" t="s">
        <v>26</v>
      </c>
      <c r="D164" s="965">
        <v>84.32</v>
      </c>
      <c r="E164" s="968" t="s">
        <v>516</v>
      </c>
      <c r="F164" s="273"/>
      <c r="G164" s="280"/>
    </row>
    <row r="165" spans="1:8" ht="25.5">
      <c r="A165" s="971">
        <v>7130620627</v>
      </c>
      <c r="B165" s="963" t="s">
        <v>37</v>
      </c>
      <c r="C165" s="964" t="s">
        <v>26</v>
      </c>
      <c r="D165" s="965">
        <v>84.32</v>
      </c>
      <c r="E165" s="968" t="s">
        <v>517</v>
      </c>
      <c r="F165" s="273"/>
      <c r="G165" s="280"/>
    </row>
    <row r="166" spans="1:8" ht="25.5">
      <c r="A166" s="971">
        <v>7130620631</v>
      </c>
      <c r="B166" s="963" t="s">
        <v>80</v>
      </c>
      <c r="C166" s="964" t="s">
        <v>26</v>
      </c>
      <c r="D166" s="965">
        <v>84.32</v>
      </c>
      <c r="E166" s="968" t="s">
        <v>518</v>
      </c>
      <c r="F166" s="273"/>
      <c r="G166" s="280"/>
    </row>
    <row r="167" spans="1:8" ht="25.5">
      <c r="A167" s="971">
        <v>7130620636</v>
      </c>
      <c r="B167" s="963" t="s">
        <v>519</v>
      </c>
      <c r="C167" s="964" t="s">
        <v>26</v>
      </c>
      <c r="D167" s="965">
        <v>84.32</v>
      </c>
      <c r="E167" s="968" t="s">
        <v>520</v>
      </c>
      <c r="F167" s="273"/>
      <c r="G167" s="280"/>
    </row>
    <row r="168" spans="1:8" ht="25.5">
      <c r="A168" s="971">
        <v>7130620637</v>
      </c>
      <c r="B168" s="963" t="s">
        <v>521</v>
      </c>
      <c r="C168" s="964" t="s">
        <v>26</v>
      </c>
      <c r="D168" s="965">
        <v>84.32</v>
      </c>
      <c r="E168" s="968" t="s">
        <v>522</v>
      </c>
      <c r="F168" s="273"/>
      <c r="G168" s="280"/>
    </row>
    <row r="169" spans="1:8" ht="25.5">
      <c r="A169" s="971">
        <v>7130620713</v>
      </c>
      <c r="B169" s="963" t="s">
        <v>523</v>
      </c>
      <c r="C169" s="964" t="s">
        <v>26</v>
      </c>
      <c r="D169" s="965">
        <v>84.32</v>
      </c>
      <c r="E169" s="968" t="s">
        <v>524</v>
      </c>
      <c r="F169" s="273"/>
      <c r="G169" s="280"/>
    </row>
    <row r="170" spans="1:8" ht="25.5">
      <c r="A170" s="971">
        <v>7130620716</v>
      </c>
      <c r="B170" s="963" t="s">
        <v>525</v>
      </c>
      <c r="C170" s="964" t="s">
        <v>26</v>
      </c>
      <c r="D170" s="965">
        <v>84.32</v>
      </c>
      <c r="E170" s="968" t="s">
        <v>526</v>
      </c>
      <c r="F170" s="273"/>
      <c r="G170" s="280"/>
    </row>
    <row r="171" spans="1:8" ht="25.5">
      <c r="A171" s="971">
        <v>7130620719</v>
      </c>
      <c r="B171" s="963" t="s">
        <v>527</v>
      </c>
      <c r="C171" s="964" t="s">
        <v>26</v>
      </c>
      <c r="D171" s="965">
        <v>84.32</v>
      </c>
      <c r="E171" s="968" t="s">
        <v>528</v>
      </c>
      <c r="F171" s="273"/>
      <c r="G171" s="280"/>
      <c r="H171" s="12"/>
    </row>
    <row r="172" spans="1:8" ht="25.5">
      <c r="A172" s="971">
        <v>7130620829</v>
      </c>
      <c r="B172" s="963" t="s">
        <v>529</v>
      </c>
      <c r="C172" s="964" t="s">
        <v>26</v>
      </c>
      <c r="D172" s="965">
        <v>84.32</v>
      </c>
      <c r="E172" s="968" t="s">
        <v>530</v>
      </c>
      <c r="F172" s="273"/>
      <c r="G172" s="280"/>
      <c r="H172" s="12"/>
    </row>
    <row r="173" spans="1:8" ht="18.95" customHeight="1">
      <c r="A173" s="971">
        <v>7130621892</v>
      </c>
      <c r="B173" s="963" t="s">
        <v>531</v>
      </c>
      <c r="C173" s="964" t="s">
        <v>12</v>
      </c>
      <c r="D173" s="965">
        <v>522.4</v>
      </c>
      <c r="E173" s="970" t="s">
        <v>532</v>
      </c>
      <c r="F173" s="273"/>
      <c r="G173" s="280"/>
      <c r="H173" s="12"/>
    </row>
    <row r="174" spans="1:8" ht="18.75" customHeight="1">
      <c r="A174" s="969">
        <v>7130622922</v>
      </c>
      <c r="B174" s="968" t="s">
        <v>533</v>
      </c>
      <c r="C174" s="964" t="s">
        <v>26</v>
      </c>
      <c r="D174" s="965">
        <v>175.32</v>
      </c>
      <c r="E174" s="970" t="s">
        <v>534</v>
      </c>
      <c r="F174" s="273"/>
      <c r="G174" s="280"/>
    </row>
    <row r="175" spans="1:8" ht="25.5">
      <c r="A175" s="967">
        <v>7130640027</v>
      </c>
      <c r="B175" s="994" t="s">
        <v>535</v>
      </c>
      <c r="C175" s="995" t="s">
        <v>536</v>
      </c>
      <c r="D175" s="965">
        <v>1269.1500000000001</v>
      </c>
      <c r="E175" s="968" t="s">
        <v>537</v>
      </c>
      <c r="F175" s="273"/>
      <c r="G175" s="280"/>
    </row>
    <row r="176" spans="1:8" ht="18.75" customHeight="1">
      <c r="A176" s="967">
        <v>7130640028</v>
      </c>
      <c r="B176" s="996" t="s">
        <v>538</v>
      </c>
      <c r="C176" s="995" t="s">
        <v>255</v>
      </c>
      <c r="D176" s="965">
        <v>1099.6400000000001</v>
      </c>
      <c r="E176" s="970" t="s">
        <v>539</v>
      </c>
      <c r="F176" s="273"/>
      <c r="G176" s="280"/>
    </row>
    <row r="177" spans="1:11" ht="27.75" customHeight="1">
      <c r="A177" s="962">
        <v>7130640029</v>
      </c>
      <c r="B177" s="996" t="s">
        <v>540</v>
      </c>
      <c r="C177" s="995" t="s">
        <v>76</v>
      </c>
      <c r="D177" s="965">
        <v>3905.47</v>
      </c>
      <c r="E177" s="968" t="s">
        <v>541</v>
      </c>
      <c r="F177" s="273"/>
      <c r="G177" s="280"/>
    </row>
    <row r="178" spans="1:11" ht="27.75" customHeight="1">
      <c r="A178" s="962">
        <v>7130640030</v>
      </c>
      <c r="B178" s="997" t="s">
        <v>542</v>
      </c>
      <c r="C178" s="998" t="s">
        <v>76</v>
      </c>
      <c r="D178" s="965">
        <v>3905.88</v>
      </c>
      <c r="E178" s="968"/>
      <c r="F178" s="273"/>
      <c r="G178" s="41"/>
    </row>
    <row r="179" spans="1:11" ht="27.75" customHeight="1">
      <c r="A179" s="964">
        <v>7130300496</v>
      </c>
      <c r="B179" s="963" t="s">
        <v>1391</v>
      </c>
      <c r="C179" s="999" t="s">
        <v>536</v>
      </c>
      <c r="D179" s="965">
        <v>1769</v>
      </c>
      <c r="E179" s="968"/>
      <c r="F179" s="328" t="s">
        <v>841</v>
      </c>
      <c r="G179" s="270" t="s">
        <v>1406</v>
      </c>
    </row>
    <row r="180" spans="1:11" ht="27.75" customHeight="1">
      <c r="A180" s="967">
        <v>7130640031</v>
      </c>
      <c r="B180" s="963" t="s">
        <v>543</v>
      </c>
      <c r="C180" s="999" t="s">
        <v>536</v>
      </c>
      <c r="D180" s="965">
        <v>2459</v>
      </c>
      <c r="E180" s="970"/>
      <c r="F180" s="273"/>
      <c r="G180" s="270" t="s">
        <v>47</v>
      </c>
    </row>
    <row r="181" spans="1:11" ht="27.75" customHeight="1">
      <c r="A181" s="967">
        <v>7130640036</v>
      </c>
      <c r="B181" s="963" t="s">
        <v>544</v>
      </c>
      <c r="C181" s="1000" t="s">
        <v>536</v>
      </c>
      <c r="D181" s="965">
        <v>4874</v>
      </c>
      <c r="E181" s="968" t="s">
        <v>545</v>
      </c>
      <c r="F181" s="273"/>
      <c r="G181" s="270" t="s">
        <v>47</v>
      </c>
    </row>
    <row r="182" spans="1:11" ht="27.75" customHeight="1">
      <c r="A182" s="967">
        <v>7130640037</v>
      </c>
      <c r="B182" s="988" t="s">
        <v>546</v>
      </c>
      <c r="C182" s="982" t="s">
        <v>547</v>
      </c>
      <c r="D182" s="965">
        <v>1628.47</v>
      </c>
      <c r="E182" s="968"/>
      <c r="F182" s="273"/>
      <c r="G182" s="41"/>
    </row>
    <row r="183" spans="1:11" ht="27.75" customHeight="1">
      <c r="A183" s="967">
        <v>7130640038</v>
      </c>
      <c r="B183" s="968" t="s">
        <v>546</v>
      </c>
      <c r="C183" s="964" t="s">
        <v>548</v>
      </c>
      <c r="D183" s="965">
        <v>1271.76</v>
      </c>
      <c r="E183" s="968" t="s">
        <v>549</v>
      </c>
      <c r="F183" s="273"/>
      <c r="G183" s="289"/>
    </row>
    <row r="184" spans="1:11" ht="19.5" customHeight="1">
      <c r="A184" s="967">
        <v>7130640171</v>
      </c>
      <c r="B184" s="968" t="s">
        <v>550</v>
      </c>
      <c r="C184" s="964" t="s">
        <v>33</v>
      </c>
      <c r="D184" s="965">
        <v>122.5</v>
      </c>
      <c r="E184" s="968"/>
      <c r="F184" s="273"/>
      <c r="G184" s="41"/>
    </row>
    <row r="185" spans="1:11" ht="18.75" customHeight="1">
      <c r="A185" s="969">
        <v>7130641396</v>
      </c>
      <c r="B185" s="968" t="s">
        <v>551</v>
      </c>
      <c r="C185" s="969" t="s">
        <v>552</v>
      </c>
      <c r="D185" s="965">
        <v>253.11</v>
      </c>
      <c r="E185" s="970" t="s">
        <v>553</v>
      </c>
      <c r="F185" s="273"/>
      <c r="G185" s="280"/>
    </row>
    <row r="186" spans="1:11" ht="53.25" customHeight="1">
      <c r="A186" s="1001">
        <v>7130642039</v>
      </c>
      <c r="B186" s="963" t="s">
        <v>554</v>
      </c>
      <c r="C186" s="964" t="s">
        <v>12</v>
      </c>
      <c r="D186" s="965">
        <v>998.57</v>
      </c>
      <c r="E186" s="970" t="s">
        <v>555</v>
      </c>
      <c r="F186" s="273"/>
      <c r="G186" s="280"/>
    </row>
    <row r="187" spans="1:11" ht="28.5" customHeight="1">
      <c r="A187" s="1001">
        <v>7130642041</v>
      </c>
      <c r="B187" s="963" t="s">
        <v>556</v>
      </c>
      <c r="C187" s="964" t="s">
        <v>12</v>
      </c>
      <c r="D187" s="965">
        <v>5075.34</v>
      </c>
      <c r="E187" s="968" t="s">
        <v>557</v>
      </c>
      <c r="F187" s="273"/>
      <c r="G187" s="280"/>
    </row>
    <row r="188" spans="1:11" ht="80.25" customHeight="1">
      <c r="A188" s="967">
        <v>7130650001</v>
      </c>
      <c r="B188" s="968" t="s">
        <v>558</v>
      </c>
      <c r="C188" s="1002" t="s">
        <v>536</v>
      </c>
      <c r="D188" s="965"/>
      <c r="E188" s="966"/>
      <c r="F188" s="510" t="s">
        <v>1660</v>
      </c>
      <c r="G188" s="508" t="s">
        <v>1620</v>
      </c>
      <c r="K188" s="227"/>
    </row>
    <row r="189" spans="1:11" ht="93.75" customHeight="1">
      <c r="A189" s="982"/>
      <c r="B189" s="978" t="s">
        <v>1618</v>
      </c>
      <c r="C189" s="1003" t="s">
        <v>190</v>
      </c>
      <c r="D189" s="1004">
        <v>2494</v>
      </c>
      <c r="E189" s="983"/>
      <c r="G189" s="509" t="s">
        <v>1622</v>
      </c>
      <c r="K189" s="227"/>
    </row>
    <row r="190" spans="1:11" ht="96" customHeight="1">
      <c r="A190" s="982"/>
      <c r="B190" s="978" t="s">
        <v>1619</v>
      </c>
      <c r="C190" s="1003" t="s">
        <v>190</v>
      </c>
      <c r="D190" s="1004">
        <v>2860</v>
      </c>
      <c r="E190" s="983"/>
      <c r="G190" s="509" t="s">
        <v>1623</v>
      </c>
      <c r="K190" s="227"/>
    </row>
    <row r="191" spans="1:11" ht="27" customHeight="1">
      <c r="A191" s="967">
        <v>7130670027</v>
      </c>
      <c r="B191" s="968" t="s">
        <v>559</v>
      </c>
      <c r="C191" s="969" t="s">
        <v>255</v>
      </c>
      <c r="D191" s="965">
        <v>144.34</v>
      </c>
      <c r="E191" s="983"/>
      <c r="F191" s="281"/>
      <c r="G191" s="280"/>
    </row>
    <row r="192" spans="1:11" ht="41.25" customHeight="1">
      <c r="A192" s="967">
        <v>7130797532</v>
      </c>
      <c r="B192" s="968" t="s">
        <v>560</v>
      </c>
      <c r="C192" s="969" t="s">
        <v>255</v>
      </c>
      <c r="D192" s="965">
        <v>758.33</v>
      </c>
      <c r="E192" s="968" t="s">
        <v>561</v>
      </c>
      <c r="F192" s="273"/>
      <c r="G192" s="280"/>
    </row>
    <row r="193" spans="1:11" ht="41.25" customHeight="1">
      <c r="A193" s="967">
        <v>7130797533</v>
      </c>
      <c r="B193" s="968" t="s">
        <v>562</v>
      </c>
      <c r="C193" s="969" t="s">
        <v>255</v>
      </c>
      <c r="D193" s="965">
        <v>550.41999999999996</v>
      </c>
      <c r="E193" s="970" t="s">
        <v>563</v>
      </c>
      <c r="F193" s="273"/>
      <c r="G193" s="280"/>
    </row>
    <row r="194" spans="1:11" ht="18" customHeight="1">
      <c r="A194" s="971">
        <v>7130800012</v>
      </c>
      <c r="B194" s="963" t="s">
        <v>564</v>
      </c>
      <c r="C194" s="964" t="s">
        <v>33</v>
      </c>
      <c r="D194" s="965">
        <v>2298.46</v>
      </c>
      <c r="E194" s="970" t="s">
        <v>565</v>
      </c>
      <c r="F194" s="273"/>
      <c r="G194" s="270" t="s">
        <v>47</v>
      </c>
    </row>
    <row r="195" spans="1:11" ht="18" customHeight="1">
      <c r="A195" s="967">
        <v>7130800014</v>
      </c>
      <c r="B195" s="968" t="s">
        <v>566</v>
      </c>
      <c r="C195" s="969" t="s">
        <v>33</v>
      </c>
      <c r="D195" s="965"/>
      <c r="E195" s="970"/>
      <c r="F195" s="273"/>
      <c r="G195" s="284" t="s">
        <v>299</v>
      </c>
    </row>
    <row r="196" spans="1:11" ht="18" customHeight="1">
      <c r="A196" s="971">
        <v>7130800033</v>
      </c>
      <c r="B196" s="963" t="s">
        <v>567</v>
      </c>
      <c r="C196" s="964" t="s">
        <v>33</v>
      </c>
      <c r="D196" s="965">
        <v>4451.53</v>
      </c>
      <c r="E196" s="970" t="s">
        <v>568</v>
      </c>
      <c r="F196" s="273"/>
      <c r="G196" s="270" t="s">
        <v>47</v>
      </c>
    </row>
    <row r="197" spans="1:11" ht="25.5">
      <c r="A197" s="969">
        <v>7130800068</v>
      </c>
      <c r="B197" s="968" t="s">
        <v>569</v>
      </c>
      <c r="C197" s="969" t="s">
        <v>33</v>
      </c>
      <c r="D197" s="965"/>
      <c r="E197" s="968" t="s">
        <v>570</v>
      </c>
      <c r="F197" s="273"/>
      <c r="G197" s="284" t="s">
        <v>299</v>
      </c>
    </row>
    <row r="198" spans="1:11" ht="25.5">
      <c r="A198" s="971">
        <v>7130800672</v>
      </c>
      <c r="B198" s="963" t="s">
        <v>571</v>
      </c>
      <c r="C198" s="964" t="s">
        <v>33</v>
      </c>
      <c r="D198" s="965"/>
      <c r="E198" s="968" t="s">
        <v>572</v>
      </c>
      <c r="F198" s="273"/>
      <c r="G198" s="284" t="s">
        <v>299</v>
      </c>
      <c r="K198" s="227"/>
    </row>
    <row r="199" spans="1:11" ht="22.5" customHeight="1">
      <c r="A199" s="971">
        <v>7130810005</v>
      </c>
      <c r="B199" s="963" t="s">
        <v>573</v>
      </c>
      <c r="C199" s="964" t="s">
        <v>12</v>
      </c>
      <c r="D199" s="965">
        <v>109.77</v>
      </c>
      <c r="E199" s="970" t="s">
        <v>574</v>
      </c>
      <c r="F199" s="273"/>
      <c r="G199" s="280"/>
    </row>
    <row r="200" spans="1:11" ht="25.5">
      <c r="A200" s="971">
        <v>7130810006</v>
      </c>
      <c r="B200" s="963" t="s">
        <v>575</v>
      </c>
      <c r="C200" s="964" t="s">
        <v>40</v>
      </c>
      <c r="D200" s="965">
        <v>8965.2999999999993</v>
      </c>
      <c r="E200" s="968" t="s">
        <v>575</v>
      </c>
      <c r="F200" s="273"/>
      <c r="G200" s="280"/>
    </row>
    <row r="201" spans="1:11" ht="18.75" customHeight="1">
      <c r="A201" s="971">
        <v>7130810026</v>
      </c>
      <c r="B201" s="963" t="s">
        <v>576</v>
      </c>
      <c r="C201" s="964" t="s">
        <v>15</v>
      </c>
      <c r="D201" s="965">
        <v>198.14</v>
      </c>
      <c r="E201" s="970" t="s">
        <v>577</v>
      </c>
      <c r="F201" s="273"/>
      <c r="G201" s="280"/>
    </row>
    <row r="202" spans="1:11" ht="18.75" customHeight="1">
      <c r="A202" s="971">
        <v>7130810026</v>
      </c>
      <c r="B202" s="963" t="s">
        <v>578</v>
      </c>
      <c r="C202" s="964" t="s">
        <v>15</v>
      </c>
      <c r="D202" s="965">
        <v>369.79</v>
      </c>
      <c r="E202" s="970" t="s">
        <v>577</v>
      </c>
      <c r="F202" s="273"/>
      <c r="G202" s="280"/>
    </row>
    <row r="203" spans="1:11" ht="18.75" customHeight="1">
      <c r="A203" s="971">
        <v>7130810060</v>
      </c>
      <c r="B203" s="963" t="s">
        <v>579</v>
      </c>
      <c r="C203" s="964" t="s">
        <v>68</v>
      </c>
      <c r="D203" s="965">
        <v>99.07</v>
      </c>
      <c r="E203" s="970" t="s">
        <v>579</v>
      </c>
      <c r="F203" s="273"/>
      <c r="G203" s="280"/>
    </row>
    <row r="204" spans="1:11" ht="18.75" customHeight="1">
      <c r="A204" s="967">
        <v>7130810076</v>
      </c>
      <c r="B204" s="963" t="s">
        <v>580</v>
      </c>
      <c r="C204" s="964" t="s">
        <v>68</v>
      </c>
      <c r="D204" s="965">
        <v>86.44</v>
      </c>
      <c r="E204" s="970" t="s">
        <v>581</v>
      </c>
      <c r="F204" s="273"/>
      <c r="G204" s="280"/>
    </row>
    <row r="205" spans="1:11" ht="18.75" customHeight="1">
      <c r="A205" s="967">
        <v>7130810077</v>
      </c>
      <c r="B205" s="996" t="s">
        <v>158</v>
      </c>
      <c r="C205" s="985" t="s">
        <v>68</v>
      </c>
      <c r="D205" s="965">
        <v>556.80999999999995</v>
      </c>
      <c r="E205" s="970" t="s">
        <v>582</v>
      </c>
      <c r="F205" s="273"/>
      <c r="G205" s="280"/>
    </row>
    <row r="206" spans="1:11" ht="18.75" customHeight="1">
      <c r="A206" s="969">
        <v>7130810102</v>
      </c>
      <c r="B206" s="968" t="s">
        <v>583</v>
      </c>
      <c r="C206" s="985" t="s">
        <v>68</v>
      </c>
      <c r="D206" s="965">
        <v>442.47</v>
      </c>
      <c r="E206" s="970" t="s">
        <v>584</v>
      </c>
      <c r="F206" s="273"/>
      <c r="G206" s="280"/>
    </row>
    <row r="207" spans="1:11" ht="25.5">
      <c r="A207" s="969">
        <v>7130810193</v>
      </c>
      <c r="B207" s="968" t="s">
        <v>585</v>
      </c>
      <c r="C207" s="985" t="s">
        <v>15</v>
      </c>
      <c r="D207" s="965">
        <v>369.79</v>
      </c>
      <c r="E207" s="968" t="s">
        <v>586</v>
      </c>
      <c r="F207" s="273"/>
      <c r="G207" s="280"/>
    </row>
    <row r="208" spans="1:11" ht="25.5">
      <c r="A208" s="969">
        <v>7130810201</v>
      </c>
      <c r="B208" s="968" t="s">
        <v>587</v>
      </c>
      <c r="C208" s="985" t="s">
        <v>15</v>
      </c>
      <c r="D208" s="965">
        <v>393.51</v>
      </c>
      <c r="E208" s="968" t="s">
        <v>588</v>
      </c>
      <c r="F208" s="273"/>
      <c r="G208" s="280"/>
    </row>
    <row r="209" spans="1:7" ht="25.5">
      <c r="A209" s="969">
        <v>7130810216</v>
      </c>
      <c r="B209" s="968" t="s">
        <v>589</v>
      </c>
      <c r="C209" s="985" t="s">
        <v>15</v>
      </c>
      <c r="D209" s="965">
        <v>393.51</v>
      </c>
      <c r="E209" s="968" t="s">
        <v>590</v>
      </c>
      <c r="F209" s="273"/>
      <c r="G209" s="280"/>
    </row>
    <row r="210" spans="1:7" ht="25.5">
      <c r="A210" s="969">
        <v>7130810251</v>
      </c>
      <c r="B210" s="968" t="s">
        <v>591</v>
      </c>
      <c r="C210" s="985" t="s">
        <v>15</v>
      </c>
      <c r="D210" s="965">
        <v>393.51</v>
      </c>
      <c r="E210" s="968" t="s">
        <v>592</v>
      </c>
      <c r="F210" s="273"/>
      <c r="G210" s="280"/>
    </row>
    <row r="211" spans="1:7" ht="17.25" customHeight="1">
      <c r="A211" s="969">
        <v>7130810361</v>
      </c>
      <c r="B211" s="968" t="s">
        <v>593</v>
      </c>
      <c r="C211" s="985" t="s">
        <v>15</v>
      </c>
      <c r="D211" s="965">
        <v>393.51</v>
      </c>
      <c r="E211" s="970" t="s">
        <v>594</v>
      </c>
      <c r="F211" s="273"/>
      <c r="G211" s="280"/>
    </row>
    <row r="212" spans="1:7" ht="17.25" customHeight="1">
      <c r="A212" s="969">
        <v>7130810413</v>
      </c>
      <c r="B212" s="968" t="s">
        <v>595</v>
      </c>
      <c r="C212" s="985" t="s">
        <v>68</v>
      </c>
      <c r="D212" s="965">
        <v>813.82</v>
      </c>
      <c r="E212" s="970" t="s">
        <v>596</v>
      </c>
      <c r="F212" s="273"/>
      <c r="G212" s="280"/>
    </row>
    <row r="213" spans="1:7" ht="27" customHeight="1">
      <c r="A213" s="969">
        <v>7130810441</v>
      </c>
      <c r="B213" s="968" t="s">
        <v>597</v>
      </c>
      <c r="C213" s="985" t="s">
        <v>68</v>
      </c>
      <c r="D213" s="965">
        <v>969.23</v>
      </c>
      <c r="E213" s="968" t="s">
        <v>598</v>
      </c>
      <c r="F213" s="273"/>
      <c r="G213" s="280"/>
    </row>
    <row r="214" spans="1:7" ht="17.25" customHeight="1">
      <c r="A214" s="969">
        <v>7130810461</v>
      </c>
      <c r="B214" s="968" t="s">
        <v>599</v>
      </c>
      <c r="C214" s="985" t="s">
        <v>68</v>
      </c>
      <c r="D214" s="965">
        <v>1124.6099999999999</v>
      </c>
      <c r="E214" s="970" t="s">
        <v>600</v>
      </c>
      <c r="F214" s="273"/>
      <c r="G214" s="280"/>
    </row>
    <row r="215" spans="1:7" ht="17.25" customHeight="1">
      <c r="A215" s="969">
        <v>7130810495</v>
      </c>
      <c r="B215" s="968" t="s">
        <v>601</v>
      </c>
      <c r="C215" s="985" t="s">
        <v>68</v>
      </c>
      <c r="D215" s="965">
        <v>1380.08</v>
      </c>
      <c r="E215" s="970" t="s">
        <v>602</v>
      </c>
      <c r="F215" s="273"/>
      <c r="G215" s="280"/>
    </row>
    <row r="216" spans="1:7" ht="25.5">
      <c r="A216" s="969">
        <v>7130810509</v>
      </c>
      <c r="B216" s="968" t="s">
        <v>603</v>
      </c>
      <c r="C216" s="985" t="s">
        <v>68</v>
      </c>
      <c r="D216" s="965">
        <v>2187.33</v>
      </c>
      <c r="E216" s="968" t="s">
        <v>604</v>
      </c>
      <c r="F216" s="273"/>
      <c r="G216" s="280"/>
    </row>
    <row r="217" spans="1:7" ht="17.25" customHeight="1">
      <c r="A217" s="969">
        <v>7130810511</v>
      </c>
      <c r="B217" s="968" t="s">
        <v>605</v>
      </c>
      <c r="C217" s="985" t="s">
        <v>40</v>
      </c>
      <c r="D217" s="965">
        <v>3272.43</v>
      </c>
      <c r="E217" s="970" t="s">
        <v>606</v>
      </c>
      <c r="F217" s="273"/>
      <c r="G217" s="280"/>
    </row>
    <row r="218" spans="1:7" ht="26.25" customHeight="1">
      <c r="A218" s="969">
        <v>7130810512</v>
      </c>
      <c r="B218" s="968" t="s">
        <v>607</v>
      </c>
      <c r="C218" s="985" t="s">
        <v>40</v>
      </c>
      <c r="D218" s="965">
        <v>5188.4799999999996</v>
      </c>
      <c r="E218" s="968" t="s">
        <v>608</v>
      </c>
      <c r="F218" s="273"/>
      <c r="G218" s="280"/>
    </row>
    <row r="219" spans="1:7" ht="25.5">
      <c r="A219" s="969">
        <v>7130810512</v>
      </c>
      <c r="B219" s="968" t="s">
        <v>609</v>
      </c>
      <c r="C219" s="985" t="s">
        <v>40</v>
      </c>
      <c r="D219" s="965">
        <v>3768.9</v>
      </c>
      <c r="E219" s="968" t="s">
        <v>608</v>
      </c>
      <c r="F219" s="273"/>
      <c r="G219" s="280"/>
    </row>
    <row r="220" spans="1:7" ht="25.5">
      <c r="A220" s="969">
        <v>7130810512</v>
      </c>
      <c r="B220" s="968" t="s">
        <v>610</v>
      </c>
      <c r="C220" s="985" t="s">
        <v>40</v>
      </c>
      <c r="D220" s="965">
        <v>5296.48</v>
      </c>
      <c r="E220" s="968" t="s">
        <v>608</v>
      </c>
      <c r="F220" s="273"/>
      <c r="G220" s="280"/>
    </row>
    <row r="221" spans="1:7" ht="25.5">
      <c r="A221" s="969">
        <v>7130810517</v>
      </c>
      <c r="B221" s="968" t="s">
        <v>611</v>
      </c>
      <c r="C221" s="985" t="s">
        <v>40</v>
      </c>
      <c r="D221" s="965">
        <v>5987.84</v>
      </c>
      <c r="E221" s="968" t="s">
        <v>612</v>
      </c>
      <c r="F221" s="273"/>
      <c r="G221" s="280"/>
    </row>
    <row r="222" spans="1:7" ht="17.25" customHeight="1">
      <c r="A222" s="969">
        <v>7130810595</v>
      </c>
      <c r="B222" s="968" t="s">
        <v>613</v>
      </c>
      <c r="C222" s="985" t="s">
        <v>68</v>
      </c>
      <c r="D222" s="965">
        <v>3070.95</v>
      </c>
      <c r="E222" s="970" t="s">
        <v>614</v>
      </c>
      <c r="F222" s="273"/>
      <c r="G222" s="280"/>
    </row>
    <row r="223" spans="1:7" ht="26.25" customHeight="1">
      <c r="A223" s="969">
        <v>7130810608</v>
      </c>
      <c r="B223" s="968" t="s">
        <v>615</v>
      </c>
      <c r="C223" s="985" t="s">
        <v>40</v>
      </c>
      <c r="D223" s="965">
        <v>7080.84</v>
      </c>
      <c r="E223" s="968" t="s">
        <v>616</v>
      </c>
      <c r="F223" s="273"/>
      <c r="G223" s="280"/>
    </row>
    <row r="224" spans="1:7" ht="17.25" customHeight="1">
      <c r="A224" s="969">
        <v>7130810624</v>
      </c>
      <c r="B224" s="968" t="s">
        <v>617</v>
      </c>
      <c r="C224" s="985" t="s">
        <v>68</v>
      </c>
      <c r="D224" s="965">
        <v>114.38</v>
      </c>
      <c r="E224" s="970" t="s">
        <v>618</v>
      </c>
      <c r="F224" s="273"/>
      <c r="G224" s="280"/>
    </row>
    <row r="225" spans="1:8" ht="17.25" customHeight="1">
      <c r="A225" s="969">
        <v>7130810676</v>
      </c>
      <c r="B225" s="968" t="s">
        <v>619</v>
      </c>
      <c r="C225" s="985" t="s">
        <v>68</v>
      </c>
      <c r="D225" s="965">
        <v>510.95</v>
      </c>
      <c r="E225" s="970" t="s">
        <v>620</v>
      </c>
      <c r="F225" s="273"/>
      <c r="G225" s="280"/>
    </row>
    <row r="226" spans="1:8" ht="25.5">
      <c r="A226" s="969">
        <v>7130810679</v>
      </c>
      <c r="B226" s="968" t="s">
        <v>621</v>
      </c>
      <c r="C226" s="985" t="s">
        <v>68</v>
      </c>
      <c r="D226" s="965">
        <v>387.16</v>
      </c>
      <c r="E226" s="970" t="s">
        <v>622</v>
      </c>
      <c r="F226" s="273"/>
      <c r="G226" s="280"/>
    </row>
    <row r="227" spans="1:8" ht="25.5">
      <c r="A227" s="969">
        <v>7130810681</v>
      </c>
      <c r="B227" s="968" t="s">
        <v>623</v>
      </c>
      <c r="C227" s="985" t="s">
        <v>40</v>
      </c>
      <c r="D227" s="965">
        <v>4249.5600000000004</v>
      </c>
      <c r="E227" s="970" t="s">
        <v>624</v>
      </c>
      <c r="F227" s="273"/>
      <c r="G227" s="280"/>
    </row>
    <row r="228" spans="1:8" ht="18" customHeight="1">
      <c r="A228" s="969">
        <v>7130810684</v>
      </c>
      <c r="B228" s="968" t="s">
        <v>193</v>
      </c>
      <c r="C228" s="985" t="s">
        <v>68</v>
      </c>
      <c r="D228" s="965">
        <v>11136.81</v>
      </c>
      <c r="E228" s="970" t="s">
        <v>625</v>
      </c>
      <c r="F228" s="273"/>
      <c r="G228" s="280"/>
    </row>
    <row r="229" spans="1:8" ht="18" customHeight="1">
      <c r="A229" s="969">
        <v>7130810692</v>
      </c>
      <c r="B229" s="968" t="s">
        <v>626</v>
      </c>
      <c r="C229" s="985" t="s">
        <v>15</v>
      </c>
      <c r="D229" s="965">
        <v>410.25</v>
      </c>
      <c r="E229" s="970" t="s">
        <v>627</v>
      </c>
      <c r="F229" s="273"/>
      <c r="G229" s="36"/>
      <c r="H229" s="37"/>
    </row>
    <row r="230" spans="1:8" ht="25.5">
      <c r="A230" s="967">
        <v>7130820008</v>
      </c>
      <c r="B230" s="968" t="s">
        <v>102</v>
      </c>
      <c r="C230" s="965" t="s">
        <v>33</v>
      </c>
      <c r="D230" s="965">
        <v>157.08000000000001</v>
      </c>
      <c r="E230" s="968" t="s">
        <v>628</v>
      </c>
      <c r="F230" s="273"/>
      <c r="G230" s="279"/>
    </row>
    <row r="231" spans="1:8" ht="25.5">
      <c r="A231" s="969">
        <v>7130820009</v>
      </c>
      <c r="B231" s="968" t="s">
        <v>629</v>
      </c>
      <c r="C231" s="965" t="s">
        <v>33</v>
      </c>
      <c r="D231" s="965">
        <v>288.23</v>
      </c>
      <c r="E231" s="968" t="s">
        <v>630</v>
      </c>
      <c r="F231" s="273"/>
      <c r="G231" s="280"/>
    </row>
    <row r="232" spans="1:8" ht="25.5">
      <c r="A232" s="967">
        <v>7130820010</v>
      </c>
      <c r="B232" s="968" t="s">
        <v>631</v>
      </c>
      <c r="C232" s="965" t="s">
        <v>33</v>
      </c>
      <c r="D232" s="965">
        <v>118.97</v>
      </c>
      <c r="E232" s="968" t="s">
        <v>632</v>
      </c>
      <c r="F232" s="273"/>
      <c r="G232" s="279"/>
    </row>
    <row r="233" spans="1:8" ht="25.5">
      <c r="A233" s="969">
        <v>7130820011</v>
      </c>
      <c r="B233" s="968" t="s">
        <v>633</v>
      </c>
      <c r="C233" s="965" t="s">
        <v>33</v>
      </c>
      <c r="D233" s="965">
        <v>216.4</v>
      </c>
      <c r="E233" s="968" t="s">
        <v>634</v>
      </c>
      <c r="F233" s="273"/>
    </row>
    <row r="234" spans="1:8" ht="16.5" customHeight="1">
      <c r="A234" s="971">
        <v>7130820018</v>
      </c>
      <c r="B234" s="963" t="s">
        <v>635</v>
      </c>
      <c r="C234" s="964" t="s">
        <v>15</v>
      </c>
      <c r="D234" s="965">
        <v>4.66</v>
      </c>
      <c r="E234" s="970" t="s">
        <v>636</v>
      </c>
      <c r="F234" s="273"/>
      <c r="G234" s="280"/>
    </row>
    <row r="235" spans="1:8" ht="16.5" customHeight="1">
      <c r="A235" s="962">
        <v>7130820026</v>
      </c>
      <c r="B235" s="963" t="s">
        <v>637</v>
      </c>
      <c r="C235" s="964" t="s">
        <v>255</v>
      </c>
      <c r="D235" s="965">
        <v>544.42999999999995</v>
      </c>
      <c r="E235" s="970" t="s">
        <v>638</v>
      </c>
      <c r="F235" s="273"/>
      <c r="G235" s="280"/>
    </row>
    <row r="236" spans="1:8" ht="16.5" customHeight="1">
      <c r="A236" s="962">
        <v>7130820027</v>
      </c>
      <c r="B236" s="963" t="s">
        <v>639</v>
      </c>
      <c r="C236" s="964" t="s">
        <v>255</v>
      </c>
      <c r="D236" s="965">
        <v>2226.44</v>
      </c>
      <c r="E236" s="970" t="s">
        <v>640</v>
      </c>
      <c r="F236" s="273"/>
      <c r="G236" s="280"/>
    </row>
    <row r="237" spans="1:8" ht="16.5" customHeight="1">
      <c r="A237" s="984">
        <v>7130820029</v>
      </c>
      <c r="B237" s="977" t="s">
        <v>397</v>
      </c>
      <c r="C237" s="969" t="s">
        <v>33</v>
      </c>
      <c r="D237" s="965">
        <v>41.26</v>
      </c>
      <c r="E237" s="970"/>
      <c r="F237" s="273"/>
      <c r="G237" s="280"/>
    </row>
    <row r="238" spans="1:8" ht="16.5" customHeight="1">
      <c r="A238" s="971">
        <v>7130820030</v>
      </c>
      <c r="B238" s="963" t="s">
        <v>641</v>
      </c>
      <c r="C238" s="964" t="s">
        <v>33</v>
      </c>
      <c r="D238" s="965">
        <v>285.39</v>
      </c>
      <c r="E238" s="970" t="s">
        <v>642</v>
      </c>
      <c r="F238" s="273"/>
      <c r="G238" s="279"/>
    </row>
    <row r="239" spans="1:8" ht="17.25" customHeight="1">
      <c r="A239" s="971">
        <v>7130820071</v>
      </c>
      <c r="B239" s="963" t="s">
        <v>643</v>
      </c>
      <c r="C239" s="964" t="s">
        <v>33</v>
      </c>
      <c r="D239" s="965">
        <v>54.93</v>
      </c>
      <c r="E239" s="970" t="s">
        <v>644</v>
      </c>
      <c r="F239" s="273"/>
      <c r="G239" s="279"/>
    </row>
    <row r="240" spans="1:8" ht="17.25" customHeight="1">
      <c r="A240" s="971">
        <v>7130820075</v>
      </c>
      <c r="B240" s="963" t="s">
        <v>645</v>
      </c>
      <c r="C240" s="964" t="s">
        <v>33</v>
      </c>
      <c r="D240" s="965">
        <v>281.83</v>
      </c>
      <c r="E240" s="970" t="s">
        <v>646</v>
      </c>
      <c r="F240" s="273"/>
      <c r="G240" s="280"/>
    </row>
    <row r="241" spans="1:7" ht="25.5">
      <c r="A241" s="971">
        <v>7130820101</v>
      </c>
      <c r="B241" s="963" t="s">
        <v>647</v>
      </c>
      <c r="C241" s="964" t="s">
        <v>33</v>
      </c>
      <c r="D241" s="965">
        <v>13.03</v>
      </c>
      <c r="E241" s="968" t="s">
        <v>648</v>
      </c>
      <c r="F241" s="273"/>
      <c r="G241" s="280"/>
    </row>
    <row r="242" spans="1:7" ht="25.5">
      <c r="A242" s="971">
        <v>7130820106</v>
      </c>
      <c r="B242" s="963" t="s">
        <v>649</v>
      </c>
      <c r="C242" s="964" t="s">
        <v>33</v>
      </c>
      <c r="D242" s="965">
        <v>15.42</v>
      </c>
      <c r="E242" s="968" t="s">
        <v>650</v>
      </c>
      <c r="F242" s="273"/>
      <c r="G242" s="280"/>
    </row>
    <row r="243" spans="1:7" ht="18" customHeight="1">
      <c r="A243" s="971">
        <v>7130820117</v>
      </c>
      <c r="B243" s="963" t="s">
        <v>651</v>
      </c>
      <c r="C243" s="964" t="s">
        <v>33</v>
      </c>
      <c r="D243" s="965">
        <v>12.42</v>
      </c>
      <c r="E243" s="970" t="s">
        <v>652</v>
      </c>
      <c r="F243" s="273"/>
      <c r="G243" s="280"/>
    </row>
    <row r="244" spans="1:7" ht="18" customHeight="1">
      <c r="A244" s="971">
        <v>7130820155</v>
      </c>
      <c r="B244" s="963" t="s">
        <v>653</v>
      </c>
      <c r="C244" s="964" t="s">
        <v>33</v>
      </c>
      <c r="D244" s="965">
        <v>91.51</v>
      </c>
      <c r="E244" s="970" t="s">
        <v>654</v>
      </c>
      <c r="F244" s="273"/>
      <c r="G244" s="280"/>
    </row>
    <row r="245" spans="1:7" ht="18" customHeight="1">
      <c r="A245" s="971">
        <v>7130820158</v>
      </c>
      <c r="B245" s="963" t="s">
        <v>655</v>
      </c>
      <c r="C245" s="964" t="s">
        <v>33</v>
      </c>
      <c r="D245" s="965">
        <v>304.52</v>
      </c>
      <c r="E245" s="970" t="s">
        <v>656</v>
      </c>
      <c r="F245" s="273"/>
      <c r="G245" s="280"/>
    </row>
    <row r="246" spans="1:7" ht="18" customHeight="1">
      <c r="A246" s="971">
        <v>7130820201</v>
      </c>
      <c r="B246" s="963" t="s">
        <v>657</v>
      </c>
      <c r="C246" s="964" t="s">
        <v>33</v>
      </c>
      <c r="D246" s="965">
        <v>46.15</v>
      </c>
      <c r="E246" s="970" t="s">
        <v>658</v>
      </c>
      <c r="F246" s="273"/>
      <c r="G246" s="280"/>
    </row>
    <row r="247" spans="1:7" ht="27.75" customHeight="1">
      <c r="A247" s="971">
        <v>7130820206</v>
      </c>
      <c r="B247" s="963" t="s">
        <v>659</v>
      </c>
      <c r="C247" s="964" t="s">
        <v>33</v>
      </c>
      <c r="D247" s="965">
        <v>45.81</v>
      </c>
      <c r="E247" s="968" t="s">
        <v>660</v>
      </c>
      <c r="F247" s="273"/>
      <c r="G247" s="280"/>
    </row>
    <row r="248" spans="1:7" ht="27.75" customHeight="1">
      <c r="A248" s="971">
        <v>7130820216</v>
      </c>
      <c r="B248" s="963" t="s">
        <v>661</v>
      </c>
      <c r="C248" s="964" t="s">
        <v>33</v>
      </c>
      <c r="D248" s="965">
        <v>52.15</v>
      </c>
      <c r="E248" s="968" t="s">
        <v>662</v>
      </c>
      <c r="F248" s="273"/>
      <c r="G248" s="280"/>
    </row>
    <row r="249" spans="1:7" ht="18" customHeight="1">
      <c r="A249" s="971">
        <v>7130820241</v>
      </c>
      <c r="B249" s="963" t="s">
        <v>663</v>
      </c>
      <c r="C249" s="964" t="s">
        <v>33</v>
      </c>
      <c r="D249" s="965">
        <v>153.49</v>
      </c>
      <c r="E249" s="970" t="s">
        <v>664</v>
      </c>
      <c r="F249" s="273"/>
      <c r="G249" s="280"/>
    </row>
    <row r="250" spans="1:7" ht="18" customHeight="1">
      <c r="A250" s="971">
        <v>7130820248</v>
      </c>
      <c r="B250" s="963" t="s">
        <v>665</v>
      </c>
      <c r="C250" s="964" t="s">
        <v>33</v>
      </c>
      <c r="D250" s="965">
        <v>318.89</v>
      </c>
      <c r="E250" s="970" t="s">
        <v>666</v>
      </c>
      <c r="F250" s="273"/>
      <c r="G250" s="280"/>
    </row>
    <row r="251" spans="1:7" ht="28.5" customHeight="1">
      <c r="A251" s="1005">
        <v>7130820312</v>
      </c>
      <c r="B251" s="963" t="s">
        <v>667</v>
      </c>
      <c r="C251" s="964" t="s">
        <v>40</v>
      </c>
      <c r="D251" s="965">
        <v>2732.4</v>
      </c>
      <c r="E251" s="968" t="s">
        <v>668</v>
      </c>
      <c r="F251" s="273"/>
      <c r="G251" s="280"/>
    </row>
    <row r="252" spans="1:7" ht="21" customHeight="1">
      <c r="A252" s="971">
        <v>7130830006</v>
      </c>
      <c r="B252" s="963" t="s">
        <v>669</v>
      </c>
      <c r="C252" s="964" t="s">
        <v>26</v>
      </c>
      <c r="D252" s="965">
        <v>201.5</v>
      </c>
      <c r="E252" s="970" t="s">
        <v>670</v>
      </c>
      <c r="F252" s="273"/>
      <c r="G252" s="280"/>
    </row>
    <row r="253" spans="1:7" ht="29.25" customHeight="1">
      <c r="A253" s="971">
        <v>7130830025</v>
      </c>
      <c r="B253" s="963" t="s">
        <v>671</v>
      </c>
      <c r="C253" s="964" t="s">
        <v>147</v>
      </c>
      <c r="D253" s="965"/>
      <c r="E253" s="970" t="s">
        <v>672</v>
      </c>
      <c r="F253" s="273"/>
      <c r="G253" s="284" t="s">
        <v>299</v>
      </c>
    </row>
    <row r="254" spans="1:7" ht="28.5" customHeight="1">
      <c r="A254" s="971">
        <v>7130830026</v>
      </c>
      <c r="B254" s="963" t="s">
        <v>673</v>
      </c>
      <c r="C254" s="964" t="s">
        <v>147</v>
      </c>
      <c r="D254" s="965"/>
      <c r="E254" s="970" t="s">
        <v>674</v>
      </c>
      <c r="F254" s="273"/>
      <c r="G254" s="284" t="s">
        <v>299</v>
      </c>
    </row>
    <row r="255" spans="1:7" ht="30" customHeight="1">
      <c r="A255" s="971">
        <v>7130830027</v>
      </c>
      <c r="B255" s="963" t="s">
        <v>675</v>
      </c>
      <c r="C255" s="964" t="s">
        <v>147</v>
      </c>
      <c r="D255" s="965"/>
      <c r="E255" s="970" t="s">
        <v>676</v>
      </c>
      <c r="F255" s="273"/>
      <c r="G255" s="284" t="s">
        <v>299</v>
      </c>
    </row>
    <row r="256" spans="1:7" ht="27" customHeight="1">
      <c r="A256" s="971">
        <v>7130830028</v>
      </c>
      <c r="B256" s="963" t="s">
        <v>677</v>
      </c>
      <c r="C256" s="964" t="s">
        <v>147</v>
      </c>
      <c r="D256" s="965"/>
      <c r="E256" s="970" t="s">
        <v>678</v>
      </c>
      <c r="F256" s="273"/>
      <c r="G256" s="284" t="s">
        <v>299</v>
      </c>
    </row>
    <row r="257" spans="1:7" ht="27.75" customHeight="1">
      <c r="A257" s="964">
        <v>7130830050</v>
      </c>
      <c r="B257" s="963" t="s">
        <v>679</v>
      </c>
      <c r="C257" s="964" t="s">
        <v>33</v>
      </c>
      <c r="D257" s="965">
        <v>46.85</v>
      </c>
      <c r="E257" s="968" t="s">
        <v>680</v>
      </c>
      <c r="F257" s="273"/>
      <c r="G257" s="280"/>
    </row>
    <row r="258" spans="1:7" ht="25.5">
      <c r="A258" s="962">
        <v>7130830051</v>
      </c>
      <c r="B258" s="963" t="s">
        <v>681</v>
      </c>
      <c r="C258" s="964" t="s">
        <v>33</v>
      </c>
      <c r="D258" s="965">
        <v>182.86</v>
      </c>
      <c r="E258" s="968" t="s">
        <v>682</v>
      </c>
      <c r="F258" s="273"/>
      <c r="G258" s="280"/>
    </row>
    <row r="259" spans="1:7" ht="18.75" customHeight="1">
      <c r="A259" s="972">
        <v>7130830052</v>
      </c>
      <c r="B259" s="963" t="s">
        <v>683</v>
      </c>
      <c r="C259" s="964" t="s">
        <v>33</v>
      </c>
      <c r="D259" s="965">
        <v>887.14</v>
      </c>
      <c r="E259" s="970"/>
      <c r="F259" s="273"/>
      <c r="G259" s="280"/>
    </row>
    <row r="260" spans="1:7" ht="29.25" customHeight="1">
      <c r="A260" s="964">
        <v>7130830053</v>
      </c>
      <c r="B260" s="963" t="s">
        <v>684</v>
      </c>
      <c r="C260" s="964" t="s">
        <v>147</v>
      </c>
      <c r="D260" s="965">
        <v>19941.98</v>
      </c>
      <c r="E260" s="968" t="s">
        <v>685</v>
      </c>
      <c r="F260" s="274" t="s">
        <v>268</v>
      </c>
      <c r="G260" s="279"/>
    </row>
    <row r="261" spans="1:7" ht="18.75" customHeight="1">
      <c r="A261" s="972">
        <v>7130830054</v>
      </c>
      <c r="B261" s="963" t="s">
        <v>686</v>
      </c>
      <c r="C261" s="964" t="s">
        <v>33</v>
      </c>
      <c r="D261" s="965">
        <v>518.08000000000004</v>
      </c>
      <c r="E261" s="970"/>
      <c r="F261" s="273"/>
      <c r="G261" s="280"/>
    </row>
    <row r="262" spans="1:7" ht="30" customHeight="1">
      <c r="A262" s="964">
        <v>7130830055</v>
      </c>
      <c r="B262" s="963" t="s">
        <v>687</v>
      </c>
      <c r="C262" s="964" t="s">
        <v>147</v>
      </c>
      <c r="D262" s="965">
        <v>28020.76</v>
      </c>
      <c r="E262" s="968" t="s">
        <v>688</v>
      </c>
      <c r="F262" s="274" t="s">
        <v>268</v>
      </c>
      <c r="G262" s="279"/>
    </row>
    <row r="263" spans="1:7" ht="18.75" customHeight="1">
      <c r="A263" s="972">
        <v>7130830056</v>
      </c>
      <c r="B263" s="963" t="s">
        <v>689</v>
      </c>
      <c r="C263" s="964" t="s">
        <v>33</v>
      </c>
      <c r="D263" s="965">
        <v>518.08000000000004</v>
      </c>
      <c r="E263" s="970"/>
      <c r="F263" s="273"/>
      <c r="G263" s="280"/>
    </row>
    <row r="264" spans="1:7" ht="29.25" customHeight="1">
      <c r="A264" s="971">
        <v>7130830057</v>
      </c>
      <c r="B264" s="963" t="s">
        <v>690</v>
      </c>
      <c r="C264" s="964" t="s">
        <v>147</v>
      </c>
      <c r="D264" s="965">
        <v>46676.09</v>
      </c>
      <c r="E264" s="968" t="s">
        <v>691</v>
      </c>
      <c r="F264" s="274" t="s">
        <v>268</v>
      </c>
      <c r="G264" s="279"/>
    </row>
    <row r="265" spans="1:7" ht="28.5" customHeight="1">
      <c r="A265" s="972">
        <v>7130830058</v>
      </c>
      <c r="B265" s="963" t="s">
        <v>692</v>
      </c>
      <c r="C265" s="964" t="s">
        <v>33</v>
      </c>
      <c r="D265" s="965">
        <v>263.38</v>
      </c>
      <c r="E265" s="983"/>
      <c r="F265" s="281"/>
      <c r="G265" s="280"/>
    </row>
    <row r="266" spans="1:7" ht="28.5" customHeight="1">
      <c r="A266" s="971">
        <v>7130830060</v>
      </c>
      <c r="B266" s="963" t="s">
        <v>677</v>
      </c>
      <c r="C266" s="964" t="s">
        <v>147</v>
      </c>
      <c r="D266" s="965">
        <v>70920.66</v>
      </c>
      <c r="E266" s="968" t="s">
        <v>693</v>
      </c>
      <c r="F266" s="274" t="s">
        <v>268</v>
      </c>
      <c r="G266" s="279"/>
    </row>
    <row r="267" spans="1:7" ht="27" customHeight="1">
      <c r="A267" s="971">
        <v>7130830063</v>
      </c>
      <c r="B267" s="963" t="s">
        <v>694</v>
      </c>
      <c r="C267" s="964" t="s">
        <v>147</v>
      </c>
      <c r="D267" s="965">
        <v>92285.69</v>
      </c>
      <c r="E267" s="968" t="s">
        <v>695</v>
      </c>
      <c r="F267" s="274" t="s">
        <v>268</v>
      </c>
      <c r="G267" s="279"/>
    </row>
    <row r="268" spans="1:7" ht="28.5" customHeight="1">
      <c r="A268" s="964">
        <v>7130830070</v>
      </c>
      <c r="B268" s="963" t="s">
        <v>696</v>
      </c>
      <c r="C268" s="964" t="s">
        <v>147</v>
      </c>
      <c r="D268" s="965">
        <v>208407.56</v>
      </c>
      <c r="E268" s="968" t="s">
        <v>697</v>
      </c>
      <c r="F268" s="274" t="s">
        <v>268</v>
      </c>
      <c r="G268" s="279"/>
    </row>
    <row r="269" spans="1:7" ht="28.5" customHeight="1">
      <c r="A269" s="971">
        <v>7130830084</v>
      </c>
      <c r="B269" s="963" t="s">
        <v>694</v>
      </c>
      <c r="C269" s="964" t="s">
        <v>147</v>
      </c>
      <c r="D269" s="965"/>
      <c r="E269" s="970" t="s">
        <v>698</v>
      </c>
      <c r="F269" s="273"/>
      <c r="G269" s="284" t="s">
        <v>299</v>
      </c>
    </row>
    <row r="270" spans="1:7" ht="28.5" customHeight="1">
      <c r="A270" s="971">
        <v>7130830585</v>
      </c>
      <c r="B270" s="963" t="s">
        <v>699</v>
      </c>
      <c r="C270" s="964" t="s">
        <v>33</v>
      </c>
      <c r="D270" s="965">
        <v>346.08</v>
      </c>
      <c r="E270" s="968" t="s">
        <v>700</v>
      </c>
      <c r="F270" s="273"/>
      <c r="G270" s="280"/>
    </row>
    <row r="271" spans="1:7" ht="26.25" customHeight="1">
      <c r="A271" s="971">
        <v>7130830586</v>
      </c>
      <c r="B271" s="963" t="s">
        <v>701</v>
      </c>
      <c r="C271" s="964" t="s">
        <v>33</v>
      </c>
      <c r="D271" s="965">
        <v>276.55</v>
      </c>
      <c r="E271" s="968" t="s">
        <v>702</v>
      </c>
      <c r="F271" s="273"/>
      <c r="G271" s="280"/>
    </row>
    <row r="272" spans="1:7" ht="27" customHeight="1">
      <c r="A272" s="962">
        <v>7130830586</v>
      </c>
      <c r="B272" s="963" t="s">
        <v>703</v>
      </c>
      <c r="C272" s="964" t="s">
        <v>33</v>
      </c>
      <c r="D272" s="965">
        <v>405.01</v>
      </c>
      <c r="E272" s="968" t="s">
        <v>702</v>
      </c>
      <c r="F272" s="273"/>
      <c r="G272" s="280"/>
    </row>
    <row r="273" spans="1:7" ht="28.5" customHeight="1">
      <c r="A273" s="971">
        <v>7130830603</v>
      </c>
      <c r="B273" s="963" t="s">
        <v>704</v>
      </c>
      <c r="C273" s="964" t="s">
        <v>33</v>
      </c>
      <c r="D273" s="965">
        <v>386.39</v>
      </c>
      <c r="E273" s="968" t="s">
        <v>705</v>
      </c>
      <c r="F273" s="273"/>
      <c r="G273" s="280"/>
    </row>
    <row r="274" spans="1:7" ht="27.75" customHeight="1">
      <c r="A274" s="971">
        <v>7130830854</v>
      </c>
      <c r="B274" s="963" t="s">
        <v>706</v>
      </c>
      <c r="C274" s="964" t="s">
        <v>33</v>
      </c>
      <c r="D274" s="965">
        <v>37.78</v>
      </c>
      <c r="E274" s="968" t="s">
        <v>707</v>
      </c>
      <c r="F274" s="273"/>
      <c r="G274" s="280"/>
    </row>
    <row r="275" spans="1:7" ht="27" customHeight="1">
      <c r="A275" s="964">
        <v>7130830971</v>
      </c>
      <c r="B275" s="1006" t="s">
        <v>708</v>
      </c>
      <c r="C275" s="964" t="s">
        <v>33</v>
      </c>
      <c r="D275" s="965">
        <v>282.61</v>
      </c>
      <c r="E275" s="968" t="s">
        <v>709</v>
      </c>
      <c r="F275" s="273"/>
      <c r="G275" s="280"/>
    </row>
    <row r="276" spans="1:7" ht="27.75" customHeight="1">
      <c r="A276" s="971">
        <v>7130840021</v>
      </c>
      <c r="B276" s="963" t="s">
        <v>710</v>
      </c>
      <c r="C276" s="964" t="s">
        <v>33</v>
      </c>
      <c r="D276" s="965">
        <v>4094.6</v>
      </c>
      <c r="E276" s="968" t="s">
        <v>711</v>
      </c>
      <c r="F276" s="273"/>
      <c r="G276" s="290"/>
    </row>
    <row r="277" spans="1:7" ht="28.5" customHeight="1">
      <c r="A277" s="971">
        <v>7130840029</v>
      </c>
      <c r="B277" s="963" t="s">
        <v>712</v>
      </c>
      <c r="C277" s="964" t="s">
        <v>33</v>
      </c>
      <c r="D277" s="965">
        <v>368.52</v>
      </c>
      <c r="E277" s="968" t="s">
        <v>713</v>
      </c>
      <c r="F277" s="273"/>
      <c r="G277" s="291"/>
    </row>
    <row r="278" spans="1:7" ht="28.5" customHeight="1">
      <c r="A278" s="971">
        <v>7130850198</v>
      </c>
      <c r="B278" s="988" t="s">
        <v>714</v>
      </c>
      <c r="C278" s="964" t="s">
        <v>26</v>
      </c>
      <c r="D278" s="965">
        <v>96.73</v>
      </c>
      <c r="E278" s="968"/>
      <c r="F278" s="273"/>
      <c r="G278" s="41"/>
    </row>
    <row r="279" spans="1:7" ht="29.25" customHeight="1">
      <c r="A279" s="971">
        <v>7130850201</v>
      </c>
      <c r="B279" s="1007" t="s">
        <v>715</v>
      </c>
      <c r="C279" s="971" t="s">
        <v>40</v>
      </c>
      <c r="D279" s="965">
        <v>5987.84</v>
      </c>
      <c r="E279" s="968" t="s">
        <v>716</v>
      </c>
      <c r="F279" s="273"/>
      <c r="G279" s="280"/>
    </row>
    <row r="280" spans="1:7" ht="27" customHeight="1">
      <c r="A280" s="971">
        <v>7130850201</v>
      </c>
      <c r="B280" s="1007" t="s">
        <v>717</v>
      </c>
      <c r="C280" s="971" t="s">
        <v>68</v>
      </c>
      <c r="D280" s="965">
        <v>5785.04</v>
      </c>
      <c r="E280" s="968" t="s">
        <v>716</v>
      </c>
      <c r="F280" s="273"/>
      <c r="G280" s="280"/>
    </row>
    <row r="281" spans="1:7" ht="18.75" customHeight="1">
      <c r="A281" s="971">
        <v>7130860017</v>
      </c>
      <c r="B281" s="1007" t="s">
        <v>718</v>
      </c>
      <c r="C281" s="971" t="s">
        <v>68</v>
      </c>
      <c r="D281" s="965">
        <v>132.26</v>
      </c>
      <c r="E281" s="970" t="s">
        <v>719</v>
      </c>
      <c r="F281" s="273"/>
      <c r="G281" s="280"/>
    </row>
    <row r="282" spans="1:7" ht="27" customHeight="1">
      <c r="A282" s="971">
        <v>7130860032</v>
      </c>
      <c r="B282" s="963" t="s">
        <v>720</v>
      </c>
      <c r="C282" s="964" t="s">
        <v>33</v>
      </c>
      <c r="D282" s="965">
        <v>566.19000000000005</v>
      </c>
      <c r="E282" s="968" t="s">
        <v>721</v>
      </c>
      <c r="F282" s="273"/>
      <c r="G282" s="280"/>
    </row>
    <row r="283" spans="1:7" ht="27.75" customHeight="1">
      <c r="A283" s="971">
        <v>7130860033</v>
      </c>
      <c r="B283" s="963" t="s">
        <v>722</v>
      </c>
      <c r="C283" s="964" t="s">
        <v>33</v>
      </c>
      <c r="D283" s="965">
        <v>1031.6600000000001</v>
      </c>
      <c r="E283" s="968" t="s">
        <v>723</v>
      </c>
      <c r="F283" s="273"/>
      <c r="G283" s="280"/>
    </row>
    <row r="284" spans="1:7" ht="25.5">
      <c r="A284" s="971">
        <v>7130860076</v>
      </c>
      <c r="B284" s="963" t="s">
        <v>724</v>
      </c>
      <c r="C284" s="964" t="s">
        <v>469</v>
      </c>
      <c r="D284" s="965">
        <v>92856.94</v>
      </c>
      <c r="E284" s="968" t="s">
        <v>725</v>
      </c>
      <c r="F284" s="273"/>
      <c r="G284" s="280"/>
    </row>
    <row r="285" spans="1:7" ht="25.5">
      <c r="A285" s="971">
        <v>7130860077</v>
      </c>
      <c r="B285" s="963" t="s">
        <v>726</v>
      </c>
      <c r="C285" s="964" t="s">
        <v>469</v>
      </c>
      <c r="D285" s="965">
        <v>93766.43</v>
      </c>
      <c r="E285" s="968" t="s">
        <v>727</v>
      </c>
      <c r="F285" s="273"/>
      <c r="G285" s="280"/>
    </row>
    <row r="286" spans="1:7" ht="18" customHeight="1">
      <c r="A286" s="967">
        <v>7130870010</v>
      </c>
      <c r="B286" s="996" t="s">
        <v>156</v>
      </c>
      <c r="C286" s="985" t="s">
        <v>68</v>
      </c>
      <c r="D286" s="965">
        <v>952.74</v>
      </c>
      <c r="E286" s="970"/>
      <c r="F286" s="273"/>
      <c r="G286" s="280"/>
    </row>
    <row r="287" spans="1:7" ht="39.75" customHeight="1">
      <c r="A287" s="971">
        <v>7130870013</v>
      </c>
      <c r="B287" s="963" t="s">
        <v>728</v>
      </c>
      <c r="C287" s="964" t="s">
        <v>33</v>
      </c>
      <c r="D287" s="965">
        <v>152.88999999999999</v>
      </c>
      <c r="E287" s="968" t="s">
        <v>729</v>
      </c>
      <c r="F287" s="273"/>
      <c r="G287" s="280"/>
    </row>
    <row r="288" spans="1:7" ht="18" customHeight="1">
      <c r="A288" s="971">
        <v>7130870030</v>
      </c>
      <c r="B288" s="1007" t="s">
        <v>730</v>
      </c>
      <c r="C288" s="971" t="s">
        <v>68</v>
      </c>
      <c r="D288" s="965">
        <v>477.06</v>
      </c>
      <c r="E288" s="970" t="s">
        <v>731</v>
      </c>
      <c r="F288" s="273"/>
      <c r="G288" s="280"/>
    </row>
    <row r="289" spans="1:7" ht="18.75" customHeight="1">
      <c r="A289" s="971">
        <v>7130870041</v>
      </c>
      <c r="B289" s="963" t="s">
        <v>732</v>
      </c>
      <c r="C289" s="964" t="s">
        <v>469</v>
      </c>
      <c r="D289" s="965">
        <v>80579.350000000006</v>
      </c>
      <c r="E289" s="970" t="s">
        <v>733</v>
      </c>
      <c r="F289" s="273"/>
      <c r="G289" s="280"/>
    </row>
    <row r="290" spans="1:7" ht="18.75" customHeight="1">
      <c r="A290" s="971">
        <v>7130870043</v>
      </c>
      <c r="B290" s="963" t="s">
        <v>734</v>
      </c>
      <c r="C290" s="964" t="s">
        <v>469</v>
      </c>
      <c r="D290" s="965">
        <v>80521.84</v>
      </c>
      <c r="E290" s="970" t="s">
        <v>1366</v>
      </c>
      <c r="F290" s="273"/>
      <c r="G290" s="280"/>
    </row>
    <row r="291" spans="1:7" ht="18.75" customHeight="1">
      <c r="A291" s="971">
        <v>7130870045</v>
      </c>
      <c r="B291" s="963" t="s">
        <v>735</v>
      </c>
      <c r="C291" s="964" t="s">
        <v>469</v>
      </c>
      <c r="D291" s="965">
        <v>80521.84</v>
      </c>
      <c r="E291" s="970" t="s">
        <v>1367</v>
      </c>
      <c r="F291" s="273"/>
      <c r="G291" s="280"/>
    </row>
    <row r="292" spans="1:7" ht="27.75" customHeight="1">
      <c r="A292" s="962">
        <v>7130870088</v>
      </c>
      <c r="B292" s="963" t="s">
        <v>736</v>
      </c>
      <c r="C292" s="964" t="s">
        <v>33</v>
      </c>
      <c r="D292" s="965">
        <v>2567.64</v>
      </c>
      <c r="E292" s="970"/>
      <c r="F292" s="273"/>
      <c r="G292" s="280"/>
    </row>
    <row r="293" spans="1:7" ht="25.5">
      <c r="A293" s="1005">
        <v>7130870318</v>
      </c>
      <c r="B293" s="963" t="s">
        <v>737</v>
      </c>
      <c r="C293" s="964" t="s">
        <v>40</v>
      </c>
      <c r="D293" s="965">
        <v>1255.71</v>
      </c>
      <c r="E293" s="968" t="s">
        <v>738</v>
      </c>
      <c r="F293" s="273"/>
      <c r="G293" s="280"/>
    </row>
    <row r="294" spans="1:7" ht="27.75" customHeight="1">
      <c r="A294" s="1008">
        <v>7130877681</v>
      </c>
      <c r="B294" s="968" t="s">
        <v>151</v>
      </c>
      <c r="C294" s="969" t="s">
        <v>33</v>
      </c>
      <c r="D294" s="965">
        <v>2995.56</v>
      </c>
      <c r="E294" s="968" t="s">
        <v>739</v>
      </c>
      <c r="F294" s="273"/>
      <c r="G294" s="280"/>
    </row>
    <row r="295" spans="1:7" ht="28.5" customHeight="1">
      <c r="A295" s="969">
        <v>7130877683</v>
      </c>
      <c r="B295" s="968" t="s">
        <v>152</v>
      </c>
      <c r="C295" s="969" t="s">
        <v>33</v>
      </c>
      <c r="D295" s="965">
        <v>2662.71</v>
      </c>
      <c r="E295" s="968" t="s">
        <v>740</v>
      </c>
      <c r="F295" s="273"/>
      <c r="G295" s="280"/>
    </row>
    <row r="296" spans="1:7" ht="19.5" customHeight="1">
      <c r="A296" s="967">
        <v>7130880006</v>
      </c>
      <c r="B296" s="968" t="s">
        <v>741</v>
      </c>
      <c r="C296" s="969" t="s">
        <v>68</v>
      </c>
      <c r="D296" s="965">
        <v>136.55000000000001</v>
      </c>
      <c r="E296" s="970" t="s">
        <v>742</v>
      </c>
      <c r="F296" s="273"/>
      <c r="G296" s="280"/>
    </row>
    <row r="297" spans="1:7" ht="27.75" customHeight="1">
      <c r="A297" s="967">
        <v>7130880006</v>
      </c>
      <c r="B297" s="996" t="s">
        <v>743</v>
      </c>
      <c r="C297" s="995" t="s">
        <v>68</v>
      </c>
      <c r="D297" s="965">
        <v>173.63</v>
      </c>
      <c r="E297" s="970" t="s">
        <v>742</v>
      </c>
      <c r="F297" s="273"/>
      <c r="G297" s="280"/>
    </row>
    <row r="298" spans="1:7" ht="20.25" customHeight="1">
      <c r="A298" s="971">
        <v>7130880041</v>
      </c>
      <c r="B298" s="963" t="s">
        <v>744</v>
      </c>
      <c r="C298" s="964" t="s">
        <v>33</v>
      </c>
      <c r="D298" s="965">
        <v>113.77</v>
      </c>
      <c r="E298" s="968" t="s">
        <v>745</v>
      </c>
      <c r="F298" s="273"/>
      <c r="G298" s="280"/>
    </row>
    <row r="299" spans="1:7" ht="27" customHeight="1">
      <c r="A299" s="967">
        <v>7130890004</v>
      </c>
      <c r="B299" s="968" t="s">
        <v>746</v>
      </c>
      <c r="C299" s="964" t="s">
        <v>255</v>
      </c>
      <c r="D299" s="965">
        <v>6584.07</v>
      </c>
      <c r="E299" s="968" t="s">
        <v>747</v>
      </c>
      <c r="F299" s="273"/>
      <c r="G299" s="280"/>
    </row>
    <row r="300" spans="1:7" ht="27" customHeight="1">
      <c r="A300" s="967">
        <v>7130890005</v>
      </c>
      <c r="B300" s="968" t="s">
        <v>748</v>
      </c>
      <c r="C300" s="964" t="s">
        <v>255</v>
      </c>
      <c r="D300" s="965">
        <v>8307.5</v>
      </c>
      <c r="E300" s="970"/>
      <c r="F300" s="273"/>
      <c r="G300" s="280"/>
    </row>
    <row r="301" spans="1:7" ht="27" customHeight="1">
      <c r="A301" s="967">
        <v>7130890006</v>
      </c>
      <c r="B301" s="968" t="s">
        <v>749</v>
      </c>
      <c r="C301" s="964" t="s">
        <v>255</v>
      </c>
      <c r="D301" s="965">
        <v>18841.39</v>
      </c>
      <c r="E301" s="968" t="s">
        <v>750</v>
      </c>
      <c r="F301" s="273"/>
      <c r="G301" s="280"/>
    </row>
    <row r="302" spans="1:7" ht="27" customHeight="1">
      <c r="A302" s="967">
        <v>7130890007</v>
      </c>
      <c r="B302" s="968" t="s">
        <v>751</v>
      </c>
      <c r="C302" s="964" t="s">
        <v>255</v>
      </c>
      <c r="D302" s="965">
        <v>19738.599999999999</v>
      </c>
      <c r="E302" s="968" t="s">
        <v>752</v>
      </c>
      <c r="F302" s="273"/>
      <c r="G302" s="280"/>
    </row>
    <row r="303" spans="1:7" ht="19.5" customHeight="1">
      <c r="A303" s="967">
        <v>7130890008</v>
      </c>
      <c r="B303" s="968" t="s">
        <v>753</v>
      </c>
      <c r="C303" s="969" t="s">
        <v>255</v>
      </c>
      <c r="D303" s="965">
        <v>58.17</v>
      </c>
      <c r="E303" s="970" t="s">
        <v>754</v>
      </c>
      <c r="F303" s="273"/>
      <c r="G303" s="280"/>
    </row>
    <row r="304" spans="1:7" ht="30" customHeight="1">
      <c r="A304" s="967">
        <v>7130890973</v>
      </c>
      <c r="B304" s="1009" t="s">
        <v>755</v>
      </c>
      <c r="C304" s="1010" t="s">
        <v>40</v>
      </c>
      <c r="D304" s="965">
        <v>71.81</v>
      </c>
      <c r="E304" s="970"/>
      <c r="F304" s="273"/>
      <c r="G304" s="280"/>
    </row>
    <row r="305" spans="1:7" ht="18" customHeight="1">
      <c r="A305" s="967">
        <v>7131961526</v>
      </c>
      <c r="B305" s="1011" t="s">
        <v>1393</v>
      </c>
      <c r="C305" s="965" t="s">
        <v>255</v>
      </c>
      <c r="D305" s="965">
        <v>4631.5</v>
      </c>
      <c r="E305" s="970" t="s">
        <v>1395</v>
      </c>
      <c r="F305" s="292"/>
      <c r="G305" s="335" t="s">
        <v>1394</v>
      </c>
    </row>
    <row r="306" spans="1:7" ht="18" customHeight="1">
      <c r="A306" s="967">
        <v>7130893004</v>
      </c>
      <c r="B306" s="1012" t="s">
        <v>153</v>
      </c>
      <c r="C306" s="985" t="s">
        <v>68</v>
      </c>
      <c r="D306" s="965">
        <v>226.84</v>
      </c>
      <c r="E306" s="970" t="s">
        <v>756</v>
      </c>
      <c r="F306" s="273"/>
      <c r="G306" s="280"/>
    </row>
    <row r="307" spans="1:7" ht="25.5">
      <c r="A307" s="971">
        <v>7130897759</v>
      </c>
      <c r="B307" s="1007" t="s">
        <v>757</v>
      </c>
      <c r="C307" s="971" t="s">
        <v>40</v>
      </c>
      <c r="D307" s="965">
        <v>4365.4399999999996</v>
      </c>
      <c r="E307" s="968" t="s">
        <v>758</v>
      </c>
      <c r="F307" s="273"/>
      <c r="G307" s="280"/>
    </row>
    <row r="308" spans="1:7" ht="18.75" customHeight="1">
      <c r="A308" s="967">
        <v>7131210001</v>
      </c>
      <c r="B308" s="968" t="s">
        <v>759</v>
      </c>
      <c r="C308" s="969" t="s">
        <v>255</v>
      </c>
      <c r="D308" s="965">
        <v>129.02000000000001</v>
      </c>
      <c r="E308" s="970"/>
      <c r="F308" s="273"/>
      <c r="G308" s="280"/>
    </row>
    <row r="309" spans="1:7" ht="18.75" customHeight="1">
      <c r="A309" s="967">
        <v>7131210010</v>
      </c>
      <c r="B309" s="1013" t="s">
        <v>760</v>
      </c>
      <c r="C309" s="991" t="s">
        <v>33</v>
      </c>
      <c r="D309" s="965"/>
      <c r="E309" s="970"/>
      <c r="F309" s="273"/>
      <c r="G309" s="284" t="s">
        <v>299</v>
      </c>
    </row>
    <row r="310" spans="1:7" ht="18.75" customHeight="1">
      <c r="A310" s="1014">
        <v>7131210018</v>
      </c>
      <c r="B310" s="1015" t="s">
        <v>761</v>
      </c>
      <c r="C310" s="982" t="s">
        <v>33</v>
      </c>
      <c r="D310" s="965"/>
      <c r="E310" s="970"/>
      <c r="F310" s="273"/>
      <c r="G310" s="284" t="s">
        <v>299</v>
      </c>
    </row>
    <row r="311" spans="1:7" ht="18.75" customHeight="1">
      <c r="A311" s="1014">
        <v>7131210019</v>
      </c>
      <c r="B311" s="1016" t="s">
        <v>762</v>
      </c>
      <c r="C311" s="993" t="s">
        <v>33</v>
      </c>
      <c r="D311" s="965"/>
      <c r="E311" s="970"/>
      <c r="F311" s="273"/>
      <c r="G311" s="284" t="s">
        <v>299</v>
      </c>
    </row>
    <row r="312" spans="1:7" ht="18.75" customHeight="1">
      <c r="A312" s="1017">
        <v>7131210020</v>
      </c>
      <c r="B312" s="988" t="s">
        <v>763</v>
      </c>
      <c r="C312" s="982" t="s">
        <v>33</v>
      </c>
      <c r="D312" s="965"/>
      <c r="E312" s="970"/>
      <c r="F312" s="273"/>
      <c r="G312" s="284" t="s">
        <v>299</v>
      </c>
    </row>
    <row r="313" spans="1:7" ht="27" customHeight="1">
      <c r="A313" s="1014">
        <v>7131210021</v>
      </c>
      <c r="B313" s="1018" t="s">
        <v>764</v>
      </c>
      <c r="C313" s="991" t="s">
        <v>255</v>
      </c>
      <c r="D313" s="965"/>
      <c r="E313" s="970"/>
      <c r="F313" s="273"/>
      <c r="G313" s="284" t="s">
        <v>299</v>
      </c>
    </row>
    <row r="314" spans="1:7" ht="27" customHeight="1">
      <c r="A314" s="1014">
        <v>7131210022</v>
      </c>
      <c r="B314" s="988" t="s">
        <v>765</v>
      </c>
      <c r="C314" s="982" t="s">
        <v>255</v>
      </c>
      <c r="D314" s="965"/>
      <c r="E314" s="970"/>
      <c r="F314" s="273"/>
      <c r="G314" s="284" t="s">
        <v>299</v>
      </c>
    </row>
    <row r="315" spans="1:7" ht="18.75" customHeight="1">
      <c r="A315" s="962">
        <v>7131210852</v>
      </c>
      <c r="B315" s="963" t="s">
        <v>766</v>
      </c>
      <c r="C315" s="964" t="s">
        <v>33</v>
      </c>
      <c r="D315" s="965"/>
      <c r="E315" s="970"/>
      <c r="F315" s="273"/>
      <c r="G315" s="284" t="s">
        <v>299</v>
      </c>
    </row>
    <row r="316" spans="1:7" ht="18.75" customHeight="1">
      <c r="A316" s="962">
        <v>7131210881</v>
      </c>
      <c r="B316" s="963" t="s">
        <v>767</v>
      </c>
      <c r="C316" s="964" t="s">
        <v>33</v>
      </c>
      <c r="D316" s="965"/>
      <c r="E316" s="970" t="s">
        <v>768</v>
      </c>
      <c r="F316" s="273"/>
      <c r="G316" s="284" t="s">
        <v>299</v>
      </c>
    </row>
    <row r="317" spans="1:7" ht="18.75" customHeight="1">
      <c r="A317" s="971">
        <v>7131220182</v>
      </c>
      <c r="B317" s="963" t="s">
        <v>769</v>
      </c>
      <c r="C317" s="964" t="s">
        <v>33</v>
      </c>
      <c r="D317" s="965"/>
      <c r="E317" s="970" t="s">
        <v>770</v>
      </c>
      <c r="F317" s="273"/>
      <c r="G317" s="284" t="s">
        <v>299</v>
      </c>
    </row>
    <row r="318" spans="1:7" ht="25.5">
      <c r="A318" s="962">
        <v>7131230003</v>
      </c>
      <c r="B318" s="963" t="s">
        <v>771</v>
      </c>
      <c r="C318" s="964" t="s">
        <v>33</v>
      </c>
      <c r="D318" s="965"/>
      <c r="E318" s="968" t="s">
        <v>772</v>
      </c>
      <c r="F318" s="273"/>
      <c r="G318" s="284" t="s">
        <v>299</v>
      </c>
    </row>
    <row r="319" spans="1:7" ht="25.5">
      <c r="A319" s="962">
        <v>7131230116</v>
      </c>
      <c r="B319" s="963" t="s">
        <v>773</v>
      </c>
      <c r="C319" s="964" t="s">
        <v>33</v>
      </c>
      <c r="D319" s="965"/>
      <c r="E319" s="968" t="s">
        <v>774</v>
      </c>
      <c r="F319" s="273"/>
      <c r="G319" s="284" t="s">
        <v>299</v>
      </c>
    </row>
    <row r="320" spans="1:7" ht="27" customHeight="1">
      <c r="A320" s="1001">
        <v>7131230128</v>
      </c>
      <c r="B320" s="963" t="s">
        <v>775</v>
      </c>
      <c r="C320" s="964" t="s">
        <v>33</v>
      </c>
      <c r="D320" s="1019"/>
      <c r="E320" s="968" t="s">
        <v>776</v>
      </c>
      <c r="F320" s="273"/>
      <c r="G320" s="284" t="s">
        <v>299</v>
      </c>
    </row>
    <row r="321" spans="1:11" ht="18.75" customHeight="1">
      <c r="A321" s="962">
        <v>7131280006</v>
      </c>
      <c r="B321" s="963" t="s">
        <v>777</v>
      </c>
      <c r="C321" s="964" t="s">
        <v>33</v>
      </c>
      <c r="D321" s="965"/>
      <c r="E321" s="970"/>
      <c r="F321" s="273"/>
      <c r="G321" s="284" t="s">
        <v>299</v>
      </c>
    </row>
    <row r="322" spans="1:11" ht="18.75" customHeight="1">
      <c r="A322" s="962">
        <v>7131280007</v>
      </c>
      <c r="B322" s="963" t="s">
        <v>778</v>
      </c>
      <c r="C322" s="964" t="s">
        <v>33</v>
      </c>
      <c r="D322" s="965"/>
      <c r="E322" s="970" t="s">
        <v>779</v>
      </c>
      <c r="F322" s="273"/>
      <c r="G322" s="284" t="s">
        <v>299</v>
      </c>
    </row>
    <row r="323" spans="1:11" ht="18.75" customHeight="1">
      <c r="A323" s="962">
        <v>7131280008</v>
      </c>
      <c r="B323" s="963" t="s">
        <v>780</v>
      </c>
      <c r="C323" s="964" t="s">
        <v>33</v>
      </c>
      <c r="D323" s="965"/>
      <c r="E323" s="970"/>
      <c r="F323" s="273"/>
      <c r="G323" s="284" t="s">
        <v>299</v>
      </c>
    </row>
    <row r="324" spans="1:11" ht="18.75" customHeight="1">
      <c r="A324" s="962">
        <v>7131280009</v>
      </c>
      <c r="B324" s="963" t="s">
        <v>781</v>
      </c>
      <c r="C324" s="964" t="s">
        <v>33</v>
      </c>
      <c r="D324" s="965"/>
      <c r="E324" s="970"/>
      <c r="F324" s="273"/>
      <c r="G324" s="284" t="s">
        <v>299</v>
      </c>
    </row>
    <row r="325" spans="1:11" ht="18.75" customHeight="1">
      <c r="A325" s="962">
        <v>7131280010</v>
      </c>
      <c r="B325" s="963" t="s">
        <v>782</v>
      </c>
      <c r="C325" s="964" t="s">
        <v>33</v>
      </c>
      <c r="D325" s="965"/>
      <c r="E325" s="970"/>
      <c r="F325" s="273"/>
      <c r="G325" s="284" t="s">
        <v>299</v>
      </c>
    </row>
    <row r="326" spans="1:11" ht="27.75" customHeight="1">
      <c r="A326" s="962">
        <v>7131280011</v>
      </c>
      <c r="B326" s="963" t="s">
        <v>783</v>
      </c>
      <c r="C326" s="964" t="s">
        <v>33</v>
      </c>
      <c r="D326" s="965"/>
      <c r="E326" s="970"/>
      <c r="F326" s="273"/>
      <c r="G326" s="284" t="s">
        <v>299</v>
      </c>
    </row>
    <row r="327" spans="1:11" ht="25.5">
      <c r="A327" s="962">
        <v>7131280012</v>
      </c>
      <c r="B327" s="963" t="s">
        <v>784</v>
      </c>
      <c r="C327" s="964" t="s">
        <v>33</v>
      </c>
      <c r="D327" s="965"/>
      <c r="E327" s="968" t="s">
        <v>785</v>
      </c>
      <c r="F327" s="273"/>
      <c r="G327" s="284" t="s">
        <v>299</v>
      </c>
    </row>
    <row r="328" spans="1:11" ht="18.75" customHeight="1">
      <c r="A328" s="962">
        <v>7131280013</v>
      </c>
      <c r="B328" s="963" t="s">
        <v>786</v>
      </c>
      <c r="C328" s="964" t="s">
        <v>33</v>
      </c>
      <c r="D328" s="965"/>
      <c r="E328" s="970" t="s">
        <v>787</v>
      </c>
      <c r="F328" s="273"/>
      <c r="G328" s="284" t="s">
        <v>299</v>
      </c>
    </row>
    <row r="329" spans="1:11" ht="18.75" customHeight="1">
      <c r="A329" s="962">
        <v>7131280014</v>
      </c>
      <c r="B329" s="963" t="s">
        <v>788</v>
      </c>
      <c r="C329" s="964" t="s">
        <v>33</v>
      </c>
      <c r="D329" s="965"/>
      <c r="E329" s="970" t="s">
        <v>789</v>
      </c>
      <c r="F329" s="273"/>
      <c r="G329" s="284" t="s">
        <v>299</v>
      </c>
    </row>
    <row r="330" spans="1:11" ht="18.75" customHeight="1">
      <c r="A330" s="962">
        <v>7131280015</v>
      </c>
      <c r="B330" s="963" t="s">
        <v>790</v>
      </c>
      <c r="C330" s="964" t="s">
        <v>33</v>
      </c>
      <c r="D330" s="965"/>
      <c r="E330" s="970" t="s">
        <v>791</v>
      </c>
      <c r="F330" s="273"/>
      <c r="G330" s="284" t="s">
        <v>299</v>
      </c>
    </row>
    <row r="331" spans="1:11" ht="25.5">
      <c r="A331" s="962">
        <v>7131280016</v>
      </c>
      <c r="B331" s="963" t="s">
        <v>792</v>
      </c>
      <c r="C331" s="964" t="s">
        <v>33</v>
      </c>
      <c r="D331" s="965"/>
      <c r="E331" s="968" t="s">
        <v>793</v>
      </c>
      <c r="F331" s="273"/>
      <c r="G331" s="284" t="s">
        <v>299</v>
      </c>
    </row>
    <row r="332" spans="1:11" ht="27.75" customHeight="1">
      <c r="A332" s="962">
        <v>7131280017</v>
      </c>
      <c r="B332" s="963" t="s">
        <v>794</v>
      </c>
      <c r="C332" s="964" t="s">
        <v>33</v>
      </c>
      <c r="D332" s="965"/>
      <c r="E332" s="968" t="s">
        <v>795</v>
      </c>
      <c r="F332" s="273"/>
      <c r="G332" s="284" t="s">
        <v>299</v>
      </c>
    </row>
    <row r="333" spans="1:11" ht="19.5" customHeight="1">
      <c r="A333" s="962">
        <v>7131280882</v>
      </c>
      <c r="B333" s="963" t="s">
        <v>796</v>
      </c>
      <c r="C333" s="964" t="s">
        <v>33</v>
      </c>
      <c r="D333" s="965"/>
      <c r="E333" s="970"/>
      <c r="F333" s="273"/>
      <c r="G333" s="284" t="s">
        <v>299</v>
      </c>
    </row>
    <row r="334" spans="1:11" ht="25.5">
      <c r="A334" s="971">
        <v>7131300046</v>
      </c>
      <c r="B334" s="963" t="s">
        <v>797</v>
      </c>
      <c r="C334" s="964" t="s">
        <v>33</v>
      </c>
      <c r="D334" s="965">
        <v>1592</v>
      </c>
      <c r="E334" s="968" t="s">
        <v>798</v>
      </c>
      <c r="F334" s="274" t="s">
        <v>268</v>
      </c>
      <c r="G334" s="293"/>
    </row>
    <row r="335" spans="1:11" ht="42.75" customHeight="1">
      <c r="A335" s="969">
        <v>7131300065</v>
      </c>
      <c r="B335" s="963" t="s">
        <v>799</v>
      </c>
      <c r="C335" s="964" t="s">
        <v>33</v>
      </c>
      <c r="D335" s="965">
        <v>1177339.45</v>
      </c>
      <c r="E335" s="970" t="s">
        <v>800</v>
      </c>
      <c r="F335" s="273"/>
      <c r="G335" s="293"/>
    </row>
    <row r="336" spans="1:11" ht="24" customHeight="1">
      <c r="A336" s="967">
        <v>7131300067</v>
      </c>
      <c r="B336" s="968" t="s">
        <v>801</v>
      </c>
      <c r="C336" s="969" t="s">
        <v>255</v>
      </c>
      <c r="D336" s="965">
        <v>182.97</v>
      </c>
      <c r="E336" s="970"/>
      <c r="F336" s="273"/>
      <c r="G336" s="294" t="s">
        <v>802</v>
      </c>
      <c r="K336" s="227"/>
    </row>
    <row r="337" spans="1:7" ht="25.5">
      <c r="A337" s="967">
        <v>7131300082</v>
      </c>
      <c r="B337" s="968" t="s">
        <v>803</v>
      </c>
      <c r="C337" s="969" t="s">
        <v>255</v>
      </c>
      <c r="D337" s="965">
        <v>818.44</v>
      </c>
      <c r="E337" s="968" t="s">
        <v>804</v>
      </c>
      <c r="F337" s="273"/>
      <c r="G337" s="280"/>
    </row>
    <row r="338" spans="1:7" ht="38.25">
      <c r="A338" s="971">
        <v>7131300500</v>
      </c>
      <c r="B338" s="963" t="s">
        <v>805</v>
      </c>
      <c r="C338" s="964" t="s">
        <v>33</v>
      </c>
      <c r="D338" s="965">
        <v>744.93</v>
      </c>
      <c r="E338" s="968" t="s">
        <v>806</v>
      </c>
      <c r="F338" s="274" t="s">
        <v>268</v>
      </c>
      <c r="G338" s="293"/>
    </row>
    <row r="339" spans="1:7" ht="25.5">
      <c r="A339" s="964">
        <v>7131300881</v>
      </c>
      <c r="B339" s="963" t="s">
        <v>807</v>
      </c>
      <c r="C339" s="964" t="s">
        <v>33</v>
      </c>
      <c r="D339" s="965">
        <v>25045.5</v>
      </c>
      <c r="E339" s="968" t="s">
        <v>808</v>
      </c>
      <c r="F339" s="273"/>
      <c r="G339" s="280"/>
    </row>
    <row r="340" spans="1:7" ht="38.25">
      <c r="A340" s="964">
        <v>7131310002</v>
      </c>
      <c r="B340" s="988" t="s">
        <v>809</v>
      </c>
      <c r="C340" s="982" t="s">
        <v>33</v>
      </c>
      <c r="D340" s="965">
        <v>3068.03</v>
      </c>
      <c r="E340" s="968"/>
      <c r="F340" s="273"/>
    </row>
    <row r="341" spans="1:7" ht="39" customHeight="1">
      <c r="A341" s="964">
        <v>7131310005</v>
      </c>
      <c r="B341" s="988" t="s">
        <v>810</v>
      </c>
      <c r="C341" s="982" t="s">
        <v>33</v>
      </c>
      <c r="D341" s="965">
        <v>2978.09</v>
      </c>
      <c r="E341" s="968"/>
      <c r="F341" s="273"/>
    </row>
    <row r="342" spans="1:7" ht="28.5" customHeight="1">
      <c r="A342" s="1020">
        <v>7131310045</v>
      </c>
      <c r="B342" s="1015" t="s">
        <v>1624</v>
      </c>
      <c r="C342" s="993" t="s">
        <v>33</v>
      </c>
      <c r="D342" s="965">
        <v>1129.0809408999999</v>
      </c>
      <c r="E342" s="968"/>
      <c r="F342" s="273"/>
      <c r="G342" s="511" t="s">
        <v>1626</v>
      </c>
    </row>
    <row r="343" spans="1:7" ht="27" customHeight="1">
      <c r="A343" s="1020">
        <v>7131310040</v>
      </c>
      <c r="B343" s="1015" t="s">
        <v>1625</v>
      </c>
      <c r="C343" s="993" t="s">
        <v>33</v>
      </c>
      <c r="D343" s="965">
        <v>2352.2565863</v>
      </c>
      <c r="E343" s="968"/>
      <c r="F343" s="273"/>
      <c r="G343" s="511" t="s">
        <v>1627</v>
      </c>
    </row>
    <row r="344" spans="1:7" ht="26.25" customHeight="1">
      <c r="A344" s="964">
        <v>7131310013</v>
      </c>
      <c r="B344" s="988" t="s">
        <v>811</v>
      </c>
      <c r="C344" s="964" t="s">
        <v>33</v>
      </c>
      <c r="D344" s="965">
        <v>5016.38</v>
      </c>
      <c r="E344" s="970" t="s">
        <v>812</v>
      </c>
      <c r="F344" s="274" t="s">
        <v>268</v>
      </c>
      <c r="G344" s="295"/>
    </row>
    <row r="345" spans="1:7" ht="40.5" customHeight="1">
      <c r="A345" s="971">
        <v>7131310015</v>
      </c>
      <c r="B345" s="963" t="s">
        <v>813</v>
      </c>
      <c r="C345" s="964" t="s">
        <v>33</v>
      </c>
      <c r="D345" s="965">
        <v>13314.29</v>
      </c>
      <c r="E345" s="968" t="s">
        <v>814</v>
      </c>
      <c r="F345" s="274" t="s">
        <v>268</v>
      </c>
      <c r="G345" s="296"/>
    </row>
    <row r="346" spans="1:7" ht="27.75" customHeight="1">
      <c r="A346" s="964">
        <v>7131310033</v>
      </c>
      <c r="B346" s="988" t="s">
        <v>815</v>
      </c>
      <c r="C346" s="964" t="s">
        <v>33</v>
      </c>
      <c r="D346" s="965">
        <v>4151.97</v>
      </c>
      <c r="E346" s="968" t="s">
        <v>816</v>
      </c>
      <c r="F346" s="274" t="s">
        <v>268</v>
      </c>
      <c r="G346" s="296"/>
    </row>
    <row r="347" spans="1:7" ht="25.5">
      <c r="A347" s="964">
        <v>7131310034</v>
      </c>
      <c r="B347" s="988" t="s">
        <v>817</v>
      </c>
      <c r="C347" s="964" t="s">
        <v>33</v>
      </c>
      <c r="D347" s="965">
        <v>4151.97</v>
      </c>
      <c r="E347" s="968" t="s">
        <v>816</v>
      </c>
      <c r="F347" s="274" t="s">
        <v>268</v>
      </c>
      <c r="G347" s="275"/>
    </row>
    <row r="348" spans="1:7" ht="25.5">
      <c r="A348" s="964">
        <v>7131310035</v>
      </c>
      <c r="B348" s="988" t="s">
        <v>818</v>
      </c>
      <c r="C348" s="964" t="s">
        <v>33</v>
      </c>
      <c r="D348" s="965">
        <v>19471.52</v>
      </c>
      <c r="E348" s="968" t="s">
        <v>819</v>
      </c>
      <c r="F348" s="274" t="s">
        <v>268</v>
      </c>
      <c r="G348" s="295"/>
    </row>
    <row r="349" spans="1:7" ht="25.5">
      <c r="A349" s="964">
        <v>7131310036</v>
      </c>
      <c r="B349" s="988" t="s">
        <v>820</v>
      </c>
      <c r="C349" s="964" t="s">
        <v>33</v>
      </c>
      <c r="D349" s="965">
        <v>19472.099999999999</v>
      </c>
      <c r="E349" s="968" t="s">
        <v>821</v>
      </c>
      <c r="F349" s="274" t="s">
        <v>268</v>
      </c>
      <c r="G349" s="295"/>
    </row>
    <row r="350" spans="1:7" ht="25.5">
      <c r="A350" s="964">
        <v>7131310042</v>
      </c>
      <c r="B350" s="1006" t="s">
        <v>822</v>
      </c>
      <c r="C350" s="964" t="s">
        <v>33</v>
      </c>
      <c r="D350" s="965">
        <v>19952.599999999999</v>
      </c>
      <c r="E350" s="970"/>
      <c r="F350" s="274" t="s">
        <v>268</v>
      </c>
      <c r="G350" s="293"/>
    </row>
    <row r="351" spans="1:7" ht="27" customHeight="1">
      <c r="A351" s="964">
        <v>7131397678</v>
      </c>
      <c r="B351" s="963" t="s">
        <v>823</v>
      </c>
      <c r="C351" s="964" t="s">
        <v>33</v>
      </c>
      <c r="D351" s="965">
        <v>1982.4</v>
      </c>
      <c r="E351" s="970" t="s">
        <v>824</v>
      </c>
      <c r="F351" s="273"/>
      <c r="G351" s="506" t="s">
        <v>1605</v>
      </c>
    </row>
    <row r="352" spans="1:7" ht="38.25">
      <c r="A352" s="971">
        <v>7131310997</v>
      </c>
      <c r="B352" s="963" t="s">
        <v>825</v>
      </c>
      <c r="C352" s="964" t="s">
        <v>33</v>
      </c>
      <c r="D352" s="965">
        <v>1800</v>
      </c>
      <c r="E352" s="970" t="s">
        <v>826</v>
      </c>
      <c r="F352" s="274" t="s">
        <v>268</v>
      </c>
      <c r="G352" s="295"/>
    </row>
    <row r="353" spans="1:11" ht="25.5">
      <c r="A353" s="1001">
        <v>7131320009</v>
      </c>
      <c r="B353" s="968" t="s">
        <v>827</v>
      </c>
      <c r="C353" s="969" t="s">
        <v>255</v>
      </c>
      <c r="D353" s="965">
        <v>3666.36</v>
      </c>
      <c r="E353" s="968" t="s">
        <v>828</v>
      </c>
      <c r="F353" s="273"/>
      <c r="G353" s="280"/>
    </row>
    <row r="354" spans="1:11" ht="28.5" customHeight="1">
      <c r="A354" s="967">
        <v>7131321603</v>
      </c>
      <c r="B354" s="968" t="s">
        <v>829</v>
      </c>
      <c r="C354" s="969" t="s">
        <v>255</v>
      </c>
      <c r="D354" s="965">
        <v>4217.1400000000003</v>
      </c>
      <c r="E354" s="970"/>
      <c r="F354" s="273"/>
      <c r="G354" s="294" t="s">
        <v>802</v>
      </c>
      <c r="K354" s="227"/>
    </row>
    <row r="355" spans="1:11" ht="17.25" customHeight="1">
      <c r="A355" s="967">
        <v>7131324780</v>
      </c>
      <c r="B355" s="968" t="s">
        <v>830</v>
      </c>
      <c r="C355" s="969" t="s">
        <v>255</v>
      </c>
      <c r="D355" s="965">
        <v>4399.62</v>
      </c>
      <c r="E355" s="970"/>
      <c r="F355" s="273"/>
      <c r="G355" s="280"/>
    </row>
    <row r="356" spans="1:11" ht="17.25" customHeight="1">
      <c r="A356" s="1001">
        <v>7131324806</v>
      </c>
      <c r="B356" s="968" t="s">
        <v>831</v>
      </c>
      <c r="C356" s="969" t="s">
        <v>255</v>
      </c>
      <c r="D356" s="965">
        <v>6630.9</v>
      </c>
      <c r="E356" s="970" t="s">
        <v>832</v>
      </c>
      <c r="F356" s="273"/>
      <c r="G356" s="280"/>
    </row>
    <row r="357" spans="1:11" ht="25.5">
      <c r="A357" s="962">
        <v>7131329275</v>
      </c>
      <c r="B357" s="963" t="s">
        <v>833</v>
      </c>
      <c r="C357" s="964" t="s">
        <v>33</v>
      </c>
      <c r="D357" s="965">
        <v>5972.39</v>
      </c>
      <c r="E357" s="970"/>
      <c r="F357" s="273"/>
      <c r="G357" s="280"/>
    </row>
    <row r="358" spans="1:11" ht="38.25">
      <c r="A358" s="962">
        <v>7131334001</v>
      </c>
      <c r="B358" s="988" t="s">
        <v>834</v>
      </c>
      <c r="C358" s="964" t="s">
        <v>255</v>
      </c>
      <c r="D358" s="965">
        <v>5504.7</v>
      </c>
      <c r="E358" s="968" t="s">
        <v>835</v>
      </c>
      <c r="F358" s="273"/>
      <c r="G358" s="298"/>
      <c r="I358" s="299"/>
    </row>
    <row r="359" spans="1:11" ht="38.25" customHeight="1">
      <c r="A359" s="962">
        <v>7131334002</v>
      </c>
      <c r="B359" s="988" t="s">
        <v>836</v>
      </c>
      <c r="C359" s="964" t="s">
        <v>255</v>
      </c>
      <c r="D359" s="965">
        <v>5596.74</v>
      </c>
      <c r="E359" s="968" t="s">
        <v>837</v>
      </c>
      <c r="F359" s="273"/>
      <c r="G359" s="295"/>
      <c r="I359" s="299"/>
    </row>
    <row r="360" spans="1:11" ht="21" customHeight="1">
      <c r="A360" s="962">
        <v>7131399007</v>
      </c>
      <c r="B360" s="963" t="s">
        <v>838</v>
      </c>
      <c r="C360" s="964" t="s">
        <v>255</v>
      </c>
      <c r="D360" s="965">
        <v>1098.58</v>
      </c>
      <c r="E360" s="970"/>
      <c r="F360" s="273"/>
      <c r="G360" s="280"/>
      <c r="I360" s="299"/>
    </row>
    <row r="361" spans="1:11" ht="21" customHeight="1">
      <c r="A361" s="993">
        <v>7131300008</v>
      </c>
      <c r="B361" s="988" t="s">
        <v>839</v>
      </c>
      <c r="C361" s="993" t="s">
        <v>255</v>
      </c>
      <c r="D361" s="965">
        <v>2266.75</v>
      </c>
      <c r="E361" s="970"/>
      <c r="F361" s="273"/>
      <c r="I361" s="299"/>
    </row>
    <row r="362" spans="1:11" ht="28.5" customHeight="1">
      <c r="A362" s="993">
        <v>7131300009</v>
      </c>
      <c r="B362" s="1015" t="s">
        <v>840</v>
      </c>
      <c r="C362" s="993" t="s">
        <v>255</v>
      </c>
      <c r="D362" s="965">
        <v>3599</v>
      </c>
      <c r="E362" s="970"/>
      <c r="F362" s="273"/>
      <c r="G362" s="303"/>
      <c r="I362" s="299"/>
    </row>
    <row r="363" spans="1:11" ht="27.75" customHeight="1">
      <c r="A363" s="993">
        <v>7131300010</v>
      </c>
      <c r="B363" s="1015" t="s">
        <v>842</v>
      </c>
      <c r="C363" s="993" t="s">
        <v>255</v>
      </c>
      <c r="D363" s="965">
        <v>37170</v>
      </c>
      <c r="E363" s="970"/>
      <c r="F363" s="273"/>
      <c r="G363" s="303"/>
      <c r="I363" s="299"/>
    </row>
    <row r="364" spans="1:11" ht="25.5">
      <c r="A364" s="967">
        <v>7131338004</v>
      </c>
      <c r="B364" s="968" t="s">
        <v>843</v>
      </c>
      <c r="C364" s="969" t="s">
        <v>255</v>
      </c>
      <c r="D364" s="965">
        <v>74383.48</v>
      </c>
      <c r="E364" s="970"/>
      <c r="F364" s="273"/>
      <c r="G364" s="294" t="s">
        <v>802</v>
      </c>
      <c r="K364" s="227"/>
    </row>
    <row r="365" spans="1:11" ht="25.5">
      <c r="A365" s="1001">
        <v>7131338025</v>
      </c>
      <c r="B365" s="968" t="s">
        <v>844</v>
      </c>
      <c r="C365" s="969" t="s">
        <v>255</v>
      </c>
      <c r="D365" s="965">
        <v>64.510000000000005</v>
      </c>
      <c r="E365" s="968" t="s">
        <v>845</v>
      </c>
      <c r="F365" s="273"/>
      <c r="G365" s="280"/>
    </row>
    <row r="366" spans="1:11" ht="18.75" customHeight="1">
      <c r="A366" s="967">
        <v>7131387501</v>
      </c>
      <c r="B366" s="968" t="s">
        <v>846</v>
      </c>
      <c r="C366" s="969" t="s">
        <v>255</v>
      </c>
      <c r="D366" s="965">
        <v>318.20999999999998</v>
      </c>
      <c r="E366" s="983"/>
      <c r="F366" s="281"/>
      <c r="G366" s="280"/>
    </row>
    <row r="367" spans="1:11" ht="18.75" customHeight="1">
      <c r="A367" s="967">
        <v>7131387502</v>
      </c>
      <c r="B367" s="968" t="s">
        <v>847</v>
      </c>
      <c r="C367" s="969" t="s">
        <v>255</v>
      </c>
      <c r="D367" s="965">
        <v>629.58000000000004</v>
      </c>
      <c r="E367" s="970" t="s">
        <v>848</v>
      </c>
      <c r="F367" s="273"/>
      <c r="G367" s="280"/>
    </row>
    <row r="368" spans="1:11" ht="18.75" customHeight="1">
      <c r="A368" s="967">
        <v>7131390014</v>
      </c>
      <c r="B368" s="968" t="s">
        <v>849</v>
      </c>
      <c r="C368" s="969" t="s">
        <v>255</v>
      </c>
      <c r="D368" s="965">
        <v>238.63</v>
      </c>
      <c r="E368" s="966"/>
      <c r="F368" s="12"/>
      <c r="G368" s="280"/>
    </row>
    <row r="369" spans="1:7" ht="18.75" customHeight="1">
      <c r="A369" s="967">
        <v>7131390015</v>
      </c>
      <c r="B369" s="968" t="s">
        <v>850</v>
      </c>
      <c r="C369" s="969" t="s">
        <v>255</v>
      </c>
      <c r="D369" s="965">
        <v>41.26</v>
      </c>
      <c r="E369" s="966"/>
      <c r="F369" s="12"/>
      <c r="G369" s="280"/>
    </row>
    <row r="370" spans="1:7" ht="18.75" customHeight="1">
      <c r="A370" s="967">
        <v>7131390016</v>
      </c>
      <c r="B370" s="968" t="s">
        <v>851</v>
      </c>
      <c r="C370" s="969" t="s">
        <v>255</v>
      </c>
      <c r="D370" s="965">
        <v>578.1</v>
      </c>
      <c r="E370" s="966"/>
      <c r="F370" s="12"/>
      <c r="G370" s="280"/>
    </row>
    <row r="371" spans="1:7" ht="18.75" customHeight="1">
      <c r="A371" s="962">
        <v>7131820031</v>
      </c>
      <c r="B371" s="963" t="s">
        <v>852</v>
      </c>
      <c r="C371" s="964" t="s">
        <v>33</v>
      </c>
      <c r="D371" s="965">
        <v>120.8</v>
      </c>
      <c r="E371" s="966"/>
      <c r="F371" s="12"/>
      <c r="G371" s="280"/>
    </row>
    <row r="372" spans="1:7" ht="25.5">
      <c r="A372" s="962">
        <v>7131820032</v>
      </c>
      <c r="B372" s="963" t="s">
        <v>853</v>
      </c>
      <c r="C372" s="964" t="s">
        <v>33</v>
      </c>
      <c r="D372" s="965">
        <v>120.8</v>
      </c>
      <c r="E372" s="968" t="s">
        <v>854</v>
      </c>
      <c r="F372" s="281"/>
      <c r="G372" s="280"/>
    </row>
    <row r="373" spans="1:7" ht="19.5" customHeight="1">
      <c r="A373" s="962">
        <v>7131820033</v>
      </c>
      <c r="B373" s="963" t="s">
        <v>855</v>
      </c>
      <c r="C373" s="964" t="s">
        <v>33</v>
      </c>
      <c r="D373" s="965">
        <v>511.92</v>
      </c>
      <c r="E373" s="983"/>
      <c r="F373" s="281"/>
      <c r="G373" s="280"/>
    </row>
    <row r="374" spans="1:7" ht="19.5" customHeight="1">
      <c r="A374" s="962">
        <v>7131820034</v>
      </c>
      <c r="B374" s="963" t="s">
        <v>856</v>
      </c>
      <c r="C374" s="964" t="s">
        <v>33</v>
      </c>
      <c r="D374" s="965">
        <v>511.92</v>
      </c>
      <c r="E374" s="983"/>
      <c r="F374" s="281"/>
      <c r="G374" s="280"/>
    </row>
    <row r="375" spans="1:7" ht="25.5" customHeight="1">
      <c r="A375" s="962">
        <v>7131820035</v>
      </c>
      <c r="B375" s="963" t="s">
        <v>857</v>
      </c>
      <c r="C375" s="964" t="s">
        <v>33</v>
      </c>
      <c r="D375" s="965">
        <v>3410.03</v>
      </c>
      <c r="E375" s="983"/>
      <c r="F375" s="281"/>
      <c r="G375" s="280"/>
    </row>
    <row r="376" spans="1:7" ht="25.5">
      <c r="A376" s="962">
        <v>7131820036</v>
      </c>
      <c r="B376" s="963" t="s">
        <v>858</v>
      </c>
      <c r="C376" s="964" t="s">
        <v>33</v>
      </c>
      <c r="D376" s="965">
        <v>3694.7</v>
      </c>
      <c r="E376" s="983"/>
      <c r="F376" s="281"/>
      <c r="G376" s="280"/>
    </row>
    <row r="377" spans="1:7" ht="25.5">
      <c r="A377" s="962">
        <v>7131820037</v>
      </c>
      <c r="B377" s="963" t="s">
        <v>859</v>
      </c>
      <c r="C377" s="964" t="s">
        <v>33</v>
      </c>
      <c r="D377" s="965">
        <v>3694.7</v>
      </c>
      <c r="E377" s="983"/>
      <c r="F377" s="281"/>
      <c r="G377" s="280"/>
    </row>
    <row r="378" spans="1:7" ht="16.5" customHeight="1">
      <c r="A378" s="962">
        <v>7131820038</v>
      </c>
      <c r="B378" s="963" t="s">
        <v>860</v>
      </c>
      <c r="C378" s="964" t="s">
        <v>33</v>
      </c>
      <c r="D378" s="965">
        <v>2699.57</v>
      </c>
      <c r="E378" s="983"/>
      <c r="F378" s="281"/>
      <c r="G378" s="280"/>
    </row>
    <row r="379" spans="1:7" ht="25.5">
      <c r="A379" s="962">
        <v>7131820039</v>
      </c>
      <c r="B379" s="963" t="s">
        <v>861</v>
      </c>
      <c r="C379" s="964" t="s">
        <v>33</v>
      </c>
      <c r="D379" s="965">
        <v>6181.37</v>
      </c>
      <c r="E379" s="968" t="s">
        <v>862</v>
      </c>
      <c r="F379" s="273"/>
      <c r="G379" s="280"/>
    </row>
    <row r="380" spans="1:7" ht="38.25">
      <c r="A380" s="971">
        <v>7131900005</v>
      </c>
      <c r="B380" s="988" t="s">
        <v>863</v>
      </c>
      <c r="C380" s="964" t="s">
        <v>33</v>
      </c>
      <c r="D380" s="965">
        <v>845.47</v>
      </c>
      <c r="E380" s="970" t="s">
        <v>864</v>
      </c>
      <c r="F380" s="520"/>
      <c r="G380" s="289"/>
    </row>
    <row r="381" spans="1:7" ht="24.75" customHeight="1">
      <c r="A381" s="962">
        <v>7131900033</v>
      </c>
      <c r="B381" s="968" t="s">
        <v>865</v>
      </c>
      <c r="C381" s="964" t="s">
        <v>68</v>
      </c>
      <c r="D381" s="965">
        <v>7.88</v>
      </c>
      <c r="E381" s="968" t="s">
        <v>866</v>
      </c>
      <c r="F381" s="273"/>
      <c r="G381" s="280"/>
    </row>
    <row r="382" spans="1:7" ht="17.25" customHeight="1">
      <c r="A382" s="962">
        <v>7131900071</v>
      </c>
      <c r="B382" s="963" t="s">
        <v>867</v>
      </c>
      <c r="C382" s="964" t="s">
        <v>33</v>
      </c>
      <c r="D382" s="965">
        <v>316.44</v>
      </c>
      <c r="E382" s="970" t="s">
        <v>868</v>
      </c>
      <c r="F382" s="273"/>
      <c r="G382" s="280"/>
    </row>
    <row r="383" spans="1:7" ht="17.25" customHeight="1">
      <c r="A383" s="962">
        <v>7131900072</v>
      </c>
      <c r="B383" s="963" t="s">
        <v>869</v>
      </c>
      <c r="C383" s="964" t="s">
        <v>33</v>
      </c>
      <c r="D383" s="965">
        <v>486.5</v>
      </c>
      <c r="E383" s="970" t="s">
        <v>870</v>
      </c>
      <c r="F383" s="273"/>
      <c r="G383" s="280"/>
    </row>
    <row r="384" spans="1:7" ht="25.5">
      <c r="A384" s="962">
        <v>7131900625</v>
      </c>
      <c r="B384" s="968" t="s">
        <v>871</v>
      </c>
      <c r="C384" s="964" t="s">
        <v>68</v>
      </c>
      <c r="D384" s="965">
        <v>13.5</v>
      </c>
      <c r="E384" s="968" t="s">
        <v>872</v>
      </c>
      <c r="F384" s="273"/>
      <c r="G384" s="280"/>
    </row>
    <row r="385" spans="1:7" ht="25.5">
      <c r="A385" s="962">
        <v>7131900650</v>
      </c>
      <c r="B385" s="968" t="s">
        <v>873</v>
      </c>
      <c r="C385" s="964" t="s">
        <v>68</v>
      </c>
      <c r="D385" s="965">
        <v>14.63</v>
      </c>
      <c r="E385" s="968" t="s">
        <v>874</v>
      </c>
      <c r="F385" s="273"/>
      <c r="G385" s="280"/>
    </row>
    <row r="386" spans="1:7" ht="18" customHeight="1">
      <c r="A386" s="971">
        <v>7131900876</v>
      </c>
      <c r="B386" s="963" t="s">
        <v>875</v>
      </c>
      <c r="C386" s="964" t="s">
        <v>33</v>
      </c>
      <c r="D386" s="965">
        <v>311.95</v>
      </c>
      <c r="E386" s="970" t="s">
        <v>876</v>
      </c>
      <c r="F386" s="273"/>
      <c r="G386" s="280"/>
    </row>
    <row r="387" spans="1:7" ht="18.75" customHeight="1">
      <c r="A387" s="962">
        <v>7131900876</v>
      </c>
      <c r="B387" s="963" t="s">
        <v>877</v>
      </c>
      <c r="C387" s="964" t="s">
        <v>33</v>
      </c>
      <c r="D387" s="965">
        <v>121.63</v>
      </c>
      <c r="E387" s="970" t="s">
        <v>876</v>
      </c>
      <c r="F387" s="273"/>
      <c r="G387" s="280"/>
    </row>
    <row r="388" spans="1:7" ht="16.5" customHeight="1">
      <c r="A388" s="971">
        <v>7131900880</v>
      </c>
      <c r="B388" s="963" t="s">
        <v>878</v>
      </c>
      <c r="C388" s="964" t="s">
        <v>33</v>
      </c>
      <c r="D388" s="965">
        <v>783.8</v>
      </c>
      <c r="E388" s="970" t="s">
        <v>879</v>
      </c>
      <c r="F388" s="273"/>
      <c r="G388" s="280"/>
    </row>
    <row r="389" spans="1:7" ht="17.25" customHeight="1">
      <c r="A389" s="971">
        <v>7131900881</v>
      </c>
      <c r="B389" s="963" t="s">
        <v>880</v>
      </c>
      <c r="C389" s="964" t="s">
        <v>33</v>
      </c>
      <c r="D389" s="965">
        <v>867.14</v>
      </c>
      <c r="E389" s="970" t="s">
        <v>881</v>
      </c>
      <c r="F389" s="273"/>
      <c r="G389" s="280"/>
    </row>
    <row r="390" spans="1:7" ht="25.5">
      <c r="A390" s="964">
        <v>7131900969</v>
      </c>
      <c r="B390" s="968" t="s">
        <v>882</v>
      </c>
      <c r="C390" s="964" t="s">
        <v>26</v>
      </c>
      <c r="D390" s="965">
        <v>1108.05</v>
      </c>
      <c r="E390" s="968" t="s">
        <v>883</v>
      </c>
      <c r="F390" s="273"/>
      <c r="G390" s="280"/>
    </row>
    <row r="391" spans="1:7" ht="25.5">
      <c r="A391" s="964">
        <v>7131900971</v>
      </c>
      <c r="B391" s="968" t="s">
        <v>884</v>
      </c>
      <c r="C391" s="964" t="s">
        <v>26</v>
      </c>
      <c r="D391" s="965">
        <v>1108.05</v>
      </c>
      <c r="E391" s="968" t="s">
        <v>885</v>
      </c>
      <c r="F391" s="273"/>
      <c r="G391" s="280"/>
    </row>
    <row r="392" spans="1:7" ht="25.5">
      <c r="A392" s="964">
        <v>7131900973</v>
      </c>
      <c r="B392" s="968" t="s">
        <v>886</v>
      </c>
      <c r="C392" s="964" t="s">
        <v>26</v>
      </c>
      <c r="D392" s="965">
        <v>1073.8</v>
      </c>
      <c r="E392" s="968" t="s">
        <v>887</v>
      </c>
      <c r="F392" s="273"/>
      <c r="G392" s="280"/>
    </row>
    <row r="393" spans="1:7" ht="25.5">
      <c r="A393" s="964">
        <v>7131900975</v>
      </c>
      <c r="B393" s="968" t="s">
        <v>888</v>
      </c>
      <c r="C393" s="964" t="s">
        <v>26</v>
      </c>
      <c r="D393" s="965">
        <v>1073.8</v>
      </c>
      <c r="E393" s="968" t="s">
        <v>889</v>
      </c>
      <c r="F393" s="273"/>
      <c r="G393" s="280"/>
    </row>
    <row r="394" spans="1:7" ht="25.5">
      <c r="A394" s="964">
        <v>7131900977</v>
      </c>
      <c r="B394" s="968" t="s">
        <v>890</v>
      </c>
      <c r="C394" s="964" t="s">
        <v>26</v>
      </c>
      <c r="D394" s="965">
        <v>1073.8</v>
      </c>
      <c r="E394" s="968" t="s">
        <v>891</v>
      </c>
      <c r="F394" s="273"/>
      <c r="G394" s="280"/>
    </row>
    <row r="395" spans="1:7" ht="25.5">
      <c r="A395" s="964">
        <v>7131900979</v>
      </c>
      <c r="B395" s="968" t="s">
        <v>892</v>
      </c>
      <c r="C395" s="964" t="s">
        <v>26</v>
      </c>
      <c r="D395" s="965">
        <v>1073.8</v>
      </c>
      <c r="E395" s="968" t="s">
        <v>893</v>
      </c>
      <c r="F395" s="273"/>
      <c r="G395" s="280"/>
    </row>
    <row r="396" spans="1:7" ht="25.5">
      <c r="A396" s="964">
        <v>7131900981</v>
      </c>
      <c r="B396" s="968" t="s">
        <v>894</v>
      </c>
      <c r="C396" s="964" t="s">
        <v>26</v>
      </c>
      <c r="D396" s="965">
        <v>1073.8</v>
      </c>
      <c r="E396" s="968" t="s">
        <v>895</v>
      </c>
      <c r="F396" s="273"/>
      <c r="G396" s="280"/>
    </row>
    <row r="397" spans="1:7" ht="26.25" customHeight="1">
      <c r="A397" s="964">
        <v>7131900974</v>
      </c>
      <c r="B397" s="968" t="s">
        <v>896</v>
      </c>
      <c r="C397" s="964" t="s">
        <v>26</v>
      </c>
      <c r="D397" s="965">
        <v>1073.8</v>
      </c>
      <c r="E397" s="968" t="s">
        <v>897</v>
      </c>
      <c r="F397" s="273"/>
      <c r="G397" s="301"/>
    </row>
    <row r="398" spans="1:7" ht="27.75" customHeight="1">
      <c r="A398" s="971">
        <v>7131910653</v>
      </c>
      <c r="B398" s="963" t="s">
        <v>898</v>
      </c>
      <c r="C398" s="964" t="s">
        <v>33</v>
      </c>
      <c r="D398" s="965">
        <v>55.32</v>
      </c>
      <c r="E398" s="968" t="s">
        <v>899</v>
      </c>
      <c r="F398" s="273"/>
      <c r="G398" s="280"/>
    </row>
    <row r="399" spans="1:7" ht="27.75" customHeight="1">
      <c r="A399" s="971">
        <v>7131910654</v>
      </c>
      <c r="B399" s="963" t="s">
        <v>900</v>
      </c>
      <c r="C399" s="964" t="s">
        <v>33</v>
      </c>
      <c r="D399" s="965">
        <v>109.32</v>
      </c>
      <c r="E399" s="968" t="s">
        <v>901</v>
      </c>
      <c r="F399" s="273"/>
      <c r="G399" s="280"/>
    </row>
    <row r="400" spans="1:7" ht="27.75" customHeight="1">
      <c r="A400" s="962">
        <v>7131910655</v>
      </c>
      <c r="B400" s="963" t="s">
        <v>902</v>
      </c>
      <c r="C400" s="964" t="s">
        <v>33</v>
      </c>
      <c r="D400" s="965">
        <v>31.61</v>
      </c>
      <c r="E400" s="968" t="s">
        <v>903</v>
      </c>
      <c r="F400" s="273"/>
      <c r="G400" s="280"/>
    </row>
    <row r="401" spans="1:18" ht="27.75" customHeight="1">
      <c r="A401" s="971">
        <v>7131910656</v>
      </c>
      <c r="B401" s="963" t="s">
        <v>904</v>
      </c>
      <c r="C401" s="964" t="s">
        <v>33</v>
      </c>
      <c r="D401" s="965">
        <v>328.2</v>
      </c>
      <c r="E401" s="968" t="s">
        <v>905</v>
      </c>
      <c r="F401" s="273"/>
      <c r="G401" s="280"/>
    </row>
    <row r="402" spans="1:18" ht="28.5" customHeight="1">
      <c r="A402" s="971">
        <v>7131910657</v>
      </c>
      <c r="B402" s="963" t="s">
        <v>906</v>
      </c>
      <c r="C402" s="964" t="s">
        <v>33</v>
      </c>
      <c r="D402" s="965">
        <v>636.02</v>
      </c>
      <c r="E402" s="968" t="s">
        <v>907</v>
      </c>
      <c r="F402" s="273"/>
      <c r="G402" s="280"/>
    </row>
    <row r="403" spans="1:18" ht="27.75" customHeight="1">
      <c r="A403" s="971">
        <v>7131910658</v>
      </c>
      <c r="B403" s="963" t="s">
        <v>908</v>
      </c>
      <c r="C403" s="964" t="s">
        <v>33</v>
      </c>
      <c r="D403" s="965">
        <v>1189.33</v>
      </c>
      <c r="E403" s="968" t="s">
        <v>909</v>
      </c>
      <c r="F403" s="273"/>
      <c r="G403" s="280"/>
    </row>
    <row r="404" spans="1:18" ht="26.25" customHeight="1">
      <c r="A404" s="982">
        <v>7131920001</v>
      </c>
      <c r="B404" s="997" t="s">
        <v>910</v>
      </c>
      <c r="C404" s="998" t="s">
        <v>5</v>
      </c>
      <c r="D404" s="965">
        <v>49658.26</v>
      </c>
      <c r="E404" s="968" t="s">
        <v>911</v>
      </c>
      <c r="F404" s="273"/>
      <c r="G404" s="282"/>
    </row>
    <row r="405" spans="1:18" ht="25.5">
      <c r="A405" s="982">
        <v>7131920002</v>
      </c>
      <c r="B405" s="997" t="s">
        <v>912</v>
      </c>
      <c r="C405" s="998" t="s">
        <v>5</v>
      </c>
      <c r="D405" s="965">
        <v>108245.61</v>
      </c>
      <c r="E405" s="968" t="s">
        <v>913</v>
      </c>
      <c r="F405" s="273"/>
      <c r="G405" s="282"/>
    </row>
    <row r="406" spans="1:18" ht="17.25" customHeight="1">
      <c r="A406" s="982">
        <v>7131920003</v>
      </c>
      <c r="B406" s="997" t="s">
        <v>914</v>
      </c>
      <c r="C406" s="998" t="s">
        <v>5</v>
      </c>
      <c r="D406" s="965">
        <v>350186.56</v>
      </c>
      <c r="E406" s="968" t="s">
        <v>915</v>
      </c>
      <c r="F406" s="273"/>
      <c r="G406" s="282"/>
    </row>
    <row r="407" spans="1:18" ht="25.5">
      <c r="A407" s="964">
        <v>7131920112</v>
      </c>
      <c r="B407" s="989" t="s">
        <v>916</v>
      </c>
      <c r="C407" s="964" t="s">
        <v>33</v>
      </c>
      <c r="D407" s="965">
        <v>370161.8</v>
      </c>
      <c r="E407" s="968" t="s">
        <v>917</v>
      </c>
      <c r="F407" s="302"/>
      <c r="G407" s="280"/>
    </row>
    <row r="408" spans="1:18" ht="25.5">
      <c r="A408" s="971">
        <v>7131920253</v>
      </c>
      <c r="B408" s="963" t="s">
        <v>918</v>
      </c>
      <c r="C408" s="964" t="s">
        <v>33</v>
      </c>
      <c r="D408" s="965">
        <v>885.43</v>
      </c>
      <c r="E408" s="968" t="s">
        <v>919</v>
      </c>
      <c r="F408" s="273"/>
      <c r="G408" s="280"/>
    </row>
    <row r="409" spans="1:18" ht="25.5">
      <c r="A409" s="971">
        <v>7131920254</v>
      </c>
      <c r="B409" s="963" t="s">
        <v>920</v>
      </c>
      <c r="C409" s="964" t="s">
        <v>33</v>
      </c>
      <c r="D409" s="965">
        <v>2126.1</v>
      </c>
      <c r="E409" s="968" t="s">
        <v>921</v>
      </c>
      <c r="F409" s="273"/>
      <c r="G409" s="280"/>
      <c r="R409" s="4">
        <f>(13550-9794.56)/9794.56*100</f>
        <v>38.342100104547839</v>
      </c>
    </row>
    <row r="410" spans="1:18" ht="25.5">
      <c r="A410" s="971">
        <v>7131920256</v>
      </c>
      <c r="B410" s="963" t="s">
        <v>922</v>
      </c>
      <c r="C410" s="964" t="s">
        <v>33</v>
      </c>
      <c r="D410" s="965">
        <v>4112.55</v>
      </c>
      <c r="E410" s="968" t="s">
        <v>923</v>
      </c>
      <c r="F410" s="273"/>
      <c r="G410" s="280"/>
      <c r="R410" s="4">
        <f>(20500-15293.6)/15293.6*100</f>
        <v>34.042998378406651</v>
      </c>
    </row>
    <row r="411" spans="1:18" ht="25.5">
      <c r="A411" s="971">
        <v>7131920258</v>
      </c>
      <c r="B411" s="963" t="s">
        <v>924</v>
      </c>
      <c r="C411" s="964" t="s">
        <v>33</v>
      </c>
      <c r="D411" s="965">
        <v>5773.57</v>
      </c>
      <c r="E411" s="968" t="s">
        <v>925</v>
      </c>
      <c r="F411" s="273"/>
      <c r="G411" s="280"/>
      <c r="R411" s="4">
        <f>(33650-24258.16)/24258.16*100</f>
        <v>38.716209308537827</v>
      </c>
    </row>
    <row r="412" spans="1:18" ht="25.5">
      <c r="A412" s="971">
        <v>7131920259</v>
      </c>
      <c r="B412" s="963" t="s">
        <v>926</v>
      </c>
      <c r="C412" s="964" t="s">
        <v>33</v>
      </c>
      <c r="D412" s="965">
        <v>7833.23</v>
      </c>
      <c r="E412" s="968" t="s">
        <v>927</v>
      </c>
      <c r="F412" s="273"/>
      <c r="G412" s="280"/>
      <c r="R412" s="4">
        <f>(51000-30258)/30258*100</f>
        <v>68.550465992464808</v>
      </c>
    </row>
    <row r="413" spans="1:18" ht="25.5">
      <c r="A413" s="971">
        <v>7131920260</v>
      </c>
      <c r="B413" s="963" t="s">
        <v>928</v>
      </c>
      <c r="C413" s="964" t="s">
        <v>33</v>
      </c>
      <c r="D413" s="965">
        <v>11831.87</v>
      </c>
      <c r="E413" s="968" t="s">
        <v>929</v>
      </c>
      <c r="F413" s="273"/>
      <c r="G413" s="280"/>
      <c r="R413" s="4">
        <f>(67000-44299.43)/44299.43*100</f>
        <v>51.243481010929479</v>
      </c>
    </row>
    <row r="414" spans="1:18" ht="25.5">
      <c r="A414" s="962">
        <v>7131930109</v>
      </c>
      <c r="B414" s="963" t="s">
        <v>930</v>
      </c>
      <c r="C414" s="964" t="s">
        <v>33</v>
      </c>
      <c r="D414" s="965"/>
      <c r="E414" s="968" t="s">
        <v>931</v>
      </c>
      <c r="F414" s="273"/>
      <c r="G414" s="284" t="s">
        <v>299</v>
      </c>
    </row>
    <row r="415" spans="1:18" ht="25.5">
      <c r="A415" s="971">
        <v>7131930221</v>
      </c>
      <c r="B415" s="963" t="s">
        <v>932</v>
      </c>
      <c r="C415" s="964" t="s">
        <v>33</v>
      </c>
      <c r="D415" s="965">
        <v>9934.19</v>
      </c>
      <c r="E415" s="968" t="s">
        <v>933</v>
      </c>
      <c r="F415" s="273"/>
      <c r="G415" s="280"/>
    </row>
    <row r="416" spans="1:18" ht="25.5">
      <c r="A416" s="971">
        <v>7131930321</v>
      </c>
      <c r="B416" s="963" t="s">
        <v>934</v>
      </c>
      <c r="C416" s="964" t="s">
        <v>33</v>
      </c>
      <c r="D416" s="965">
        <v>22056.66</v>
      </c>
      <c r="E416" s="968" t="s">
        <v>935</v>
      </c>
      <c r="F416" s="273"/>
      <c r="G416" s="280"/>
    </row>
    <row r="417" spans="1:7" ht="18.75" customHeight="1">
      <c r="A417" s="1021">
        <v>7131930412</v>
      </c>
      <c r="B417" s="1006" t="s">
        <v>936</v>
      </c>
      <c r="C417" s="1022" t="s">
        <v>33</v>
      </c>
      <c r="D417" s="1023">
        <v>1123.1500000000001</v>
      </c>
      <c r="E417" s="974" t="s">
        <v>937</v>
      </c>
      <c r="F417" s="273"/>
      <c r="G417" s="280"/>
    </row>
    <row r="418" spans="1:7" ht="18.75" customHeight="1">
      <c r="A418" s="1021">
        <v>7131930415</v>
      </c>
      <c r="B418" s="1006" t="s">
        <v>938</v>
      </c>
      <c r="C418" s="1022" t="s">
        <v>33</v>
      </c>
      <c r="D418" s="1023">
        <v>3005.12</v>
      </c>
      <c r="E418" s="974" t="s">
        <v>939</v>
      </c>
      <c r="F418" s="273"/>
      <c r="G418" s="280"/>
    </row>
    <row r="419" spans="1:7" ht="25.5">
      <c r="A419" s="971">
        <v>7131930663</v>
      </c>
      <c r="B419" s="963" t="s">
        <v>940</v>
      </c>
      <c r="C419" s="964" t="s">
        <v>33</v>
      </c>
      <c r="D419" s="965">
        <v>25408.1</v>
      </c>
      <c r="E419" s="968" t="s">
        <v>941</v>
      </c>
      <c r="F419" s="273"/>
      <c r="G419" s="280"/>
    </row>
    <row r="420" spans="1:7" ht="25.5">
      <c r="A420" s="971">
        <v>7131930752</v>
      </c>
      <c r="B420" s="963" t="s">
        <v>942</v>
      </c>
      <c r="C420" s="964" t="s">
        <v>33</v>
      </c>
      <c r="D420" s="965">
        <v>43971.49</v>
      </c>
      <c r="E420" s="968" t="s">
        <v>943</v>
      </c>
      <c r="F420" s="273"/>
      <c r="G420" s="280"/>
    </row>
    <row r="421" spans="1:7" ht="42.75" customHeight="1">
      <c r="A421" s="1020">
        <v>7131931091</v>
      </c>
      <c r="B421" s="988" t="s">
        <v>944</v>
      </c>
      <c r="C421" s="982" t="s">
        <v>40</v>
      </c>
      <c r="D421" s="965">
        <v>33598.94</v>
      </c>
      <c r="E421" s="968"/>
      <c r="F421" s="273"/>
      <c r="G421" s="41"/>
    </row>
    <row r="422" spans="1:7" ht="29.25" customHeight="1">
      <c r="A422" s="1020">
        <v>7131931095</v>
      </c>
      <c r="B422" s="988" t="s">
        <v>945</v>
      </c>
      <c r="C422" s="982" t="s">
        <v>40</v>
      </c>
      <c r="D422" s="965">
        <v>16730.36</v>
      </c>
      <c r="E422" s="968"/>
      <c r="F422" s="273"/>
      <c r="G422" s="41"/>
    </row>
    <row r="423" spans="1:7" ht="25.5">
      <c r="A423" s="971">
        <v>7131940602</v>
      </c>
      <c r="B423" s="963" t="s">
        <v>946</v>
      </c>
      <c r="C423" s="964" t="s">
        <v>33</v>
      </c>
      <c r="D423" s="965">
        <v>2841.89</v>
      </c>
      <c r="E423" s="968" t="s">
        <v>947</v>
      </c>
      <c r="F423" s="281"/>
      <c r="G423" s="280"/>
    </row>
    <row r="424" spans="1:7" ht="25.5">
      <c r="A424" s="971">
        <v>7131940610</v>
      </c>
      <c r="B424" s="963" t="s">
        <v>948</v>
      </c>
      <c r="C424" s="964" t="s">
        <v>33</v>
      </c>
      <c r="D424" s="965">
        <v>26998.02</v>
      </c>
      <c r="E424" s="968" t="s">
        <v>949</v>
      </c>
      <c r="F424" s="281"/>
      <c r="G424" s="280"/>
    </row>
    <row r="425" spans="1:7" ht="18.75" customHeight="1">
      <c r="A425" s="971">
        <v>7131940612</v>
      </c>
      <c r="B425" s="963" t="s">
        <v>950</v>
      </c>
      <c r="C425" s="964" t="s">
        <v>33</v>
      </c>
      <c r="D425" s="965">
        <v>26998.02</v>
      </c>
      <c r="E425" s="983"/>
      <c r="F425" s="281"/>
      <c r="G425" s="280"/>
    </row>
    <row r="426" spans="1:7" ht="28.5" customHeight="1">
      <c r="A426" s="971">
        <v>7131940871</v>
      </c>
      <c r="B426" s="988" t="s">
        <v>951</v>
      </c>
      <c r="C426" s="982" t="s">
        <v>68</v>
      </c>
      <c r="D426" s="965">
        <v>56418.83</v>
      </c>
      <c r="E426" s="983"/>
      <c r="F426" s="281"/>
      <c r="G426" s="41"/>
    </row>
    <row r="427" spans="1:7" ht="25.5">
      <c r="A427" s="971">
        <v>7131941762</v>
      </c>
      <c r="B427" s="989" t="s">
        <v>952</v>
      </c>
      <c r="C427" s="964" t="s">
        <v>33</v>
      </c>
      <c r="D427" s="965">
        <v>135748.26</v>
      </c>
      <c r="E427" s="968" t="s">
        <v>953</v>
      </c>
      <c r="F427" s="273"/>
      <c r="G427" s="280"/>
    </row>
    <row r="428" spans="1:7" ht="25.5">
      <c r="A428" s="971">
        <v>7131943380</v>
      </c>
      <c r="B428" s="989" t="s">
        <v>954</v>
      </c>
      <c r="C428" s="964" t="s">
        <v>33</v>
      </c>
      <c r="D428" s="965">
        <v>250684.03</v>
      </c>
      <c r="E428" s="970" t="s">
        <v>955</v>
      </c>
      <c r="F428" s="273"/>
      <c r="G428" s="280"/>
    </row>
    <row r="429" spans="1:7" ht="41.25" customHeight="1">
      <c r="A429" s="964">
        <v>7131950010</v>
      </c>
      <c r="B429" s="963" t="s">
        <v>956</v>
      </c>
      <c r="C429" s="964" t="s">
        <v>33</v>
      </c>
      <c r="D429" s="965">
        <v>1270.98</v>
      </c>
      <c r="E429" s="968" t="s">
        <v>957</v>
      </c>
      <c r="F429" s="273"/>
      <c r="G429" s="280"/>
    </row>
    <row r="430" spans="1:7" ht="38.25">
      <c r="A430" s="964">
        <v>7131950012</v>
      </c>
      <c r="B430" s="963" t="s">
        <v>958</v>
      </c>
      <c r="C430" s="964" t="s">
        <v>33</v>
      </c>
      <c r="D430" s="965">
        <v>1531.04</v>
      </c>
      <c r="E430" s="968" t="s">
        <v>959</v>
      </c>
      <c r="F430" s="273"/>
      <c r="G430" s="280"/>
    </row>
    <row r="431" spans="1:7" ht="42" customHeight="1">
      <c r="A431" s="962">
        <v>7131950015</v>
      </c>
      <c r="B431" s="963" t="s">
        <v>960</v>
      </c>
      <c r="C431" s="964" t="s">
        <v>33</v>
      </c>
      <c r="D431" s="965">
        <v>49445.17</v>
      </c>
      <c r="E431" s="966"/>
      <c r="F431" s="12"/>
      <c r="G431" s="280"/>
    </row>
    <row r="432" spans="1:7" ht="20.25" customHeight="1">
      <c r="A432" s="962">
        <v>7131950016</v>
      </c>
      <c r="B432" s="963" t="s">
        <v>961</v>
      </c>
      <c r="C432" s="964" t="s">
        <v>33</v>
      </c>
      <c r="D432" s="965">
        <v>411392.11</v>
      </c>
      <c r="E432" s="966"/>
      <c r="F432" s="12"/>
      <c r="G432" s="280"/>
    </row>
    <row r="433" spans="1:7" ht="42" customHeight="1">
      <c r="A433" s="971">
        <v>7131950065</v>
      </c>
      <c r="B433" s="963" t="s">
        <v>962</v>
      </c>
      <c r="C433" s="964" t="s">
        <v>33</v>
      </c>
      <c r="D433" s="965">
        <v>18477.650000000001</v>
      </c>
      <c r="E433" s="968" t="s">
        <v>963</v>
      </c>
      <c r="F433" s="273"/>
      <c r="G433" s="280"/>
    </row>
    <row r="434" spans="1:7" ht="40.5" customHeight="1">
      <c r="A434" s="964">
        <v>7131950105</v>
      </c>
      <c r="B434" s="963" t="s">
        <v>964</v>
      </c>
      <c r="C434" s="964" t="s">
        <v>33</v>
      </c>
      <c r="D434" s="965">
        <v>23098.03</v>
      </c>
      <c r="E434" s="968" t="s">
        <v>965</v>
      </c>
      <c r="F434" s="273"/>
      <c r="G434" s="280"/>
    </row>
    <row r="435" spans="1:7" ht="29.25" customHeight="1">
      <c r="A435" s="971">
        <v>7131950200</v>
      </c>
      <c r="B435" s="963" t="s">
        <v>966</v>
      </c>
      <c r="C435" s="964" t="s">
        <v>33</v>
      </c>
      <c r="D435" s="965">
        <v>46194.13</v>
      </c>
      <c r="E435" s="968" t="s">
        <v>967</v>
      </c>
      <c r="F435" s="273"/>
      <c r="G435" s="280"/>
    </row>
    <row r="436" spans="1:7" ht="29.25" customHeight="1">
      <c r="A436" s="971">
        <v>7131950207</v>
      </c>
      <c r="B436" s="963" t="s">
        <v>968</v>
      </c>
      <c r="C436" s="964" t="s">
        <v>33</v>
      </c>
      <c r="D436" s="1004">
        <v>39637.360000000001</v>
      </c>
      <c r="E436" s="968" t="s">
        <v>969</v>
      </c>
      <c r="F436" s="273"/>
      <c r="G436" s="280"/>
    </row>
    <row r="437" spans="1:7" ht="29.25" customHeight="1">
      <c r="A437" s="971">
        <v>7131950208</v>
      </c>
      <c r="B437" s="988" t="s">
        <v>970</v>
      </c>
      <c r="C437" s="982" t="s">
        <v>33</v>
      </c>
      <c r="D437" s="1004">
        <v>22383.98</v>
      </c>
      <c r="E437" s="968"/>
      <c r="F437" s="273"/>
      <c r="G437" s="303"/>
    </row>
    <row r="438" spans="1:7" ht="29.25" customHeight="1">
      <c r="A438" s="971">
        <v>7131950209</v>
      </c>
      <c r="B438" s="988" t="s">
        <v>971</v>
      </c>
      <c r="C438" s="982" t="s">
        <v>33</v>
      </c>
      <c r="D438" s="1004">
        <v>38412.01</v>
      </c>
      <c r="E438" s="968"/>
      <c r="F438" s="273"/>
      <c r="G438" s="303"/>
    </row>
    <row r="439" spans="1:7" ht="29.25" customHeight="1">
      <c r="A439" s="964">
        <v>7131960006</v>
      </c>
      <c r="B439" s="989" t="s">
        <v>972</v>
      </c>
      <c r="C439" s="964" t="s">
        <v>33</v>
      </c>
      <c r="D439" s="965">
        <v>26640.43</v>
      </c>
      <c r="E439" s="968" t="s">
        <v>973</v>
      </c>
      <c r="F439" s="273"/>
      <c r="G439" s="280"/>
    </row>
    <row r="440" spans="1:7" ht="30" customHeight="1">
      <c r="A440" s="964">
        <v>7131960007</v>
      </c>
      <c r="B440" s="989" t="s">
        <v>974</v>
      </c>
      <c r="C440" s="964" t="s">
        <v>33</v>
      </c>
      <c r="D440" s="965">
        <v>29413.59</v>
      </c>
      <c r="E440" s="968" t="s">
        <v>975</v>
      </c>
      <c r="F440" s="273"/>
      <c r="G440" s="280"/>
    </row>
    <row r="441" spans="1:7" ht="27.75" customHeight="1">
      <c r="A441" s="971">
        <v>7131960008</v>
      </c>
      <c r="B441" s="963" t="s">
        <v>976</v>
      </c>
      <c r="C441" s="964" t="s">
        <v>33</v>
      </c>
      <c r="D441" s="965">
        <v>25931.94</v>
      </c>
      <c r="E441" s="968" t="s">
        <v>977</v>
      </c>
      <c r="F441" s="273"/>
      <c r="G441" s="280"/>
    </row>
    <row r="442" spans="1:7" ht="27.75" customHeight="1">
      <c r="A442" s="964">
        <v>7131960009</v>
      </c>
      <c r="B442" s="963" t="s">
        <v>978</v>
      </c>
      <c r="C442" s="964" t="s">
        <v>33</v>
      </c>
      <c r="D442" s="965">
        <v>27322.240000000002</v>
      </c>
      <c r="E442" s="968" t="s">
        <v>979</v>
      </c>
      <c r="F442" s="273"/>
      <c r="G442" s="280"/>
    </row>
    <row r="443" spans="1:7" ht="30" customHeight="1">
      <c r="A443" s="1024">
        <v>7131960010</v>
      </c>
      <c r="B443" s="988" t="s">
        <v>980</v>
      </c>
      <c r="C443" s="982" t="s">
        <v>33</v>
      </c>
      <c r="D443" s="965">
        <v>83956.11</v>
      </c>
      <c r="E443" s="968"/>
      <c r="F443" s="273"/>
      <c r="G443" s="41"/>
    </row>
    <row r="444" spans="1:7" ht="28.5" customHeight="1">
      <c r="A444" s="964">
        <v>7131960520</v>
      </c>
      <c r="B444" s="963" t="s">
        <v>981</v>
      </c>
      <c r="C444" s="964" t="s">
        <v>33</v>
      </c>
      <c r="D444" s="965">
        <v>38838.42</v>
      </c>
      <c r="E444" s="968" t="s">
        <v>982</v>
      </c>
      <c r="F444" s="273"/>
      <c r="G444" s="280"/>
    </row>
    <row r="445" spans="1:7" ht="28.5" customHeight="1">
      <c r="A445" s="964">
        <v>7131960522</v>
      </c>
      <c r="B445" s="963" t="s">
        <v>983</v>
      </c>
      <c r="C445" s="964" t="s">
        <v>33</v>
      </c>
      <c r="D445" s="965">
        <v>39087.629999999997</v>
      </c>
      <c r="E445" s="968" t="s">
        <v>984</v>
      </c>
      <c r="F445" s="273"/>
      <c r="G445" s="280"/>
    </row>
    <row r="446" spans="1:7" ht="28.5" customHeight="1">
      <c r="A446" s="964">
        <v>7131960524</v>
      </c>
      <c r="B446" s="963" t="s">
        <v>985</v>
      </c>
      <c r="C446" s="964" t="s">
        <v>33</v>
      </c>
      <c r="D446" s="965">
        <v>39664.769999999997</v>
      </c>
      <c r="E446" s="968" t="s">
        <v>986</v>
      </c>
      <c r="F446" s="273"/>
      <c r="G446" s="280"/>
    </row>
    <row r="447" spans="1:7" ht="53.25" customHeight="1">
      <c r="A447" s="967">
        <v>7132002234</v>
      </c>
      <c r="B447" s="968" t="s">
        <v>987</v>
      </c>
      <c r="C447" s="969" t="s">
        <v>255</v>
      </c>
      <c r="D447" s="965">
        <v>255.67</v>
      </c>
      <c r="E447" s="970"/>
      <c r="F447" s="273"/>
      <c r="G447" s="280"/>
    </row>
    <row r="448" spans="1:7" ht="18.75" customHeight="1">
      <c r="A448" s="967">
        <v>7132004003</v>
      </c>
      <c r="B448" s="968" t="s">
        <v>988</v>
      </c>
      <c r="C448" s="969" t="s">
        <v>255</v>
      </c>
      <c r="D448" s="965">
        <v>162.9</v>
      </c>
      <c r="E448" s="970"/>
      <c r="F448" s="273"/>
      <c r="G448" s="280"/>
    </row>
    <row r="449" spans="1:8" ht="18.75" customHeight="1">
      <c r="A449" s="967">
        <v>7132004004</v>
      </c>
      <c r="B449" s="968" t="s">
        <v>989</v>
      </c>
      <c r="C449" s="969" t="s">
        <v>255</v>
      </c>
      <c r="D449" s="965">
        <v>14.42</v>
      </c>
      <c r="E449" s="970"/>
      <c r="F449" s="273"/>
      <c r="G449" s="280"/>
    </row>
    <row r="450" spans="1:8" ht="18.75" customHeight="1">
      <c r="A450" s="967">
        <v>7132011171</v>
      </c>
      <c r="B450" s="968" t="s">
        <v>990</v>
      </c>
      <c r="C450" s="969" t="s">
        <v>255</v>
      </c>
      <c r="D450" s="965">
        <v>600.58000000000004</v>
      </c>
      <c r="E450" s="970"/>
      <c r="F450" s="273"/>
      <c r="G450" s="41"/>
    </row>
    <row r="451" spans="1:8" ht="18.75" customHeight="1">
      <c r="A451" s="1001">
        <v>7132013331</v>
      </c>
      <c r="B451" s="968" t="s">
        <v>991</v>
      </c>
      <c r="C451" s="969" t="s">
        <v>255</v>
      </c>
      <c r="D451" s="965">
        <v>515.52</v>
      </c>
      <c r="E451" s="970" t="s">
        <v>992</v>
      </c>
      <c r="F451" s="273"/>
      <c r="G451" s="280"/>
    </row>
    <row r="452" spans="1:8" ht="18.75" customHeight="1">
      <c r="A452" s="967">
        <v>7132014014</v>
      </c>
      <c r="B452" s="968" t="s">
        <v>993</v>
      </c>
      <c r="C452" s="969" t="s">
        <v>255</v>
      </c>
      <c r="D452" s="965">
        <v>3690.43</v>
      </c>
      <c r="E452" s="970"/>
      <c r="F452" s="273"/>
      <c r="G452" s="280"/>
    </row>
    <row r="453" spans="1:8" ht="18.75" customHeight="1">
      <c r="A453" s="967">
        <v>7132028159</v>
      </c>
      <c r="B453" s="968" t="s">
        <v>994</v>
      </c>
      <c r="C453" s="969" t="s">
        <v>255</v>
      </c>
      <c r="D453" s="965">
        <v>1450.5</v>
      </c>
      <c r="E453" s="970"/>
      <c r="F453" s="273"/>
      <c r="G453" s="280"/>
    </row>
    <row r="454" spans="1:8" ht="20.25" customHeight="1">
      <c r="A454" s="967">
        <v>7132028160</v>
      </c>
      <c r="B454" s="968" t="s">
        <v>995</v>
      </c>
      <c r="C454" s="969" t="s">
        <v>255</v>
      </c>
      <c r="D454" s="965">
        <v>448.79</v>
      </c>
      <c r="E454" s="970"/>
      <c r="F454" s="273"/>
      <c r="G454" s="280"/>
    </row>
    <row r="455" spans="1:8" ht="25.5">
      <c r="A455" s="1001">
        <v>7132061858</v>
      </c>
      <c r="B455" s="968" t="s">
        <v>996</v>
      </c>
      <c r="C455" s="969" t="s">
        <v>255</v>
      </c>
      <c r="D455" s="965">
        <v>279.64999999999998</v>
      </c>
      <c r="E455" s="968" t="s">
        <v>997</v>
      </c>
      <c r="F455" s="273"/>
      <c r="G455" s="280"/>
    </row>
    <row r="456" spans="1:8" ht="20.25" customHeight="1">
      <c r="A456" s="967">
        <v>7132072006</v>
      </c>
      <c r="B456" s="968" t="s">
        <v>998</v>
      </c>
      <c r="C456" s="969" t="s">
        <v>255</v>
      </c>
      <c r="D456" s="965">
        <v>91.01</v>
      </c>
      <c r="E456" s="970" t="s">
        <v>999</v>
      </c>
      <c r="F456" s="273"/>
      <c r="G456" s="280"/>
    </row>
    <row r="457" spans="1:8" ht="20.25" customHeight="1">
      <c r="A457" s="967">
        <v>7132072004</v>
      </c>
      <c r="B457" s="968" t="s">
        <v>1000</v>
      </c>
      <c r="C457" s="969" t="s">
        <v>255</v>
      </c>
      <c r="D457" s="965">
        <v>85.23</v>
      </c>
      <c r="E457" s="970" t="s">
        <v>1001</v>
      </c>
      <c r="F457" s="273"/>
      <c r="G457" s="297" t="s">
        <v>1390</v>
      </c>
      <c r="H457" s="334"/>
    </row>
    <row r="458" spans="1:8" ht="18.75" customHeight="1">
      <c r="A458" s="967">
        <v>7132072008</v>
      </c>
      <c r="B458" s="968" t="s">
        <v>1002</v>
      </c>
      <c r="C458" s="969" t="s">
        <v>255</v>
      </c>
      <c r="D458" s="965">
        <v>79.45</v>
      </c>
      <c r="E458" s="970" t="s">
        <v>1003</v>
      </c>
      <c r="F458" s="273"/>
      <c r="G458" s="280"/>
    </row>
    <row r="459" spans="1:8" ht="25.5">
      <c r="A459" s="1001">
        <v>7132072522</v>
      </c>
      <c r="B459" s="968" t="s">
        <v>1004</v>
      </c>
      <c r="C459" s="969" t="s">
        <v>255</v>
      </c>
      <c r="D459" s="965"/>
      <c r="E459" s="968" t="s">
        <v>1005</v>
      </c>
      <c r="F459" s="273"/>
      <c r="G459" s="284" t="s">
        <v>299</v>
      </c>
    </row>
    <row r="460" spans="1:8" ht="39" customHeight="1">
      <c r="A460" s="967">
        <v>7132074032</v>
      </c>
      <c r="B460" s="968" t="s">
        <v>1006</v>
      </c>
      <c r="C460" s="969" t="s">
        <v>1007</v>
      </c>
      <c r="D460" s="965">
        <v>1981.84</v>
      </c>
      <c r="E460" s="970" t="s">
        <v>1008</v>
      </c>
      <c r="F460" s="273"/>
    </row>
    <row r="461" spans="1:8" ht="18" customHeight="1">
      <c r="A461" s="967">
        <v>7132074033</v>
      </c>
      <c r="B461" s="968" t="s">
        <v>1009</v>
      </c>
      <c r="C461" s="969" t="s">
        <v>1007</v>
      </c>
      <c r="D461" s="965">
        <v>819.02</v>
      </c>
      <c r="E461" s="970"/>
      <c r="F461" s="273"/>
    </row>
    <row r="462" spans="1:8" ht="42.75" customHeight="1">
      <c r="A462" s="967">
        <v>7132074034</v>
      </c>
      <c r="B462" s="968" t="s">
        <v>1010</v>
      </c>
      <c r="C462" s="969" t="s">
        <v>1007</v>
      </c>
      <c r="D462" s="965">
        <v>937.47</v>
      </c>
      <c r="E462" s="970" t="s">
        <v>1011</v>
      </c>
      <c r="F462" s="273"/>
    </row>
    <row r="463" spans="1:8" ht="17.25" customHeight="1">
      <c r="A463" s="967">
        <v>7132074035</v>
      </c>
      <c r="B463" s="968" t="s">
        <v>1012</v>
      </c>
      <c r="C463" s="969" t="s">
        <v>255</v>
      </c>
      <c r="D463" s="965">
        <v>608.13</v>
      </c>
      <c r="E463" s="970"/>
      <c r="F463" s="273"/>
    </row>
    <row r="464" spans="1:8" ht="28.5" customHeight="1">
      <c r="A464" s="967">
        <v>7132074036</v>
      </c>
      <c r="B464" s="968" t="s">
        <v>1013</v>
      </c>
      <c r="C464" s="969" t="s">
        <v>1007</v>
      </c>
      <c r="D464" s="965">
        <v>1805.6</v>
      </c>
      <c r="E464" s="970" t="s">
        <v>1014</v>
      </c>
      <c r="F464" s="273"/>
    </row>
    <row r="465" spans="1:7" ht="18.75" customHeight="1">
      <c r="A465" s="967">
        <v>7132088614</v>
      </c>
      <c r="B465" s="968" t="s">
        <v>1015</v>
      </c>
      <c r="C465" s="969" t="s">
        <v>255</v>
      </c>
      <c r="D465" s="965">
        <v>1505.06</v>
      </c>
      <c r="E465" s="970"/>
      <c r="F465" s="273"/>
    </row>
    <row r="466" spans="1:7" ht="18.75" customHeight="1">
      <c r="A466" s="967">
        <v>7132088615</v>
      </c>
      <c r="B466" s="968" t="s">
        <v>1016</v>
      </c>
      <c r="C466" s="969" t="s">
        <v>255</v>
      </c>
      <c r="D466" s="965">
        <v>825.98</v>
      </c>
      <c r="E466" s="970"/>
      <c r="F466" s="273"/>
    </row>
    <row r="467" spans="1:7" ht="119.25" customHeight="1">
      <c r="A467" s="962">
        <v>7132200014</v>
      </c>
      <c r="B467" s="988" t="s">
        <v>1017</v>
      </c>
      <c r="C467" s="964" t="s">
        <v>33</v>
      </c>
      <c r="D467" s="965">
        <v>170801.23</v>
      </c>
      <c r="E467" s="970" t="s">
        <v>1018</v>
      </c>
      <c r="F467" s="273"/>
      <c r="G467" s="295"/>
    </row>
    <row r="468" spans="1:7" ht="27.75" customHeight="1">
      <c r="A468" s="964">
        <v>7132200812</v>
      </c>
      <c r="B468" s="963" t="s">
        <v>1019</v>
      </c>
      <c r="C468" s="964" t="s">
        <v>33</v>
      </c>
      <c r="D468" s="965">
        <v>1972.04</v>
      </c>
      <c r="E468" s="968" t="s">
        <v>1020</v>
      </c>
      <c r="F468" s="273"/>
    </row>
    <row r="469" spans="1:7" ht="27.75" customHeight="1">
      <c r="A469" s="964">
        <v>7132200813</v>
      </c>
      <c r="B469" s="963" t="s">
        <v>1021</v>
      </c>
      <c r="C469" s="964" t="s">
        <v>33</v>
      </c>
      <c r="D469" s="965">
        <v>3942.84</v>
      </c>
      <c r="E469" s="968" t="s">
        <v>1020</v>
      </c>
      <c r="F469" s="273"/>
    </row>
    <row r="470" spans="1:7" ht="25.5">
      <c r="A470" s="964">
        <v>7132200814</v>
      </c>
      <c r="B470" s="963" t="s">
        <v>1022</v>
      </c>
      <c r="C470" s="964" t="s">
        <v>33</v>
      </c>
      <c r="D470" s="965">
        <v>4737.58</v>
      </c>
      <c r="E470" s="968" t="s">
        <v>1020</v>
      </c>
      <c r="F470" s="273"/>
    </row>
    <row r="471" spans="1:7" ht="25.5">
      <c r="A471" s="964">
        <v>7132200815</v>
      </c>
      <c r="B471" s="963" t="s">
        <v>1023</v>
      </c>
      <c r="C471" s="964" t="s">
        <v>33</v>
      </c>
      <c r="D471" s="965">
        <v>7862.22</v>
      </c>
      <c r="E471" s="968" t="s">
        <v>1020</v>
      </c>
      <c r="F471" s="273"/>
    </row>
    <row r="472" spans="1:7" ht="119.25" customHeight="1">
      <c r="A472" s="971">
        <v>7132200826</v>
      </c>
      <c r="B472" s="963" t="s">
        <v>1024</v>
      </c>
      <c r="C472" s="964" t="s">
        <v>33</v>
      </c>
      <c r="D472" s="965">
        <v>225853.71</v>
      </c>
      <c r="E472" s="968" t="s">
        <v>1025</v>
      </c>
      <c r="F472" s="273"/>
    </row>
    <row r="473" spans="1:7" ht="25.5">
      <c r="A473" s="969">
        <v>7132210007</v>
      </c>
      <c r="B473" s="963" t="s">
        <v>1026</v>
      </c>
      <c r="C473" s="964" t="s">
        <v>33</v>
      </c>
      <c r="D473" s="965"/>
      <c r="E473" s="968" t="s">
        <v>1027</v>
      </c>
      <c r="F473" s="273"/>
      <c r="G473" s="277" t="s">
        <v>299</v>
      </c>
    </row>
    <row r="474" spans="1:7" ht="25.5">
      <c r="A474" s="969">
        <v>7132210008</v>
      </c>
      <c r="B474" s="963" t="s">
        <v>1028</v>
      </c>
      <c r="C474" s="964" t="s">
        <v>33</v>
      </c>
      <c r="D474" s="965"/>
      <c r="E474" s="968" t="s">
        <v>1029</v>
      </c>
      <c r="F474" s="273"/>
      <c r="G474" s="277" t="s">
        <v>299</v>
      </c>
    </row>
    <row r="475" spans="1:7" ht="25.5">
      <c r="A475" s="969">
        <v>7132210009</v>
      </c>
      <c r="B475" s="963" t="s">
        <v>1030</v>
      </c>
      <c r="C475" s="964" t="s">
        <v>33</v>
      </c>
      <c r="D475" s="965"/>
      <c r="E475" s="968" t="s">
        <v>1031</v>
      </c>
      <c r="F475" s="273"/>
      <c r="G475" s="277" t="s">
        <v>299</v>
      </c>
    </row>
    <row r="476" spans="1:7" ht="25.5">
      <c r="A476" s="969">
        <v>7132210010</v>
      </c>
      <c r="B476" s="963" t="s">
        <v>1032</v>
      </c>
      <c r="C476" s="964" t="s">
        <v>33</v>
      </c>
      <c r="D476" s="965"/>
      <c r="E476" s="968" t="s">
        <v>1033</v>
      </c>
      <c r="F476" s="273"/>
      <c r="G476" s="277" t="s">
        <v>299</v>
      </c>
    </row>
    <row r="477" spans="1:7" ht="25.5">
      <c r="A477" s="969">
        <v>7132210011</v>
      </c>
      <c r="B477" s="963" t="s">
        <v>1034</v>
      </c>
      <c r="C477" s="964" t="s">
        <v>33</v>
      </c>
      <c r="D477" s="965"/>
      <c r="E477" s="968" t="s">
        <v>1035</v>
      </c>
      <c r="F477" s="273"/>
      <c r="G477" s="277" t="s">
        <v>299</v>
      </c>
    </row>
    <row r="478" spans="1:7" ht="54" customHeight="1">
      <c r="A478" s="969">
        <v>7132210012</v>
      </c>
      <c r="B478" s="963" t="s">
        <v>1036</v>
      </c>
      <c r="C478" s="964" t="s">
        <v>33</v>
      </c>
      <c r="D478" s="965"/>
      <c r="E478" s="968" t="s">
        <v>1037</v>
      </c>
      <c r="F478" s="274"/>
      <c r="G478" s="284" t="s">
        <v>299</v>
      </c>
    </row>
    <row r="479" spans="1:7" ht="51">
      <c r="A479" s="1001">
        <v>7132210015</v>
      </c>
      <c r="B479" s="968" t="s">
        <v>1038</v>
      </c>
      <c r="C479" s="1001" t="s">
        <v>33</v>
      </c>
      <c r="D479" s="965"/>
      <c r="E479" s="968" t="s">
        <v>1039</v>
      </c>
      <c r="F479" s="274"/>
      <c r="G479" s="284" t="s">
        <v>299</v>
      </c>
    </row>
    <row r="480" spans="1:7" ht="27.75" customHeight="1">
      <c r="A480" s="1020">
        <v>7132210106</v>
      </c>
      <c r="B480" s="988" t="s">
        <v>1040</v>
      </c>
      <c r="C480" s="982" t="s">
        <v>40</v>
      </c>
      <c r="D480" s="965">
        <v>8294.2999999999993</v>
      </c>
      <c r="E480" s="968"/>
      <c r="F480" s="274"/>
      <c r="G480" s="41"/>
    </row>
    <row r="481" spans="1:7" ht="27.75" customHeight="1">
      <c r="A481" s="1020">
        <v>7132210108</v>
      </c>
      <c r="B481" s="988" t="s">
        <v>1041</v>
      </c>
      <c r="C481" s="982" t="s">
        <v>40</v>
      </c>
      <c r="D481" s="965">
        <v>10125.84</v>
      </c>
      <c r="E481" s="968"/>
      <c r="F481" s="274"/>
      <c r="G481" s="41"/>
    </row>
    <row r="482" spans="1:7" ht="23.25" customHeight="1">
      <c r="A482" s="964">
        <v>7132210215</v>
      </c>
      <c r="B482" s="963" t="s">
        <v>1392</v>
      </c>
      <c r="C482" s="964" t="s">
        <v>33</v>
      </c>
      <c r="D482" s="965">
        <v>188732.25</v>
      </c>
      <c r="E482" s="970" t="s">
        <v>1042</v>
      </c>
      <c r="F482" s="281"/>
      <c r="G482" s="186"/>
    </row>
    <row r="483" spans="1:7" ht="25.5">
      <c r="A483" s="971">
        <v>7132220091</v>
      </c>
      <c r="B483" s="963" t="s">
        <v>1043</v>
      </c>
      <c r="C483" s="964" t="s">
        <v>33</v>
      </c>
      <c r="D483" s="965">
        <v>1287998.3799999999</v>
      </c>
      <c r="E483" s="968" t="s">
        <v>1044</v>
      </c>
      <c r="F483" s="273"/>
    </row>
    <row r="484" spans="1:7" ht="25.5">
      <c r="A484" s="971">
        <v>7132220095</v>
      </c>
      <c r="B484" s="963" t="s">
        <v>1045</v>
      </c>
      <c r="C484" s="964" t="s">
        <v>33</v>
      </c>
      <c r="D484" s="965">
        <v>3825804.57</v>
      </c>
      <c r="E484" s="968" t="s">
        <v>1046</v>
      </c>
      <c r="F484" s="273"/>
    </row>
    <row r="485" spans="1:7" ht="25.5" customHeight="1">
      <c r="A485" s="971">
        <v>7132220097</v>
      </c>
      <c r="B485" s="963" t="s">
        <v>1047</v>
      </c>
      <c r="C485" s="964" t="s">
        <v>33</v>
      </c>
      <c r="D485" s="965">
        <v>5211755.76</v>
      </c>
      <c r="E485" s="968" t="s">
        <v>1048</v>
      </c>
      <c r="F485" s="273"/>
    </row>
    <row r="486" spans="1:7" ht="24.75" customHeight="1">
      <c r="A486" s="971">
        <v>7132220092</v>
      </c>
      <c r="B486" s="963" t="s">
        <v>1049</v>
      </c>
      <c r="C486" s="964" t="s">
        <v>33</v>
      </c>
      <c r="D486" s="965">
        <v>6150995.8499999996</v>
      </c>
      <c r="E486" s="968" t="s">
        <v>1362</v>
      </c>
      <c r="F486" s="273"/>
      <c r="G486" s="303"/>
    </row>
    <row r="487" spans="1:7" ht="25.5">
      <c r="A487" s="1005">
        <v>7132230015</v>
      </c>
      <c r="B487" s="963" t="s">
        <v>1050</v>
      </c>
      <c r="C487" s="964" t="s">
        <v>33</v>
      </c>
      <c r="D487" s="965">
        <v>261758.57</v>
      </c>
      <c r="E487" s="968" t="s">
        <v>1051</v>
      </c>
      <c r="F487" s="273"/>
    </row>
    <row r="488" spans="1:7" ht="18" customHeight="1">
      <c r="A488" s="971">
        <v>7132230016</v>
      </c>
      <c r="B488" s="963" t="s">
        <v>1052</v>
      </c>
      <c r="C488" s="964" t="s">
        <v>33</v>
      </c>
      <c r="D488" s="965">
        <v>527.46</v>
      </c>
      <c r="E488" s="970" t="s">
        <v>1053</v>
      </c>
      <c r="F488" s="273"/>
    </row>
    <row r="489" spans="1:7" ht="25.5">
      <c r="A489" s="1005">
        <v>7132230017</v>
      </c>
      <c r="B489" s="963" t="s">
        <v>1054</v>
      </c>
      <c r="C489" s="964" t="s">
        <v>33</v>
      </c>
      <c r="D489" s="965">
        <v>241605</v>
      </c>
      <c r="E489" s="968" t="s">
        <v>1055</v>
      </c>
      <c r="F489" s="273"/>
    </row>
    <row r="490" spans="1:7" ht="18" customHeight="1">
      <c r="A490" s="971">
        <v>7132230019</v>
      </c>
      <c r="B490" s="963" t="s">
        <v>1056</v>
      </c>
      <c r="C490" s="964" t="s">
        <v>33</v>
      </c>
      <c r="D490" s="965">
        <v>313.29000000000002</v>
      </c>
      <c r="E490" s="970" t="s">
        <v>1057</v>
      </c>
      <c r="F490" s="273"/>
    </row>
    <row r="491" spans="1:7" ht="18" customHeight="1">
      <c r="A491" s="971">
        <v>7132230021</v>
      </c>
      <c r="B491" s="963" t="s">
        <v>1058</v>
      </c>
      <c r="C491" s="964" t="s">
        <v>33</v>
      </c>
      <c r="D491" s="965">
        <v>306.8</v>
      </c>
      <c r="E491" s="970" t="s">
        <v>1059</v>
      </c>
      <c r="F491" s="273"/>
    </row>
    <row r="492" spans="1:7" ht="18" customHeight="1">
      <c r="A492" s="971">
        <v>7132230024</v>
      </c>
      <c r="B492" s="963" t="s">
        <v>1060</v>
      </c>
      <c r="C492" s="964" t="s">
        <v>33</v>
      </c>
      <c r="D492" s="965">
        <v>306.8</v>
      </c>
      <c r="E492" s="970" t="s">
        <v>1061</v>
      </c>
      <c r="F492" s="273"/>
    </row>
    <row r="493" spans="1:7" ht="25.5">
      <c r="A493" s="964">
        <v>7132230039</v>
      </c>
      <c r="B493" s="968" t="s">
        <v>1062</v>
      </c>
      <c r="C493" s="964" t="s">
        <v>68</v>
      </c>
      <c r="D493" s="965">
        <v>676167.25</v>
      </c>
      <c r="E493" s="968" t="s">
        <v>1063</v>
      </c>
      <c r="F493" s="273"/>
    </row>
    <row r="494" spans="1:7" ht="25.5">
      <c r="A494" s="964">
        <v>7132230043</v>
      </c>
      <c r="B494" s="963" t="s">
        <v>1064</v>
      </c>
      <c r="C494" s="964" t="s">
        <v>33</v>
      </c>
      <c r="D494" s="965">
        <v>14361.91</v>
      </c>
      <c r="E494" s="970" t="s">
        <v>1065</v>
      </c>
      <c r="F494" s="273"/>
    </row>
    <row r="495" spans="1:7" ht="25.5">
      <c r="A495" s="964">
        <v>7132230065</v>
      </c>
      <c r="B495" s="968" t="s">
        <v>1066</v>
      </c>
      <c r="C495" s="964" t="s">
        <v>68</v>
      </c>
      <c r="D495" s="965">
        <v>371379.99</v>
      </c>
      <c r="E495" s="968" t="s">
        <v>1067</v>
      </c>
      <c r="F495" s="273"/>
    </row>
    <row r="496" spans="1:7" ht="17.25" customHeight="1">
      <c r="A496" s="964">
        <v>7132230075</v>
      </c>
      <c r="B496" s="968" t="s">
        <v>1068</v>
      </c>
      <c r="C496" s="964" t="s">
        <v>68</v>
      </c>
      <c r="D496" s="965">
        <v>595454.16</v>
      </c>
      <c r="E496" s="970" t="s">
        <v>1069</v>
      </c>
      <c r="F496" s="273"/>
    </row>
    <row r="497" spans="1:7" ht="17.25" customHeight="1">
      <c r="A497" s="964">
        <v>7132230076</v>
      </c>
      <c r="B497" s="968" t="s">
        <v>1070</v>
      </c>
      <c r="C497" s="964" t="s">
        <v>68</v>
      </c>
      <c r="D497" s="965">
        <v>849302.14</v>
      </c>
      <c r="E497" s="970" t="s">
        <v>1071</v>
      </c>
      <c r="F497" s="273"/>
    </row>
    <row r="498" spans="1:7" ht="17.25" customHeight="1">
      <c r="A498" s="964">
        <v>7132230077</v>
      </c>
      <c r="B498" s="968" t="s">
        <v>1072</v>
      </c>
      <c r="C498" s="964" t="s">
        <v>68</v>
      </c>
      <c r="D498" s="965">
        <v>611297.85</v>
      </c>
      <c r="E498" s="970" t="s">
        <v>1073</v>
      </c>
      <c r="F498" s="273"/>
    </row>
    <row r="499" spans="1:7" ht="17.25" customHeight="1">
      <c r="A499" s="964">
        <v>7132230078</v>
      </c>
      <c r="B499" s="968" t="s">
        <v>1074</v>
      </c>
      <c r="C499" s="964" t="s">
        <v>68</v>
      </c>
      <c r="D499" s="965">
        <v>685593.57</v>
      </c>
      <c r="E499" s="970" t="s">
        <v>1075</v>
      </c>
      <c r="F499" s="273"/>
    </row>
    <row r="500" spans="1:7" ht="17.25" customHeight="1">
      <c r="A500" s="962">
        <v>7132230088</v>
      </c>
      <c r="B500" s="963" t="s">
        <v>1076</v>
      </c>
      <c r="C500" s="964" t="s">
        <v>33</v>
      </c>
      <c r="D500" s="965">
        <v>43520.01</v>
      </c>
      <c r="E500" s="970"/>
      <c r="F500" s="273"/>
    </row>
    <row r="501" spans="1:7" ht="28.5" customHeight="1">
      <c r="A501" s="962">
        <v>7132230089</v>
      </c>
      <c r="B501" s="963" t="s">
        <v>1077</v>
      </c>
      <c r="C501" s="964" t="s">
        <v>33</v>
      </c>
      <c r="D501" s="965">
        <v>90496.15</v>
      </c>
      <c r="E501" s="968" t="s">
        <v>1078</v>
      </c>
      <c r="F501" s="273"/>
    </row>
    <row r="502" spans="1:7" ht="28.5" customHeight="1">
      <c r="A502" s="971">
        <v>7132230185</v>
      </c>
      <c r="B502" s="963" t="s">
        <v>1079</v>
      </c>
      <c r="C502" s="964" t="s">
        <v>33</v>
      </c>
      <c r="D502" s="965">
        <v>13575.31</v>
      </c>
      <c r="E502" s="968" t="s">
        <v>1080</v>
      </c>
      <c r="F502" s="273"/>
    </row>
    <row r="503" spans="1:7" ht="28.5" customHeight="1">
      <c r="A503" s="971">
        <v>7132230188</v>
      </c>
      <c r="B503" s="963" t="s">
        <v>1081</v>
      </c>
      <c r="C503" s="964" t="s">
        <v>33</v>
      </c>
      <c r="D503" s="965">
        <v>13696.09</v>
      </c>
      <c r="E503" s="968" t="s">
        <v>1082</v>
      </c>
      <c r="F503" s="273"/>
    </row>
    <row r="504" spans="1:7" ht="28.5" customHeight="1">
      <c r="A504" s="971">
        <v>7132200005</v>
      </c>
      <c r="B504" s="1015" t="s">
        <v>1629</v>
      </c>
      <c r="C504" s="993" t="s">
        <v>33</v>
      </c>
      <c r="D504" s="965">
        <v>18648.09</v>
      </c>
      <c r="E504" s="968"/>
      <c r="F504" s="273"/>
      <c r="G504" s="328" t="s">
        <v>841</v>
      </c>
    </row>
    <row r="505" spans="1:7" ht="28.5" customHeight="1">
      <c r="A505" s="971">
        <v>7132230263</v>
      </c>
      <c r="B505" s="963" t="s">
        <v>1083</v>
      </c>
      <c r="C505" s="964" t="s">
        <v>33</v>
      </c>
      <c r="D505" s="965">
        <v>17617.29</v>
      </c>
      <c r="E505" s="968" t="s">
        <v>1084</v>
      </c>
      <c r="F505" s="273"/>
    </row>
    <row r="506" spans="1:7" ht="28.5" customHeight="1">
      <c r="A506" s="971">
        <v>7132230265</v>
      </c>
      <c r="B506" s="988" t="s">
        <v>1085</v>
      </c>
      <c r="C506" s="964" t="s">
        <v>33</v>
      </c>
      <c r="D506" s="965">
        <v>17496.509999999998</v>
      </c>
      <c r="E506" s="968" t="s">
        <v>1086</v>
      </c>
      <c r="F506" s="273"/>
      <c r="G506" s="295"/>
    </row>
    <row r="507" spans="1:7" ht="25.5">
      <c r="A507" s="971">
        <v>7132230304</v>
      </c>
      <c r="B507" s="963" t="s">
        <v>1087</v>
      </c>
      <c r="C507" s="964" t="s">
        <v>33</v>
      </c>
      <c r="D507" s="965"/>
      <c r="E507" s="968" t="s">
        <v>1088</v>
      </c>
      <c r="F507" s="273"/>
      <c r="G507" s="284" t="s">
        <v>299</v>
      </c>
    </row>
    <row r="508" spans="1:7" ht="27.75" customHeight="1">
      <c r="A508" s="964">
        <v>7132230330</v>
      </c>
      <c r="B508" s="968" t="s">
        <v>1089</v>
      </c>
      <c r="C508" s="964" t="s">
        <v>68</v>
      </c>
      <c r="D508" s="965">
        <v>641883.84</v>
      </c>
      <c r="E508" s="968" t="s">
        <v>1090</v>
      </c>
      <c r="F508" s="273"/>
    </row>
    <row r="509" spans="1:7" ht="25.5">
      <c r="A509" s="964">
        <v>7132230332</v>
      </c>
      <c r="B509" s="968" t="s">
        <v>1091</v>
      </c>
      <c r="C509" s="964" t="s">
        <v>68</v>
      </c>
      <c r="D509" s="965">
        <v>557622.04</v>
      </c>
      <c r="E509" s="968" t="s">
        <v>1092</v>
      </c>
      <c r="F509" s="273"/>
    </row>
    <row r="510" spans="1:7" ht="25.5">
      <c r="A510" s="964">
        <v>7132230336</v>
      </c>
      <c r="B510" s="968" t="s">
        <v>1093</v>
      </c>
      <c r="C510" s="964" t="s">
        <v>68</v>
      </c>
      <c r="D510" s="965">
        <v>339900.34</v>
      </c>
      <c r="E510" s="968" t="s">
        <v>1094</v>
      </c>
      <c r="F510" s="273"/>
    </row>
    <row r="511" spans="1:7" ht="25.5">
      <c r="A511" s="971">
        <v>7132230394</v>
      </c>
      <c r="B511" s="963" t="s">
        <v>1095</v>
      </c>
      <c r="C511" s="964" t="s">
        <v>33</v>
      </c>
      <c r="D511" s="965"/>
      <c r="E511" s="968" t="s">
        <v>1096</v>
      </c>
      <c r="F511" s="273"/>
      <c r="G511" s="284" t="s">
        <v>299</v>
      </c>
    </row>
    <row r="512" spans="1:7" ht="25.5">
      <c r="A512" s="964">
        <v>7132230395</v>
      </c>
      <c r="B512" s="963" t="s">
        <v>1097</v>
      </c>
      <c r="C512" s="964" t="s">
        <v>33</v>
      </c>
      <c r="D512" s="965">
        <v>37882.47</v>
      </c>
      <c r="E512" s="968" t="s">
        <v>1098</v>
      </c>
      <c r="F512" s="273"/>
    </row>
    <row r="513" spans="1:7" ht="25.5">
      <c r="A513" s="971">
        <v>7132230396</v>
      </c>
      <c r="B513" s="963" t="s">
        <v>1099</v>
      </c>
      <c r="C513" s="964" t="s">
        <v>33</v>
      </c>
      <c r="D513" s="965"/>
      <c r="E513" s="968" t="s">
        <v>1100</v>
      </c>
      <c r="F513" s="273"/>
      <c r="G513" s="284" t="s">
        <v>299</v>
      </c>
    </row>
    <row r="514" spans="1:7" ht="25.5">
      <c r="A514" s="971">
        <v>7132230399</v>
      </c>
      <c r="B514" s="963" t="s">
        <v>1101</v>
      </c>
      <c r="C514" s="964" t="s">
        <v>33</v>
      </c>
      <c r="D514" s="965">
        <v>43516.09</v>
      </c>
      <c r="E514" s="968" t="s">
        <v>1102</v>
      </c>
      <c r="F514" s="273"/>
    </row>
    <row r="515" spans="1:7" ht="25.5">
      <c r="A515" s="971">
        <v>7132230401</v>
      </c>
      <c r="B515" s="963" t="s">
        <v>1103</v>
      </c>
      <c r="C515" s="964" t="s">
        <v>33</v>
      </c>
      <c r="D515" s="965">
        <v>39210.11</v>
      </c>
      <c r="E515" s="968" t="s">
        <v>1104</v>
      </c>
      <c r="F515" s="273"/>
    </row>
    <row r="516" spans="1:7" ht="25.5">
      <c r="A516" s="971">
        <v>7132230406</v>
      </c>
      <c r="B516" s="963" t="s">
        <v>1105</v>
      </c>
      <c r="C516" s="964" t="s">
        <v>33</v>
      </c>
      <c r="D516" s="965"/>
      <c r="E516" s="968" t="s">
        <v>1106</v>
      </c>
      <c r="F516" s="273"/>
      <c r="G516" s="284" t="s">
        <v>299</v>
      </c>
    </row>
    <row r="517" spans="1:7" ht="25.5">
      <c r="A517" s="971">
        <v>7132230412</v>
      </c>
      <c r="B517" s="963" t="s">
        <v>1107</v>
      </c>
      <c r="C517" s="964" t="s">
        <v>33</v>
      </c>
      <c r="D517" s="965">
        <v>43031.06</v>
      </c>
      <c r="E517" s="968" t="s">
        <v>1108</v>
      </c>
      <c r="F517" s="273"/>
    </row>
    <row r="518" spans="1:7" ht="25.5">
      <c r="A518" s="971">
        <v>7132230538</v>
      </c>
      <c r="B518" s="963" t="s">
        <v>1109</v>
      </c>
      <c r="C518" s="964" t="s">
        <v>33</v>
      </c>
      <c r="D518" s="965">
        <v>37910.03</v>
      </c>
      <c r="E518" s="968" t="s">
        <v>1110</v>
      </c>
      <c r="F518" s="295"/>
      <c r="G518" s="295"/>
    </row>
    <row r="519" spans="1:7" ht="20.25" customHeight="1">
      <c r="A519" s="971">
        <v>7132230543</v>
      </c>
      <c r="B519" s="968" t="s">
        <v>1111</v>
      </c>
      <c r="C519" s="964" t="s">
        <v>68</v>
      </c>
      <c r="D519" s="965">
        <v>537789.53</v>
      </c>
      <c r="E519" s="968"/>
      <c r="F519" s="295"/>
      <c r="G519" s="514"/>
    </row>
    <row r="520" spans="1:7" ht="21.75" customHeight="1">
      <c r="A520" s="971">
        <v>7132230544</v>
      </c>
      <c r="B520" s="968" t="s">
        <v>1112</v>
      </c>
      <c r="C520" s="964" t="s">
        <v>68</v>
      </c>
      <c r="D520" s="965">
        <v>467268.92</v>
      </c>
      <c r="E520" s="968"/>
      <c r="F520" s="295"/>
      <c r="G520" s="514"/>
    </row>
    <row r="521" spans="1:7" ht="21" customHeight="1">
      <c r="A521" s="971">
        <v>7132230545</v>
      </c>
      <c r="B521" s="968" t="s">
        <v>1113</v>
      </c>
      <c r="C521" s="964" t="s">
        <v>68</v>
      </c>
      <c r="D521" s="965">
        <v>566406.97</v>
      </c>
      <c r="E521" s="968"/>
      <c r="F521" s="295"/>
      <c r="G521" s="514"/>
    </row>
    <row r="522" spans="1:7" ht="25.5">
      <c r="A522" s="971">
        <v>7132230418</v>
      </c>
      <c r="B522" s="963" t="s">
        <v>1114</v>
      </c>
      <c r="C522" s="964" t="s">
        <v>33</v>
      </c>
      <c r="D522" s="965">
        <v>71726.58</v>
      </c>
      <c r="E522" s="968" t="s">
        <v>1115</v>
      </c>
      <c r="F522" s="273"/>
    </row>
    <row r="523" spans="1:7" ht="25.5">
      <c r="A523" s="971">
        <v>7132230427</v>
      </c>
      <c r="B523" s="963" t="s">
        <v>1116</v>
      </c>
      <c r="C523" s="964" t="s">
        <v>33</v>
      </c>
      <c r="D523" s="965">
        <v>87035.71</v>
      </c>
      <c r="E523" s="968" t="s">
        <v>1117</v>
      </c>
      <c r="F523" s="273"/>
    </row>
    <row r="524" spans="1:7" ht="25.5">
      <c r="A524" s="971">
        <v>7132230447</v>
      </c>
      <c r="B524" s="963" t="s">
        <v>1118</v>
      </c>
      <c r="C524" s="964" t="s">
        <v>33</v>
      </c>
      <c r="D524" s="965"/>
      <c r="E524" s="968" t="s">
        <v>1119</v>
      </c>
      <c r="F524" s="273"/>
      <c r="G524" s="284" t="s">
        <v>299</v>
      </c>
    </row>
    <row r="525" spans="1:7" ht="25.5">
      <c r="A525" s="971">
        <v>7132230448</v>
      </c>
      <c r="B525" s="963" t="s">
        <v>1120</v>
      </c>
      <c r="C525" s="964" t="s">
        <v>33</v>
      </c>
      <c r="D525" s="965">
        <v>75162.61</v>
      </c>
      <c r="E525" s="968" t="s">
        <v>1121</v>
      </c>
      <c r="F525" s="273"/>
    </row>
    <row r="526" spans="1:7" ht="25.5">
      <c r="A526" s="971">
        <v>7132230449</v>
      </c>
      <c r="B526" s="963" t="s">
        <v>1122</v>
      </c>
      <c r="C526" s="964" t="s">
        <v>33</v>
      </c>
      <c r="D526" s="965"/>
      <c r="E526" s="968" t="s">
        <v>1123</v>
      </c>
      <c r="F526" s="273"/>
      <c r="G526" s="284" t="s">
        <v>299</v>
      </c>
    </row>
    <row r="527" spans="1:7" ht="25.5">
      <c r="A527" s="971">
        <v>7132230450</v>
      </c>
      <c r="B527" s="963" t="s">
        <v>1124</v>
      </c>
      <c r="C527" s="964" t="s">
        <v>33</v>
      </c>
      <c r="D527" s="965">
        <v>70267.47</v>
      </c>
      <c r="E527" s="968" t="s">
        <v>1125</v>
      </c>
      <c r="F527" s="273"/>
    </row>
    <row r="528" spans="1:7" ht="27" customHeight="1">
      <c r="A528" s="971">
        <v>7132230453</v>
      </c>
      <c r="B528" s="963" t="s">
        <v>1126</v>
      </c>
      <c r="C528" s="964" t="s">
        <v>33</v>
      </c>
      <c r="D528" s="965">
        <v>67159.44</v>
      </c>
      <c r="E528" s="968" t="s">
        <v>1127</v>
      </c>
      <c r="F528" s="273"/>
    </row>
    <row r="529" spans="1:9" ht="27.75" customHeight="1">
      <c r="A529" s="971">
        <v>7132230455</v>
      </c>
      <c r="B529" s="968" t="s">
        <v>1128</v>
      </c>
      <c r="C529" s="964" t="s">
        <v>33</v>
      </c>
      <c r="D529" s="965">
        <v>66812.039999999994</v>
      </c>
      <c r="E529" s="968" t="s">
        <v>1129</v>
      </c>
      <c r="F529" s="273"/>
    </row>
    <row r="530" spans="1:9" ht="26.25" customHeight="1">
      <c r="A530" s="971">
        <v>7132230458</v>
      </c>
      <c r="B530" s="968" t="s">
        <v>1632</v>
      </c>
      <c r="C530" s="964" t="s">
        <v>33</v>
      </c>
      <c r="D530" s="965">
        <v>65431.45</v>
      </c>
      <c r="E530" s="968" t="s">
        <v>1633</v>
      </c>
      <c r="F530" s="273"/>
      <c r="G530" s="328" t="s">
        <v>841</v>
      </c>
    </row>
    <row r="531" spans="1:9" ht="25.5">
      <c r="A531" s="964">
        <v>7132230457</v>
      </c>
      <c r="B531" s="963" t="s">
        <v>1130</v>
      </c>
      <c r="C531" s="964" t="s">
        <v>33</v>
      </c>
      <c r="D531" s="965">
        <v>89135.32</v>
      </c>
      <c r="E531" s="968" t="s">
        <v>1131</v>
      </c>
      <c r="F531" s="273"/>
    </row>
    <row r="532" spans="1:9" ht="27.75" customHeight="1">
      <c r="A532" s="1020">
        <v>7132230471</v>
      </c>
      <c r="B532" s="988" t="s">
        <v>1132</v>
      </c>
      <c r="C532" s="982" t="s">
        <v>33</v>
      </c>
      <c r="D532" s="965">
        <v>40265.449999999997</v>
      </c>
      <c r="E532" s="968"/>
      <c r="F532" s="273"/>
      <c r="G532" s="242"/>
    </row>
    <row r="533" spans="1:9" ht="20.25" customHeight="1">
      <c r="A533" s="964">
        <v>7132230473</v>
      </c>
      <c r="B533" s="963" t="s">
        <v>1133</v>
      </c>
      <c r="C533" s="964" t="s">
        <v>68</v>
      </c>
      <c r="D533" s="965"/>
      <c r="E533" s="968"/>
      <c r="F533" s="273"/>
      <c r="G533" s="284" t="s">
        <v>299</v>
      </c>
    </row>
    <row r="534" spans="1:9" ht="25.5">
      <c r="A534" s="971">
        <v>7132230056</v>
      </c>
      <c r="B534" s="963" t="s">
        <v>1134</v>
      </c>
      <c r="C534" s="964" t="s">
        <v>33</v>
      </c>
      <c r="D534" s="965">
        <v>10892.11</v>
      </c>
      <c r="E534" s="968" t="s">
        <v>1135</v>
      </c>
      <c r="F534" s="273"/>
      <c r="I534" s="299"/>
    </row>
    <row r="535" spans="1:9" ht="25.5">
      <c r="A535" s="971">
        <v>7132230057</v>
      </c>
      <c r="B535" s="963" t="s">
        <v>1136</v>
      </c>
      <c r="C535" s="964" t="s">
        <v>33</v>
      </c>
      <c r="D535" s="965">
        <v>20431.150000000001</v>
      </c>
      <c r="E535" s="968" t="s">
        <v>1137</v>
      </c>
      <c r="F535" s="273"/>
      <c r="I535" s="299"/>
    </row>
    <row r="536" spans="1:9" ht="25.5">
      <c r="A536" s="964">
        <v>7132230501</v>
      </c>
      <c r="B536" s="989" t="s">
        <v>1138</v>
      </c>
      <c r="C536" s="964" t="s">
        <v>68</v>
      </c>
      <c r="D536" s="965">
        <v>401271.5</v>
      </c>
      <c r="E536" s="968" t="s">
        <v>1139</v>
      </c>
      <c r="F536" s="273"/>
    </row>
    <row r="537" spans="1:9" ht="25.5">
      <c r="A537" s="964">
        <v>7132230511</v>
      </c>
      <c r="B537" s="989" t="s">
        <v>1140</v>
      </c>
      <c r="C537" s="964" t="s">
        <v>68</v>
      </c>
      <c r="D537" s="965">
        <v>737533.13</v>
      </c>
      <c r="E537" s="968" t="s">
        <v>1141</v>
      </c>
      <c r="F537" s="273"/>
    </row>
    <row r="538" spans="1:9" ht="20.25" customHeight="1">
      <c r="A538" s="964">
        <v>7132401672</v>
      </c>
      <c r="B538" s="968" t="s">
        <v>1142</v>
      </c>
      <c r="C538" s="964" t="s">
        <v>68</v>
      </c>
      <c r="D538" s="965">
        <v>6370</v>
      </c>
      <c r="E538" s="968" t="s">
        <v>1143</v>
      </c>
      <c r="F538" s="273"/>
    </row>
    <row r="539" spans="1:9" ht="17.25" customHeight="1">
      <c r="A539" s="967">
        <v>7132404015</v>
      </c>
      <c r="B539" s="968" t="s">
        <v>1144</v>
      </c>
      <c r="C539" s="969" t="s">
        <v>255</v>
      </c>
      <c r="D539" s="965">
        <v>666.3</v>
      </c>
      <c r="E539" s="970" t="s">
        <v>1145</v>
      </c>
      <c r="F539" s="273"/>
    </row>
    <row r="540" spans="1:9" ht="17.25" customHeight="1">
      <c r="A540" s="967">
        <v>7132404016</v>
      </c>
      <c r="B540" s="968" t="s">
        <v>1146</v>
      </c>
      <c r="C540" s="969" t="s">
        <v>255</v>
      </c>
      <c r="D540" s="965">
        <v>155.22</v>
      </c>
      <c r="E540" s="970" t="s">
        <v>1147</v>
      </c>
      <c r="F540" s="273"/>
    </row>
    <row r="541" spans="1:9" ht="18.75" customHeight="1">
      <c r="A541" s="971">
        <v>7132404366</v>
      </c>
      <c r="B541" s="988" t="s">
        <v>1148</v>
      </c>
      <c r="C541" s="964" t="s">
        <v>68</v>
      </c>
      <c r="D541" s="965">
        <v>70801.23</v>
      </c>
      <c r="E541" s="970" t="s">
        <v>1149</v>
      </c>
      <c r="F541" s="273"/>
      <c r="G541" s="302"/>
    </row>
    <row r="542" spans="1:9" ht="31.5" customHeight="1">
      <c r="A542" s="967">
        <v>7132406022</v>
      </c>
      <c r="B542" s="968" t="s">
        <v>1150</v>
      </c>
      <c r="C542" s="969" t="s">
        <v>255</v>
      </c>
      <c r="D542" s="965">
        <v>188.91</v>
      </c>
      <c r="E542" s="968" t="s">
        <v>1151</v>
      </c>
      <c r="F542" s="273"/>
    </row>
    <row r="543" spans="1:9" ht="30" customHeight="1">
      <c r="A543" s="971">
        <v>7132406420</v>
      </c>
      <c r="B543" s="963" t="s">
        <v>1152</v>
      </c>
      <c r="C543" s="964" t="s">
        <v>33</v>
      </c>
      <c r="D543" s="965">
        <v>3292.5</v>
      </c>
      <c r="E543" s="968" t="s">
        <v>1153</v>
      </c>
      <c r="F543" s="273"/>
    </row>
    <row r="544" spans="1:9" ht="28.5" customHeight="1">
      <c r="A544" s="971">
        <v>7132406793</v>
      </c>
      <c r="B544" s="963" t="s">
        <v>1154</v>
      </c>
      <c r="C544" s="964" t="s">
        <v>33</v>
      </c>
      <c r="D544" s="965">
        <v>4118.68</v>
      </c>
      <c r="E544" s="970"/>
      <c r="F544" s="273"/>
      <c r="G544" s="295"/>
    </row>
    <row r="545" spans="1:11" ht="42" customHeight="1">
      <c r="A545" s="1020">
        <v>7132406795</v>
      </c>
      <c r="B545" s="988" t="s">
        <v>1155</v>
      </c>
      <c r="C545" s="993" t="s">
        <v>33</v>
      </c>
      <c r="D545" s="965">
        <v>4889.21</v>
      </c>
      <c r="E545" s="970"/>
      <c r="F545" s="273"/>
      <c r="G545" s="512"/>
    </row>
    <row r="546" spans="1:11" ht="42.75" customHeight="1">
      <c r="A546" s="1020">
        <v>7132406794</v>
      </c>
      <c r="B546" s="988" t="s">
        <v>1156</v>
      </c>
      <c r="C546" s="993" t="s">
        <v>33</v>
      </c>
      <c r="D546" s="965">
        <v>4464.3100000000004</v>
      </c>
      <c r="E546" s="970"/>
      <c r="F546" s="273"/>
      <c r="G546" s="513"/>
    </row>
    <row r="547" spans="1:11" ht="25.5">
      <c r="A547" s="971">
        <v>7132406425</v>
      </c>
      <c r="B547" s="963" t="s">
        <v>1157</v>
      </c>
      <c r="C547" s="964" t="s">
        <v>33</v>
      </c>
      <c r="D547" s="965"/>
      <c r="E547" s="968" t="s">
        <v>1157</v>
      </c>
      <c r="F547" s="273"/>
      <c r="G547" s="284" t="s">
        <v>299</v>
      </c>
    </row>
    <row r="548" spans="1:11" ht="25.5">
      <c r="A548" s="971">
        <v>7132404529</v>
      </c>
      <c r="B548" s="963" t="s">
        <v>1158</v>
      </c>
      <c r="C548" s="964" t="s">
        <v>33</v>
      </c>
      <c r="D548" s="965">
        <v>4194.37</v>
      </c>
      <c r="E548" s="968"/>
      <c r="F548" s="273"/>
      <c r="G548" s="303"/>
    </row>
    <row r="549" spans="1:11" ht="28.5" customHeight="1">
      <c r="A549" s="1020">
        <v>7132406791</v>
      </c>
      <c r="B549" s="988" t="s">
        <v>1628</v>
      </c>
      <c r="C549" s="982" t="s">
        <v>33</v>
      </c>
      <c r="D549" s="965">
        <v>6051.04</v>
      </c>
      <c r="E549" s="968"/>
      <c r="F549" s="273"/>
      <c r="G549" s="300" t="s">
        <v>841</v>
      </c>
    </row>
    <row r="550" spans="1:11" ht="25.5">
      <c r="A550" s="971">
        <v>7132406721</v>
      </c>
      <c r="B550" s="963" t="s">
        <v>1159</v>
      </c>
      <c r="C550" s="964" t="s">
        <v>33</v>
      </c>
      <c r="D550" s="965">
        <v>2679.62</v>
      </c>
      <c r="E550" s="970" t="s">
        <v>1160</v>
      </c>
      <c r="F550" s="274" t="s">
        <v>268</v>
      </c>
      <c r="G550" s="302"/>
    </row>
    <row r="551" spans="1:11" ht="25.5">
      <c r="A551" s="971">
        <v>7132409830</v>
      </c>
      <c r="B551" s="963" t="s">
        <v>1161</v>
      </c>
      <c r="C551" s="964" t="s">
        <v>68</v>
      </c>
      <c r="D551" s="965">
        <v>4500</v>
      </c>
      <c r="E551" s="968" t="s">
        <v>1162</v>
      </c>
      <c r="F551" s="274"/>
      <c r="G551" s="302"/>
    </row>
    <row r="552" spans="1:11" ht="19.5" customHeight="1">
      <c r="A552" s="1001">
        <v>7132411894</v>
      </c>
      <c r="B552" s="968" t="s">
        <v>1163</v>
      </c>
      <c r="C552" s="969" t="s">
        <v>15</v>
      </c>
      <c r="D552" s="965">
        <v>531</v>
      </c>
      <c r="E552" s="968" t="s">
        <v>1164</v>
      </c>
      <c r="F552" s="273"/>
    </row>
    <row r="553" spans="1:11" ht="31.5" customHeight="1">
      <c r="A553" s="1001">
        <v>7132421002</v>
      </c>
      <c r="B553" s="963" t="s">
        <v>1165</v>
      </c>
      <c r="C553" s="964" t="s">
        <v>12</v>
      </c>
      <c r="D553" s="965">
        <v>6265.94</v>
      </c>
      <c r="E553" s="968" t="s">
        <v>1166</v>
      </c>
      <c r="F553" s="273"/>
    </row>
    <row r="554" spans="1:11" ht="17.25" customHeight="1">
      <c r="A554" s="967">
        <v>7132427634</v>
      </c>
      <c r="B554" s="968" t="s">
        <v>1167</v>
      </c>
      <c r="C554" s="969" t="s">
        <v>255</v>
      </c>
      <c r="D554" s="965">
        <v>830.8</v>
      </c>
      <c r="E554" s="970" t="s">
        <v>1168</v>
      </c>
      <c r="F554" s="273"/>
      <c r="G554" s="294" t="s">
        <v>802</v>
      </c>
      <c r="K554" s="227"/>
    </row>
    <row r="555" spans="1:11" ht="17.25" customHeight="1">
      <c r="A555" s="967">
        <v>7132427635</v>
      </c>
      <c r="B555" s="968" t="s">
        <v>1169</v>
      </c>
      <c r="C555" s="969" t="s">
        <v>255</v>
      </c>
      <c r="D555" s="965">
        <v>594.4</v>
      </c>
      <c r="E555" s="970" t="s">
        <v>1170</v>
      </c>
      <c r="F555" s="273"/>
      <c r="G555" s="294" t="s">
        <v>802</v>
      </c>
      <c r="K555" s="227"/>
    </row>
    <row r="556" spans="1:11" ht="17.25" customHeight="1">
      <c r="A556" s="967">
        <v>7132438002</v>
      </c>
      <c r="B556" s="968" t="s">
        <v>1171</v>
      </c>
      <c r="C556" s="969" t="s">
        <v>26</v>
      </c>
      <c r="D556" s="965">
        <v>197.24</v>
      </c>
      <c r="E556" s="970" t="s">
        <v>1172</v>
      </c>
      <c r="F556" s="273"/>
    </row>
    <row r="557" spans="1:11" ht="17.25" customHeight="1">
      <c r="A557" s="964">
        <v>7132444005</v>
      </c>
      <c r="B557" s="968" t="s">
        <v>1173</v>
      </c>
      <c r="C557" s="964" t="s">
        <v>33</v>
      </c>
      <c r="D557" s="965">
        <v>5.75</v>
      </c>
      <c r="E557" s="970" t="s">
        <v>1174</v>
      </c>
      <c r="F557" s="273"/>
    </row>
    <row r="558" spans="1:11" ht="27.75" customHeight="1">
      <c r="A558" s="967">
        <v>7132444007</v>
      </c>
      <c r="B558" s="968" t="s">
        <v>1175</v>
      </c>
      <c r="C558" s="969" t="s">
        <v>1007</v>
      </c>
      <c r="D558" s="965">
        <v>1179.8399999999999</v>
      </c>
      <c r="E558" s="970"/>
      <c r="F558" s="273"/>
    </row>
    <row r="559" spans="1:11" ht="27.75" customHeight="1">
      <c r="A559" s="1001">
        <v>7132448003</v>
      </c>
      <c r="B559" s="963" t="s">
        <v>1176</v>
      </c>
      <c r="C559" s="964" t="s">
        <v>12</v>
      </c>
      <c r="D559" s="965">
        <v>5352.28</v>
      </c>
      <c r="E559" s="968" t="s">
        <v>1177</v>
      </c>
      <c r="F559" s="273"/>
      <c r="I559" s="299"/>
    </row>
    <row r="560" spans="1:11" ht="54" customHeight="1">
      <c r="A560" s="967">
        <v>7132455002</v>
      </c>
      <c r="B560" s="968" t="s">
        <v>1178</v>
      </c>
      <c r="C560" s="969" t="s">
        <v>255</v>
      </c>
      <c r="D560" s="965">
        <v>395.13</v>
      </c>
      <c r="E560" s="970"/>
      <c r="F560" s="273"/>
    </row>
    <row r="561" spans="1:11" ht="28.5" customHeight="1">
      <c r="A561" s="971">
        <v>7132457798</v>
      </c>
      <c r="B561" s="963" t="s">
        <v>1179</v>
      </c>
      <c r="C561" s="964" t="s">
        <v>1180</v>
      </c>
      <c r="D561" s="965">
        <v>113370.62</v>
      </c>
      <c r="E561" s="968" t="s">
        <v>1181</v>
      </c>
      <c r="F561" s="273"/>
    </row>
    <row r="562" spans="1:11" ht="28.5" customHeight="1">
      <c r="A562" s="971">
        <v>7132457798</v>
      </c>
      <c r="B562" s="963" t="s">
        <v>1182</v>
      </c>
      <c r="C562" s="964" t="s">
        <v>1180</v>
      </c>
      <c r="D562" s="965">
        <v>104733.02</v>
      </c>
      <c r="E562" s="968" t="s">
        <v>1181</v>
      </c>
      <c r="F562" s="273"/>
    </row>
    <row r="563" spans="1:11" ht="28.5" customHeight="1">
      <c r="A563" s="1020">
        <v>7132494004</v>
      </c>
      <c r="B563" s="988" t="s">
        <v>1363</v>
      </c>
      <c r="C563" s="982" t="s">
        <v>1364</v>
      </c>
      <c r="D563" s="965">
        <v>469999.99440000003</v>
      </c>
      <c r="E563" s="968" t="s">
        <v>1365</v>
      </c>
      <c r="F563" s="273"/>
      <c r="G563" s="300" t="s">
        <v>841</v>
      </c>
    </row>
    <row r="564" spans="1:11" ht="25.5">
      <c r="A564" s="962">
        <v>7132459005</v>
      </c>
      <c r="B564" s="968" t="s">
        <v>1183</v>
      </c>
      <c r="C564" s="964" t="s">
        <v>33</v>
      </c>
      <c r="D564" s="965">
        <v>7.04</v>
      </c>
      <c r="E564" s="968" t="s">
        <v>1184</v>
      </c>
      <c r="F564" s="273"/>
    </row>
    <row r="565" spans="1:11" ht="20.25" customHeight="1">
      <c r="A565" s="967">
        <v>7132461004</v>
      </c>
      <c r="B565" s="996" t="s">
        <v>1185</v>
      </c>
      <c r="C565" s="995" t="s">
        <v>190</v>
      </c>
      <c r="D565" s="965">
        <v>1449.18</v>
      </c>
      <c r="E565" s="970" t="s">
        <v>1186</v>
      </c>
      <c r="F565" s="273"/>
    </row>
    <row r="566" spans="1:11" ht="25.5">
      <c r="A566" s="967">
        <v>7132461005</v>
      </c>
      <c r="B566" s="996" t="s">
        <v>1187</v>
      </c>
      <c r="C566" s="995" t="s">
        <v>255</v>
      </c>
      <c r="D566" s="965">
        <v>535.1</v>
      </c>
      <c r="E566" s="968" t="s">
        <v>1188</v>
      </c>
      <c r="F566" s="273"/>
    </row>
    <row r="567" spans="1:11" ht="27" customHeight="1">
      <c r="A567" s="971">
        <v>7132468558</v>
      </c>
      <c r="B567" s="963" t="s">
        <v>1189</v>
      </c>
      <c r="C567" s="964" t="s">
        <v>33</v>
      </c>
      <c r="D567" s="965">
        <v>13992.98</v>
      </c>
      <c r="E567" s="968" t="s">
        <v>1190</v>
      </c>
      <c r="F567" s="273"/>
    </row>
    <row r="568" spans="1:11" ht="17.25" customHeight="1">
      <c r="A568" s="967">
        <v>7132475019</v>
      </c>
      <c r="B568" s="968" t="s">
        <v>1191</v>
      </c>
      <c r="C568" s="969" t="s">
        <v>1007</v>
      </c>
      <c r="D568" s="965">
        <v>375.5</v>
      </c>
      <c r="E568" s="68"/>
      <c r="F568" s="304"/>
    </row>
    <row r="569" spans="1:11" ht="29.25" customHeight="1">
      <c r="A569" s="967">
        <v>7132475019</v>
      </c>
      <c r="B569" s="968" t="s">
        <v>1192</v>
      </c>
      <c r="C569" s="969" t="s">
        <v>1193</v>
      </c>
      <c r="D569" s="965">
        <v>153.6</v>
      </c>
      <c r="E569" s="68"/>
      <c r="F569" s="305"/>
      <c r="G569" s="294" t="s">
        <v>802</v>
      </c>
    </row>
    <row r="570" spans="1:11" ht="25.5">
      <c r="A570" s="967">
        <v>7132476007</v>
      </c>
      <c r="B570" s="968" t="s">
        <v>1194</v>
      </c>
      <c r="C570" s="969" t="s">
        <v>1193</v>
      </c>
      <c r="D570" s="965">
        <v>17.59</v>
      </c>
      <c r="E570" s="968" t="s">
        <v>1195</v>
      </c>
      <c r="F570" s="273"/>
      <c r="G570" s="294" t="s">
        <v>802</v>
      </c>
      <c r="K570" s="227"/>
    </row>
    <row r="571" spans="1:11" ht="25.5">
      <c r="A571" s="967">
        <v>7132476008</v>
      </c>
      <c r="B571" s="968" t="s">
        <v>1196</v>
      </c>
      <c r="C571" s="969" t="s">
        <v>1193</v>
      </c>
      <c r="D571" s="965">
        <v>83.25</v>
      </c>
      <c r="E571" s="970"/>
      <c r="F571" s="273"/>
      <c r="G571" s="294" t="s">
        <v>802</v>
      </c>
      <c r="K571" s="227"/>
    </row>
    <row r="572" spans="1:11" ht="26.25" customHeight="1">
      <c r="A572" s="1001">
        <v>7132478004</v>
      </c>
      <c r="B572" s="968" t="s">
        <v>1197</v>
      </c>
      <c r="C572" s="969" t="s">
        <v>255</v>
      </c>
      <c r="D572" s="965">
        <v>1706.14</v>
      </c>
      <c r="E572" s="968" t="s">
        <v>1198</v>
      </c>
      <c r="F572" s="273"/>
    </row>
    <row r="573" spans="1:11" ht="17.25" customHeight="1">
      <c r="A573" s="967">
        <v>7132478011</v>
      </c>
      <c r="B573" s="968" t="s">
        <v>1199</v>
      </c>
      <c r="C573" s="969" t="s">
        <v>255</v>
      </c>
      <c r="D573" s="965">
        <v>702.63</v>
      </c>
      <c r="E573" s="970" t="s">
        <v>1200</v>
      </c>
      <c r="F573" s="273"/>
    </row>
    <row r="574" spans="1:11" ht="17.25" customHeight="1">
      <c r="A574" s="967">
        <v>7132478012</v>
      </c>
      <c r="B574" s="968" t="s">
        <v>1201</v>
      </c>
      <c r="C574" s="969" t="s">
        <v>255</v>
      </c>
      <c r="D574" s="965">
        <v>460.66</v>
      </c>
      <c r="E574" s="970" t="s">
        <v>1202</v>
      </c>
      <c r="F574" s="273"/>
    </row>
    <row r="575" spans="1:11" ht="17.25" customHeight="1">
      <c r="A575" s="967">
        <v>7132478012</v>
      </c>
      <c r="B575" s="968" t="s">
        <v>1203</v>
      </c>
      <c r="C575" s="969" t="s">
        <v>26</v>
      </c>
      <c r="D575" s="965">
        <v>100.3</v>
      </c>
      <c r="E575" s="966"/>
      <c r="F575" s="273"/>
      <c r="G575" s="294" t="s">
        <v>802</v>
      </c>
      <c r="J575" s="45"/>
    </row>
    <row r="576" spans="1:11" ht="28.5" customHeight="1">
      <c r="A576" s="1001">
        <v>7132490006</v>
      </c>
      <c r="B576" s="968" t="s">
        <v>1204</v>
      </c>
      <c r="C576" s="964" t="s">
        <v>12</v>
      </c>
      <c r="D576" s="965">
        <v>5603.44</v>
      </c>
      <c r="E576" s="970" t="s">
        <v>1205</v>
      </c>
      <c r="J576" s="45"/>
    </row>
    <row r="577" spans="1:11" ht="18.75" customHeight="1">
      <c r="A577" s="967">
        <v>7132490052</v>
      </c>
      <c r="B577" s="968" t="s">
        <v>1206</v>
      </c>
      <c r="C577" s="969" t="s">
        <v>26</v>
      </c>
      <c r="D577" s="965">
        <v>72.099999999999994</v>
      </c>
      <c r="E577" s="970"/>
      <c r="F577" s="273"/>
      <c r="G577" s="294" t="s">
        <v>802</v>
      </c>
      <c r="J577" s="45"/>
      <c r="K577" s="227"/>
    </row>
    <row r="578" spans="1:11" ht="18.75" customHeight="1">
      <c r="A578" s="967">
        <v>7132490053</v>
      </c>
      <c r="B578" s="968" t="s">
        <v>1207</v>
      </c>
      <c r="C578" s="969" t="s">
        <v>26</v>
      </c>
      <c r="D578" s="965">
        <v>129.78</v>
      </c>
      <c r="E578" s="970"/>
      <c r="F578" s="273"/>
      <c r="J578" s="45"/>
    </row>
    <row r="579" spans="1:11" ht="18.75" customHeight="1">
      <c r="A579" s="967">
        <v>7132498006</v>
      </c>
      <c r="B579" s="968" t="s">
        <v>1208</v>
      </c>
      <c r="C579" s="969" t="s">
        <v>76</v>
      </c>
      <c r="D579" s="965">
        <v>714</v>
      </c>
      <c r="E579" s="970" t="s">
        <v>1209</v>
      </c>
      <c r="F579" s="273"/>
      <c r="J579" s="45"/>
    </row>
    <row r="580" spans="1:11" ht="27.75" customHeight="1">
      <c r="A580" s="995">
        <v>7130310027</v>
      </c>
      <c r="B580" s="996" t="s">
        <v>1210</v>
      </c>
      <c r="C580" s="964" t="s">
        <v>190</v>
      </c>
      <c r="D580" s="965">
        <v>315.25</v>
      </c>
      <c r="E580" s="968" t="s">
        <v>1211</v>
      </c>
      <c r="F580" s="273"/>
      <c r="G580" s="295"/>
      <c r="H580" s="279"/>
      <c r="J580" s="45"/>
    </row>
    <row r="581" spans="1:11" ht="29.25" customHeight="1">
      <c r="A581" s="995">
        <v>7130310029</v>
      </c>
      <c r="B581" s="996" t="s">
        <v>1212</v>
      </c>
      <c r="C581" s="964" t="s">
        <v>190</v>
      </c>
      <c r="D581" s="965">
        <v>350.77</v>
      </c>
      <c r="E581" s="968" t="s">
        <v>1213</v>
      </c>
      <c r="F581" s="273"/>
      <c r="G581" s="295"/>
      <c r="H581" s="279"/>
      <c r="J581" s="45"/>
    </row>
    <row r="582" spans="1:11" ht="28.5" customHeight="1">
      <c r="A582" s="995">
        <v>7130310002</v>
      </c>
      <c r="B582" s="996" t="s">
        <v>1214</v>
      </c>
      <c r="C582" s="964" t="s">
        <v>190</v>
      </c>
      <c r="D582" s="965">
        <v>389.66</v>
      </c>
      <c r="E582" s="968" t="s">
        <v>1215</v>
      </c>
      <c r="F582" s="522" t="s">
        <v>1658</v>
      </c>
      <c r="G582" s="506" t="s">
        <v>1659</v>
      </c>
      <c r="H582" s="279"/>
      <c r="J582" s="45"/>
    </row>
    <row r="583" spans="1:11" ht="27.75" customHeight="1">
      <c r="A583" s="995">
        <v>7130310047</v>
      </c>
      <c r="B583" s="996" t="s">
        <v>1216</v>
      </c>
      <c r="C583" s="964" t="s">
        <v>190</v>
      </c>
      <c r="D583" s="965">
        <v>640.36</v>
      </c>
      <c r="E583" s="968" t="s">
        <v>1217</v>
      </c>
      <c r="F583" s="273"/>
      <c r="G583" s="295"/>
      <c r="H583" s="279"/>
    </row>
    <row r="584" spans="1:11" ht="28.5" customHeight="1">
      <c r="A584" s="995">
        <v>7130310048</v>
      </c>
      <c r="B584" s="996" t="s">
        <v>1218</v>
      </c>
      <c r="C584" s="964" t="s">
        <v>190</v>
      </c>
      <c r="D584" s="965">
        <v>762.55</v>
      </c>
      <c r="E584" s="968" t="s">
        <v>1219</v>
      </c>
      <c r="F584" s="273"/>
      <c r="G584" s="295"/>
      <c r="H584" s="279"/>
      <c r="J584" s="45"/>
    </row>
    <row r="585" spans="1:11" ht="27.75" customHeight="1">
      <c r="A585" s="995">
        <v>7130310045</v>
      </c>
      <c r="B585" s="996" t="s">
        <v>1220</v>
      </c>
      <c r="C585" s="964" t="s">
        <v>190</v>
      </c>
      <c r="D585" s="965">
        <v>474.03</v>
      </c>
      <c r="E585" s="968" t="s">
        <v>1221</v>
      </c>
      <c r="F585" s="273"/>
      <c r="G585" s="295"/>
      <c r="H585" s="279"/>
      <c r="J585" s="45"/>
    </row>
    <row r="586" spans="1:11" ht="28.5" customHeight="1">
      <c r="A586" s="995">
        <v>7130310046</v>
      </c>
      <c r="B586" s="996" t="s">
        <v>1222</v>
      </c>
      <c r="C586" s="964" t="s">
        <v>190</v>
      </c>
      <c r="D586" s="965">
        <v>518.15</v>
      </c>
      <c r="E586" s="968" t="s">
        <v>1223</v>
      </c>
      <c r="F586" s="273"/>
      <c r="G586" s="295"/>
      <c r="H586" s="279"/>
    </row>
    <row r="587" spans="1:11" ht="28.5" customHeight="1">
      <c r="A587" s="995"/>
      <c r="B587" s="1025" t="s">
        <v>1370</v>
      </c>
      <c r="C587" s="964"/>
      <c r="D587" s="965"/>
      <c r="E587" s="968"/>
      <c r="F587" s="273"/>
      <c r="G587" s="295"/>
      <c r="H587" s="279"/>
    </row>
    <row r="588" spans="1:11" ht="27.75" customHeight="1">
      <c r="A588" s="995">
        <v>7130320050</v>
      </c>
      <c r="B588" s="1026" t="s">
        <v>1378</v>
      </c>
      <c r="C588" s="981" t="s">
        <v>12</v>
      </c>
      <c r="D588" s="965">
        <v>1475</v>
      </c>
      <c r="E588" s="1026" t="s">
        <v>1387</v>
      </c>
      <c r="F588" s="273"/>
      <c r="G588" s="340" t="s">
        <v>1400</v>
      </c>
      <c r="H588" s="279"/>
    </row>
    <row r="589" spans="1:11" ht="26.25" customHeight="1">
      <c r="A589" s="995">
        <v>7130320051</v>
      </c>
      <c r="B589" s="1027" t="s">
        <v>1379</v>
      </c>
      <c r="C589" s="981" t="s">
        <v>12</v>
      </c>
      <c r="D589" s="965">
        <v>826</v>
      </c>
      <c r="E589" s="1027" t="s">
        <v>1371</v>
      </c>
      <c r="F589" s="273"/>
      <c r="G589" s="340" t="s">
        <v>1400</v>
      </c>
      <c r="H589" s="279"/>
    </row>
    <row r="590" spans="1:11" ht="27.75" customHeight="1">
      <c r="A590" s="995">
        <v>7130320052</v>
      </c>
      <c r="B590" s="1026" t="s">
        <v>1380</v>
      </c>
      <c r="C590" s="981" t="s">
        <v>12</v>
      </c>
      <c r="D590" s="965">
        <v>1604.8</v>
      </c>
      <c r="E590" s="1026" t="s">
        <v>1372</v>
      </c>
      <c r="F590" s="273"/>
      <c r="G590" s="340" t="s">
        <v>1400</v>
      </c>
      <c r="H590" s="279"/>
    </row>
    <row r="591" spans="1:11" ht="28.5" customHeight="1">
      <c r="A591" s="995">
        <v>7130320054</v>
      </c>
      <c r="B591" s="1026" t="s">
        <v>1381</v>
      </c>
      <c r="C591" s="981" t="s">
        <v>12</v>
      </c>
      <c r="D591" s="965">
        <v>1593</v>
      </c>
      <c r="E591" s="1026" t="s">
        <v>1373</v>
      </c>
      <c r="F591" s="273"/>
      <c r="G591" s="340" t="s">
        <v>1400</v>
      </c>
      <c r="H591" s="279"/>
    </row>
    <row r="592" spans="1:11" ht="27.75" customHeight="1">
      <c r="A592" s="995">
        <v>7130320055</v>
      </c>
      <c r="B592" s="1026" t="s">
        <v>1382</v>
      </c>
      <c r="C592" s="981" t="s">
        <v>12</v>
      </c>
      <c r="D592" s="965">
        <v>3304</v>
      </c>
      <c r="E592" s="1026" t="s">
        <v>1374</v>
      </c>
      <c r="F592" s="273"/>
      <c r="G592" s="340" t="s">
        <v>1400</v>
      </c>
      <c r="H592" s="279"/>
    </row>
    <row r="593" spans="1:9" ht="27" customHeight="1">
      <c r="A593" s="995">
        <v>7130320056</v>
      </c>
      <c r="B593" s="1026" t="s">
        <v>1383</v>
      </c>
      <c r="C593" s="981" t="s">
        <v>12</v>
      </c>
      <c r="D593" s="965">
        <v>3540</v>
      </c>
      <c r="E593" s="1026" t="s">
        <v>1375</v>
      </c>
      <c r="F593" s="273"/>
      <c r="G593" s="340" t="s">
        <v>1400</v>
      </c>
      <c r="H593" s="279"/>
    </row>
    <row r="594" spans="1:9" ht="27.75" customHeight="1">
      <c r="A594" s="995">
        <v>7130320057</v>
      </c>
      <c r="B594" s="1026" t="s">
        <v>1384</v>
      </c>
      <c r="C594" s="981" t="s">
        <v>12</v>
      </c>
      <c r="D594" s="965">
        <v>4010.8199999999997</v>
      </c>
      <c r="E594" s="1026" t="s">
        <v>1376</v>
      </c>
      <c r="F594" s="273"/>
      <c r="G594" s="340" t="s">
        <v>1400</v>
      </c>
      <c r="H594" s="279"/>
    </row>
    <row r="595" spans="1:9" ht="27" customHeight="1">
      <c r="A595" s="995">
        <v>7130320058</v>
      </c>
      <c r="B595" s="1026" t="s">
        <v>1385</v>
      </c>
      <c r="C595" s="981" t="s">
        <v>12</v>
      </c>
      <c r="D595" s="965">
        <v>96.76</v>
      </c>
      <c r="E595" s="1026" t="s">
        <v>1377</v>
      </c>
      <c r="F595" s="273"/>
      <c r="G595" s="340" t="s">
        <v>1400</v>
      </c>
      <c r="H595" s="279"/>
    </row>
    <row r="596" spans="1:9" ht="28.5" customHeight="1">
      <c r="A596" s="995">
        <v>7130320059</v>
      </c>
      <c r="B596" s="1026" t="s">
        <v>1386</v>
      </c>
      <c r="C596" s="981" t="s">
        <v>12</v>
      </c>
      <c r="D596" s="965">
        <v>1144.5999999999999</v>
      </c>
      <c r="E596" s="1026" t="s">
        <v>1388</v>
      </c>
      <c r="F596" s="273"/>
      <c r="G596" s="340" t="s">
        <v>1400</v>
      </c>
      <c r="H596" s="279"/>
    </row>
    <row r="597" spans="1:9" ht="25.5" customHeight="1">
      <c r="A597" s="1001">
        <v>7130310025</v>
      </c>
      <c r="B597" s="968" t="s">
        <v>1224</v>
      </c>
      <c r="C597" s="964" t="s">
        <v>147</v>
      </c>
      <c r="D597" s="965">
        <v>19913.86</v>
      </c>
      <c r="E597" s="968" t="s">
        <v>1224</v>
      </c>
      <c r="F597" s="274" t="s">
        <v>268</v>
      </c>
      <c r="H597" s="306"/>
      <c r="I597" s="306"/>
    </row>
    <row r="598" spans="1:9" ht="25.5">
      <c r="A598" s="1001">
        <v>7130310026</v>
      </c>
      <c r="B598" s="968" t="s">
        <v>1225</v>
      </c>
      <c r="C598" s="964" t="s">
        <v>147</v>
      </c>
      <c r="D598" s="965">
        <v>30607.22</v>
      </c>
      <c r="E598" s="968" t="s">
        <v>1225</v>
      </c>
      <c r="F598" s="274" t="s">
        <v>268</v>
      </c>
      <c r="H598" s="271"/>
    </row>
    <row r="599" spans="1:9" ht="25.5">
      <c r="A599" s="1001">
        <v>7130310034</v>
      </c>
      <c r="B599" s="968" t="s">
        <v>1226</v>
      </c>
      <c r="C599" s="964" t="s">
        <v>147</v>
      </c>
      <c r="D599" s="965">
        <v>192781.31</v>
      </c>
      <c r="E599" s="968" t="s">
        <v>1226</v>
      </c>
      <c r="F599" s="274" t="s">
        <v>268</v>
      </c>
    </row>
    <row r="600" spans="1:9" ht="25.5">
      <c r="A600" s="1001">
        <v>7130310035</v>
      </c>
      <c r="B600" s="968" t="s">
        <v>1227</v>
      </c>
      <c r="C600" s="964" t="s">
        <v>147</v>
      </c>
      <c r="D600" s="965">
        <v>248989.27</v>
      </c>
      <c r="E600" s="968" t="s">
        <v>1227</v>
      </c>
      <c r="F600" s="274" t="s">
        <v>268</v>
      </c>
    </row>
    <row r="601" spans="1:9" ht="17.25" customHeight="1">
      <c r="A601" s="1001">
        <v>7131310168</v>
      </c>
      <c r="B601" s="968" t="s">
        <v>1228</v>
      </c>
      <c r="C601" s="964" t="s">
        <v>33</v>
      </c>
      <c r="D601" s="965">
        <v>12427</v>
      </c>
      <c r="E601" s="1001"/>
      <c r="F601" s="307"/>
    </row>
    <row r="602" spans="1:9" ht="36.75" customHeight="1">
      <c r="A602" s="1001"/>
      <c r="B602" s="968" t="s">
        <v>1229</v>
      </c>
      <c r="C602" s="964"/>
      <c r="D602" s="965"/>
      <c r="E602" s="1001"/>
      <c r="F602" s="307"/>
    </row>
    <row r="603" spans="1:9" ht="18.75" customHeight="1">
      <c r="A603" s="1001">
        <v>7132230410</v>
      </c>
      <c r="B603" s="968" t="s">
        <v>1631</v>
      </c>
      <c r="C603" s="964" t="s">
        <v>33</v>
      </c>
      <c r="D603" s="965">
        <v>33682.730000000003</v>
      </c>
      <c r="E603" s="1001"/>
      <c r="F603" s="307"/>
      <c r="G603" s="308" t="s">
        <v>1230</v>
      </c>
    </row>
    <row r="604" spans="1:9" ht="18.75" customHeight="1">
      <c r="A604" s="1001">
        <v>7132230403</v>
      </c>
      <c r="B604" s="968" t="s">
        <v>1630</v>
      </c>
      <c r="C604" s="964" t="s">
        <v>33</v>
      </c>
      <c r="D604" s="965">
        <v>36369.17</v>
      </c>
      <c r="E604" s="1001"/>
      <c r="F604" s="307"/>
      <c r="G604" s="515"/>
    </row>
    <row r="605" spans="1:9" ht="27" customHeight="1">
      <c r="A605" s="1001">
        <v>7131900012</v>
      </c>
      <c r="B605" s="968" t="s">
        <v>1231</v>
      </c>
      <c r="C605" s="964" t="s">
        <v>33</v>
      </c>
      <c r="D605" s="965">
        <v>40194.339999999997</v>
      </c>
      <c r="E605" s="1001"/>
      <c r="F605" s="307"/>
      <c r="G605" s="521"/>
    </row>
    <row r="606" spans="1:9" ht="27" customHeight="1">
      <c r="A606" s="1001">
        <v>7131900014</v>
      </c>
      <c r="B606" s="968" t="s">
        <v>1232</v>
      </c>
      <c r="C606" s="964" t="s">
        <v>33</v>
      </c>
      <c r="D606" s="965">
        <v>11800</v>
      </c>
      <c r="E606" s="1001"/>
      <c r="F606" s="307"/>
      <c r="G606" s="521"/>
    </row>
    <row r="607" spans="1:9" ht="25.5">
      <c r="A607" s="1001">
        <v>7131960919</v>
      </c>
      <c r="B607" s="968" t="s">
        <v>1233</v>
      </c>
      <c r="C607" s="964" t="s">
        <v>33</v>
      </c>
      <c r="D607" s="965">
        <v>39481.129999999997</v>
      </c>
      <c r="E607" s="1001"/>
      <c r="F607" s="307"/>
    </row>
    <row r="608" spans="1:9" ht="18" customHeight="1">
      <c r="A608" s="1028">
        <v>7130870040</v>
      </c>
      <c r="B608" s="1029" t="s">
        <v>1234</v>
      </c>
      <c r="C608" s="975" t="s">
        <v>26</v>
      </c>
      <c r="D608" s="1023">
        <v>101.05</v>
      </c>
      <c r="E608" s="1001"/>
      <c r="F608" s="307"/>
    </row>
    <row r="609" spans="1:7" ht="18" customHeight="1">
      <c r="A609" s="1028">
        <v>7130640039</v>
      </c>
      <c r="B609" s="1030" t="s">
        <v>1235</v>
      </c>
      <c r="C609" s="975" t="s">
        <v>26</v>
      </c>
      <c r="D609" s="1023">
        <v>48.22</v>
      </c>
      <c r="E609" s="1030" t="s">
        <v>1236</v>
      </c>
      <c r="F609" s="307"/>
      <c r="G609" s="282"/>
    </row>
    <row r="610" spans="1:7" ht="18" customHeight="1">
      <c r="A610" s="1022">
        <v>7132444005</v>
      </c>
      <c r="B610" s="977" t="s">
        <v>1237</v>
      </c>
      <c r="C610" s="1031" t="s">
        <v>12</v>
      </c>
      <c r="D610" s="1023">
        <v>10.82</v>
      </c>
      <c r="E610" s="1001"/>
      <c r="F610" s="307"/>
    </row>
    <row r="611" spans="1:7" ht="16.5" customHeight="1">
      <c r="A611" s="1022">
        <v>7130820013</v>
      </c>
      <c r="B611" s="977" t="s">
        <v>1238</v>
      </c>
      <c r="C611" s="1031" t="s">
        <v>12</v>
      </c>
      <c r="D611" s="1023">
        <v>216.4</v>
      </c>
      <c r="E611" s="1001"/>
      <c r="F611" s="307"/>
      <c r="G611" s="279"/>
    </row>
    <row r="612" spans="1:7" ht="18" customHeight="1">
      <c r="A612" s="1001">
        <v>7131930110</v>
      </c>
      <c r="B612" s="1032" t="s">
        <v>1239</v>
      </c>
      <c r="C612" s="964" t="s">
        <v>33</v>
      </c>
      <c r="D612" s="965">
        <v>1609.44</v>
      </c>
      <c r="E612" s="1001"/>
      <c r="F612" s="307"/>
      <c r="G612" s="309"/>
    </row>
    <row r="613" spans="1:7" ht="18" customHeight="1">
      <c r="A613" s="1001">
        <v>7131930111</v>
      </c>
      <c r="B613" s="1032" t="s">
        <v>1240</v>
      </c>
      <c r="C613" s="964" t="s">
        <v>33</v>
      </c>
      <c r="D613" s="965">
        <v>2303.35</v>
      </c>
      <c r="E613" s="1001"/>
      <c r="F613" s="307"/>
      <c r="G613" s="309"/>
    </row>
    <row r="614" spans="1:7" ht="18" customHeight="1">
      <c r="A614" s="1001">
        <v>7130800001</v>
      </c>
      <c r="B614" s="1032" t="s">
        <v>1241</v>
      </c>
      <c r="C614" s="1001" t="s">
        <v>33</v>
      </c>
      <c r="D614" s="965">
        <v>3096.2</v>
      </c>
      <c r="E614" s="1001"/>
      <c r="F614" s="307"/>
      <c r="G614" s="270" t="s">
        <v>47</v>
      </c>
    </row>
    <row r="615" spans="1:7" ht="18" customHeight="1">
      <c r="A615" s="1001">
        <v>7130800002</v>
      </c>
      <c r="B615" s="1032" t="s">
        <v>1242</v>
      </c>
      <c r="C615" s="1001" t="s">
        <v>33</v>
      </c>
      <c r="D615" s="965">
        <v>7656.89</v>
      </c>
      <c r="E615" s="1001"/>
      <c r="F615" s="307"/>
      <c r="G615" s="270" t="s">
        <v>47</v>
      </c>
    </row>
    <row r="616" spans="1:7" ht="18" customHeight="1">
      <c r="A616" s="1028">
        <v>7130820001</v>
      </c>
      <c r="B616" s="1029" t="s">
        <v>1243</v>
      </c>
      <c r="C616" s="1022" t="s">
        <v>255</v>
      </c>
      <c r="D616" s="1023">
        <v>284.27999999999997</v>
      </c>
      <c r="E616" s="1028"/>
      <c r="F616" s="310"/>
      <c r="G616" s="309"/>
    </row>
    <row r="617" spans="1:7" ht="18" customHeight="1">
      <c r="A617" s="1028">
        <v>7130820002</v>
      </c>
      <c r="B617" s="1029" t="s">
        <v>1244</v>
      </c>
      <c r="C617" s="1022" t="s">
        <v>255</v>
      </c>
      <c r="D617" s="1023">
        <v>733.96</v>
      </c>
      <c r="E617" s="1028"/>
      <c r="F617" s="310"/>
      <c r="G617" s="309"/>
    </row>
    <row r="618" spans="1:7" ht="27.75" customHeight="1">
      <c r="A618" s="967">
        <v>7130820010</v>
      </c>
      <c r="B618" s="988" t="s">
        <v>1245</v>
      </c>
      <c r="C618" s="982" t="s">
        <v>255</v>
      </c>
      <c r="D618" s="965">
        <v>118.97</v>
      </c>
      <c r="E618" s="968"/>
      <c r="F618" s="273"/>
      <c r="G618" s="279"/>
    </row>
    <row r="619" spans="1:7" ht="28.5" customHeight="1">
      <c r="A619" s="1001">
        <v>7131930220</v>
      </c>
      <c r="B619" s="968" t="s">
        <v>1246</v>
      </c>
      <c r="C619" s="964" t="s">
        <v>33</v>
      </c>
      <c r="D619" s="965">
        <v>8991.89</v>
      </c>
      <c r="E619" s="1001"/>
      <c r="F619" s="307"/>
      <c r="G619" s="325"/>
    </row>
    <row r="620" spans="1:7" ht="28.5" customHeight="1">
      <c r="A620" s="1001">
        <v>7131930320</v>
      </c>
      <c r="B620" s="968" t="s">
        <v>1247</v>
      </c>
      <c r="C620" s="964" t="s">
        <v>33</v>
      </c>
      <c r="D620" s="965">
        <v>14411.18</v>
      </c>
      <c r="E620" s="1001"/>
      <c r="F620" s="307"/>
      <c r="G620" s="325"/>
    </row>
    <row r="621" spans="1:7" ht="19.5" customHeight="1">
      <c r="A621" s="1001">
        <v>7130800033</v>
      </c>
      <c r="B621" s="968" t="s">
        <v>1248</v>
      </c>
      <c r="C621" s="995" t="s">
        <v>12</v>
      </c>
      <c r="D621" s="965">
        <v>2596.21</v>
      </c>
      <c r="E621" s="1001"/>
      <c r="F621" s="307"/>
      <c r="G621" s="270" t="s">
        <v>47</v>
      </c>
    </row>
    <row r="622" spans="1:7" ht="28.5" customHeight="1">
      <c r="A622" s="971">
        <v>7130311023</v>
      </c>
      <c r="B622" s="968" t="s">
        <v>1249</v>
      </c>
      <c r="C622" s="964" t="s">
        <v>286</v>
      </c>
      <c r="D622" s="965">
        <v>29.03</v>
      </c>
      <c r="E622" s="968" t="s">
        <v>1250</v>
      </c>
      <c r="F622" s="289"/>
      <c r="G622" s="309"/>
    </row>
    <row r="623" spans="1:7" ht="28.5" customHeight="1">
      <c r="A623" s="971">
        <v>7130311024</v>
      </c>
      <c r="B623" s="968" t="s">
        <v>1251</v>
      </c>
      <c r="C623" s="964" t="s">
        <v>286</v>
      </c>
      <c r="D623" s="965">
        <v>34.840000000000003</v>
      </c>
      <c r="E623" s="968" t="s">
        <v>1252</v>
      </c>
      <c r="F623" s="289"/>
      <c r="G623" s="309"/>
    </row>
    <row r="624" spans="1:7" ht="28.5" customHeight="1">
      <c r="A624" s="971">
        <v>7130311025</v>
      </c>
      <c r="B624" s="968" t="s">
        <v>1253</v>
      </c>
      <c r="C624" s="964" t="s">
        <v>286</v>
      </c>
      <c r="D624" s="965">
        <v>50.8</v>
      </c>
      <c r="E624" s="968" t="s">
        <v>1254</v>
      </c>
      <c r="F624" s="289"/>
      <c r="G624" s="309"/>
    </row>
    <row r="625" spans="1:7" ht="28.5" customHeight="1">
      <c r="A625" s="964">
        <v>7130311026</v>
      </c>
      <c r="B625" s="968" t="s">
        <v>1255</v>
      </c>
      <c r="C625" s="964" t="s">
        <v>286</v>
      </c>
      <c r="D625" s="965">
        <v>60.96</v>
      </c>
      <c r="E625" s="968" t="s">
        <v>1256</v>
      </c>
      <c r="F625" s="289"/>
      <c r="G625" s="309"/>
    </row>
    <row r="626" spans="1:7" ht="28.5" customHeight="1">
      <c r="A626" s="971">
        <v>7130311027</v>
      </c>
      <c r="B626" s="968" t="s">
        <v>1257</v>
      </c>
      <c r="C626" s="964" t="s">
        <v>286</v>
      </c>
      <c r="D626" s="965">
        <v>74.03</v>
      </c>
      <c r="E626" s="968" t="s">
        <v>1258</v>
      </c>
      <c r="F626" s="289"/>
      <c r="G626" s="309"/>
    </row>
    <row r="627" spans="1:7" ht="28.5" customHeight="1">
      <c r="A627" s="971">
        <v>7130311028</v>
      </c>
      <c r="B627" s="968" t="s">
        <v>1259</v>
      </c>
      <c r="C627" s="964" t="s">
        <v>286</v>
      </c>
      <c r="D627" s="965">
        <v>88.55</v>
      </c>
      <c r="E627" s="968" t="s">
        <v>1260</v>
      </c>
      <c r="F627" s="289"/>
      <c r="G627" s="309"/>
    </row>
    <row r="628" spans="1:7" ht="28.5" customHeight="1">
      <c r="A628" s="971">
        <v>7130311029</v>
      </c>
      <c r="B628" s="968" t="s">
        <v>1261</v>
      </c>
      <c r="C628" s="964" t="s">
        <v>286</v>
      </c>
      <c r="D628" s="965">
        <v>116.13</v>
      </c>
      <c r="E628" s="968" t="s">
        <v>1262</v>
      </c>
      <c r="F628" s="289"/>
      <c r="G628" s="309"/>
    </row>
    <row r="629" spans="1:7" ht="28.5" customHeight="1">
      <c r="A629" s="971">
        <v>7130311030</v>
      </c>
      <c r="B629" s="968" t="s">
        <v>1263</v>
      </c>
      <c r="C629" s="964" t="s">
        <v>286</v>
      </c>
      <c r="D629" s="965">
        <v>148.06</v>
      </c>
      <c r="E629" s="968" t="s">
        <v>1264</v>
      </c>
      <c r="F629" s="289"/>
      <c r="G629" s="309"/>
    </row>
    <row r="630" spans="1:7" ht="28.5" customHeight="1">
      <c r="A630" s="971">
        <v>7130311085</v>
      </c>
      <c r="B630" s="968" t="s">
        <v>1265</v>
      </c>
      <c r="C630" s="964" t="s">
        <v>147</v>
      </c>
      <c r="D630" s="965">
        <v>202413.9</v>
      </c>
      <c r="E630" s="968" t="s">
        <v>1265</v>
      </c>
      <c r="F630" s="289"/>
      <c r="G630" s="282"/>
    </row>
    <row r="631" spans="1:7" ht="54" customHeight="1">
      <c r="A631" s="971">
        <v>7132210017</v>
      </c>
      <c r="B631" s="968" t="s">
        <v>1350</v>
      </c>
      <c r="C631" s="964" t="s">
        <v>33</v>
      </c>
      <c r="D631" s="965">
        <v>75035.14</v>
      </c>
      <c r="E631" s="968" t="s">
        <v>1266</v>
      </c>
      <c r="F631" s="311" t="s">
        <v>268</v>
      </c>
      <c r="G631" s="329"/>
    </row>
    <row r="632" spans="1:7" ht="53.25" customHeight="1">
      <c r="A632" s="971">
        <v>7132210018</v>
      </c>
      <c r="B632" s="968" t="s">
        <v>1351</v>
      </c>
      <c r="C632" s="964" t="s">
        <v>33</v>
      </c>
      <c r="D632" s="965">
        <v>62449.99</v>
      </c>
      <c r="E632" s="968" t="s">
        <v>1267</v>
      </c>
      <c r="F632" s="311" t="s">
        <v>268</v>
      </c>
      <c r="G632" s="289"/>
    </row>
    <row r="633" spans="1:7" ht="53.25" customHeight="1">
      <c r="A633" s="971">
        <v>7132210019</v>
      </c>
      <c r="B633" s="968" t="s">
        <v>1352</v>
      </c>
      <c r="C633" s="964" t="s">
        <v>33</v>
      </c>
      <c r="D633" s="965">
        <v>120435.39</v>
      </c>
      <c r="E633" s="968" t="s">
        <v>1268</v>
      </c>
      <c r="F633" s="311" t="s">
        <v>268</v>
      </c>
      <c r="G633" s="289"/>
    </row>
    <row r="634" spans="1:7" ht="54.75" customHeight="1">
      <c r="A634" s="971">
        <v>7132210020</v>
      </c>
      <c r="B634" s="968" t="s">
        <v>1353</v>
      </c>
      <c r="C634" s="964" t="s">
        <v>33</v>
      </c>
      <c r="D634" s="965">
        <v>158302.13</v>
      </c>
      <c r="E634" s="968" t="s">
        <v>1269</v>
      </c>
      <c r="F634" s="311" t="s">
        <v>268</v>
      </c>
      <c r="G634" s="289"/>
    </row>
    <row r="635" spans="1:7" ht="56.25" customHeight="1">
      <c r="A635" s="971">
        <v>7132210021</v>
      </c>
      <c r="B635" s="968" t="s">
        <v>1354</v>
      </c>
      <c r="C635" s="964" t="s">
        <v>33</v>
      </c>
      <c r="D635" s="965">
        <v>291828.78999999998</v>
      </c>
      <c r="E635" s="968" t="s">
        <v>1270</v>
      </c>
      <c r="F635" s="311" t="s">
        <v>268</v>
      </c>
      <c r="G635" s="289"/>
    </row>
    <row r="636" spans="1:7" ht="54" customHeight="1">
      <c r="A636" s="971">
        <v>7132220081</v>
      </c>
      <c r="B636" s="968" t="s">
        <v>1355</v>
      </c>
      <c r="C636" s="964" t="s">
        <v>33</v>
      </c>
      <c r="D636" s="965">
        <v>802876.84</v>
      </c>
      <c r="E636" s="968"/>
      <c r="F636" s="311" t="s">
        <v>268</v>
      </c>
      <c r="G636" s="289"/>
    </row>
    <row r="637" spans="1:7" ht="51.75" customHeight="1">
      <c r="A637" s="971">
        <v>7132220082</v>
      </c>
      <c r="B637" s="968" t="s">
        <v>1356</v>
      </c>
      <c r="C637" s="964" t="s">
        <v>33</v>
      </c>
      <c r="D637" s="965">
        <v>1367612.66</v>
      </c>
      <c r="E637" s="968"/>
      <c r="F637" s="311" t="s">
        <v>268</v>
      </c>
      <c r="G637" s="289"/>
    </row>
    <row r="638" spans="1:7" ht="53.25" customHeight="1">
      <c r="A638" s="971">
        <v>7132210022</v>
      </c>
      <c r="B638" s="968" t="s">
        <v>1357</v>
      </c>
      <c r="C638" s="964" t="s">
        <v>33</v>
      </c>
      <c r="D638" s="965">
        <v>63311.74</v>
      </c>
      <c r="E638" s="968"/>
      <c r="F638" s="274"/>
      <c r="G638" s="321"/>
    </row>
    <row r="639" spans="1:7" ht="56.25" customHeight="1">
      <c r="A639" s="971">
        <v>7132210023</v>
      </c>
      <c r="B639" s="968" t="s">
        <v>1358</v>
      </c>
      <c r="C639" s="964" t="s">
        <v>33</v>
      </c>
      <c r="D639" s="965">
        <v>112071.49</v>
      </c>
      <c r="E639" s="968"/>
      <c r="F639" s="274"/>
      <c r="G639" s="321"/>
    </row>
    <row r="640" spans="1:7" ht="65.25" customHeight="1">
      <c r="A640" s="971">
        <v>7132210024</v>
      </c>
      <c r="B640" s="968" t="s">
        <v>1359</v>
      </c>
      <c r="C640" s="964" t="s">
        <v>33</v>
      </c>
      <c r="D640" s="965">
        <v>159217.31</v>
      </c>
      <c r="E640" s="968"/>
      <c r="F640" s="274"/>
      <c r="G640" s="321"/>
    </row>
    <row r="641" spans="1:7" ht="66.75" customHeight="1">
      <c r="A641" s="971">
        <v>7132210025</v>
      </c>
      <c r="B641" s="968" t="s">
        <v>1360</v>
      </c>
      <c r="C641" s="964" t="s">
        <v>33</v>
      </c>
      <c r="D641" s="965">
        <v>292905.98</v>
      </c>
      <c r="E641" s="968"/>
    </row>
    <row r="642" spans="1:7" ht="57" customHeight="1">
      <c r="A642" s="971">
        <v>7132210027</v>
      </c>
      <c r="B642" s="968" t="s">
        <v>1361</v>
      </c>
      <c r="C642" s="964" t="s">
        <v>33</v>
      </c>
      <c r="D642" s="965">
        <v>807894.82</v>
      </c>
      <c r="E642" s="968"/>
      <c r="F642" s="311"/>
      <c r="G642" s="312" t="s">
        <v>841</v>
      </c>
    </row>
    <row r="643" spans="1:7" ht="22.5" customHeight="1">
      <c r="A643" s="971">
        <v>7130640008</v>
      </c>
      <c r="B643" s="963" t="s">
        <v>1271</v>
      </c>
      <c r="C643" s="964" t="s">
        <v>33</v>
      </c>
      <c r="D643" s="965">
        <v>158</v>
      </c>
      <c r="E643" s="1033"/>
      <c r="F643" s="313"/>
      <c r="G643" s="270" t="s">
        <v>47</v>
      </c>
    </row>
    <row r="644" spans="1:7" ht="21" customHeight="1">
      <c r="A644" s="971">
        <v>7131210011</v>
      </c>
      <c r="B644" s="968" t="s">
        <v>1272</v>
      </c>
      <c r="C644" s="964" t="s">
        <v>33</v>
      </c>
      <c r="D644" s="965">
        <v>75.900000000000006</v>
      </c>
      <c r="E644" s="963" t="s">
        <v>1273</v>
      </c>
      <c r="F644" s="314"/>
      <c r="G644" s="282"/>
    </row>
    <row r="645" spans="1:7" ht="21" customHeight="1">
      <c r="A645" s="971">
        <v>7131210009</v>
      </c>
      <c r="B645" s="968" t="s">
        <v>1274</v>
      </c>
      <c r="C645" s="964" t="s">
        <v>40</v>
      </c>
      <c r="D645" s="965">
        <v>238.54</v>
      </c>
      <c r="E645" s="968" t="s">
        <v>1274</v>
      </c>
      <c r="F645" s="314"/>
      <c r="G645" s="282"/>
    </row>
    <row r="646" spans="1:7" ht="25.5" customHeight="1">
      <c r="A646" s="971">
        <v>7131210030</v>
      </c>
      <c r="B646" s="980" t="s">
        <v>1275</v>
      </c>
      <c r="C646" s="1034" t="s">
        <v>40</v>
      </c>
      <c r="D646" s="965">
        <v>2455.36</v>
      </c>
      <c r="E646" s="980" t="s">
        <v>1275</v>
      </c>
      <c r="F646" s="314"/>
      <c r="G646" s="282"/>
    </row>
    <row r="647" spans="1:7" ht="25.5" customHeight="1">
      <c r="A647" s="971">
        <v>7131210031</v>
      </c>
      <c r="B647" s="980" t="s">
        <v>1276</v>
      </c>
      <c r="C647" s="1034" t="s">
        <v>40</v>
      </c>
      <c r="D647" s="965">
        <v>3171.81</v>
      </c>
      <c r="E647" s="980" t="s">
        <v>1276</v>
      </c>
      <c r="F647" s="314"/>
      <c r="G647" s="282"/>
    </row>
    <row r="648" spans="1:7" ht="25.5" customHeight="1">
      <c r="A648" s="971">
        <v>7131210032</v>
      </c>
      <c r="B648" s="980" t="s">
        <v>1277</v>
      </c>
      <c r="C648" s="1034" t="s">
        <v>40</v>
      </c>
      <c r="D648" s="965">
        <v>4486.92</v>
      </c>
      <c r="E648" s="980" t="s">
        <v>1277</v>
      </c>
      <c r="F648" s="314"/>
      <c r="G648" s="282"/>
    </row>
    <row r="649" spans="1:7" ht="25.5" customHeight="1">
      <c r="A649" s="971">
        <v>7131210033</v>
      </c>
      <c r="B649" s="980" t="s">
        <v>1278</v>
      </c>
      <c r="C649" s="1034" t="s">
        <v>40</v>
      </c>
      <c r="D649" s="965">
        <v>6097.72</v>
      </c>
      <c r="E649" s="980" t="s">
        <v>1278</v>
      </c>
      <c r="F649" s="314"/>
      <c r="G649" s="282"/>
    </row>
    <row r="650" spans="1:7" ht="26.25" customHeight="1">
      <c r="A650" s="971">
        <v>7131210034</v>
      </c>
      <c r="B650" s="980" t="s">
        <v>1279</v>
      </c>
      <c r="C650" s="1034" t="s">
        <v>40</v>
      </c>
      <c r="D650" s="965">
        <v>10754.05</v>
      </c>
      <c r="E650" s="980" t="s">
        <v>1279</v>
      </c>
      <c r="F650" s="314"/>
      <c r="G650" s="282"/>
    </row>
    <row r="651" spans="1:7" ht="25.5" customHeight="1">
      <c r="A651" s="971">
        <v>7131210035</v>
      </c>
      <c r="B651" s="980" t="s">
        <v>1280</v>
      </c>
      <c r="C651" s="1034" t="s">
        <v>40</v>
      </c>
      <c r="D651" s="965">
        <v>10433.469999999999</v>
      </c>
      <c r="E651" s="980" t="s">
        <v>1280</v>
      </c>
      <c r="F651" s="314"/>
      <c r="G651" s="282"/>
    </row>
    <row r="652" spans="1:7" ht="25.5" customHeight="1">
      <c r="A652" s="971">
        <v>7131210036</v>
      </c>
      <c r="B652" s="980" t="s">
        <v>1281</v>
      </c>
      <c r="C652" s="1034" t="s">
        <v>40</v>
      </c>
      <c r="D652" s="965">
        <v>6967.79</v>
      </c>
      <c r="E652" s="980" t="s">
        <v>1281</v>
      </c>
      <c r="F652" s="314"/>
      <c r="G652" s="282"/>
    </row>
    <row r="653" spans="1:7" ht="25.5">
      <c r="A653" s="1001">
        <v>7131210023</v>
      </c>
      <c r="B653" s="968" t="s">
        <v>1282</v>
      </c>
      <c r="C653" s="995" t="s">
        <v>255</v>
      </c>
      <c r="D653" s="965"/>
      <c r="E653" s="963" t="s">
        <v>1283</v>
      </c>
      <c r="F653" s="307"/>
      <c r="G653" s="284" t="s">
        <v>299</v>
      </c>
    </row>
    <row r="654" spans="1:7" ht="25.5">
      <c r="A654" s="1001">
        <v>7131210024</v>
      </c>
      <c r="B654" s="968" t="s">
        <v>1284</v>
      </c>
      <c r="C654" s="995" t="s">
        <v>255</v>
      </c>
      <c r="D654" s="965"/>
      <c r="E654" s="963" t="s">
        <v>1285</v>
      </c>
      <c r="F654" s="307"/>
      <c r="G654" s="284" t="s">
        <v>299</v>
      </c>
    </row>
    <row r="655" spans="1:7" ht="25.5">
      <c r="A655" s="1001">
        <v>7131210025</v>
      </c>
      <c r="B655" s="968" t="s">
        <v>1286</v>
      </c>
      <c r="C655" s="995" t="s">
        <v>255</v>
      </c>
      <c r="D655" s="965"/>
      <c r="E655" s="963" t="s">
        <v>1287</v>
      </c>
      <c r="F655" s="307"/>
      <c r="G655" s="284" t="s">
        <v>299</v>
      </c>
    </row>
    <row r="656" spans="1:7" ht="39.75" customHeight="1">
      <c r="A656" s="1001">
        <v>7131941763</v>
      </c>
      <c r="B656" s="996" t="s">
        <v>1288</v>
      </c>
      <c r="C656" s="1001" t="s">
        <v>5</v>
      </c>
      <c r="D656" s="965">
        <v>918793.22</v>
      </c>
      <c r="E656" s="996" t="s">
        <v>1289</v>
      </c>
      <c r="F656" s="307"/>
      <c r="G656" s="309"/>
    </row>
    <row r="657" spans="1:7" ht="40.5" customHeight="1">
      <c r="A657" s="1001">
        <v>7131941764</v>
      </c>
      <c r="B657" s="996" t="s">
        <v>1290</v>
      </c>
      <c r="C657" s="1001" t="s">
        <v>5</v>
      </c>
      <c r="D657" s="965">
        <v>1305117.19</v>
      </c>
      <c r="E657" s="996" t="s">
        <v>1291</v>
      </c>
      <c r="F657" s="307"/>
      <c r="G657" s="309"/>
    </row>
    <row r="658" spans="1:7" ht="40.5" customHeight="1">
      <c r="A658" s="1001">
        <v>7131941765</v>
      </c>
      <c r="B658" s="996" t="s">
        <v>1292</v>
      </c>
      <c r="C658" s="1001" t="s">
        <v>5</v>
      </c>
      <c r="D658" s="965">
        <v>1684560.04</v>
      </c>
      <c r="E658" s="996" t="s">
        <v>1293</v>
      </c>
      <c r="F658" s="307"/>
      <c r="G658" s="309"/>
    </row>
    <row r="659" spans="1:7" ht="42" customHeight="1">
      <c r="A659" s="1001">
        <v>7131941766</v>
      </c>
      <c r="B659" s="996" t="s">
        <v>1294</v>
      </c>
      <c r="C659" s="1001" t="s">
        <v>5</v>
      </c>
      <c r="D659" s="965">
        <v>2064002.89</v>
      </c>
      <c r="E659" s="996" t="s">
        <v>1295</v>
      </c>
      <c r="F659" s="307"/>
      <c r="G659" s="309"/>
    </row>
    <row r="660" spans="1:7" ht="19.5" customHeight="1">
      <c r="A660" s="1001">
        <v>7131941767</v>
      </c>
      <c r="B660" s="996" t="s">
        <v>1296</v>
      </c>
      <c r="C660" s="1001" t="s">
        <v>5</v>
      </c>
      <c r="D660" s="965">
        <v>330600.2</v>
      </c>
      <c r="E660" s="996" t="s">
        <v>1296</v>
      </c>
      <c r="F660" s="307"/>
      <c r="G660" s="309"/>
    </row>
    <row r="661" spans="1:7" ht="18.75" customHeight="1">
      <c r="A661" s="1001">
        <v>7131941768</v>
      </c>
      <c r="B661" s="996" t="s">
        <v>1297</v>
      </c>
      <c r="C661" s="1001" t="s">
        <v>5</v>
      </c>
      <c r="D661" s="965">
        <v>386323.98</v>
      </c>
      <c r="E661" s="996" t="s">
        <v>1297</v>
      </c>
      <c r="F661" s="307"/>
      <c r="G661" s="309"/>
    </row>
    <row r="662" spans="1:7" ht="25.5">
      <c r="A662" s="1001">
        <v>7132230028</v>
      </c>
      <c r="B662" s="963" t="s">
        <v>1298</v>
      </c>
      <c r="C662" s="1001" t="s">
        <v>33</v>
      </c>
      <c r="D662" s="965">
        <v>241605</v>
      </c>
      <c r="E662" s="1035" t="s">
        <v>1299</v>
      </c>
      <c r="F662" s="516"/>
      <c r="G662" s="516"/>
    </row>
    <row r="663" spans="1:7" ht="25.5">
      <c r="A663" s="1001">
        <v>7132230029</v>
      </c>
      <c r="B663" s="963" t="s">
        <v>1300</v>
      </c>
      <c r="C663" s="1001" t="s">
        <v>33</v>
      </c>
      <c r="D663" s="965">
        <v>241605</v>
      </c>
      <c r="E663" s="1035" t="s">
        <v>1301</v>
      </c>
      <c r="F663" s="516"/>
      <c r="G663" s="516"/>
    </row>
    <row r="664" spans="1:7" ht="25.5">
      <c r="A664" s="1001">
        <v>7132230030</v>
      </c>
      <c r="B664" s="963" t="s">
        <v>1302</v>
      </c>
      <c r="C664" s="1001" t="s">
        <v>33</v>
      </c>
      <c r="D664" s="965">
        <v>241605</v>
      </c>
      <c r="E664" s="996" t="s">
        <v>1303</v>
      </c>
      <c r="F664" s="516"/>
      <c r="G664" s="516"/>
    </row>
    <row r="665" spans="1:7" ht="25.5">
      <c r="A665" s="1001">
        <v>7132230031</v>
      </c>
      <c r="B665" s="963" t="s">
        <v>1304</v>
      </c>
      <c r="C665" s="1001" t="s">
        <v>33</v>
      </c>
      <c r="D665" s="965">
        <v>115227</v>
      </c>
      <c r="E665" s="996" t="s">
        <v>1305</v>
      </c>
      <c r="F665" s="516"/>
      <c r="G665" s="516"/>
    </row>
    <row r="666" spans="1:7" ht="25.5">
      <c r="A666" s="1001">
        <v>7132230020</v>
      </c>
      <c r="B666" s="988" t="s">
        <v>1306</v>
      </c>
      <c r="C666" s="982" t="s">
        <v>33</v>
      </c>
      <c r="D666" s="965">
        <v>115227</v>
      </c>
      <c r="E666" s="996" t="s">
        <v>1307</v>
      </c>
      <c r="F666" s="516"/>
      <c r="G666" s="520"/>
    </row>
    <row r="667" spans="1:7" ht="25.5">
      <c r="A667" s="1001">
        <v>7132230010</v>
      </c>
      <c r="B667" s="963" t="s">
        <v>1308</v>
      </c>
      <c r="C667" s="1001" t="s">
        <v>33</v>
      </c>
      <c r="D667" s="965">
        <v>115227</v>
      </c>
      <c r="E667" s="996" t="s">
        <v>1309</v>
      </c>
      <c r="F667" s="307"/>
      <c r="G667" s="309"/>
    </row>
    <row r="668" spans="1:7" ht="25.5">
      <c r="A668" s="1001">
        <v>7132230027</v>
      </c>
      <c r="B668" s="988" t="s">
        <v>1310</v>
      </c>
      <c r="C668" s="982" t="s">
        <v>33</v>
      </c>
      <c r="D668" s="965">
        <v>115228.98</v>
      </c>
      <c r="E668" s="996" t="s">
        <v>1311</v>
      </c>
      <c r="F668" s="307"/>
      <c r="G668" s="282"/>
    </row>
    <row r="669" spans="1:7" ht="39" customHeight="1">
      <c r="A669" s="1008">
        <v>7131980004</v>
      </c>
      <c r="B669" s="968" t="s">
        <v>1312</v>
      </c>
      <c r="C669" s="964" t="s">
        <v>68</v>
      </c>
      <c r="D669" s="965">
        <v>279236.31</v>
      </c>
      <c r="E669" s="996"/>
      <c r="F669" s="307"/>
      <c r="G669" s="43"/>
    </row>
    <row r="670" spans="1:7" ht="40.5" customHeight="1">
      <c r="A670" s="1008">
        <v>7131980005</v>
      </c>
      <c r="B670" s="968" t="s">
        <v>1313</v>
      </c>
      <c r="C670" s="964" t="s">
        <v>68</v>
      </c>
      <c r="D670" s="965">
        <v>516344.85</v>
      </c>
      <c r="E670" s="996"/>
      <c r="F670" s="307"/>
      <c r="G670" s="43"/>
    </row>
    <row r="671" spans="1:7" ht="39.75" customHeight="1">
      <c r="A671" s="1008">
        <v>7131980006</v>
      </c>
      <c r="B671" s="968" t="s">
        <v>1314</v>
      </c>
      <c r="C671" s="964" t="s">
        <v>68</v>
      </c>
      <c r="D671" s="965">
        <v>626468.5</v>
      </c>
      <c r="E671" s="996"/>
      <c r="F671" s="307"/>
      <c r="G671" s="43"/>
    </row>
    <row r="672" spans="1:7" ht="66" customHeight="1">
      <c r="A672" s="1008">
        <v>7131980007</v>
      </c>
      <c r="B672" s="968" t="s">
        <v>1315</v>
      </c>
      <c r="C672" s="964" t="s">
        <v>68</v>
      </c>
      <c r="D672" s="965">
        <v>998272.19</v>
      </c>
      <c r="E672" s="996"/>
      <c r="F672" s="307"/>
      <c r="G672" s="43"/>
    </row>
    <row r="673" spans="1:7" ht="78.75" customHeight="1">
      <c r="A673" s="1008">
        <v>7131980008</v>
      </c>
      <c r="B673" s="968" t="s">
        <v>1316</v>
      </c>
      <c r="C673" s="964" t="s">
        <v>68</v>
      </c>
      <c r="D673" s="965">
        <v>1578740.89</v>
      </c>
      <c r="E673" s="996"/>
      <c r="F673" s="307"/>
      <c r="G673" s="341"/>
    </row>
    <row r="674" spans="1:7" ht="69" customHeight="1">
      <c r="A674" s="1008">
        <v>7131941001</v>
      </c>
      <c r="B674" s="1026" t="s">
        <v>1389</v>
      </c>
      <c r="C674" s="982" t="s">
        <v>68</v>
      </c>
      <c r="D674" s="965">
        <v>94400</v>
      </c>
      <c r="E674" s="996"/>
      <c r="F674" s="307"/>
      <c r="G674" s="339" t="s">
        <v>1401</v>
      </c>
    </row>
    <row r="675" spans="1:7" ht="96" customHeight="1">
      <c r="A675" s="1008">
        <v>7131941002</v>
      </c>
      <c r="B675" s="1026" t="s">
        <v>1402</v>
      </c>
      <c r="C675" s="982" t="s">
        <v>68</v>
      </c>
      <c r="D675" s="965">
        <v>1519767</v>
      </c>
      <c r="E675" s="996"/>
      <c r="F675" s="307"/>
      <c r="G675" s="339" t="s">
        <v>1401</v>
      </c>
    </row>
    <row r="676" spans="1:7" ht="97.5" customHeight="1">
      <c r="A676" s="1008">
        <v>7131941003</v>
      </c>
      <c r="B676" s="1026" t="s">
        <v>1403</v>
      </c>
      <c r="C676" s="982" t="s">
        <v>68</v>
      </c>
      <c r="D676" s="965">
        <v>1237749.0000000002</v>
      </c>
      <c r="E676" s="996"/>
      <c r="F676" s="307"/>
      <c r="G676" s="339" t="s">
        <v>1401</v>
      </c>
    </row>
    <row r="677" spans="1:7" ht="25.5">
      <c r="A677" s="1008">
        <v>7131980001</v>
      </c>
      <c r="B677" s="968" t="s">
        <v>1317</v>
      </c>
      <c r="C677" s="964" t="s">
        <v>68</v>
      </c>
      <c r="D677" s="1004">
        <v>81847.289999999994</v>
      </c>
      <c r="E677" s="996"/>
      <c r="F677" s="307"/>
      <c r="G677" s="242"/>
    </row>
    <row r="678" spans="1:7" ht="25.5">
      <c r="A678" s="1001">
        <v>7131920028</v>
      </c>
      <c r="B678" s="968" t="s">
        <v>1318</v>
      </c>
      <c r="C678" s="964" t="s">
        <v>68</v>
      </c>
      <c r="D678" s="1004">
        <v>11773.41</v>
      </c>
      <c r="E678" s="996"/>
      <c r="F678" s="307"/>
      <c r="G678" s="242"/>
    </row>
    <row r="679" spans="1:7" ht="41.25" customHeight="1">
      <c r="A679" s="1001">
        <v>7132486843</v>
      </c>
      <c r="B679" s="980" t="s">
        <v>1319</v>
      </c>
      <c r="C679" s="964" t="s">
        <v>1320</v>
      </c>
      <c r="D679" s="1001">
        <v>10520.67</v>
      </c>
      <c r="E679" s="996"/>
      <c r="F679" s="307"/>
      <c r="G679" s="294" t="s">
        <v>802</v>
      </c>
    </row>
    <row r="680" spans="1:7" ht="19.5" customHeight="1">
      <c r="A680" s="1001">
        <v>7130840003</v>
      </c>
      <c r="B680" s="968" t="s">
        <v>1321</v>
      </c>
      <c r="C680" s="964" t="s">
        <v>68</v>
      </c>
      <c r="D680" s="1004">
        <v>1059.5999999999999</v>
      </c>
      <c r="E680" s="996"/>
      <c r="F680" s="307"/>
      <c r="G680" s="242"/>
    </row>
    <row r="681" spans="1:7" ht="18.75" customHeight="1">
      <c r="A681" s="1001">
        <v>7131950396</v>
      </c>
      <c r="B681" s="997" t="s">
        <v>1322</v>
      </c>
      <c r="C681" s="964" t="s">
        <v>68</v>
      </c>
      <c r="D681" s="1001">
        <v>160.99</v>
      </c>
      <c r="E681" s="996"/>
      <c r="F681" s="307"/>
      <c r="G681" s="242"/>
    </row>
    <row r="682" spans="1:7" ht="17.25" customHeight="1">
      <c r="A682" s="1001">
        <v>7132406800</v>
      </c>
      <c r="B682" s="1036" t="s">
        <v>1323</v>
      </c>
      <c r="C682" s="993" t="s">
        <v>1320</v>
      </c>
      <c r="D682" s="1037">
        <v>12278.85</v>
      </c>
      <c r="E682" s="996"/>
      <c r="F682" s="307"/>
      <c r="G682" s="242"/>
    </row>
    <row r="683" spans="1:7" ht="28.5" customHeight="1">
      <c r="A683" s="1001">
        <v>7131210840</v>
      </c>
      <c r="B683" s="968" t="s">
        <v>1324</v>
      </c>
      <c r="C683" s="964" t="s">
        <v>68</v>
      </c>
      <c r="D683" s="1004">
        <v>15852.14</v>
      </c>
      <c r="E683" s="996"/>
      <c r="F683" s="307"/>
      <c r="G683" s="315" t="s">
        <v>1325</v>
      </c>
    </row>
    <row r="684" spans="1:7" ht="28.5" customHeight="1">
      <c r="A684" s="1001">
        <v>7132455003</v>
      </c>
      <c r="B684" s="1038" t="s">
        <v>1326</v>
      </c>
      <c r="C684" s="964" t="s">
        <v>68</v>
      </c>
      <c r="D684" s="1001">
        <v>155.38999999999999</v>
      </c>
      <c r="E684" s="980" t="s">
        <v>1327</v>
      </c>
      <c r="F684" s="307"/>
      <c r="G684" s="282"/>
    </row>
    <row r="685" spans="1:7" ht="27.75" customHeight="1">
      <c r="A685" s="1001">
        <v>7132455004</v>
      </c>
      <c r="B685" s="1038" t="s">
        <v>1328</v>
      </c>
      <c r="C685" s="964" t="s">
        <v>68</v>
      </c>
      <c r="D685" s="1001">
        <v>122.09</v>
      </c>
      <c r="E685" s="980" t="s">
        <v>1329</v>
      </c>
      <c r="F685" s="307"/>
      <c r="G685" s="282"/>
    </row>
    <row r="686" spans="1:7" ht="26.25" customHeight="1">
      <c r="A686" s="1001">
        <v>7131920004</v>
      </c>
      <c r="B686" s="1039" t="s">
        <v>1330</v>
      </c>
      <c r="C686" s="964" t="s">
        <v>68</v>
      </c>
      <c r="D686" s="1004">
        <v>13.2</v>
      </c>
      <c r="E686" s="980" t="s">
        <v>1330</v>
      </c>
      <c r="F686" s="307"/>
      <c r="G686" s="282"/>
    </row>
    <row r="687" spans="1:7" ht="18" customHeight="1">
      <c r="A687" s="1001">
        <v>7131920005</v>
      </c>
      <c r="B687" s="1039" t="s">
        <v>1331</v>
      </c>
      <c r="C687" s="964" t="s">
        <v>68</v>
      </c>
      <c r="D687" s="1001">
        <v>32.99</v>
      </c>
      <c r="E687" s="1040" t="s">
        <v>1331</v>
      </c>
      <c r="F687" s="307"/>
      <c r="G687" s="282"/>
    </row>
    <row r="688" spans="1:7" ht="18" customHeight="1">
      <c r="A688" s="1001">
        <v>7131920006</v>
      </c>
      <c r="B688" s="1039" t="s">
        <v>1332</v>
      </c>
      <c r="C688" s="964" t="s">
        <v>68</v>
      </c>
      <c r="D688" s="1004">
        <v>19.79</v>
      </c>
      <c r="E688" s="1040" t="s">
        <v>1332</v>
      </c>
      <c r="F688" s="307"/>
      <c r="G688" s="282"/>
    </row>
    <row r="689" spans="1:11" ht="54.75" customHeight="1">
      <c r="A689" s="1001">
        <v>7131390482</v>
      </c>
      <c r="B689" s="1041" t="s">
        <v>1333</v>
      </c>
      <c r="C689" s="964" t="s">
        <v>68</v>
      </c>
      <c r="D689" s="1004">
        <v>55.5</v>
      </c>
      <c r="E689" s="1042" t="s">
        <v>1334</v>
      </c>
      <c r="F689" s="307"/>
      <c r="G689" s="282"/>
    </row>
    <row r="690" spans="1:11" ht="42.75" customHeight="1">
      <c r="A690" s="1001">
        <v>7130310081</v>
      </c>
      <c r="B690" s="1041" t="s">
        <v>1335</v>
      </c>
      <c r="C690" s="1001" t="s">
        <v>21</v>
      </c>
      <c r="D690" s="1001">
        <v>9.15</v>
      </c>
      <c r="E690" s="1042" t="s">
        <v>1336</v>
      </c>
      <c r="F690" s="307"/>
      <c r="G690" s="282"/>
      <c r="K690" s="316"/>
    </row>
    <row r="691" spans="1:11" ht="30.75" customHeight="1">
      <c r="A691" s="1001">
        <v>7132461006</v>
      </c>
      <c r="B691" s="1041" t="s">
        <v>1337</v>
      </c>
      <c r="C691" s="1001" t="s">
        <v>1338</v>
      </c>
      <c r="D691" s="1001">
        <v>6.35</v>
      </c>
      <c r="E691" s="1042" t="s">
        <v>1339</v>
      </c>
      <c r="F691" s="307"/>
      <c r="G691" s="282"/>
      <c r="K691" s="316"/>
    </row>
    <row r="692" spans="1:11" ht="18" customHeight="1">
      <c r="A692" s="1001">
        <v>7132498054</v>
      </c>
      <c r="B692" s="1043" t="s">
        <v>1340</v>
      </c>
      <c r="C692" s="1001" t="s">
        <v>68</v>
      </c>
      <c r="D692" s="1004">
        <v>6</v>
      </c>
      <c r="E692" s="1044" t="s">
        <v>1340</v>
      </c>
      <c r="F692" s="307"/>
      <c r="G692" s="282"/>
      <c r="K692" s="316"/>
    </row>
    <row r="693" spans="1:11" ht="18" customHeight="1">
      <c r="A693" s="1000">
        <v>7131397216</v>
      </c>
      <c r="B693" s="1045" t="s">
        <v>1341</v>
      </c>
      <c r="C693" s="1001" t="s">
        <v>26</v>
      </c>
      <c r="D693" s="1001">
        <v>233.77</v>
      </c>
      <c r="E693" s="1001"/>
      <c r="F693" s="307"/>
      <c r="K693" s="316"/>
    </row>
    <row r="694" spans="1:11" ht="29.25" customHeight="1">
      <c r="A694" s="1000">
        <v>7132010551</v>
      </c>
      <c r="B694" s="1046" t="s">
        <v>1342</v>
      </c>
      <c r="C694" s="1001" t="s">
        <v>68</v>
      </c>
      <c r="D694" s="1001">
        <v>9846.82</v>
      </c>
      <c r="E694" s="1001"/>
      <c r="F694" s="307"/>
      <c r="K694" s="316"/>
    </row>
    <row r="695" spans="1:11" ht="42" customHeight="1">
      <c r="A695" s="1000">
        <v>7132010552</v>
      </c>
      <c r="B695" s="1045" t="s">
        <v>1343</v>
      </c>
      <c r="C695" s="1001" t="s">
        <v>40</v>
      </c>
      <c r="D695" s="1001">
        <v>12000.69</v>
      </c>
      <c r="E695" s="1001"/>
      <c r="F695" s="307"/>
      <c r="K695" s="316"/>
    </row>
    <row r="696" spans="1:11" ht="27" customHeight="1">
      <c r="A696" s="1034">
        <v>7132478005</v>
      </c>
      <c r="B696" s="1045" t="s">
        <v>1344</v>
      </c>
      <c r="C696" s="1047" t="s">
        <v>68</v>
      </c>
      <c r="D696" s="1001">
        <v>826.05</v>
      </c>
      <c r="E696" s="1048" t="s">
        <v>1344</v>
      </c>
      <c r="F696" s="307"/>
      <c r="K696" s="316"/>
    </row>
    <row r="697" spans="1:11" ht="40.5" customHeight="1">
      <c r="A697" s="1001">
        <v>7132089020</v>
      </c>
      <c r="B697" s="1045" t="s">
        <v>1345</v>
      </c>
      <c r="C697" s="1047" t="s">
        <v>68</v>
      </c>
      <c r="D697" s="1004">
        <v>880.24</v>
      </c>
      <c r="E697" s="1049" t="s">
        <v>1346</v>
      </c>
      <c r="F697" s="307"/>
      <c r="K697" s="316"/>
    </row>
    <row r="698" spans="1:11" ht="28.5" customHeight="1">
      <c r="A698" s="1001">
        <v>7132200004</v>
      </c>
      <c r="B698" s="996" t="s">
        <v>1347</v>
      </c>
      <c r="C698" s="995" t="s">
        <v>33</v>
      </c>
      <c r="D698" s="1004">
        <v>129.96</v>
      </c>
      <c r="E698" s="966"/>
      <c r="F698" s="317" t="s">
        <v>1348</v>
      </c>
      <c r="K698" s="316"/>
    </row>
    <row r="699" spans="1:11" ht="30.75" customHeight="1">
      <c r="A699" s="1001">
        <v>7131310032</v>
      </c>
      <c r="B699" s="1007" t="s">
        <v>1404</v>
      </c>
      <c r="C699" s="1047" t="s">
        <v>68</v>
      </c>
      <c r="D699" s="1004">
        <v>270267.2</v>
      </c>
      <c r="E699" s="1001"/>
      <c r="F699" s="318"/>
      <c r="G699" s="315" t="s">
        <v>1405</v>
      </c>
      <c r="K699" s="316"/>
    </row>
    <row r="700" spans="1:11" ht="21" customHeight="1">
      <c r="A700" s="1001"/>
      <c r="B700" s="1032" t="s">
        <v>2214</v>
      </c>
      <c r="C700" s="1047" t="s">
        <v>469</v>
      </c>
      <c r="D700" s="1004">
        <v>32130.22</v>
      </c>
      <c r="E700" s="1001"/>
      <c r="F700" s="333"/>
      <c r="G700" s="315" t="s">
        <v>2215</v>
      </c>
      <c r="K700" s="316"/>
    </row>
    <row r="701" spans="1:11" ht="21" customHeight="1">
      <c r="A701" s="307"/>
      <c r="B701" s="330"/>
      <c r="C701" s="331"/>
      <c r="D701" s="332"/>
      <c r="E701" s="307"/>
      <c r="F701" s="333"/>
      <c r="G701" s="319"/>
      <c r="K701" s="316"/>
    </row>
    <row r="702" spans="1:11">
      <c r="A702" s="307"/>
      <c r="B702" s="307"/>
      <c r="C702" s="307"/>
      <c r="D702" s="307"/>
      <c r="E702" s="307"/>
      <c r="F702" s="307"/>
      <c r="K702" s="316"/>
    </row>
    <row r="703" spans="1:11" ht="15">
      <c r="A703" s="307"/>
      <c r="B703" s="307"/>
      <c r="C703" s="307"/>
      <c r="D703" s="307"/>
      <c r="G703" s="282"/>
      <c r="K703" s="316"/>
    </row>
    <row r="704" spans="1:11" ht="22.5" customHeight="1">
      <c r="A704" s="307"/>
      <c r="B704" s="307"/>
      <c r="C704" s="307"/>
      <c r="D704" s="320"/>
      <c r="E704" s="320"/>
      <c r="F704" s="320"/>
      <c r="K704" s="316"/>
    </row>
    <row r="705" spans="1:7" ht="14.25">
      <c r="A705" s="307"/>
      <c r="B705" s="307"/>
      <c r="C705" s="307"/>
      <c r="D705" s="320"/>
      <c r="E705" s="320"/>
      <c r="F705" s="320"/>
    </row>
    <row r="706" spans="1:7">
      <c r="A706" s="307"/>
      <c r="B706" s="307"/>
      <c r="C706" s="307"/>
      <c r="G706" s="5"/>
    </row>
    <row r="707" spans="1:7" ht="14.25">
      <c r="A707" s="307"/>
      <c r="B707" s="307"/>
      <c r="C707" s="307"/>
      <c r="D707" s="320"/>
      <c r="E707" s="320"/>
      <c r="F707" s="320"/>
    </row>
    <row r="708" spans="1:7" ht="14.25">
      <c r="A708" s="307"/>
      <c r="B708" s="307"/>
      <c r="C708" s="307"/>
      <c r="D708" s="320"/>
      <c r="E708" s="320"/>
      <c r="F708" s="320"/>
    </row>
    <row r="709" spans="1:7" ht="14.25">
      <c r="A709" s="307"/>
      <c r="B709" s="307"/>
      <c r="C709" s="307"/>
      <c r="D709" s="320"/>
      <c r="E709" s="320"/>
      <c r="F709" s="320"/>
    </row>
    <row r="710" spans="1:7" ht="14.25">
      <c r="A710" s="307"/>
      <c r="B710" s="307"/>
      <c r="C710" s="307"/>
      <c r="D710" s="320"/>
      <c r="E710" s="320"/>
      <c r="F710" s="320"/>
    </row>
    <row r="711" spans="1:7" ht="14.25">
      <c r="A711" s="307"/>
      <c r="B711" s="307"/>
      <c r="C711" s="307"/>
      <c r="D711" s="320"/>
      <c r="E711" s="320"/>
      <c r="F711" s="320"/>
    </row>
    <row r="712" spans="1:7">
      <c r="A712" s="307"/>
      <c r="B712" s="307"/>
      <c r="C712" s="307"/>
      <c r="D712" s="307"/>
      <c r="E712" s="307"/>
      <c r="F712" s="307"/>
    </row>
    <row r="713" spans="1:7">
      <c r="A713" s="307"/>
      <c r="B713" s="307"/>
      <c r="C713" s="307"/>
      <c r="D713" s="307"/>
      <c r="E713" s="307"/>
      <c r="F713" s="307"/>
    </row>
    <row r="714" spans="1:7">
      <c r="A714" s="307"/>
      <c r="B714" s="307"/>
      <c r="C714" s="307"/>
      <c r="D714" s="307"/>
      <c r="E714" s="307"/>
      <c r="F714" s="307"/>
    </row>
    <row r="715" spans="1:7">
      <c r="A715" s="307"/>
      <c r="B715" s="307"/>
      <c r="C715" s="307"/>
      <c r="D715" s="307"/>
      <c r="E715" s="307"/>
      <c r="F715" s="307"/>
    </row>
    <row r="716" spans="1:7">
      <c r="A716" s="307"/>
      <c r="B716" s="307"/>
      <c r="C716" s="307"/>
      <c r="D716" s="307"/>
      <c r="E716" s="307"/>
      <c r="F716" s="307"/>
    </row>
    <row r="717" spans="1:7">
      <c r="A717" s="307"/>
      <c r="B717" s="307"/>
      <c r="C717" s="307"/>
      <c r="D717" s="307"/>
      <c r="E717" s="1050"/>
      <c r="F717" s="307"/>
    </row>
    <row r="718" spans="1:7">
      <c r="A718" s="307"/>
      <c r="B718" s="307"/>
      <c r="C718" s="307"/>
      <c r="D718" s="307"/>
      <c r="E718" s="1050"/>
      <c r="F718" s="307"/>
    </row>
    <row r="719" spans="1:7">
      <c r="A719" s="307"/>
      <c r="B719" s="307"/>
      <c r="C719" s="307"/>
      <c r="D719" s="307"/>
      <c r="E719" s="1050"/>
      <c r="F719" s="307"/>
    </row>
    <row r="720" spans="1:7">
      <c r="A720" s="307"/>
      <c r="B720" s="307"/>
      <c r="C720" s="307"/>
      <c r="D720" s="307"/>
      <c r="E720" s="307"/>
      <c r="F720" s="307"/>
    </row>
    <row r="721" spans="1:6">
      <c r="A721" s="307"/>
      <c r="B721" s="307"/>
      <c r="C721" s="307"/>
      <c r="D721" s="307"/>
      <c r="E721" s="307"/>
      <c r="F721" s="307"/>
    </row>
    <row r="722" spans="1:6">
      <c r="A722" s="307"/>
      <c r="B722" s="307"/>
      <c r="C722" s="307"/>
      <c r="D722" s="307"/>
      <c r="E722" s="307"/>
      <c r="F722" s="307"/>
    </row>
    <row r="723" spans="1:6">
      <c r="A723" s="307"/>
      <c r="B723" s="307"/>
      <c r="C723" s="307"/>
      <c r="D723" s="307"/>
      <c r="E723" s="307"/>
      <c r="F723" s="307"/>
    </row>
    <row r="724" spans="1:6">
      <c r="A724" s="307"/>
      <c r="B724" s="307"/>
      <c r="C724" s="307"/>
      <c r="D724" s="307"/>
      <c r="E724" s="307"/>
      <c r="F724" s="307"/>
    </row>
    <row r="725" spans="1:6">
      <c r="A725" s="307"/>
      <c r="B725" s="307"/>
      <c r="C725" s="307"/>
      <c r="D725" s="307"/>
      <c r="E725" s="307"/>
      <c r="F725" s="307"/>
    </row>
    <row r="726" spans="1:6">
      <c r="A726" s="307"/>
      <c r="B726" s="307"/>
      <c r="C726" s="307"/>
      <c r="D726" s="307"/>
      <c r="E726" s="307"/>
      <c r="F726" s="307"/>
    </row>
    <row r="727" spans="1:6">
      <c r="A727" s="307"/>
      <c r="B727" s="307"/>
      <c r="C727" s="307"/>
      <c r="D727" s="307"/>
      <c r="E727" s="307"/>
      <c r="F727" s="307"/>
    </row>
    <row r="728" spans="1:6">
      <c r="A728" s="307"/>
      <c r="B728" s="307"/>
      <c r="C728" s="307"/>
      <c r="D728" s="307"/>
      <c r="E728" s="307"/>
      <c r="F728" s="307"/>
    </row>
    <row r="729" spans="1:6">
      <c r="A729" s="307"/>
      <c r="B729" s="307"/>
      <c r="C729" s="307"/>
      <c r="D729" s="307"/>
      <c r="E729" s="307"/>
      <c r="F729" s="307"/>
    </row>
    <row r="730" spans="1:6">
      <c r="A730" s="307"/>
      <c r="B730" s="307"/>
      <c r="C730" s="307"/>
      <c r="D730" s="307"/>
      <c r="E730" s="307"/>
      <c r="F730" s="307"/>
    </row>
    <row r="731" spans="1:6">
      <c r="A731" s="307"/>
      <c r="B731" s="307"/>
      <c r="C731" s="307"/>
      <c r="D731" s="307"/>
      <c r="E731" s="307"/>
      <c r="F731" s="307"/>
    </row>
    <row r="732" spans="1:6">
      <c r="A732" s="307"/>
      <c r="B732" s="307"/>
      <c r="C732" s="307"/>
      <c r="D732" s="307"/>
      <c r="E732" s="307"/>
      <c r="F732" s="307"/>
    </row>
    <row r="733" spans="1:6">
      <c r="A733" s="307"/>
      <c r="B733" s="307"/>
      <c r="C733" s="307"/>
      <c r="D733" s="307"/>
      <c r="E733" s="307"/>
      <c r="F733" s="307"/>
    </row>
    <row r="734" spans="1:6">
      <c r="A734" s="307"/>
      <c r="B734" s="307"/>
      <c r="C734" s="307"/>
      <c r="D734" s="307"/>
      <c r="E734" s="307"/>
      <c r="F734" s="307"/>
    </row>
    <row r="735" spans="1:6">
      <c r="A735" s="307"/>
      <c r="B735" s="307"/>
      <c r="C735" s="307"/>
      <c r="D735" s="307"/>
      <c r="E735" s="307"/>
      <c r="F735" s="307"/>
    </row>
    <row r="736" spans="1:6">
      <c r="A736" s="307"/>
      <c r="B736" s="307"/>
      <c r="C736" s="307"/>
      <c r="D736" s="307"/>
      <c r="E736" s="307"/>
      <c r="F736" s="307"/>
    </row>
    <row r="737" spans="1:6">
      <c r="A737" s="307"/>
      <c r="B737" s="307"/>
      <c r="C737" s="307"/>
      <c r="D737" s="307"/>
      <c r="E737" s="307"/>
      <c r="F737" s="307"/>
    </row>
    <row r="738" spans="1:6">
      <c r="A738" s="307"/>
      <c r="B738" s="307"/>
      <c r="C738" s="307"/>
      <c r="D738" s="307"/>
      <c r="E738" s="307"/>
      <c r="F738" s="307"/>
    </row>
    <row r="739" spans="1:6">
      <c r="A739" s="307"/>
      <c r="B739" s="307"/>
      <c r="C739" s="307"/>
      <c r="D739" s="307"/>
      <c r="E739" s="307"/>
      <c r="F739" s="307"/>
    </row>
    <row r="740" spans="1:6">
      <c r="A740" s="307"/>
      <c r="B740" s="307"/>
      <c r="C740" s="307"/>
      <c r="D740" s="307"/>
      <c r="E740" s="307"/>
      <c r="F740" s="307"/>
    </row>
    <row r="741" spans="1:6">
      <c r="A741" s="307"/>
      <c r="B741" s="307"/>
      <c r="C741" s="307"/>
      <c r="D741" s="307"/>
      <c r="E741" s="307"/>
      <c r="F741" s="307"/>
    </row>
    <row r="742" spans="1:6">
      <c r="A742" s="307"/>
      <c r="B742" s="307"/>
      <c r="C742" s="307"/>
      <c r="D742" s="307"/>
      <c r="E742" s="307"/>
      <c r="F742" s="307"/>
    </row>
    <row r="743" spans="1:6">
      <c r="A743" s="307"/>
      <c r="B743" s="307"/>
      <c r="C743" s="307"/>
      <c r="D743" s="307"/>
      <c r="E743" s="307"/>
      <c r="F743" s="307"/>
    </row>
    <row r="744" spans="1:6">
      <c r="A744" s="307"/>
      <c r="B744" s="307"/>
      <c r="C744" s="307"/>
      <c r="D744" s="307"/>
      <c r="E744" s="307"/>
      <c r="F744" s="307"/>
    </row>
    <row r="745" spans="1:6">
      <c r="A745" s="307"/>
      <c r="B745" s="307"/>
      <c r="C745" s="307"/>
      <c r="D745" s="307"/>
      <c r="E745" s="307"/>
      <c r="F745" s="307"/>
    </row>
    <row r="746" spans="1:6">
      <c r="A746" s="307"/>
      <c r="B746" s="307"/>
      <c r="C746" s="307"/>
      <c r="D746" s="307"/>
      <c r="E746" s="307"/>
      <c r="F746" s="307"/>
    </row>
    <row r="747" spans="1:6">
      <c r="A747" s="307"/>
      <c r="B747" s="307"/>
      <c r="C747" s="307"/>
      <c r="D747" s="307"/>
      <c r="E747" s="307"/>
      <c r="F747" s="307"/>
    </row>
    <row r="748" spans="1:6">
      <c r="A748" s="307"/>
      <c r="B748" s="307"/>
      <c r="C748" s="307"/>
      <c r="D748" s="307"/>
      <c r="E748" s="307"/>
      <c r="F748" s="307"/>
    </row>
    <row r="749" spans="1:6">
      <c r="A749" s="307"/>
      <c r="B749" s="307"/>
      <c r="C749" s="307"/>
      <c r="D749" s="307"/>
      <c r="E749" s="307"/>
      <c r="F749" s="307"/>
    </row>
    <row r="750" spans="1:6">
      <c r="A750" s="307"/>
      <c r="B750" s="307"/>
      <c r="C750" s="307"/>
      <c r="D750" s="307"/>
      <c r="E750" s="307"/>
      <c r="F750" s="307"/>
    </row>
    <row r="751" spans="1:6">
      <c r="A751" s="307"/>
      <c r="B751" s="307"/>
      <c r="C751" s="307"/>
      <c r="D751" s="307"/>
      <c r="E751" s="307"/>
      <c r="F751" s="307"/>
    </row>
    <row r="752" spans="1:6">
      <c r="A752" s="307"/>
      <c r="B752" s="307"/>
      <c r="C752" s="307"/>
      <c r="D752" s="307"/>
      <c r="E752" s="307"/>
      <c r="F752" s="307"/>
    </row>
    <row r="753" spans="1:6">
      <c r="A753" s="12"/>
      <c r="B753" s="12"/>
      <c r="C753" s="12"/>
      <c r="D753" s="12"/>
      <c r="E753" s="12"/>
      <c r="F753" s="12"/>
    </row>
    <row r="754" spans="1:6">
      <c r="A754" s="12"/>
      <c r="B754" s="12"/>
      <c r="C754" s="12"/>
      <c r="D754" s="12"/>
      <c r="E754" s="12"/>
      <c r="F754" s="12"/>
    </row>
    <row r="755" spans="1:6">
      <c r="A755" s="12"/>
      <c r="B755" s="12"/>
      <c r="C755" s="12"/>
      <c r="D755" s="12"/>
      <c r="E755" s="12"/>
      <c r="F755" s="12"/>
    </row>
    <row r="756" spans="1:6">
      <c r="A756" s="12"/>
      <c r="B756" s="12"/>
      <c r="C756" s="12"/>
      <c r="D756" s="12"/>
      <c r="E756" s="12"/>
      <c r="F756" s="12"/>
    </row>
    <row r="757" spans="1:6">
      <c r="A757" s="12"/>
      <c r="B757" s="12"/>
      <c r="C757" s="12"/>
      <c r="D757" s="12"/>
      <c r="E757" s="12"/>
      <c r="F757" s="12"/>
    </row>
    <row r="758" spans="1:6">
      <c r="A758" s="12"/>
      <c r="B758" s="12"/>
      <c r="C758" s="12"/>
      <c r="D758" s="12"/>
      <c r="E758" s="12"/>
      <c r="F758" s="12"/>
    </row>
    <row r="759" spans="1:6">
      <c r="A759" s="12"/>
      <c r="B759" s="12"/>
      <c r="C759" s="12"/>
      <c r="D759" s="12"/>
      <c r="E759" s="12"/>
      <c r="F759" s="12"/>
    </row>
    <row r="760" spans="1:6">
      <c r="A760" s="12"/>
      <c r="B760" s="12"/>
      <c r="C760" s="12"/>
      <c r="D760" s="12"/>
      <c r="E760" s="12"/>
      <c r="F760" s="12"/>
    </row>
    <row r="761" spans="1:6">
      <c r="A761" s="12"/>
      <c r="B761" s="12"/>
      <c r="C761" s="12"/>
      <c r="D761" s="12"/>
      <c r="E761" s="12"/>
      <c r="F761" s="12"/>
    </row>
    <row r="762" spans="1:6">
      <c r="A762" s="12"/>
      <c r="B762" s="12"/>
      <c r="C762" s="12"/>
      <c r="D762" s="12"/>
      <c r="E762" s="12"/>
      <c r="F762" s="12"/>
    </row>
    <row r="763" spans="1:6">
      <c r="A763" s="12"/>
      <c r="B763" s="12"/>
      <c r="C763" s="12"/>
      <c r="D763" s="12"/>
      <c r="E763" s="12"/>
      <c r="F763" s="12"/>
    </row>
    <row r="764" spans="1:6">
      <c r="A764" s="12"/>
      <c r="B764" s="12"/>
      <c r="C764" s="12"/>
      <c r="D764" s="12"/>
      <c r="E764" s="12"/>
      <c r="F764" s="12"/>
    </row>
    <row r="765" spans="1:6">
      <c r="A765" s="12"/>
      <c r="B765" s="12"/>
      <c r="C765" s="12"/>
      <c r="D765" s="12"/>
      <c r="E765" s="12"/>
      <c r="F765" s="12"/>
    </row>
    <row r="766" spans="1:6">
      <c r="A766" s="12"/>
      <c r="B766" s="12"/>
      <c r="C766" s="12"/>
      <c r="D766" s="12"/>
      <c r="E766" s="12"/>
      <c r="F766" s="12"/>
    </row>
    <row r="767" spans="1:6">
      <c r="A767" s="12"/>
      <c r="B767" s="12"/>
      <c r="C767" s="12"/>
      <c r="D767" s="12"/>
      <c r="E767" s="12"/>
      <c r="F767" s="12"/>
    </row>
    <row r="768" spans="1:6">
      <c r="A768" s="12"/>
      <c r="B768" s="12"/>
      <c r="C768" s="12"/>
      <c r="D768" s="12"/>
      <c r="E768" s="12"/>
      <c r="F768" s="12"/>
    </row>
    <row r="769" spans="1:6">
      <c r="A769" s="12"/>
      <c r="B769" s="12"/>
      <c r="C769" s="12"/>
      <c r="D769" s="12"/>
      <c r="E769" s="12"/>
      <c r="F769" s="12"/>
    </row>
    <row r="770" spans="1:6">
      <c r="A770" s="12"/>
      <c r="B770" s="12"/>
      <c r="C770" s="12"/>
      <c r="D770" s="12"/>
      <c r="E770" s="12"/>
      <c r="F770" s="12"/>
    </row>
    <row r="771" spans="1:6">
      <c r="A771" s="12"/>
      <c r="B771" s="12"/>
      <c r="C771" s="12"/>
      <c r="D771" s="12"/>
      <c r="E771" s="12"/>
      <c r="F771" s="12"/>
    </row>
    <row r="772" spans="1:6">
      <c r="A772" s="12"/>
      <c r="B772" s="12"/>
      <c r="C772" s="12"/>
      <c r="D772" s="12"/>
      <c r="E772" s="12"/>
      <c r="F772" s="12"/>
    </row>
  </sheetData>
  <mergeCells count="3">
    <mergeCell ref="F3:G3"/>
    <mergeCell ref="B1:D1"/>
    <mergeCell ref="A2:E2"/>
  </mergeCells>
  <conditionalFormatting sqref="A611">
    <cfRule type="expression" dxfId="153" priority="1" stopIfTrue="1">
      <formula>AND(COUNTIF($B:$B, A611)&gt;1,NOT(ISBLANK(A611)))</formula>
    </cfRule>
  </conditionalFormatting>
  <pageMargins left="0.70866141732283472" right="0.19685039370078741" top="0.74803149606299213" bottom="0.74803149606299213" header="0.31496062992125984" footer="0.31496062992125984"/>
  <pageSetup paperSize="9" scale="90"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23"/>
  <sheetViews>
    <sheetView zoomScaleNormal="100" workbookViewId="0">
      <pane xSplit="2" ySplit="9" topLeftCell="C42" activePane="bottomRight" state="frozen"/>
      <selection pane="topRight" activeCell="C1" sqref="C1"/>
      <selection pane="bottomLeft" activeCell="A10" sqref="A10"/>
      <selection pane="bottomRight" activeCell="C10" sqref="C10"/>
    </sheetView>
  </sheetViews>
  <sheetFormatPr defaultRowHeight="12.75"/>
  <cols>
    <col min="1" max="1" width="4.7109375" style="70" customWidth="1"/>
    <col min="2" max="2" width="61" style="70" customWidth="1"/>
    <col min="3" max="3" width="12.5703125" style="70" customWidth="1"/>
    <col min="4" max="4" width="5.7109375" style="70" bestFit="1" customWidth="1"/>
    <col min="5" max="5" width="9.5703125" style="70" bestFit="1" customWidth="1"/>
    <col min="6" max="6" width="7.28515625" style="70" bestFit="1" customWidth="1"/>
    <col min="7" max="7" width="18.28515625" style="70" customWidth="1"/>
    <col min="8" max="8" width="16" style="70" customWidth="1"/>
    <col min="9" max="9" width="19.7109375" style="70" customWidth="1"/>
    <col min="10" max="10" width="13.7109375" style="70" bestFit="1" customWidth="1"/>
    <col min="11" max="11" width="13.7109375" style="70" customWidth="1"/>
    <col min="12" max="12" width="11.28515625" style="70" customWidth="1"/>
    <col min="13" max="16" width="9.140625" style="70"/>
    <col min="17" max="17" width="11" style="70" bestFit="1" customWidth="1"/>
    <col min="18" max="256" width="9.140625" style="70"/>
    <col min="257" max="257" width="4.7109375" style="70" customWidth="1"/>
    <col min="258" max="258" width="61" style="70" customWidth="1"/>
    <col min="259" max="259" width="12.5703125" style="70" customWidth="1"/>
    <col min="260" max="260" width="5.7109375" style="70" bestFit="1" customWidth="1"/>
    <col min="261" max="261" width="9.5703125" style="70" bestFit="1" customWidth="1"/>
    <col min="262" max="262" width="5" style="70" bestFit="1" customWidth="1"/>
    <col min="263" max="263" width="18.28515625" style="70" customWidth="1"/>
    <col min="264" max="264" width="22" style="70" customWidth="1"/>
    <col min="265" max="265" width="19.7109375" style="70" customWidth="1"/>
    <col min="266" max="266" width="13.7109375" style="70" bestFit="1" customWidth="1"/>
    <col min="267" max="267" width="13.7109375" style="70" customWidth="1"/>
    <col min="268" max="268" width="11.28515625" style="70" customWidth="1"/>
    <col min="269" max="272" width="9.140625" style="70"/>
    <col min="273" max="273" width="11" style="70" bestFit="1" customWidth="1"/>
    <col min="274" max="512" width="9.140625" style="70"/>
    <col min="513" max="513" width="4.7109375" style="70" customWidth="1"/>
    <col min="514" max="514" width="61" style="70" customWidth="1"/>
    <col min="515" max="515" width="12.5703125" style="70" customWidth="1"/>
    <col min="516" max="516" width="5.7109375" style="70" bestFit="1" customWidth="1"/>
    <col min="517" max="517" width="9.5703125" style="70" bestFit="1" customWidth="1"/>
    <col min="518" max="518" width="5" style="70" bestFit="1" customWidth="1"/>
    <col min="519" max="519" width="18.28515625" style="70" customWidth="1"/>
    <col min="520" max="520" width="22" style="70" customWidth="1"/>
    <col min="521" max="521" width="19.7109375" style="70" customWidth="1"/>
    <col min="522" max="522" width="13.7109375" style="70" bestFit="1" customWidth="1"/>
    <col min="523" max="523" width="13.7109375" style="70" customWidth="1"/>
    <col min="524" max="524" width="11.28515625" style="70" customWidth="1"/>
    <col min="525" max="528" width="9.140625" style="70"/>
    <col min="529" max="529" width="11" style="70" bestFit="1" customWidth="1"/>
    <col min="530" max="768" width="9.140625" style="70"/>
    <col min="769" max="769" width="4.7109375" style="70" customWidth="1"/>
    <col min="770" max="770" width="61" style="70" customWidth="1"/>
    <col min="771" max="771" width="12.5703125" style="70" customWidth="1"/>
    <col min="772" max="772" width="5.7109375" style="70" bestFit="1" customWidth="1"/>
    <col min="773" max="773" width="9.5703125" style="70" bestFit="1" customWidth="1"/>
    <col min="774" max="774" width="5" style="70" bestFit="1" customWidth="1"/>
    <col min="775" max="775" width="18.28515625" style="70" customWidth="1"/>
    <col min="776" max="776" width="22" style="70" customWidth="1"/>
    <col min="777" max="777" width="19.7109375" style="70" customWidth="1"/>
    <col min="778" max="778" width="13.7109375" style="70" bestFit="1" customWidth="1"/>
    <col min="779" max="779" width="13.7109375" style="70" customWidth="1"/>
    <col min="780" max="780" width="11.28515625" style="70" customWidth="1"/>
    <col min="781" max="784" width="9.140625" style="70"/>
    <col min="785" max="785" width="11" style="70" bestFit="1" customWidth="1"/>
    <col min="786" max="1024" width="9.140625" style="70"/>
    <col min="1025" max="1025" width="4.7109375" style="70" customWidth="1"/>
    <col min="1026" max="1026" width="61" style="70" customWidth="1"/>
    <col min="1027" max="1027" width="12.5703125" style="70" customWidth="1"/>
    <col min="1028" max="1028" width="5.7109375" style="70" bestFit="1" customWidth="1"/>
    <col min="1029" max="1029" width="9.5703125" style="70" bestFit="1" customWidth="1"/>
    <col min="1030" max="1030" width="5" style="70" bestFit="1" customWidth="1"/>
    <col min="1031" max="1031" width="18.28515625" style="70" customWidth="1"/>
    <col min="1032" max="1032" width="22" style="70" customWidth="1"/>
    <col min="1033" max="1033" width="19.7109375" style="70" customWidth="1"/>
    <col min="1034" max="1034" width="13.7109375" style="70" bestFit="1" customWidth="1"/>
    <col min="1035" max="1035" width="13.7109375" style="70" customWidth="1"/>
    <col min="1036" max="1036" width="11.28515625" style="70" customWidth="1"/>
    <col min="1037" max="1040" width="9.140625" style="70"/>
    <col min="1041" max="1041" width="11" style="70" bestFit="1" customWidth="1"/>
    <col min="1042" max="1280" width="9.140625" style="70"/>
    <col min="1281" max="1281" width="4.7109375" style="70" customWidth="1"/>
    <col min="1282" max="1282" width="61" style="70" customWidth="1"/>
    <col min="1283" max="1283" width="12.5703125" style="70" customWidth="1"/>
    <col min="1284" max="1284" width="5.7109375" style="70" bestFit="1" customWidth="1"/>
    <col min="1285" max="1285" width="9.5703125" style="70" bestFit="1" customWidth="1"/>
    <col min="1286" max="1286" width="5" style="70" bestFit="1" customWidth="1"/>
    <col min="1287" max="1287" width="18.28515625" style="70" customWidth="1"/>
    <col min="1288" max="1288" width="22" style="70" customWidth="1"/>
    <col min="1289" max="1289" width="19.7109375" style="70" customWidth="1"/>
    <col min="1290" max="1290" width="13.7109375" style="70" bestFit="1" customWidth="1"/>
    <col min="1291" max="1291" width="13.7109375" style="70" customWidth="1"/>
    <col min="1292" max="1292" width="11.28515625" style="70" customWidth="1"/>
    <col min="1293" max="1296" width="9.140625" style="70"/>
    <col min="1297" max="1297" width="11" style="70" bestFit="1" customWidth="1"/>
    <col min="1298" max="1536" width="9.140625" style="70"/>
    <col min="1537" max="1537" width="4.7109375" style="70" customWidth="1"/>
    <col min="1538" max="1538" width="61" style="70" customWidth="1"/>
    <col min="1539" max="1539" width="12.5703125" style="70" customWidth="1"/>
    <col min="1540" max="1540" width="5.7109375" style="70" bestFit="1" customWidth="1"/>
    <col min="1541" max="1541" width="9.5703125" style="70" bestFit="1" customWidth="1"/>
    <col min="1542" max="1542" width="5" style="70" bestFit="1" customWidth="1"/>
    <col min="1543" max="1543" width="18.28515625" style="70" customWidth="1"/>
    <col min="1544" max="1544" width="22" style="70" customWidth="1"/>
    <col min="1545" max="1545" width="19.7109375" style="70" customWidth="1"/>
    <col min="1546" max="1546" width="13.7109375" style="70" bestFit="1" customWidth="1"/>
    <col min="1547" max="1547" width="13.7109375" style="70" customWidth="1"/>
    <col min="1548" max="1548" width="11.28515625" style="70" customWidth="1"/>
    <col min="1549" max="1552" width="9.140625" style="70"/>
    <col min="1553" max="1553" width="11" style="70" bestFit="1" customWidth="1"/>
    <col min="1554" max="1792" width="9.140625" style="70"/>
    <col min="1793" max="1793" width="4.7109375" style="70" customWidth="1"/>
    <col min="1794" max="1794" width="61" style="70" customWidth="1"/>
    <col min="1795" max="1795" width="12.5703125" style="70" customWidth="1"/>
    <col min="1796" max="1796" width="5.7109375" style="70" bestFit="1" customWidth="1"/>
    <col min="1797" max="1797" width="9.5703125" style="70" bestFit="1" customWidth="1"/>
    <col min="1798" max="1798" width="5" style="70" bestFit="1" customWidth="1"/>
    <col min="1799" max="1799" width="18.28515625" style="70" customWidth="1"/>
    <col min="1800" max="1800" width="22" style="70" customWidth="1"/>
    <col min="1801" max="1801" width="19.7109375" style="70" customWidth="1"/>
    <col min="1802" max="1802" width="13.7109375" style="70" bestFit="1" customWidth="1"/>
    <col min="1803" max="1803" width="13.7109375" style="70" customWidth="1"/>
    <col min="1804" max="1804" width="11.28515625" style="70" customWidth="1"/>
    <col min="1805" max="1808" width="9.140625" style="70"/>
    <col min="1809" max="1809" width="11" style="70" bestFit="1" customWidth="1"/>
    <col min="1810" max="2048" width="9.140625" style="70"/>
    <col min="2049" max="2049" width="4.7109375" style="70" customWidth="1"/>
    <col min="2050" max="2050" width="61" style="70" customWidth="1"/>
    <col min="2051" max="2051" width="12.5703125" style="70" customWidth="1"/>
    <col min="2052" max="2052" width="5.7109375" style="70" bestFit="1" customWidth="1"/>
    <col min="2053" max="2053" width="9.5703125" style="70" bestFit="1" customWidth="1"/>
    <col min="2054" max="2054" width="5" style="70" bestFit="1" customWidth="1"/>
    <col min="2055" max="2055" width="18.28515625" style="70" customWidth="1"/>
    <col min="2056" max="2056" width="22" style="70" customWidth="1"/>
    <col min="2057" max="2057" width="19.7109375" style="70" customWidth="1"/>
    <col min="2058" max="2058" width="13.7109375" style="70" bestFit="1" customWidth="1"/>
    <col min="2059" max="2059" width="13.7109375" style="70" customWidth="1"/>
    <col min="2060" max="2060" width="11.28515625" style="70" customWidth="1"/>
    <col min="2061" max="2064" width="9.140625" style="70"/>
    <col min="2065" max="2065" width="11" style="70" bestFit="1" customWidth="1"/>
    <col min="2066" max="2304" width="9.140625" style="70"/>
    <col min="2305" max="2305" width="4.7109375" style="70" customWidth="1"/>
    <col min="2306" max="2306" width="61" style="70" customWidth="1"/>
    <col min="2307" max="2307" width="12.5703125" style="70" customWidth="1"/>
    <col min="2308" max="2308" width="5.7109375" style="70" bestFit="1" customWidth="1"/>
    <col min="2309" max="2309" width="9.5703125" style="70" bestFit="1" customWidth="1"/>
    <col min="2310" max="2310" width="5" style="70" bestFit="1" customWidth="1"/>
    <col min="2311" max="2311" width="18.28515625" style="70" customWidth="1"/>
    <col min="2312" max="2312" width="22" style="70" customWidth="1"/>
    <col min="2313" max="2313" width="19.7109375" style="70" customWidth="1"/>
    <col min="2314" max="2314" width="13.7109375" style="70" bestFit="1" customWidth="1"/>
    <col min="2315" max="2315" width="13.7109375" style="70" customWidth="1"/>
    <col min="2316" max="2316" width="11.28515625" style="70" customWidth="1"/>
    <col min="2317" max="2320" width="9.140625" style="70"/>
    <col min="2321" max="2321" width="11" style="70" bestFit="1" customWidth="1"/>
    <col min="2322" max="2560" width="9.140625" style="70"/>
    <col min="2561" max="2561" width="4.7109375" style="70" customWidth="1"/>
    <col min="2562" max="2562" width="61" style="70" customWidth="1"/>
    <col min="2563" max="2563" width="12.5703125" style="70" customWidth="1"/>
    <col min="2564" max="2564" width="5.7109375" style="70" bestFit="1" customWidth="1"/>
    <col min="2565" max="2565" width="9.5703125" style="70" bestFit="1" customWidth="1"/>
    <col min="2566" max="2566" width="5" style="70" bestFit="1" customWidth="1"/>
    <col min="2567" max="2567" width="18.28515625" style="70" customWidth="1"/>
    <col min="2568" max="2568" width="22" style="70" customWidth="1"/>
    <col min="2569" max="2569" width="19.7109375" style="70" customWidth="1"/>
    <col min="2570" max="2570" width="13.7109375" style="70" bestFit="1" customWidth="1"/>
    <col min="2571" max="2571" width="13.7109375" style="70" customWidth="1"/>
    <col min="2572" max="2572" width="11.28515625" style="70" customWidth="1"/>
    <col min="2573" max="2576" width="9.140625" style="70"/>
    <col min="2577" max="2577" width="11" style="70" bestFit="1" customWidth="1"/>
    <col min="2578" max="2816" width="9.140625" style="70"/>
    <col min="2817" max="2817" width="4.7109375" style="70" customWidth="1"/>
    <col min="2818" max="2818" width="61" style="70" customWidth="1"/>
    <col min="2819" max="2819" width="12.5703125" style="70" customWidth="1"/>
    <col min="2820" max="2820" width="5.7109375" style="70" bestFit="1" customWidth="1"/>
    <col min="2821" max="2821" width="9.5703125" style="70" bestFit="1" customWidth="1"/>
    <col min="2822" max="2822" width="5" style="70" bestFit="1" customWidth="1"/>
    <col min="2823" max="2823" width="18.28515625" style="70" customWidth="1"/>
    <col min="2824" max="2824" width="22" style="70" customWidth="1"/>
    <col min="2825" max="2825" width="19.7109375" style="70" customWidth="1"/>
    <col min="2826" max="2826" width="13.7109375" style="70" bestFit="1" customWidth="1"/>
    <col min="2827" max="2827" width="13.7109375" style="70" customWidth="1"/>
    <col min="2828" max="2828" width="11.28515625" style="70" customWidth="1"/>
    <col min="2829" max="2832" width="9.140625" style="70"/>
    <col min="2833" max="2833" width="11" style="70" bestFit="1" customWidth="1"/>
    <col min="2834" max="3072" width="9.140625" style="70"/>
    <col min="3073" max="3073" width="4.7109375" style="70" customWidth="1"/>
    <col min="3074" max="3074" width="61" style="70" customWidth="1"/>
    <col min="3075" max="3075" width="12.5703125" style="70" customWidth="1"/>
    <col min="3076" max="3076" width="5.7109375" style="70" bestFit="1" customWidth="1"/>
    <col min="3077" max="3077" width="9.5703125" style="70" bestFit="1" customWidth="1"/>
    <col min="3078" max="3078" width="5" style="70" bestFit="1" customWidth="1"/>
    <col min="3079" max="3079" width="18.28515625" style="70" customWidth="1"/>
    <col min="3080" max="3080" width="22" style="70" customWidth="1"/>
    <col min="3081" max="3081" width="19.7109375" style="70" customWidth="1"/>
    <col min="3082" max="3082" width="13.7109375" style="70" bestFit="1" customWidth="1"/>
    <col min="3083" max="3083" width="13.7109375" style="70" customWidth="1"/>
    <col min="3084" max="3084" width="11.28515625" style="70" customWidth="1"/>
    <col min="3085" max="3088" width="9.140625" style="70"/>
    <col min="3089" max="3089" width="11" style="70" bestFit="1" customWidth="1"/>
    <col min="3090" max="3328" width="9.140625" style="70"/>
    <col min="3329" max="3329" width="4.7109375" style="70" customWidth="1"/>
    <col min="3330" max="3330" width="61" style="70" customWidth="1"/>
    <col min="3331" max="3331" width="12.5703125" style="70" customWidth="1"/>
    <col min="3332" max="3332" width="5.7109375" style="70" bestFit="1" customWidth="1"/>
    <col min="3333" max="3333" width="9.5703125" style="70" bestFit="1" customWidth="1"/>
    <col min="3334" max="3334" width="5" style="70" bestFit="1" customWidth="1"/>
    <col min="3335" max="3335" width="18.28515625" style="70" customWidth="1"/>
    <col min="3336" max="3336" width="22" style="70" customWidth="1"/>
    <col min="3337" max="3337" width="19.7109375" style="70" customWidth="1"/>
    <col min="3338" max="3338" width="13.7109375" style="70" bestFit="1" customWidth="1"/>
    <col min="3339" max="3339" width="13.7109375" style="70" customWidth="1"/>
    <col min="3340" max="3340" width="11.28515625" style="70" customWidth="1"/>
    <col min="3341" max="3344" width="9.140625" style="70"/>
    <col min="3345" max="3345" width="11" style="70" bestFit="1" customWidth="1"/>
    <col min="3346" max="3584" width="9.140625" style="70"/>
    <col min="3585" max="3585" width="4.7109375" style="70" customWidth="1"/>
    <col min="3586" max="3586" width="61" style="70" customWidth="1"/>
    <col min="3587" max="3587" width="12.5703125" style="70" customWidth="1"/>
    <col min="3588" max="3588" width="5.7109375" style="70" bestFit="1" customWidth="1"/>
    <col min="3589" max="3589" width="9.5703125" style="70" bestFit="1" customWidth="1"/>
    <col min="3590" max="3590" width="5" style="70" bestFit="1" customWidth="1"/>
    <col min="3591" max="3591" width="18.28515625" style="70" customWidth="1"/>
    <col min="3592" max="3592" width="22" style="70" customWidth="1"/>
    <col min="3593" max="3593" width="19.7109375" style="70" customWidth="1"/>
    <col min="3594" max="3594" width="13.7109375" style="70" bestFit="1" customWidth="1"/>
    <col min="3595" max="3595" width="13.7109375" style="70" customWidth="1"/>
    <col min="3596" max="3596" width="11.28515625" style="70" customWidth="1"/>
    <col min="3597" max="3600" width="9.140625" style="70"/>
    <col min="3601" max="3601" width="11" style="70" bestFit="1" customWidth="1"/>
    <col min="3602" max="3840" width="9.140625" style="70"/>
    <col min="3841" max="3841" width="4.7109375" style="70" customWidth="1"/>
    <col min="3842" max="3842" width="61" style="70" customWidth="1"/>
    <col min="3843" max="3843" width="12.5703125" style="70" customWidth="1"/>
    <col min="3844" max="3844" width="5.7109375" style="70" bestFit="1" customWidth="1"/>
    <col min="3845" max="3845" width="9.5703125" style="70" bestFit="1" customWidth="1"/>
    <col min="3846" max="3846" width="5" style="70" bestFit="1" customWidth="1"/>
    <col min="3847" max="3847" width="18.28515625" style="70" customWidth="1"/>
    <col min="3848" max="3848" width="22" style="70" customWidth="1"/>
    <col min="3849" max="3849" width="19.7109375" style="70" customWidth="1"/>
    <col min="3850" max="3850" width="13.7109375" style="70" bestFit="1" customWidth="1"/>
    <col min="3851" max="3851" width="13.7109375" style="70" customWidth="1"/>
    <col min="3852" max="3852" width="11.28515625" style="70" customWidth="1"/>
    <col min="3853" max="3856" width="9.140625" style="70"/>
    <col min="3857" max="3857" width="11" style="70" bestFit="1" customWidth="1"/>
    <col min="3858" max="4096" width="9.140625" style="70"/>
    <col min="4097" max="4097" width="4.7109375" style="70" customWidth="1"/>
    <col min="4098" max="4098" width="61" style="70" customWidth="1"/>
    <col min="4099" max="4099" width="12.5703125" style="70" customWidth="1"/>
    <col min="4100" max="4100" width="5.7109375" style="70" bestFit="1" customWidth="1"/>
    <col min="4101" max="4101" width="9.5703125" style="70" bestFit="1" customWidth="1"/>
    <col min="4102" max="4102" width="5" style="70" bestFit="1" customWidth="1"/>
    <col min="4103" max="4103" width="18.28515625" style="70" customWidth="1"/>
    <col min="4104" max="4104" width="22" style="70" customWidth="1"/>
    <col min="4105" max="4105" width="19.7109375" style="70" customWidth="1"/>
    <col min="4106" max="4106" width="13.7109375" style="70" bestFit="1" customWidth="1"/>
    <col min="4107" max="4107" width="13.7109375" style="70" customWidth="1"/>
    <col min="4108" max="4108" width="11.28515625" style="70" customWidth="1"/>
    <col min="4109" max="4112" width="9.140625" style="70"/>
    <col min="4113" max="4113" width="11" style="70" bestFit="1" customWidth="1"/>
    <col min="4114" max="4352" width="9.140625" style="70"/>
    <col min="4353" max="4353" width="4.7109375" style="70" customWidth="1"/>
    <col min="4354" max="4354" width="61" style="70" customWidth="1"/>
    <col min="4355" max="4355" width="12.5703125" style="70" customWidth="1"/>
    <col min="4356" max="4356" width="5.7109375" style="70" bestFit="1" customWidth="1"/>
    <col min="4357" max="4357" width="9.5703125" style="70" bestFit="1" customWidth="1"/>
    <col min="4358" max="4358" width="5" style="70" bestFit="1" customWidth="1"/>
    <col min="4359" max="4359" width="18.28515625" style="70" customWidth="1"/>
    <col min="4360" max="4360" width="22" style="70" customWidth="1"/>
    <col min="4361" max="4361" width="19.7109375" style="70" customWidth="1"/>
    <col min="4362" max="4362" width="13.7109375" style="70" bestFit="1" customWidth="1"/>
    <col min="4363" max="4363" width="13.7109375" style="70" customWidth="1"/>
    <col min="4364" max="4364" width="11.28515625" style="70" customWidth="1"/>
    <col min="4365" max="4368" width="9.140625" style="70"/>
    <col min="4369" max="4369" width="11" style="70" bestFit="1" customWidth="1"/>
    <col min="4370" max="4608" width="9.140625" style="70"/>
    <col min="4609" max="4609" width="4.7109375" style="70" customWidth="1"/>
    <col min="4610" max="4610" width="61" style="70" customWidth="1"/>
    <col min="4611" max="4611" width="12.5703125" style="70" customWidth="1"/>
    <col min="4612" max="4612" width="5.7109375" style="70" bestFit="1" customWidth="1"/>
    <col min="4613" max="4613" width="9.5703125" style="70" bestFit="1" customWidth="1"/>
    <col min="4614" max="4614" width="5" style="70" bestFit="1" customWidth="1"/>
    <col min="4615" max="4615" width="18.28515625" style="70" customWidth="1"/>
    <col min="4616" max="4616" width="22" style="70" customWidth="1"/>
    <col min="4617" max="4617" width="19.7109375" style="70" customWidth="1"/>
    <col min="4618" max="4618" width="13.7109375" style="70" bestFit="1" customWidth="1"/>
    <col min="4619" max="4619" width="13.7109375" style="70" customWidth="1"/>
    <col min="4620" max="4620" width="11.28515625" style="70" customWidth="1"/>
    <col min="4621" max="4624" width="9.140625" style="70"/>
    <col min="4625" max="4625" width="11" style="70" bestFit="1" customWidth="1"/>
    <col min="4626" max="4864" width="9.140625" style="70"/>
    <col min="4865" max="4865" width="4.7109375" style="70" customWidth="1"/>
    <col min="4866" max="4866" width="61" style="70" customWidth="1"/>
    <col min="4867" max="4867" width="12.5703125" style="70" customWidth="1"/>
    <col min="4868" max="4868" width="5.7109375" style="70" bestFit="1" customWidth="1"/>
    <col min="4869" max="4869" width="9.5703125" style="70" bestFit="1" customWidth="1"/>
    <col min="4870" max="4870" width="5" style="70" bestFit="1" customWidth="1"/>
    <col min="4871" max="4871" width="18.28515625" style="70" customWidth="1"/>
    <col min="4872" max="4872" width="22" style="70" customWidth="1"/>
    <col min="4873" max="4873" width="19.7109375" style="70" customWidth="1"/>
    <col min="4874" max="4874" width="13.7109375" style="70" bestFit="1" customWidth="1"/>
    <col min="4875" max="4875" width="13.7109375" style="70" customWidth="1"/>
    <col min="4876" max="4876" width="11.28515625" style="70" customWidth="1"/>
    <col min="4877" max="4880" width="9.140625" style="70"/>
    <col min="4881" max="4881" width="11" style="70" bestFit="1" customWidth="1"/>
    <col min="4882" max="5120" width="9.140625" style="70"/>
    <col min="5121" max="5121" width="4.7109375" style="70" customWidth="1"/>
    <col min="5122" max="5122" width="61" style="70" customWidth="1"/>
    <col min="5123" max="5123" width="12.5703125" style="70" customWidth="1"/>
    <col min="5124" max="5124" width="5.7109375" style="70" bestFit="1" customWidth="1"/>
    <col min="5125" max="5125" width="9.5703125" style="70" bestFit="1" customWidth="1"/>
    <col min="5126" max="5126" width="5" style="70" bestFit="1" customWidth="1"/>
    <col min="5127" max="5127" width="18.28515625" style="70" customWidth="1"/>
    <col min="5128" max="5128" width="22" style="70" customWidth="1"/>
    <col min="5129" max="5129" width="19.7109375" style="70" customWidth="1"/>
    <col min="5130" max="5130" width="13.7109375" style="70" bestFit="1" customWidth="1"/>
    <col min="5131" max="5131" width="13.7109375" style="70" customWidth="1"/>
    <col min="5132" max="5132" width="11.28515625" style="70" customWidth="1"/>
    <col min="5133" max="5136" width="9.140625" style="70"/>
    <col min="5137" max="5137" width="11" style="70" bestFit="1" customWidth="1"/>
    <col min="5138" max="5376" width="9.140625" style="70"/>
    <col min="5377" max="5377" width="4.7109375" style="70" customWidth="1"/>
    <col min="5378" max="5378" width="61" style="70" customWidth="1"/>
    <col min="5379" max="5379" width="12.5703125" style="70" customWidth="1"/>
    <col min="5380" max="5380" width="5.7109375" style="70" bestFit="1" customWidth="1"/>
    <col min="5381" max="5381" width="9.5703125" style="70" bestFit="1" customWidth="1"/>
    <col min="5382" max="5382" width="5" style="70" bestFit="1" customWidth="1"/>
    <col min="5383" max="5383" width="18.28515625" style="70" customWidth="1"/>
    <col min="5384" max="5384" width="22" style="70" customWidth="1"/>
    <col min="5385" max="5385" width="19.7109375" style="70" customWidth="1"/>
    <col min="5386" max="5386" width="13.7109375" style="70" bestFit="1" customWidth="1"/>
    <col min="5387" max="5387" width="13.7109375" style="70" customWidth="1"/>
    <col min="5388" max="5388" width="11.28515625" style="70" customWidth="1"/>
    <col min="5389" max="5392" width="9.140625" style="70"/>
    <col min="5393" max="5393" width="11" style="70" bestFit="1" customWidth="1"/>
    <col min="5394" max="5632" width="9.140625" style="70"/>
    <col min="5633" max="5633" width="4.7109375" style="70" customWidth="1"/>
    <col min="5634" max="5634" width="61" style="70" customWidth="1"/>
    <col min="5635" max="5635" width="12.5703125" style="70" customWidth="1"/>
    <col min="5636" max="5636" width="5.7109375" style="70" bestFit="1" customWidth="1"/>
    <col min="5637" max="5637" width="9.5703125" style="70" bestFit="1" customWidth="1"/>
    <col min="5638" max="5638" width="5" style="70" bestFit="1" customWidth="1"/>
    <col min="5639" max="5639" width="18.28515625" style="70" customWidth="1"/>
    <col min="5640" max="5640" width="22" style="70" customWidth="1"/>
    <col min="5641" max="5641" width="19.7109375" style="70" customWidth="1"/>
    <col min="5642" max="5642" width="13.7109375" style="70" bestFit="1" customWidth="1"/>
    <col min="5643" max="5643" width="13.7109375" style="70" customWidth="1"/>
    <col min="5644" max="5644" width="11.28515625" style="70" customWidth="1"/>
    <col min="5645" max="5648" width="9.140625" style="70"/>
    <col min="5649" max="5649" width="11" style="70" bestFit="1" customWidth="1"/>
    <col min="5650" max="5888" width="9.140625" style="70"/>
    <col min="5889" max="5889" width="4.7109375" style="70" customWidth="1"/>
    <col min="5890" max="5890" width="61" style="70" customWidth="1"/>
    <col min="5891" max="5891" width="12.5703125" style="70" customWidth="1"/>
    <col min="5892" max="5892" width="5.7109375" style="70" bestFit="1" customWidth="1"/>
    <col min="5893" max="5893" width="9.5703125" style="70" bestFit="1" customWidth="1"/>
    <col min="5894" max="5894" width="5" style="70" bestFit="1" customWidth="1"/>
    <col min="5895" max="5895" width="18.28515625" style="70" customWidth="1"/>
    <col min="5896" max="5896" width="22" style="70" customWidth="1"/>
    <col min="5897" max="5897" width="19.7109375" style="70" customWidth="1"/>
    <col min="5898" max="5898" width="13.7109375" style="70" bestFit="1" customWidth="1"/>
    <col min="5899" max="5899" width="13.7109375" style="70" customWidth="1"/>
    <col min="5900" max="5900" width="11.28515625" style="70" customWidth="1"/>
    <col min="5901" max="5904" width="9.140625" style="70"/>
    <col min="5905" max="5905" width="11" style="70" bestFit="1" customWidth="1"/>
    <col min="5906" max="6144" width="9.140625" style="70"/>
    <col min="6145" max="6145" width="4.7109375" style="70" customWidth="1"/>
    <col min="6146" max="6146" width="61" style="70" customWidth="1"/>
    <col min="6147" max="6147" width="12.5703125" style="70" customWidth="1"/>
    <col min="6148" max="6148" width="5.7109375" style="70" bestFit="1" customWidth="1"/>
    <col min="6149" max="6149" width="9.5703125" style="70" bestFit="1" customWidth="1"/>
    <col min="6150" max="6150" width="5" style="70" bestFit="1" customWidth="1"/>
    <col min="6151" max="6151" width="18.28515625" style="70" customWidth="1"/>
    <col min="6152" max="6152" width="22" style="70" customWidth="1"/>
    <col min="6153" max="6153" width="19.7109375" style="70" customWidth="1"/>
    <col min="6154" max="6154" width="13.7109375" style="70" bestFit="1" customWidth="1"/>
    <col min="6155" max="6155" width="13.7109375" style="70" customWidth="1"/>
    <col min="6156" max="6156" width="11.28515625" style="70" customWidth="1"/>
    <col min="6157" max="6160" width="9.140625" style="70"/>
    <col min="6161" max="6161" width="11" style="70" bestFit="1" customWidth="1"/>
    <col min="6162" max="6400" width="9.140625" style="70"/>
    <col min="6401" max="6401" width="4.7109375" style="70" customWidth="1"/>
    <col min="6402" max="6402" width="61" style="70" customWidth="1"/>
    <col min="6403" max="6403" width="12.5703125" style="70" customWidth="1"/>
    <col min="6404" max="6404" width="5.7109375" style="70" bestFit="1" customWidth="1"/>
    <col min="6405" max="6405" width="9.5703125" style="70" bestFit="1" customWidth="1"/>
    <col min="6406" max="6406" width="5" style="70" bestFit="1" customWidth="1"/>
    <col min="6407" max="6407" width="18.28515625" style="70" customWidth="1"/>
    <col min="6408" max="6408" width="22" style="70" customWidth="1"/>
    <col min="6409" max="6409" width="19.7109375" style="70" customWidth="1"/>
    <col min="6410" max="6410" width="13.7109375" style="70" bestFit="1" customWidth="1"/>
    <col min="6411" max="6411" width="13.7109375" style="70" customWidth="1"/>
    <col min="6412" max="6412" width="11.28515625" style="70" customWidth="1"/>
    <col min="6413" max="6416" width="9.140625" style="70"/>
    <col min="6417" max="6417" width="11" style="70" bestFit="1" customWidth="1"/>
    <col min="6418" max="6656" width="9.140625" style="70"/>
    <col min="6657" max="6657" width="4.7109375" style="70" customWidth="1"/>
    <col min="6658" max="6658" width="61" style="70" customWidth="1"/>
    <col min="6659" max="6659" width="12.5703125" style="70" customWidth="1"/>
    <col min="6660" max="6660" width="5.7109375" style="70" bestFit="1" customWidth="1"/>
    <col min="6661" max="6661" width="9.5703125" style="70" bestFit="1" customWidth="1"/>
    <col min="6662" max="6662" width="5" style="70" bestFit="1" customWidth="1"/>
    <col min="6663" max="6663" width="18.28515625" style="70" customWidth="1"/>
    <col min="6664" max="6664" width="22" style="70" customWidth="1"/>
    <col min="6665" max="6665" width="19.7109375" style="70" customWidth="1"/>
    <col min="6666" max="6666" width="13.7109375" style="70" bestFit="1" customWidth="1"/>
    <col min="6667" max="6667" width="13.7109375" style="70" customWidth="1"/>
    <col min="6668" max="6668" width="11.28515625" style="70" customWidth="1"/>
    <col min="6669" max="6672" width="9.140625" style="70"/>
    <col min="6673" max="6673" width="11" style="70" bestFit="1" customWidth="1"/>
    <col min="6674" max="6912" width="9.140625" style="70"/>
    <col min="6913" max="6913" width="4.7109375" style="70" customWidth="1"/>
    <col min="6914" max="6914" width="61" style="70" customWidth="1"/>
    <col min="6915" max="6915" width="12.5703125" style="70" customWidth="1"/>
    <col min="6916" max="6916" width="5.7109375" style="70" bestFit="1" customWidth="1"/>
    <col min="6917" max="6917" width="9.5703125" style="70" bestFit="1" customWidth="1"/>
    <col min="6918" max="6918" width="5" style="70" bestFit="1" customWidth="1"/>
    <col min="6919" max="6919" width="18.28515625" style="70" customWidth="1"/>
    <col min="6920" max="6920" width="22" style="70" customWidth="1"/>
    <col min="6921" max="6921" width="19.7109375" style="70" customWidth="1"/>
    <col min="6922" max="6922" width="13.7109375" style="70" bestFit="1" customWidth="1"/>
    <col min="6923" max="6923" width="13.7109375" style="70" customWidth="1"/>
    <col min="6924" max="6924" width="11.28515625" style="70" customWidth="1"/>
    <col min="6925" max="6928" width="9.140625" style="70"/>
    <col min="6929" max="6929" width="11" style="70" bestFit="1" customWidth="1"/>
    <col min="6930" max="7168" width="9.140625" style="70"/>
    <col min="7169" max="7169" width="4.7109375" style="70" customWidth="1"/>
    <col min="7170" max="7170" width="61" style="70" customWidth="1"/>
    <col min="7171" max="7171" width="12.5703125" style="70" customWidth="1"/>
    <col min="7172" max="7172" width="5.7109375" style="70" bestFit="1" customWidth="1"/>
    <col min="7173" max="7173" width="9.5703125" style="70" bestFit="1" customWidth="1"/>
    <col min="7174" max="7174" width="5" style="70" bestFit="1" customWidth="1"/>
    <col min="7175" max="7175" width="18.28515625" style="70" customWidth="1"/>
    <col min="7176" max="7176" width="22" style="70" customWidth="1"/>
    <col min="7177" max="7177" width="19.7109375" style="70" customWidth="1"/>
    <col min="7178" max="7178" width="13.7109375" style="70" bestFit="1" customWidth="1"/>
    <col min="7179" max="7179" width="13.7109375" style="70" customWidth="1"/>
    <col min="7180" max="7180" width="11.28515625" style="70" customWidth="1"/>
    <col min="7181" max="7184" width="9.140625" style="70"/>
    <col min="7185" max="7185" width="11" style="70" bestFit="1" customWidth="1"/>
    <col min="7186" max="7424" width="9.140625" style="70"/>
    <col min="7425" max="7425" width="4.7109375" style="70" customWidth="1"/>
    <col min="7426" max="7426" width="61" style="70" customWidth="1"/>
    <col min="7427" max="7427" width="12.5703125" style="70" customWidth="1"/>
    <col min="7428" max="7428" width="5.7109375" style="70" bestFit="1" customWidth="1"/>
    <col min="7429" max="7429" width="9.5703125" style="70" bestFit="1" customWidth="1"/>
    <col min="7430" max="7430" width="5" style="70" bestFit="1" customWidth="1"/>
    <col min="7431" max="7431" width="18.28515625" style="70" customWidth="1"/>
    <col min="7432" max="7432" width="22" style="70" customWidth="1"/>
    <col min="7433" max="7433" width="19.7109375" style="70" customWidth="1"/>
    <col min="7434" max="7434" width="13.7109375" style="70" bestFit="1" customWidth="1"/>
    <col min="7435" max="7435" width="13.7109375" style="70" customWidth="1"/>
    <col min="7436" max="7436" width="11.28515625" style="70" customWidth="1"/>
    <col min="7437" max="7440" width="9.140625" style="70"/>
    <col min="7441" max="7441" width="11" style="70" bestFit="1" customWidth="1"/>
    <col min="7442" max="7680" width="9.140625" style="70"/>
    <col min="7681" max="7681" width="4.7109375" style="70" customWidth="1"/>
    <col min="7682" max="7682" width="61" style="70" customWidth="1"/>
    <col min="7683" max="7683" width="12.5703125" style="70" customWidth="1"/>
    <col min="7684" max="7684" width="5.7109375" style="70" bestFit="1" customWidth="1"/>
    <col min="7685" max="7685" width="9.5703125" style="70" bestFit="1" customWidth="1"/>
    <col min="7686" max="7686" width="5" style="70" bestFit="1" customWidth="1"/>
    <col min="7687" max="7687" width="18.28515625" style="70" customWidth="1"/>
    <col min="7688" max="7688" width="22" style="70" customWidth="1"/>
    <col min="7689" max="7689" width="19.7109375" style="70" customWidth="1"/>
    <col min="7690" max="7690" width="13.7109375" style="70" bestFit="1" customWidth="1"/>
    <col min="7691" max="7691" width="13.7109375" style="70" customWidth="1"/>
    <col min="7692" max="7692" width="11.28515625" style="70" customWidth="1"/>
    <col min="7693" max="7696" width="9.140625" style="70"/>
    <col min="7697" max="7697" width="11" style="70" bestFit="1" customWidth="1"/>
    <col min="7698" max="7936" width="9.140625" style="70"/>
    <col min="7937" max="7937" width="4.7109375" style="70" customWidth="1"/>
    <col min="7938" max="7938" width="61" style="70" customWidth="1"/>
    <col min="7939" max="7939" width="12.5703125" style="70" customWidth="1"/>
    <col min="7940" max="7940" width="5.7109375" style="70" bestFit="1" customWidth="1"/>
    <col min="7941" max="7941" width="9.5703125" style="70" bestFit="1" customWidth="1"/>
    <col min="7942" max="7942" width="5" style="70" bestFit="1" customWidth="1"/>
    <col min="7943" max="7943" width="18.28515625" style="70" customWidth="1"/>
    <col min="7944" max="7944" width="22" style="70" customWidth="1"/>
    <col min="7945" max="7945" width="19.7109375" style="70" customWidth="1"/>
    <col min="7946" max="7946" width="13.7109375" style="70" bestFit="1" customWidth="1"/>
    <col min="7947" max="7947" width="13.7109375" style="70" customWidth="1"/>
    <col min="7948" max="7948" width="11.28515625" style="70" customWidth="1"/>
    <col min="7949" max="7952" width="9.140625" style="70"/>
    <col min="7953" max="7953" width="11" style="70" bestFit="1" customWidth="1"/>
    <col min="7954" max="8192" width="9.140625" style="70"/>
    <col min="8193" max="8193" width="4.7109375" style="70" customWidth="1"/>
    <col min="8194" max="8194" width="61" style="70" customWidth="1"/>
    <col min="8195" max="8195" width="12.5703125" style="70" customWidth="1"/>
    <col min="8196" max="8196" width="5.7109375" style="70" bestFit="1" customWidth="1"/>
    <col min="8197" max="8197" width="9.5703125" style="70" bestFit="1" customWidth="1"/>
    <col min="8198" max="8198" width="5" style="70" bestFit="1" customWidth="1"/>
    <col min="8199" max="8199" width="18.28515625" style="70" customWidth="1"/>
    <col min="8200" max="8200" width="22" style="70" customWidth="1"/>
    <col min="8201" max="8201" width="19.7109375" style="70" customWidth="1"/>
    <col min="8202" max="8202" width="13.7109375" style="70" bestFit="1" customWidth="1"/>
    <col min="8203" max="8203" width="13.7109375" style="70" customWidth="1"/>
    <col min="8204" max="8204" width="11.28515625" style="70" customWidth="1"/>
    <col min="8205" max="8208" width="9.140625" style="70"/>
    <col min="8209" max="8209" width="11" style="70" bestFit="1" customWidth="1"/>
    <col min="8210" max="8448" width="9.140625" style="70"/>
    <col min="8449" max="8449" width="4.7109375" style="70" customWidth="1"/>
    <col min="8450" max="8450" width="61" style="70" customWidth="1"/>
    <col min="8451" max="8451" width="12.5703125" style="70" customWidth="1"/>
    <col min="8452" max="8452" width="5.7109375" style="70" bestFit="1" customWidth="1"/>
    <col min="8453" max="8453" width="9.5703125" style="70" bestFit="1" customWidth="1"/>
    <col min="8454" max="8454" width="5" style="70" bestFit="1" customWidth="1"/>
    <col min="8455" max="8455" width="18.28515625" style="70" customWidth="1"/>
    <col min="8456" max="8456" width="22" style="70" customWidth="1"/>
    <col min="8457" max="8457" width="19.7109375" style="70" customWidth="1"/>
    <col min="8458" max="8458" width="13.7109375" style="70" bestFit="1" customWidth="1"/>
    <col min="8459" max="8459" width="13.7109375" style="70" customWidth="1"/>
    <col min="8460" max="8460" width="11.28515625" style="70" customWidth="1"/>
    <col min="8461" max="8464" width="9.140625" style="70"/>
    <col min="8465" max="8465" width="11" style="70" bestFit="1" customWidth="1"/>
    <col min="8466" max="8704" width="9.140625" style="70"/>
    <col min="8705" max="8705" width="4.7109375" style="70" customWidth="1"/>
    <col min="8706" max="8706" width="61" style="70" customWidth="1"/>
    <col min="8707" max="8707" width="12.5703125" style="70" customWidth="1"/>
    <col min="8708" max="8708" width="5.7109375" style="70" bestFit="1" customWidth="1"/>
    <col min="8709" max="8709" width="9.5703125" style="70" bestFit="1" customWidth="1"/>
    <col min="8710" max="8710" width="5" style="70" bestFit="1" customWidth="1"/>
    <col min="8711" max="8711" width="18.28515625" style="70" customWidth="1"/>
    <col min="8712" max="8712" width="22" style="70" customWidth="1"/>
    <col min="8713" max="8713" width="19.7109375" style="70" customWidth="1"/>
    <col min="8714" max="8714" width="13.7109375" style="70" bestFit="1" customWidth="1"/>
    <col min="8715" max="8715" width="13.7109375" style="70" customWidth="1"/>
    <col min="8716" max="8716" width="11.28515625" style="70" customWidth="1"/>
    <col min="8717" max="8720" width="9.140625" style="70"/>
    <col min="8721" max="8721" width="11" style="70" bestFit="1" customWidth="1"/>
    <col min="8722" max="8960" width="9.140625" style="70"/>
    <col min="8961" max="8961" width="4.7109375" style="70" customWidth="1"/>
    <col min="8962" max="8962" width="61" style="70" customWidth="1"/>
    <col min="8963" max="8963" width="12.5703125" style="70" customWidth="1"/>
    <col min="8964" max="8964" width="5.7109375" style="70" bestFit="1" customWidth="1"/>
    <col min="8965" max="8965" width="9.5703125" style="70" bestFit="1" customWidth="1"/>
    <col min="8966" max="8966" width="5" style="70" bestFit="1" customWidth="1"/>
    <col min="8967" max="8967" width="18.28515625" style="70" customWidth="1"/>
    <col min="8968" max="8968" width="22" style="70" customWidth="1"/>
    <col min="8969" max="8969" width="19.7109375" style="70" customWidth="1"/>
    <col min="8970" max="8970" width="13.7109375" style="70" bestFit="1" customWidth="1"/>
    <col min="8971" max="8971" width="13.7109375" style="70" customWidth="1"/>
    <col min="8972" max="8972" width="11.28515625" style="70" customWidth="1"/>
    <col min="8973" max="8976" width="9.140625" style="70"/>
    <col min="8977" max="8977" width="11" style="70" bestFit="1" customWidth="1"/>
    <col min="8978" max="9216" width="9.140625" style="70"/>
    <col min="9217" max="9217" width="4.7109375" style="70" customWidth="1"/>
    <col min="9218" max="9218" width="61" style="70" customWidth="1"/>
    <col min="9219" max="9219" width="12.5703125" style="70" customWidth="1"/>
    <col min="9220" max="9220" width="5.7109375" style="70" bestFit="1" customWidth="1"/>
    <col min="9221" max="9221" width="9.5703125" style="70" bestFit="1" customWidth="1"/>
    <col min="9222" max="9222" width="5" style="70" bestFit="1" customWidth="1"/>
    <col min="9223" max="9223" width="18.28515625" style="70" customWidth="1"/>
    <col min="9224" max="9224" width="22" style="70" customWidth="1"/>
    <col min="9225" max="9225" width="19.7109375" style="70" customWidth="1"/>
    <col min="9226" max="9226" width="13.7109375" style="70" bestFit="1" customWidth="1"/>
    <col min="9227" max="9227" width="13.7109375" style="70" customWidth="1"/>
    <col min="9228" max="9228" width="11.28515625" style="70" customWidth="1"/>
    <col min="9229" max="9232" width="9.140625" style="70"/>
    <col min="9233" max="9233" width="11" style="70" bestFit="1" customWidth="1"/>
    <col min="9234" max="9472" width="9.140625" style="70"/>
    <col min="9473" max="9473" width="4.7109375" style="70" customWidth="1"/>
    <col min="9474" max="9474" width="61" style="70" customWidth="1"/>
    <col min="9475" max="9475" width="12.5703125" style="70" customWidth="1"/>
    <col min="9476" max="9476" width="5.7109375" style="70" bestFit="1" customWidth="1"/>
    <col min="9477" max="9477" width="9.5703125" style="70" bestFit="1" customWidth="1"/>
    <col min="9478" max="9478" width="5" style="70" bestFit="1" customWidth="1"/>
    <col min="9479" max="9479" width="18.28515625" style="70" customWidth="1"/>
    <col min="9480" max="9480" width="22" style="70" customWidth="1"/>
    <col min="9481" max="9481" width="19.7109375" style="70" customWidth="1"/>
    <col min="9482" max="9482" width="13.7109375" style="70" bestFit="1" customWidth="1"/>
    <col min="9483" max="9483" width="13.7109375" style="70" customWidth="1"/>
    <col min="9484" max="9484" width="11.28515625" style="70" customWidth="1"/>
    <col min="9485" max="9488" width="9.140625" style="70"/>
    <col min="9489" max="9489" width="11" style="70" bestFit="1" customWidth="1"/>
    <col min="9490" max="9728" width="9.140625" style="70"/>
    <col min="9729" max="9729" width="4.7109375" style="70" customWidth="1"/>
    <col min="9730" max="9730" width="61" style="70" customWidth="1"/>
    <col min="9731" max="9731" width="12.5703125" style="70" customWidth="1"/>
    <col min="9732" max="9732" width="5.7109375" style="70" bestFit="1" customWidth="1"/>
    <col min="9733" max="9733" width="9.5703125" style="70" bestFit="1" customWidth="1"/>
    <col min="9734" max="9734" width="5" style="70" bestFit="1" customWidth="1"/>
    <col min="9735" max="9735" width="18.28515625" style="70" customWidth="1"/>
    <col min="9736" max="9736" width="22" style="70" customWidth="1"/>
    <col min="9737" max="9737" width="19.7109375" style="70" customWidth="1"/>
    <col min="9738" max="9738" width="13.7109375" style="70" bestFit="1" customWidth="1"/>
    <col min="9739" max="9739" width="13.7109375" style="70" customWidth="1"/>
    <col min="9740" max="9740" width="11.28515625" style="70" customWidth="1"/>
    <col min="9741" max="9744" width="9.140625" style="70"/>
    <col min="9745" max="9745" width="11" style="70" bestFit="1" customWidth="1"/>
    <col min="9746" max="9984" width="9.140625" style="70"/>
    <col min="9985" max="9985" width="4.7109375" style="70" customWidth="1"/>
    <col min="9986" max="9986" width="61" style="70" customWidth="1"/>
    <col min="9987" max="9987" width="12.5703125" style="70" customWidth="1"/>
    <col min="9988" max="9988" width="5.7109375" style="70" bestFit="1" customWidth="1"/>
    <col min="9989" max="9989" width="9.5703125" style="70" bestFit="1" customWidth="1"/>
    <col min="9990" max="9990" width="5" style="70" bestFit="1" customWidth="1"/>
    <col min="9991" max="9991" width="18.28515625" style="70" customWidth="1"/>
    <col min="9992" max="9992" width="22" style="70" customWidth="1"/>
    <col min="9993" max="9993" width="19.7109375" style="70" customWidth="1"/>
    <col min="9994" max="9994" width="13.7109375" style="70" bestFit="1" customWidth="1"/>
    <col min="9995" max="9995" width="13.7109375" style="70" customWidth="1"/>
    <col min="9996" max="9996" width="11.28515625" style="70" customWidth="1"/>
    <col min="9997" max="10000" width="9.140625" style="70"/>
    <col min="10001" max="10001" width="11" style="70" bestFit="1" customWidth="1"/>
    <col min="10002" max="10240" width="9.140625" style="70"/>
    <col min="10241" max="10241" width="4.7109375" style="70" customWidth="1"/>
    <col min="10242" max="10242" width="61" style="70" customWidth="1"/>
    <col min="10243" max="10243" width="12.5703125" style="70" customWidth="1"/>
    <col min="10244" max="10244" width="5.7109375" style="70" bestFit="1" customWidth="1"/>
    <col min="10245" max="10245" width="9.5703125" style="70" bestFit="1" customWidth="1"/>
    <col min="10246" max="10246" width="5" style="70" bestFit="1" customWidth="1"/>
    <col min="10247" max="10247" width="18.28515625" style="70" customWidth="1"/>
    <col min="10248" max="10248" width="22" style="70" customWidth="1"/>
    <col min="10249" max="10249" width="19.7109375" style="70" customWidth="1"/>
    <col min="10250" max="10250" width="13.7109375" style="70" bestFit="1" customWidth="1"/>
    <col min="10251" max="10251" width="13.7109375" style="70" customWidth="1"/>
    <col min="10252" max="10252" width="11.28515625" style="70" customWidth="1"/>
    <col min="10253" max="10256" width="9.140625" style="70"/>
    <col min="10257" max="10257" width="11" style="70" bestFit="1" customWidth="1"/>
    <col min="10258" max="10496" width="9.140625" style="70"/>
    <col min="10497" max="10497" width="4.7109375" style="70" customWidth="1"/>
    <col min="10498" max="10498" width="61" style="70" customWidth="1"/>
    <col min="10499" max="10499" width="12.5703125" style="70" customWidth="1"/>
    <col min="10500" max="10500" width="5.7109375" style="70" bestFit="1" customWidth="1"/>
    <col min="10501" max="10501" width="9.5703125" style="70" bestFit="1" customWidth="1"/>
    <col min="10502" max="10502" width="5" style="70" bestFit="1" customWidth="1"/>
    <col min="10503" max="10503" width="18.28515625" style="70" customWidth="1"/>
    <col min="10504" max="10504" width="22" style="70" customWidth="1"/>
    <col min="10505" max="10505" width="19.7109375" style="70" customWidth="1"/>
    <col min="10506" max="10506" width="13.7109375" style="70" bestFit="1" customWidth="1"/>
    <col min="10507" max="10507" width="13.7109375" style="70" customWidth="1"/>
    <col min="10508" max="10508" width="11.28515625" style="70" customWidth="1"/>
    <col min="10509" max="10512" width="9.140625" style="70"/>
    <col min="10513" max="10513" width="11" style="70" bestFit="1" customWidth="1"/>
    <col min="10514" max="10752" width="9.140625" style="70"/>
    <col min="10753" max="10753" width="4.7109375" style="70" customWidth="1"/>
    <col min="10754" max="10754" width="61" style="70" customWidth="1"/>
    <col min="10755" max="10755" width="12.5703125" style="70" customWidth="1"/>
    <col min="10756" max="10756" width="5.7109375" style="70" bestFit="1" customWidth="1"/>
    <col min="10757" max="10757" width="9.5703125" style="70" bestFit="1" customWidth="1"/>
    <col min="10758" max="10758" width="5" style="70" bestFit="1" customWidth="1"/>
    <col min="10759" max="10759" width="18.28515625" style="70" customWidth="1"/>
    <col min="10760" max="10760" width="22" style="70" customWidth="1"/>
    <col min="10761" max="10761" width="19.7109375" style="70" customWidth="1"/>
    <col min="10762" max="10762" width="13.7109375" style="70" bestFit="1" customWidth="1"/>
    <col min="10763" max="10763" width="13.7109375" style="70" customWidth="1"/>
    <col min="10764" max="10764" width="11.28515625" style="70" customWidth="1"/>
    <col min="10765" max="10768" width="9.140625" style="70"/>
    <col min="10769" max="10769" width="11" style="70" bestFit="1" customWidth="1"/>
    <col min="10770" max="11008" width="9.140625" style="70"/>
    <col min="11009" max="11009" width="4.7109375" style="70" customWidth="1"/>
    <col min="11010" max="11010" width="61" style="70" customWidth="1"/>
    <col min="11011" max="11011" width="12.5703125" style="70" customWidth="1"/>
    <col min="11012" max="11012" width="5.7109375" style="70" bestFit="1" customWidth="1"/>
    <col min="11013" max="11013" width="9.5703125" style="70" bestFit="1" customWidth="1"/>
    <col min="11014" max="11014" width="5" style="70" bestFit="1" customWidth="1"/>
    <col min="11015" max="11015" width="18.28515625" style="70" customWidth="1"/>
    <col min="11016" max="11016" width="22" style="70" customWidth="1"/>
    <col min="11017" max="11017" width="19.7109375" style="70" customWidth="1"/>
    <col min="11018" max="11018" width="13.7109375" style="70" bestFit="1" customWidth="1"/>
    <col min="11019" max="11019" width="13.7109375" style="70" customWidth="1"/>
    <col min="11020" max="11020" width="11.28515625" style="70" customWidth="1"/>
    <col min="11021" max="11024" width="9.140625" style="70"/>
    <col min="11025" max="11025" width="11" style="70" bestFit="1" customWidth="1"/>
    <col min="11026" max="11264" width="9.140625" style="70"/>
    <col min="11265" max="11265" width="4.7109375" style="70" customWidth="1"/>
    <col min="11266" max="11266" width="61" style="70" customWidth="1"/>
    <col min="11267" max="11267" width="12.5703125" style="70" customWidth="1"/>
    <col min="11268" max="11268" width="5.7109375" style="70" bestFit="1" customWidth="1"/>
    <col min="11269" max="11269" width="9.5703125" style="70" bestFit="1" customWidth="1"/>
    <col min="11270" max="11270" width="5" style="70" bestFit="1" customWidth="1"/>
    <col min="11271" max="11271" width="18.28515625" style="70" customWidth="1"/>
    <col min="11272" max="11272" width="22" style="70" customWidth="1"/>
    <col min="11273" max="11273" width="19.7109375" style="70" customWidth="1"/>
    <col min="11274" max="11274" width="13.7109375" style="70" bestFit="1" customWidth="1"/>
    <col min="11275" max="11275" width="13.7109375" style="70" customWidth="1"/>
    <col min="11276" max="11276" width="11.28515625" style="70" customWidth="1"/>
    <col min="11277" max="11280" width="9.140625" style="70"/>
    <col min="11281" max="11281" width="11" style="70" bestFit="1" customWidth="1"/>
    <col min="11282" max="11520" width="9.140625" style="70"/>
    <col min="11521" max="11521" width="4.7109375" style="70" customWidth="1"/>
    <col min="11522" max="11522" width="61" style="70" customWidth="1"/>
    <col min="11523" max="11523" width="12.5703125" style="70" customWidth="1"/>
    <col min="11524" max="11524" width="5.7109375" style="70" bestFit="1" customWidth="1"/>
    <col min="11525" max="11525" width="9.5703125" style="70" bestFit="1" customWidth="1"/>
    <col min="11526" max="11526" width="5" style="70" bestFit="1" customWidth="1"/>
    <col min="11527" max="11527" width="18.28515625" style="70" customWidth="1"/>
    <col min="11528" max="11528" width="22" style="70" customWidth="1"/>
    <col min="11529" max="11529" width="19.7109375" style="70" customWidth="1"/>
    <col min="11530" max="11530" width="13.7109375" style="70" bestFit="1" customWidth="1"/>
    <col min="11531" max="11531" width="13.7109375" style="70" customWidth="1"/>
    <col min="11532" max="11532" width="11.28515625" style="70" customWidth="1"/>
    <col min="11533" max="11536" width="9.140625" style="70"/>
    <col min="11537" max="11537" width="11" style="70" bestFit="1" customWidth="1"/>
    <col min="11538" max="11776" width="9.140625" style="70"/>
    <col min="11777" max="11777" width="4.7109375" style="70" customWidth="1"/>
    <col min="11778" max="11778" width="61" style="70" customWidth="1"/>
    <col min="11779" max="11779" width="12.5703125" style="70" customWidth="1"/>
    <col min="11780" max="11780" width="5.7109375" style="70" bestFit="1" customWidth="1"/>
    <col min="11781" max="11781" width="9.5703125" style="70" bestFit="1" customWidth="1"/>
    <col min="11782" max="11782" width="5" style="70" bestFit="1" customWidth="1"/>
    <col min="11783" max="11783" width="18.28515625" style="70" customWidth="1"/>
    <col min="11784" max="11784" width="22" style="70" customWidth="1"/>
    <col min="11785" max="11785" width="19.7109375" style="70" customWidth="1"/>
    <col min="11786" max="11786" width="13.7109375" style="70" bestFit="1" customWidth="1"/>
    <col min="11787" max="11787" width="13.7109375" style="70" customWidth="1"/>
    <col min="11788" max="11788" width="11.28515625" style="70" customWidth="1"/>
    <col min="11789" max="11792" width="9.140625" style="70"/>
    <col min="11793" max="11793" width="11" style="70" bestFit="1" customWidth="1"/>
    <col min="11794" max="12032" width="9.140625" style="70"/>
    <col min="12033" max="12033" width="4.7109375" style="70" customWidth="1"/>
    <col min="12034" max="12034" width="61" style="70" customWidth="1"/>
    <col min="12035" max="12035" width="12.5703125" style="70" customWidth="1"/>
    <col min="12036" max="12036" width="5.7109375" style="70" bestFit="1" customWidth="1"/>
    <col min="12037" max="12037" width="9.5703125" style="70" bestFit="1" customWidth="1"/>
    <col min="12038" max="12038" width="5" style="70" bestFit="1" customWidth="1"/>
    <col min="12039" max="12039" width="18.28515625" style="70" customWidth="1"/>
    <col min="12040" max="12040" width="22" style="70" customWidth="1"/>
    <col min="12041" max="12041" width="19.7109375" style="70" customWidth="1"/>
    <col min="12042" max="12042" width="13.7109375" style="70" bestFit="1" customWidth="1"/>
    <col min="12043" max="12043" width="13.7109375" style="70" customWidth="1"/>
    <col min="12044" max="12044" width="11.28515625" style="70" customWidth="1"/>
    <col min="12045" max="12048" width="9.140625" style="70"/>
    <col min="12049" max="12049" width="11" style="70" bestFit="1" customWidth="1"/>
    <col min="12050" max="12288" width="9.140625" style="70"/>
    <col min="12289" max="12289" width="4.7109375" style="70" customWidth="1"/>
    <col min="12290" max="12290" width="61" style="70" customWidth="1"/>
    <col min="12291" max="12291" width="12.5703125" style="70" customWidth="1"/>
    <col min="12292" max="12292" width="5.7109375" style="70" bestFit="1" customWidth="1"/>
    <col min="12293" max="12293" width="9.5703125" style="70" bestFit="1" customWidth="1"/>
    <col min="12294" max="12294" width="5" style="70" bestFit="1" customWidth="1"/>
    <col min="12295" max="12295" width="18.28515625" style="70" customWidth="1"/>
    <col min="12296" max="12296" width="22" style="70" customWidth="1"/>
    <col min="12297" max="12297" width="19.7109375" style="70" customWidth="1"/>
    <col min="12298" max="12298" width="13.7109375" style="70" bestFit="1" customWidth="1"/>
    <col min="12299" max="12299" width="13.7109375" style="70" customWidth="1"/>
    <col min="12300" max="12300" width="11.28515625" style="70" customWidth="1"/>
    <col min="12301" max="12304" width="9.140625" style="70"/>
    <col min="12305" max="12305" width="11" style="70" bestFit="1" customWidth="1"/>
    <col min="12306" max="12544" width="9.140625" style="70"/>
    <col min="12545" max="12545" width="4.7109375" style="70" customWidth="1"/>
    <col min="12546" max="12546" width="61" style="70" customWidth="1"/>
    <col min="12547" max="12547" width="12.5703125" style="70" customWidth="1"/>
    <col min="12548" max="12548" width="5.7109375" style="70" bestFit="1" customWidth="1"/>
    <col min="12549" max="12549" width="9.5703125" style="70" bestFit="1" customWidth="1"/>
    <col min="12550" max="12550" width="5" style="70" bestFit="1" customWidth="1"/>
    <col min="12551" max="12551" width="18.28515625" style="70" customWidth="1"/>
    <col min="12552" max="12552" width="22" style="70" customWidth="1"/>
    <col min="12553" max="12553" width="19.7109375" style="70" customWidth="1"/>
    <col min="12554" max="12554" width="13.7109375" style="70" bestFit="1" customWidth="1"/>
    <col min="12555" max="12555" width="13.7109375" style="70" customWidth="1"/>
    <col min="12556" max="12556" width="11.28515625" style="70" customWidth="1"/>
    <col min="12557" max="12560" width="9.140625" style="70"/>
    <col min="12561" max="12561" width="11" style="70" bestFit="1" customWidth="1"/>
    <col min="12562" max="12800" width="9.140625" style="70"/>
    <col min="12801" max="12801" width="4.7109375" style="70" customWidth="1"/>
    <col min="12802" max="12802" width="61" style="70" customWidth="1"/>
    <col min="12803" max="12803" width="12.5703125" style="70" customWidth="1"/>
    <col min="12804" max="12804" width="5.7109375" style="70" bestFit="1" customWidth="1"/>
    <col min="12805" max="12805" width="9.5703125" style="70" bestFit="1" customWidth="1"/>
    <col min="12806" max="12806" width="5" style="70" bestFit="1" customWidth="1"/>
    <col min="12807" max="12807" width="18.28515625" style="70" customWidth="1"/>
    <col min="12808" max="12808" width="22" style="70" customWidth="1"/>
    <col min="12809" max="12809" width="19.7109375" style="70" customWidth="1"/>
    <col min="12810" max="12810" width="13.7109375" style="70" bestFit="1" customWidth="1"/>
    <col min="12811" max="12811" width="13.7109375" style="70" customWidth="1"/>
    <col min="12812" max="12812" width="11.28515625" style="70" customWidth="1"/>
    <col min="12813" max="12816" width="9.140625" style="70"/>
    <col min="12817" max="12817" width="11" style="70" bestFit="1" customWidth="1"/>
    <col min="12818" max="13056" width="9.140625" style="70"/>
    <col min="13057" max="13057" width="4.7109375" style="70" customWidth="1"/>
    <col min="13058" max="13058" width="61" style="70" customWidth="1"/>
    <col min="13059" max="13059" width="12.5703125" style="70" customWidth="1"/>
    <col min="13060" max="13060" width="5.7109375" style="70" bestFit="1" customWidth="1"/>
    <col min="13061" max="13061" width="9.5703125" style="70" bestFit="1" customWidth="1"/>
    <col min="13062" max="13062" width="5" style="70" bestFit="1" customWidth="1"/>
    <col min="13063" max="13063" width="18.28515625" style="70" customWidth="1"/>
    <col min="13064" max="13064" width="22" style="70" customWidth="1"/>
    <col min="13065" max="13065" width="19.7109375" style="70" customWidth="1"/>
    <col min="13066" max="13066" width="13.7109375" style="70" bestFit="1" customWidth="1"/>
    <col min="13067" max="13067" width="13.7109375" style="70" customWidth="1"/>
    <col min="13068" max="13068" width="11.28515625" style="70" customWidth="1"/>
    <col min="13069" max="13072" width="9.140625" style="70"/>
    <col min="13073" max="13073" width="11" style="70" bestFit="1" customWidth="1"/>
    <col min="13074" max="13312" width="9.140625" style="70"/>
    <col min="13313" max="13313" width="4.7109375" style="70" customWidth="1"/>
    <col min="13314" max="13314" width="61" style="70" customWidth="1"/>
    <col min="13315" max="13315" width="12.5703125" style="70" customWidth="1"/>
    <col min="13316" max="13316" width="5.7109375" style="70" bestFit="1" customWidth="1"/>
    <col min="13317" max="13317" width="9.5703125" style="70" bestFit="1" customWidth="1"/>
    <col min="13318" max="13318" width="5" style="70" bestFit="1" customWidth="1"/>
    <col min="13319" max="13319" width="18.28515625" style="70" customWidth="1"/>
    <col min="13320" max="13320" width="22" style="70" customWidth="1"/>
    <col min="13321" max="13321" width="19.7109375" style="70" customWidth="1"/>
    <col min="13322" max="13322" width="13.7109375" style="70" bestFit="1" customWidth="1"/>
    <col min="13323" max="13323" width="13.7109375" style="70" customWidth="1"/>
    <col min="13324" max="13324" width="11.28515625" style="70" customWidth="1"/>
    <col min="13325" max="13328" width="9.140625" style="70"/>
    <col min="13329" max="13329" width="11" style="70" bestFit="1" customWidth="1"/>
    <col min="13330" max="13568" width="9.140625" style="70"/>
    <col min="13569" max="13569" width="4.7109375" style="70" customWidth="1"/>
    <col min="13570" max="13570" width="61" style="70" customWidth="1"/>
    <col min="13571" max="13571" width="12.5703125" style="70" customWidth="1"/>
    <col min="13572" max="13572" width="5.7109375" style="70" bestFit="1" customWidth="1"/>
    <col min="13573" max="13573" width="9.5703125" style="70" bestFit="1" customWidth="1"/>
    <col min="13574" max="13574" width="5" style="70" bestFit="1" customWidth="1"/>
    <col min="13575" max="13575" width="18.28515625" style="70" customWidth="1"/>
    <col min="13576" max="13576" width="22" style="70" customWidth="1"/>
    <col min="13577" max="13577" width="19.7109375" style="70" customWidth="1"/>
    <col min="13578" max="13578" width="13.7109375" style="70" bestFit="1" customWidth="1"/>
    <col min="13579" max="13579" width="13.7109375" style="70" customWidth="1"/>
    <col min="13580" max="13580" width="11.28515625" style="70" customWidth="1"/>
    <col min="13581" max="13584" width="9.140625" style="70"/>
    <col min="13585" max="13585" width="11" style="70" bestFit="1" customWidth="1"/>
    <col min="13586" max="13824" width="9.140625" style="70"/>
    <col min="13825" max="13825" width="4.7109375" style="70" customWidth="1"/>
    <col min="13826" max="13826" width="61" style="70" customWidth="1"/>
    <col min="13827" max="13827" width="12.5703125" style="70" customWidth="1"/>
    <col min="13828" max="13828" width="5.7109375" style="70" bestFit="1" customWidth="1"/>
    <col min="13829" max="13829" width="9.5703125" style="70" bestFit="1" customWidth="1"/>
    <col min="13830" max="13830" width="5" style="70" bestFit="1" customWidth="1"/>
    <col min="13831" max="13831" width="18.28515625" style="70" customWidth="1"/>
    <col min="13832" max="13832" width="22" style="70" customWidth="1"/>
    <col min="13833" max="13833" width="19.7109375" style="70" customWidth="1"/>
    <col min="13834" max="13834" width="13.7109375" style="70" bestFit="1" customWidth="1"/>
    <col min="13835" max="13835" width="13.7109375" style="70" customWidth="1"/>
    <col min="13836" max="13836" width="11.28515625" style="70" customWidth="1"/>
    <col min="13837" max="13840" width="9.140625" style="70"/>
    <col min="13841" max="13841" width="11" style="70" bestFit="1" customWidth="1"/>
    <col min="13842" max="14080" width="9.140625" style="70"/>
    <col min="14081" max="14081" width="4.7109375" style="70" customWidth="1"/>
    <col min="14082" max="14082" width="61" style="70" customWidth="1"/>
    <col min="14083" max="14083" width="12.5703125" style="70" customWidth="1"/>
    <col min="14084" max="14084" width="5.7109375" style="70" bestFit="1" customWidth="1"/>
    <col min="14085" max="14085" width="9.5703125" style="70" bestFit="1" customWidth="1"/>
    <col min="14086" max="14086" width="5" style="70" bestFit="1" customWidth="1"/>
    <col min="14087" max="14087" width="18.28515625" style="70" customWidth="1"/>
    <col min="14088" max="14088" width="22" style="70" customWidth="1"/>
    <col min="14089" max="14089" width="19.7109375" style="70" customWidth="1"/>
    <col min="14090" max="14090" width="13.7109375" style="70" bestFit="1" customWidth="1"/>
    <col min="14091" max="14091" width="13.7109375" style="70" customWidth="1"/>
    <col min="14092" max="14092" width="11.28515625" style="70" customWidth="1"/>
    <col min="14093" max="14096" width="9.140625" style="70"/>
    <col min="14097" max="14097" width="11" style="70" bestFit="1" customWidth="1"/>
    <col min="14098" max="14336" width="9.140625" style="70"/>
    <col min="14337" max="14337" width="4.7109375" style="70" customWidth="1"/>
    <col min="14338" max="14338" width="61" style="70" customWidth="1"/>
    <col min="14339" max="14339" width="12.5703125" style="70" customWidth="1"/>
    <col min="14340" max="14340" width="5.7109375" style="70" bestFit="1" customWidth="1"/>
    <col min="14341" max="14341" width="9.5703125" style="70" bestFit="1" customWidth="1"/>
    <col min="14342" max="14342" width="5" style="70" bestFit="1" customWidth="1"/>
    <col min="14343" max="14343" width="18.28515625" style="70" customWidth="1"/>
    <col min="14344" max="14344" width="22" style="70" customWidth="1"/>
    <col min="14345" max="14345" width="19.7109375" style="70" customWidth="1"/>
    <col min="14346" max="14346" width="13.7109375" style="70" bestFit="1" customWidth="1"/>
    <col min="14347" max="14347" width="13.7109375" style="70" customWidth="1"/>
    <col min="14348" max="14348" width="11.28515625" style="70" customWidth="1"/>
    <col min="14349" max="14352" width="9.140625" style="70"/>
    <col min="14353" max="14353" width="11" style="70" bestFit="1" customWidth="1"/>
    <col min="14354" max="14592" width="9.140625" style="70"/>
    <col min="14593" max="14593" width="4.7109375" style="70" customWidth="1"/>
    <col min="14594" max="14594" width="61" style="70" customWidth="1"/>
    <col min="14595" max="14595" width="12.5703125" style="70" customWidth="1"/>
    <col min="14596" max="14596" width="5.7109375" style="70" bestFit="1" customWidth="1"/>
    <col min="14597" max="14597" width="9.5703125" style="70" bestFit="1" customWidth="1"/>
    <col min="14598" max="14598" width="5" style="70" bestFit="1" customWidth="1"/>
    <col min="14599" max="14599" width="18.28515625" style="70" customWidth="1"/>
    <col min="14600" max="14600" width="22" style="70" customWidth="1"/>
    <col min="14601" max="14601" width="19.7109375" style="70" customWidth="1"/>
    <col min="14602" max="14602" width="13.7109375" style="70" bestFit="1" customWidth="1"/>
    <col min="14603" max="14603" width="13.7109375" style="70" customWidth="1"/>
    <col min="14604" max="14604" width="11.28515625" style="70" customWidth="1"/>
    <col min="14605" max="14608" width="9.140625" style="70"/>
    <col min="14609" max="14609" width="11" style="70" bestFit="1" customWidth="1"/>
    <col min="14610" max="14848" width="9.140625" style="70"/>
    <col min="14849" max="14849" width="4.7109375" style="70" customWidth="1"/>
    <col min="14850" max="14850" width="61" style="70" customWidth="1"/>
    <col min="14851" max="14851" width="12.5703125" style="70" customWidth="1"/>
    <col min="14852" max="14852" width="5.7109375" style="70" bestFit="1" customWidth="1"/>
    <col min="14853" max="14853" width="9.5703125" style="70" bestFit="1" customWidth="1"/>
    <col min="14854" max="14854" width="5" style="70" bestFit="1" customWidth="1"/>
    <col min="14855" max="14855" width="18.28515625" style="70" customWidth="1"/>
    <col min="14856" max="14856" width="22" style="70" customWidth="1"/>
    <col min="14857" max="14857" width="19.7109375" style="70" customWidth="1"/>
    <col min="14858" max="14858" width="13.7109375" style="70" bestFit="1" customWidth="1"/>
    <col min="14859" max="14859" width="13.7109375" style="70" customWidth="1"/>
    <col min="14860" max="14860" width="11.28515625" style="70" customWidth="1"/>
    <col min="14861" max="14864" width="9.140625" style="70"/>
    <col min="14865" max="14865" width="11" style="70" bestFit="1" customWidth="1"/>
    <col min="14866" max="15104" width="9.140625" style="70"/>
    <col min="15105" max="15105" width="4.7109375" style="70" customWidth="1"/>
    <col min="15106" max="15106" width="61" style="70" customWidth="1"/>
    <col min="15107" max="15107" width="12.5703125" style="70" customWidth="1"/>
    <col min="15108" max="15108" width="5.7109375" style="70" bestFit="1" customWidth="1"/>
    <col min="15109" max="15109" width="9.5703125" style="70" bestFit="1" customWidth="1"/>
    <col min="15110" max="15110" width="5" style="70" bestFit="1" customWidth="1"/>
    <col min="15111" max="15111" width="18.28515625" style="70" customWidth="1"/>
    <col min="15112" max="15112" width="22" style="70" customWidth="1"/>
    <col min="15113" max="15113" width="19.7109375" style="70" customWidth="1"/>
    <col min="15114" max="15114" width="13.7109375" style="70" bestFit="1" customWidth="1"/>
    <col min="15115" max="15115" width="13.7109375" style="70" customWidth="1"/>
    <col min="15116" max="15116" width="11.28515625" style="70" customWidth="1"/>
    <col min="15117" max="15120" width="9.140625" style="70"/>
    <col min="15121" max="15121" width="11" style="70" bestFit="1" customWidth="1"/>
    <col min="15122" max="15360" width="9.140625" style="70"/>
    <col min="15361" max="15361" width="4.7109375" style="70" customWidth="1"/>
    <col min="15362" max="15362" width="61" style="70" customWidth="1"/>
    <col min="15363" max="15363" width="12.5703125" style="70" customWidth="1"/>
    <col min="15364" max="15364" width="5.7109375" style="70" bestFit="1" customWidth="1"/>
    <col min="15365" max="15365" width="9.5703125" style="70" bestFit="1" customWidth="1"/>
    <col min="15366" max="15366" width="5" style="70" bestFit="1" customWidth="1"/>
    <col min="15367" max="15367" width="18.28515625" style="70" customWidth="1"/>
    <col min="15368" max="15368" width="22" style="70" customWidth="1"/>
    <col min="15369" max="15369" width="19.7109375" style="70" customWidth="1"/>
    <col min="15370" max="15370" width="13.7109375" style="70" bestFit="1" customWidth="1"/>
    <col min="15371" max="15371" width="13.7109375" style="70" customWidth="1"/>
    <col min="15372" max="15372" width="11.28515625" style="70" customWidth="1"/>
    <col min="15373" max="15376" width="9.140625" style="70"/>
    <col min="15377" max="15377" width="11" style="70" bestFit="1" customWidth="1"/>
    <col min="15378" max="15616" width="9.140625" style="70"/>
    <col min="15617" max="15617" width="4.7109375" style="70" customWidth="1"/>
    <col min="15618" max="15618" width="61" style="70" customWidth="1"/>
    <col min="15619" max="15619" width="12.5703125" style="70" customWidth="1"/>
    <col min="15620" max="15620" width="5.7109375" style="70" bestFit="1" customWidth="1"/>
    <col min="15621" max="15621" width="9.5703125" style="70" bestFit="1" customWidth="1"/>
    <col min="15622" max="15622" width="5" style="70" bestFit="1" customWidth="1"/>
    <col min="15623" max="15623" width="18.28515625" style="70" customWidth="1"/>
    <col min="15624" max="15624" width="22" style="70" customWidth="1"/>
    <col min="15625" max="15625" width="19.7109375" style="70" customWidth="1"/>
    <col min="15626" max="15626" width="13.7109375" style="70" bestFit="1" customWidth="1"/>
    <col min="15627" max="15627" width="13.7109375" style="70" customWidth="1"/>
    <col min="15628" max="15628" width="11.28515625" style="70" customWidth="1"/>
    <col min="15629" max="15632" width="9.140625" style="70"/>
    <col min="15633" max="15633" width="11" style="70" bestFit="1" customWidth="1"/>
    <col min="15634" max="15872" width="9.140625" style="70"/>
    <col min="15873" max="15873" width="4.7109375" style="70" customWidth="1"/>
    <col min="15874" max="15874" width="61" style="70" customWidth="1"/>
    <col min="15875" max="15875" width="12.5703125" style="70" customWidth="1"/>
    <col min="15876" max="15876" width="5.7109375" style="70" bestFit="1" customWidth="1"/>
    <col min="15877" max="15877" width="9.5703125" style="70" bestFit="1" customWidth="1"/>
    <col min="15878" max="15878" width="5" style="70" bestFit="1" customWidth="1"/>
    <col min="15879" max="15879" width="18.28515625" style="70" customWidth="1"/>
    <col min="15880" max="15880" width="22" style="70" customWidth="1"/>
    <col min="15881" max="15881" width="19.7109375" style="70" customWidth="1"/>
    <col min="15882" max="15882" width="13.7109375" style="70" bestFit="1" customWidth="1"/>
    <col min="15883" max="15883" width="13.7109375" style="70" customWidth="1"/>
    <col min="15884" max="15884" width="11.28515625" style="70" customWidth="1"/>
    <col min="15885" max="15888" width="9.140625" style="70"/>
    <col min="15889" max="15889" width="11" style="70" bestFit="1" customWidth="1"/>
    <col min="15890" max="16128" width="9.140625" style="70"/>
    <col min="16129" max="16129" width="4.7109375" style="70" customWidth="1"/>
    <col min="16130" max="16130" width="61" style="70" customWidth="1"/>
    <col min="16131" max="16131" width="12.5703125" style="70" customWidth="1"/>
    <col min="16132" max="16132" width="5.7109375" style="70" bestFit="1" customWidth="1"/>
    <col min="16133" max="16133" width="9.5703125" style="70" bestFit="1" customWidth="1"/>
    <col min="16134" max="16134" width="5" style="70" bestFit="1" customWidth="1"/>
    <col min="16135" max="16135" width="18.28515625" style="70" customWidth="1"/>
    <col min="16136" max="16136" width="22" style="70" customWidth="1"/>
    <col min="16137" max="16137" width="19.7109375" style="70" customWidth="1"/>
    <col min="16138" max="16138" width="13.7109375" style="70" bestFit="1" customWidth="1"/>
    <col min="16139" max="16139" width="13.7109375" style="70" customWidth="1"/>
    <col min="16140" max="16140" width="11.28515625" style="70" customWidth="1"/>
    <col min="16141" max="16144" width="9.140625" style="70"/>
    <col min="16145" max="16145" width="11" style="70" bestFit="1" customWidth="1"/>
    <col min="16146" max="16384" width="9.140625" style="70"/>
  </cols>
  <sheetData>
    <row r="1" spans="1:12" ht="18">
      <c r="A1" s="605"/>
      <c r="B1" s="3109" t="s">
        <v>2514</v>
      </c>
      <c r="C1" s="3109"/>
      <c r="D1" s="3109"/>
      <c r="E1" s="3109"/>
      <c r="F1" s="2046"/>
      <c r="G1" s="71"/>
      <c r="H1" s="71"/>
      <c r="I1" s="71"/>
      <c r="J1" s="71"/>
    </row>
    <row r="2" spans="1:12" ht="8.25" customHeight="1">
      <c r="A2" s="2047"/>
      <c r="B2" s="2047"/>
      <c r="C2" s="2047"/>
      <c r="D2" s="2047"/>
      <c r="E2" s="2047"/>
      <c r="F2" s="2047"/>
      <c r="G2" s="2047"/>
      <c r="H2" s="2047"/>
    </row>
    <row r="3" spans="1:12" ht="52.5" customHeight="1">
      <c r="A3" s="2021"/>
      <c r="B3" s="3095" t="s">
        <v>2515</v>
      </c>
      <c r="C3" s="3095"/>
      <c r="D3" s="3095"/>
      <c r="E3" s="3095"/>
      <c r="F3" s="3095"/>
      <c r="G3" s="3095"/>
      <c r="H3" s="2048"/>
      <c r="I3" s="580"/>
      <c r="J3" s="580"/>
    </row>
    <row r="4" spans="1:12" ht="6.75" customHeight="1">
      <c r="A4" s="2040"/>
      <c r="B4" s="2040"/>
      <c r="C4" s="2040"/>
      <c r="D4" s="2040"/>
      <c r="E4" s="2040"/>
      <c r="F4" s="2040"/>
      <c r="G4" s="2040"/>
      <c r="H4" s="2040"/>
      <c r="I4" s="580"/>
      <c r="J4" s="2049"/>
      <c r="K4" s="804"/>
      <c r="L4" s="804"/>
    </row>
    <row r="5" spans="1:12" ht="19.5" customHeight="1">
      <c r="A5" s="1997"/>
      <c r="B5" s="1997"/>
      <c r="C5" s="1997"/>
      <c r="D5" s="1997"/>
      <c r="E5" s="1997"/>
      <c r="F5" s="1997"/>
      <c r="G5" s="1581" t="s">
        <v>89</v>
      </c>
      <c r="H5" s="805"/>
      <c r="I5" s="2050"/>
      <c r="J5" s="2050"/>
    </row>
    <row r="6" spans="1:12" ht="7.5" customHeight="1">
      <c r="A6" s="1997"/>
      <c r="B6" s="1997"/>
      <c r="C6" s="1997"/>
      <c r="D6" s="1997"/>
      <c r="E6" s="1997"/>
      <c r="F6" s="1997"/>
      <c r="G6" s="2051"/>
      <c r="H6" s="805"/>
      <c r="I6" s="2050"/>
      <c r="J6" s="2050"/>
    </row>
    <row r="7" spans="1:12" ht="107.25" customHeight="1">
      <c r="A7" s="3097" t="s">
        <v>2</v>
      </c>
      <c r="B7" s="3110" t="s">
        <v>3</v>
      </c>
      <c r="C7" s="3112" t="s">
        <v>1421</v>
      </c>
      <c r="D7" s="3110" t="s">
        <v>5</v>
      </c>
      <c r="E7" s="3110" t="s">
        <v>9</v>
      </c>
      <c r="F7" s="3110" t="s">
        <v>143</v>
      </c>
      <c r="G7" s="2186" t="s">
        <v>2516</v>
      </c>
      <c r="H7" s="913" t="s">
        <v>2517</v>
      </c>
    </row>
    <row r="8" spans="1:12" ht="16.5" customHeight="1">
      <c r="A8" s="3098"/>
      <c r="B8" s="3111"/>
      <c r="C8" s="3113"/>
      <c r="D8" s="3111"/>
      <c r="E8" s="3111"/>
      <c r="F8" s="3111"/>
      <c r="G8" s="1900" t="s">
        <v>1668</v>
      </c>
      <c r="H8" s="1900" t="s">
        <v>1668</v>
      </c>
    </row>
    <row r="9" spans="1:12" ht="15">
      <c r="A9" s="1613">
        <v>1</v>
      </c>
      <c r="B9" s="1613">
        <v>2</v>
      </c>
      <c r="C9" s="1613">
        <v>3</v>
      </c>
      <c r="D9" s="1613">
        <v>4</v>
      </c>
      <c r="E9" s="1613">
        <v>5</v>
      </c>
      <c r="F9" s="1613">
        <v>6</v>
      </c>
      <c r="G9" s="1613">
        <v>7</v>
      </c>
      <c r="H9" s="1613">
        <v>8</v>
      </c>
    </row>
    <row r="10" spans="1:12" ht="17.25" customHeight="1">
      <c r="A10" s="2163">
        <v>1</v>
      </c>
      <c r="B10" s="1615" t="s">
        <v>2518</v>
      </c>
      <c r="C10" s="1625">
        <v>7132461004</v>
      </c>
      <c r="D10" s="1291" t="s">
        <v>21</v>
      </c>
      <c r="E10" s="1202">
        <f>VLOOKUP(C10,'[25]SOR RATE'!A:D,4,0)</f>
        <v>1449.18</v>
      </c>
      <c r="F10" s="1291">
        <v>120</v>
      </c>
      <c r="G10" s="1202">
        <f t="shared" ref="G10:G23" si="0">E10*F10</f>
        <v>173901.6</v>
      </c>
      <c r="H10" s="1202">
        <f t="shared" ref="H10:H23" si="1">E10*F10</f>
        <v>173901.6</v>
      </c>
      <c r="I10" s="2053"/>
      <c r="J10" s="2053"/>
    </row>
    <row r="11" spans="1:12" ht="17.25" customHeight="1">
      <c r="A11" s="2163">
        <v>2</v>
      </c>
      <c r="B11" s="1615" t="s">
        <v>2519</v>
      </c>
      <c r="C11" s="1625">
        <v>7132461005</v>
      </c>
      <c r="D11" s="1291" t="s">
        <v>12</v>
      </c>
      <c r="E11" s="1202">
        <f>VLOOKUP(C11,'[25]SOR RATE'!A:D,4,0)</f>
        <v>535.1</v>
      </c>
      <c r="F11" s="1291">
        <v>20</v>
      </c>
      <c r="G11" s="1202">
        <f t="shared" si="0"/>
        <v>10702</v>
      </c>
      <c r="H11" s="1202">
        <f t="shared" si="1"/>
        <v>10702</v>
      </c>
      <c r="I11" s="132"/>
      <c r="J11" s="2054"/>
    </row>
    <row r="12" spans="1:12" ht="17.25" customHeight="1">
      <c r="A12" s="2163">
        <v>3</v>
      </c>
      <c r="B12" s="1626" t="s">
        <v>2520</v>
      </c>
      <c r="C12" s="1627">
        <v>7130310020</v>
      </c>
      <c r="D12" s="2163" t="s">
        <v>21</v>
      </c>
      <c r="E12" s="1202">
        <f>VLOOKUP(C12,'[25]SOR RATE'!A:D,4,0)/1000</f>
        <v>2797.6800499999999</v>
      </c>
      <c r="F12" s="1291">
        <v>190</v>
      </c>
      <c r="G12" s="1202">
        <f t="shared" si="0"/>
        <v>531559.2095</v>
      </c>
      <c r="H12" s="1202">
        <f t="shared" si="1"/>
        <v>531559.2095</v>
      </c>
      <c r="I12" s="132"/>
      <c r="J12" s="105"/>
    </row>
    <row r="13" spans="1:12" ht="17.25" customHeight="1">
      <c r="A13" s="1291">
        <v>4</v>
      </c>
      <c r="B13" s="1615" t="s">
        <v>405</v>
      </c>
      <c r="C13" s="2164">
        <v>7130352010</v>
      </c>
      <c r="D13" s="1291" t="s">
        <v>40</v>
      </c>
      <c r="E13" s="1202">
        <f>VLOOKUP(C13,'[25]SOR RATE'!A:D,4,0)</f>
        <v>43795.05</v>
      </c>
      <c r="F13" s="1291">
        <v>4</v>
      </c>
      <c r="G13" s="1202">
        <f t="shared" si="0"/>
        <v>175180.2</v>
      </c>
      <c r="H13" s="1202">
        <f t="shared" si="1"/>
        <v>175180.2</v>
      </c>
      <c r="I13" s="624"/>
      <c r="J13" s="105"/>
    </row>
    <row r="14" spans="1:12" ht="17.25" customHeight="1">
      <c r="A14" s="1291">
        <v>5</v>
      </c>
      <c r="B14" s="1615" t="s">
        <v>2521</v>
      </c>
      <c r="C14" s="2164">
        <v>7130640027</v>
      </c>
      <c r="D14" s="1291" t="s">
        <v>536</v>
      </c>
      <c r="E14" s="1202">
        <f>VLOOKUP(C14,'[25]SOR RATE'!A:D,4,0)</f>
        <v>1269.1500000000001</v>
      </c>
      <c r="F14" s="1291">
        <v>24</v>
      </c>
      <c r="G14" s="1202">
        <f t="shared" si="0"/>
        <v>30459.600000000002</v>
      </c>
      <c r="H14" s="1202">
        <f t="shared" si="1"/>
        <v>30459.600000000002</v>
      </c>
      <c r="I14" s="624"/>
      <c r="J14" s="806"/>
    </row>
    <row r="15" spans="1:12" ht="60.75" customHeight="1">
      <c r="A15" s="2163">
        <v>6</v>
      </c>
      <c r="B15" s="2165" t="s">
        <v>2522</v>
      </c>
      <c r="C15" s="1291"/>
      <c r="D15" s="1291" t="s">
        <v>68</v>
      </c>
      <c r="E15" s="1202">
        <v>1500</v>
      </c>
      <c r="F15" s="1291">
        <v>4</v>
      </c>
      <c r="G15" s="1202">
        <f t="shared" si="0"/>
        <v>6000</v>
      </c>
      <c r="H15" s="1202">
        <f t="shared" si="1"/>
        <v>6000</v>
      </c>
      <c r="I15" s="2055"/>
      <c r="J15" s="570"/>
      <c r="K15" s="807"/>
    </row>
    <row r="16" spans="1:12" ht="17.25" customHeight="1">
      <c r="A16" s="2163">
        <v>7</v>
      </c>
      <c r="B16" s="2165" t="s">
        <v>2523</v>
      </c>
      <c r="C16" s="1291">
        <v>7130600173</v>
      </c>
      <c r="D16" s="1291" t="s">
        <v>1705</v>
      </c>
      <c r="E16" s="1202">
        <f>VLOOKUP(C16,'[25]SOR RATE'!A:D,4,0)/1000</f>
        <v>57.763910000000003</v>
      </c>
      <c r="F16" s="1291">
        <v>100</v>
      </c>
      <c r="G16" s="1202">
        <f t="shared" si="0"/>
        <v>5776.3910000000005</v>
      </c>
      <c r="H16" s="1202">
        <f t="shared" si="1"/>
        <v>5776.3910000000005</v>
      </c>
      <c r="I16" s="808"/>
      <c r="J16" s="570"/>
      <c r="K16" s="570"/>
    </row>
    <row r="17" spans="1:12" ht="45" customHeight="1">
      <c r="A17" s="2163">
        <v>8</v>
      </c>
      <c r="B17" s="2165" t="s">
        <v>2524</v>
      </c>
      <c r="C17" s="2166"/>
      <c r="D17" s="1291" t="s">
        <v>12</v>
      </c>
      <c r="E17" s="1202">
        <v>556</v>
      </c>
      <c r="F17" s="1291">
        <v>4</v>
      </c>
      <c r="G17" s="1202">
        <f t="shared" si="0"/>
        <v>2224</v>
      </c>
      <c r="H17" s="1202">
        <f t="shared" si="1"/>
        <v>2224</v>
      </c>
      <c r="I17" s="2055"/>
      <c r="J17" s="570"/>
      <c r="K17" s="570"/>
    </row>
    <row r="18" spans="1:12" ht="17.25" customHeight="1">
      <c r="A18" s="1291">
        <v>9</v>
      </c>
      <c r="B18" s="1290" t="s">
        <v>2525</v>
      </c>
      <c r="C18" s="1291">
        <v>7130201343</v>
      </c>
      <c r="D18" s="1291" t="s">
        <v>12</v>
      </c>
      <c r="E18" s="1202">
        <f>VLOOKUP(C18,'[25]SOR RATE'!A:D,4,0)</f>
        <v>33</v>
      </c>
      <c r="F18" s="1291">
        <f>4*20</f>
        <v>80</v>
      </c>
      <c r="G18" s="1202">
        <f t="shared" si="0"/>
        <v>2640</v>
      </c>
      <c r="H18" s="1202">
        <f t="shared" si="1"/>
        <v>2640</v>
      </c>
      <c r="I18" s="808"/>
      <c r="J18" s="570"/>
      <c r="K18" s="570"/>
    </row>
    <row r="19" spans="1:12" ht="17.25" customHeight="1">
      <c r="A19" s="1291">
        <v>10</v>
      </c>
      <c r="B19" s="1290" t="s">
        <v>2526</v>
      </c>
      <c r="C19" s="1291">
        <v>7132498006</v>
      </c>
      <c r="D19" s="1291" t="s">
        <v>76</v>
      </c>
      <c r="E19" s="1202">
        <f>VLOOKUP(C19,'[25]SOR RATE'!A:D,4,0)</f>
        <v>714</v>
      </c>
      <c r="F19" s="1291">
        <f>0.06*20</f>
        <v>1.2</v>
      </c>
      <c r="G19" s="1202">
        <f t="shared" si="0"/>
        <v>856.8</v>
      </c>
      <c r="H19" s="1202">
        <f t="shared" si="1"/>
        <v>856.8</v>
      </c>
      <c r="I19" s="808"/>
      <c r="J19" s="570"/>
      <c r="K19" s="570"/>
    </row>
    <row r="20" spans="1:12" ht="17.25" customHeight="1">
      <c r="A20" s="1291">
        <v>11</v>
      </c>
      <c r="B20" s="1290" t="s">
        <v>2062</v>
      </c>
      <c r="C20" s="2167">
        <v>7130840021</v>
      </c>
      <c r="D20" s="1914" t="s">
        <v>33</v>
      </c>
      <c r="E20" s="1202">
        <f>VLOOKUP(C20,'[25]SOR RATE'!A:D,4,0)</f>
        <v>4094.6</v>
      </c>
      <c r="F20" s="1291">
        <v>6</v>
      </c>
      <c r="G20" s="1202">
        <f t="shared" si="0"/>
        <v>24567.599999999999</v>
      </c>
      <c r="H20" s="1202">
        <f t="shared" si="1"/>
        <v>24567.599999999999</v>
      </c>
      <c r="I20" s="812" t="s">
        <v>1827</v>
      </c>
      <c r="J20" s="570"/>
      <c r="K20" s="570"/>
    </row>
    <row r="21" spans="1:12" ht="17.25" customHeight="1">
      <c r="A21" s="1291">
        <v>12</v>
      </c>
      <c r="B21" s="1290" t="s">
        <v>2527</v>
      </c>
      <c r="C21" s="2167">
        <v>7130830060</v>
      </c>
      <c r="D21" s="1914" t="s">
        <v>21</v>
      </c>
      <c r="E21" s="1202">
        <f>VLOOKUP(C21,'[25]SOR RATE'!A:D,4,0)/1000</f>
        <v>70.920659999999998</v>
      </c>
      <c r="F21" s="1291">
        <v>18</v>
      </c>
      <c r="G21" s="1202">
        <f t="shared" si="0"/>
        <v>1276.57188</v>
      </c>
      <c r="H21" s="1202">
        <f t="shared" si="1"/>
        <v>1276.57188</v>
      </c>
      <c r="I21" s="808"/>
      <c r="J21" s="570"/>
      <c r="K21" s="570"/>
    </row>
    <row r="22" spans="1:12" ht="29.25" customHeight="1">
      <c r="A22" s="1291">
        <v>13</v>
      </c>
      <c r="B22" s="2168" t="s">
        <v>2528</v>
      </c>
      <c r="C22" s="2167">
        <v>7130830585</v>
      </c>
      <c r="D22" s="1914" t="s">
        <v>68</v>
      </c>
      <c r="E22" s="1202">
        <f>VLOOKUP(C22,'[25]SOR RATE'!A:D,4,0)</f>
        <v>346.08</v>
      </c>
      <c r="F22" s="1291">
        <v>6</v>
      </c>
      <c r="G22" s="1202">
        <f t="shared" si="0"/>
        <v>2076.48</v>
      </c>
      <c r="H22" s="1202">
        <f t="shared" si="1"/>
        <v>2076.48</v>
      </c>
      <c r="I22" s="808"/>
      <c r="J22" s="570"/>
      <c r="K22" s="570"/>
    </row>
    <row r="23" spans="1:12" ht="47.25" customHeight="1">
      <c r="A23" s="2163">
        <v>14</v>
      </c>
      <c r="B23" s="2165" t="s">
        <v>2529</v>
      </c>
      <c r="C23" s="1291">
        <v>7130642039</v>
      </c>
      <c r="D23" s="1914" t="s">
        <v>68</v>
      </c>
      <c r="E23" s="1202">
        <f>VLOOKUP(C23,'[25]SOR RATE'!A:D,4,0)</f>
        <v>998.57</v>
      </c>
      <c r="F23" s="1291">
        <f>4+6</f>
        <v>10</v>
      </c>
      <c r="G23" s="1202">
        <f t="shared" si="0"/>
        <v>9985.7000000000007</v>
      </c>
      <c r="H23" s="1202">
        <f t="shared" si="1"/>
        <v>9985.7000000000007</v>
      </c>
      <c r="I23" s="2056"/>
      <c r="J23" s="2057"/>
      <c r="K23" s="570"/>
    </row>
    <row r="24" spans="1:12" ht="15.75" customHeight="1">
      <c r="A24" s="2163">
        <v>15</v>
      </c>
      <c r="B24" s="2165" t="s">
        <v>2530</v>
      </c>
      <c r="C24" s="1913">
        <v>7130830586</v>
      </c>
      <c r="D24" s="1914" t="s">
        <v>68</v>
      </c>
      <c r="E24" s="1202">
        <f>VLOOKUP(C24,'[25]SOR RATE'!A271:D271,4,0)</f>
        <v>276.55</v>
      </c>
      <c r="F24" s="1291">
        <v>6</v>
      </c>
      <c r="G24" s="1202">
        <f>F24*E24</f>
        <v>1659.3000000000002</v>
      </c>
      <c r="H24" s="1202">
        <f>F24*E24</f>
        <v>1659.3000000000002</v>
      </c>
      <c r="I24" s="1941" t="s">
        <v>119</v>
      </c>
      <c r="J24" s="2057"/>
      <c r="K24" s="570"/>
    </row>
    <row r="25" spans="1:12" ht="15.75" customHeight="1">
      <c r="A25" s="2163">
        <v>16</v>
      </c>
      <c r="B25" s="2165" t="s">
        <v>2531</v>
      </c>
      <c r="C25" s="1913">
        <v>7130830603</v>
      </c>
      <c r="D25" s="1914" t="s">
        <v>68</v>
      </c>
      <c r="E25" s="1202">
        <f>VLOOKUP(C25,'[25]SOR RATE'!A:D,4,0)</f>
        <v>386.39</v>
      </c>
      <c r="F25" s="1291">
        <v>4</v>
      </c>
      <c r="G25" s="1202">
        <f>F25*E25</f>
        <v>1545.56</v>
      </c>
      <c r="H25" s="1202">
        <f>F25*E25</f>
        <v>1545.56</v>
      </c>
      <c r="I25" s="1941" t="s">
        <v>119</v>
      </c>
      <c r="J25" s="2057"/>
      <c r="K25" s="570"/>
    </row>
    <row r="26" spans="1:12" ht="15.75" customHeight="1">
      <c r="A26" s="2163">
        <v>17</v>
      </c>
      <c r="B26" s="2165" t="s">
        <v>2532</v>
      </c>
      <c r="C26" s="1913">
        <v>7132498054</v>
      </c>
      <c r="D26" s="1914" t="s">
        <v>68</v>
      </c>
      <c r="E26" s="1202">
        <f>VLOOKUP(C26,'[25]SOR RATE'!A:D,4,0)</f>
        <v>6</v>
      </c>
      <c r="F26" s="1291">
        <v>128</v>
      </c>
      <c r="G26" s="1202">
        <f>F26*E26</f>
        <v>768</v>
      </c>
      <c r="H26" s="1202">
        <f>F26*E26</f>
        <v>768</v>
      </c>
      <c r="I26" s="1941" t="s">
        <v>119</v>
      </c>
      <c r="J26" s="2057"/>
      <c r="K26" s="570"/>
    </row>
    <row r="27" spans="1:12" ht="15.75" customHeight="1">
      <c r="A27" s="2163">
        <v>18</v>
      </c>
      <c r="B27" s="2165" t="s">
        <v>259</v>
      </c>
      <c r="C27" s="1913">
        <v>7130200401</v>
      </c>
      <c r="D27" s="1291" t="s">
        <v>258</v>
      </c>
      <c r="E27" s="1202">
        <f>VLOOKUP(C27,'[25]SOR RATE'!A:D,4,0)</f>
        <v>320</v>
      </c>
      <c r="F27" s="1291">
        <v>2</v>
      </c>
      <c r="G27" s="1202">
        <f>F27*E27</f>
        <v>640</v>
      </c>
      <c r="H27" s="1202">
        <f>F27*E27</f>
        <v>640</v>
      </c>
      <c r="I27" s="1941" t="s">
        <v>119</v>
      </c>
      <c r="J27" s="2057"/>
      <c r="K27" s="570"/>
    </row>
    <row r="28" spans="1:12" ht="46.5" customHeight="1">
      <c r="A28" s="2163">
        <v>19</v>
      </c>
      <c r="B28" s="2165" t="s">
        <v>2533</v>
      </c>
      <c r="C28" s="2169"/>
      <c r="D28" s="2163" t="s">
        <v>114</v>
      </c>
      <c r="E28" s="2170" t="s">
        <v>114</v>
      </c>
      <c r="F28" s="2163" t="s">
        <v>114</v>
      </c>
      <c r="G28" s="2170">
        <v>25000</v>
      </c>
      <c r="H28" s="2170"/>
      <c r="I28" s="605"/>
      <c r="J28" s="2058"/>
      <c r="K28" s="570"/>
    </row>
    <row r="29" spans="1:12" ht="16.5" customHeight="1">
      <c r="A29" s="913">
        <v>20</v>
      </c>
      <c r="B29" s="1639" t="s">
        <v>48</v>
      </c>
      <c r="C29" s="2171"/>
      <c r="D29" s="2172"/>
      <c r="E29" s="913"/>
      <c r="F29" s="913"/>
      <c r="G29" s="2173">
        <f>SUM(G10:G28)</f>
        <v>1006819.0123799999</v>
      </c>
      <c r="H29" s="2173">
        <f>SUM(H10:H28)</f>
        <v>981819.01237999985</v>
      </c>
      <c r="I29" s="85"/>
      <c r="J29" s="85"/>
      <c r="K29" s="2059"/>
    </row>
    <row r="30" spans="1:12" ht="16.5" customHeight="1">
      <c r="A30" s="913">
        <v>21</v>
      </c>
      <c r="B30" s="1639" t="s">
        <v>49</v>
      </c>
      <c r="C30" s="2171"/>
      <c r="D30" s="2174"/>
      <c r="E30" s="913"/>
      <c r="F30" s="2175"/>
      <c r="G30" s="2173">
        <f>G29/1.18</f>
        <v>853236.4511694914</v>
      </c>
      <c r="H30" s="2173">
        <f>H29/1.18</f>
        <v>832050.01049152529</v>
      </c>
      <c r="I30" s="85"/>
      <c r="J30" s="85"/>
      <c r="K30" s="2059"/>
    </row>
    <row r="31" spans="1:12" ht="15.75" customHeight="1">
      <c r="A31" s="1291">
        <v>22</v>
      </c>
      <c r="B31" s="1619" t="s">
        <v>50</v>
      </c>
      <c r="C31" s="2176"/>
      <c r="D31" s="2177"/>
      <c r="E31" s="1914">
        <v>7.4999999999999997E-2</v>
      </c>
      <c r="F31" s="2178"/>
      <c r="G31" s="1132">
        <f>G29*E31</f>
        <v>75511.425928499986</v>
      </c>
      <c r="H31" s="1132">
        <f>H29*E31</f>
        <v>73636.425928499986</v>
      </c>
      <c r="I31" s="89"/>
      <c r="J31" s="85"/>
      <c r="K31" s="85"/>
    </row>
    <row r="32" spans="1:12" ht="15" customHeight="1">
      <c r="A32" s="1291">
        <v>23</v>
      </c>
      <c r="B32" s="1615" t="s">
        <v>2534</v>
      </c>
      <c r="C32" s="2179"/>
      <c r="D32" s="1291" t="s">
        <v>12</v>
      </c>
      <c r="E32" s="2180">
        <f>3020.13589298559*1.043</f>
        <v>3150.0017363839702</v>
      </c>
      <c r="F32" s="1914">
        <v>10</v>
      </c>
      <c r="G32" s="1202">
        <f>E32*F32</f>
        <v>31500.017363839703</v>
      </c>
      <c r="H32" s="1202">
        <f>E32*F32</f>
        <v>31500.017363839703</v>
      </c>
      <c r="I32" s="85"/>
      <c r="J32" s="633"/>
      <c r="K32" s="633"/>
      <c r="L32" s="605"/>
    </row>
    <row r="33" spans="1:13" ht="33" customHeight="1">
      <c r="A33" s="1291">
        <v>24</v>
      </c>
      <c r="B33" s="1615" t="s">
        <v>2535</v>
      </c>
      <c r="C33" s="2181"/>
      <c r="D33" s="2181"/>
      <c r="E33" s="2182"/>
      <c r="F33" s="2182"/>
      <c r="G33" s="1771">
        <v>262597</v>
      </c>
      <c r="H33" s="1132">
        <v>262597</v>
      </c>
      <c r="I33" s="85"/>
      <c r="J33" s="2058"/>
      <c r="K33" s="570"/>
    </row>
    <row r="34" spans="1:13" ht="32.25" customHeight="1">
      <c r="A34" s="1291">
        <v>25</v>
      </c>
      <c r="B34" s="1615" t="s">
        <v>2536</v>
      </c>
      <c r="C34" s="1615"/>
      <c r="D34" s="1291" t="s">
        <v>2537</v>
      </c>
      <c r="E34" s="1202">
        <f>291.9956344831*1.043</f>
        <v>304.55144676587327</v>
      </c>
      <c r="F34" s="2183">
        <f>12+0.216*2</f>
        <v>12.432</v>
      </c>
      <c r="G34" s="1132">
        <f>E34*F34</f>
        <v>3786.1835861933364</v>
      </c>
      <c r="H34" s="1132">
        <f>E34*F34</f>
        <v>3786.1835861933364</v>
      </c>
      <c r="I34" s="2060" t="s">
        <v>1827</v>
      </c>
      <c r="J34" s="583"/>
      <c r="K34" s="2061"/>
    </row>
    <row r="35" spans="1:13" ht="18" customHeight="1">
      <c r="A35" s="1291">
        <v>26</v>
      </c>
      <c r="B35" s="1290" t="s">
        <v>1615</v>
      </c>
      <c r="C35" s="2181"/>
      <c r="D35" s="2181"/>
      <c r="E35" s="1291">
        <v>0.04</v>
      </c>
      <c r="F35" s="2182"/>
      <c r="G35" s="1132">
        <f>G30*E35</f>
        <v>34129.458046779655</v>
      </c>
      <c r="H35" s="1132">
        <f>H30*E35</f>
        <v>33282.00041966101</v>
      </c>
      <c r="I35" s="2060" t="s">
        <v>1827</v>
      </c>
      <c r="J35" s="583"/>
      <c r="K35" s="605"/>
    </row>
    <row r="36" spans="1:13" ht="32.25" customHeight="1">
      <c r="A36" s="1291">
        <v>27</v>
      </c>
      <c r="B36" s="1619" t="s">
        <v>1458</v>
      </c>
      <c r="C36" s="2181"/>
      <c r="D36" s="2181"/>
      <c r="E36" s="2182"/>
      <c r="F36" s="2182"/>
      <c r="G36" s="1132">
        <f>(G29+G31+G32+G33+G34+G35)*0.125</f>
        <v>176792.88716316406</v>
      </c>
      <c r="H36" s="1132">
        <f>(H29+H31+H32+H33+H34+H35)*0.125</f>
        <v>173327.57995977422</v>
      </c>
      <c r="I36" s="2062"/>
      <c r="J36" s="82"/>
      <c r="K36" s="605"/>
    </row>
    <row r="37" spans="1:13" ht="30">
      <c r="A37" s="913">
        <v>28</v>
      </c>
      <c r="B37" s="1647" t="s">
        <v>1459</v>
      </c>
      <c r="C37" s="2181"/>
      <c r="D37" s="2181"/>
      <c r="E37" s="2182"/>
      <c r="F37" s="2182"/>
      <c r="G37" s="1642">
        <f>G30+G31+G32+G33+G34+G35+G36</f>
        <v>1437553.4232579682</v>
      </c>
      <c r="H37" s="1642">
        <f>H30+H31+H32+H33+H34+H35+H36</f>
        <v>1410179.2177494934</v>
      </c>
      <c r="I37" s="624"/>
      <c r="J37" s="624"/>
      <c r="K37" s="605"/>
    </row>
    <row r="38" spans="1:13" ht="17.25" customHeight="1">
      <c r="A38" s="1291">
        <v>29</v>
      </c>
      <c r="B38" s="1619" t="s">
        <v>1460</v>
      </c>
      <c r="C38" s="2181"/>
      <c r="D38" s="2181"/>
      <c r="E38" s="1291">
        <v>0.09</v>
      </c>
      <c r="F38" s="2182"/>
      <c r="G38" s="1132">
        <f>G37*E38</f>
        <v>129379.80809321713</v>
      </c>
      <c r="H38" s="1132">
        <f>H37*E38</f>
        <v>126916.1295974544</v>
      </c>
      <c r="I38" s="624"/>
      <c r="J38" s="624"/>
      <c r="K38" s="605"/>
    </row>
    <row r="39" spans="1:13" ht="17.25" customHeight="1">
      <c r="A39" s="1291">
        <v>30</v>
      </c>
      <c r="B39" s="1619" t="s">
        <v>1461</v>
      </c>
      <c r="C39" s="2181"/>
      <c r="D39" s="2181"/>
      <c r="E39" s="1291">
        <v>0.09</v>
      </c>
      <c r="F39" s="2182"/>
      <c r="G39" s="1132">
        <f>G37*E39</f>
        <v>129379.80809321713</v>
      </c>
      <c r="H39" s="1132">
        <f>H37*E39</f>
        <v>126916.1295974544</v>
      </c>
      <c r="I39" s="2063"/>
      <c r="J39" s="2008"/>
      <c r="K39" s="605"/>
    </row>
    <row r="40" spans="1:13" ht="33.75" customHeight="1">
      <c r="A40" s="1291">
        <v>31</v>
      </c>
      <c r="B40" s="1615" t="s">
        <v>2538</v>
      </c>
      <c r="C40" s="2184"/>
      <c r="D40" s="1615"/>
      <c r="E40" s="1291"/>
      <c r="F40" s="1291"/>
      <c r="G40" s="1132">
        <f>G37*0.15</f>
        <v>215633.01348869523</v>
      </c>
      <c r="H40" s="1132"/>
      <c r="I40" s="2042"/>
      <c r="J40" s="806"/>
      <c r="L40" s="2064"/>
      <c r="M40" s="2064"/>
    </row>
    <row r="41" spans="1:13" ht="33" customHeight="1">
      <c r="A41" s="1291">
        <v>32</v>
      </c>
      <c r="B41" s="1615" t="s">
        <v>2539</v>
      </c>
      <c r="C41" s="2185"/>
      <c r="D41" s="1291" t="s">
        <v>114</v>
      </c>
      <c r="E41" s="1291"/>
      <c r="F41" s="1291"/>
      <c r="G41" s="1132"/>
      <c r="H41" s="2170"/>
      <c r="I41" s="2043"/>
      <c r="J41" s="806"/>
      <c r="L41" s="2064"/>
      <c r="M41" s="2064"/>
    </row>
    <row r="42" spans="1:13" ht="30.75" customHeight="1">
      <c r="A42" s="1291">
        <v>33</v>
      </c>
      <c r="B42" s="1619" t="s">
        <v>2540</v>
      </c>
      <c r="C42" s="2181"/>
      <c r="D42" s="2181"/>
      <c r="E42" s="2182"/>
      <c r="F42" s="2182"/>
      <c r="G42" s="1132">
        <f>G37+G38+G39+G40</f>
        <v>1911946.0529330978</v>
      </c>
      <c r="H42" s="1132">
        <f>H37+H38+H39+H41</f>
        <v>1664011.4769444021</v>
      </c>
    </row>
    <row r="43" spans="1:13" ht="21" customHeight="1">
      <c r="A43" s="1915">
        <v>34</v>
      </c>
      <c r="B43" s="1647" t="s">
        <v>59</v>
      </c>
      <c r="C43" s="2181"/>
      <c r="D43" s="2181"/>
      <c r="E43" s="2182"/>
      <c r="F43" s="2182"/>
      <c r="G43" s="1642">
        <f>ROUND(G42,0)</f>
        <v>1911946</v>
      </c>
      <c r="H43" s="1642">
        <f>ROUND(H42,0)</f>
        <v>1664011</v>
      </c>
      <c r="I43" s="85"/>
    </row>
    <row r="44" spans="1:13" ht="12" customHeight="1">
      <c r="A44" s="102"/>
      <c r="B44" s="102"/>
      <c r="C44" s="102"/>
      <c r="D44" s="102"/>
      <c r="E44" s="102"/>
      <c r="F44" s="102"/>
      <c r="G44" s="102"/>
      <c r="H44" s="102"/>
    </row>
    <row r="45" spans="1:13" ht="17.25" customHeight="1">
      <c r="A45" s="2065" t="s">
        <v>62</v>
      </c>
      <c r="B45" s="105" t="s">
        <v>2541</v>
      </c>
    </row>
    <row r="46" spans="1:13" ht="18" customHeight="1">
      <c r="A46" s="2065" t="s">
        <v>2542</v>
      </c>
      <c r="B46" s="105" t="s">
        <v>2543</v>
      </c>
    </row>
    <row r="47" spans="1:13" ht="32.25" customHeight="1">
      <c r="B47" s="3107" t="s">
        <v>2544</v>
      </c>
      <c r="C47" s="3107"/>
      <c r="D47" s="3107"/>
      <c r="E47" s="3107"/>
      <c r="F47" s="3107"/>
      <c r="G47" s="2008"/>
    </row>
    <row r="48" spans="1:13" ht="32.25" customHeight="1">
      <c r="A48" s="2066" t="s">
        <v>2545</v>
      </c>
      <c r="B48" s="3107" t="s">
        <v>2546</v>
      </c>
      <c r="C48" s="3107"/>
      <c r="D48" s="3107"/>
      <c r="E48" s="3107"/>
      <c r="F48" s="3107"/>
      <c r="G48" s="580"/>
      <c r="H48" s="580"/>
    </row>
    <row r="49" spans="2:8" ht="14.25">
      <c r="B49" s="624"/>
    </row>
    <row r="50" spans="2:8" ht="14.25">
      <c r="B50" s="624"/>
      <c r="G50" s="579"/>
      <c r="H50" s="579"/>
    </row>
    <row r="51" spans="2:8" ht="14.25">
      <c r="B51" s="624"/>
    </row>
    <row r="52" spans="2:8" ht="14.25">
      <c r="B52" s="624"/>
    </row>
    <row r="53" spans="2:8" ht="14.25">
      <c r="B53" s="624"/>
    </row>
    <row r="54" spans="2:8" ht="14.25">
      <c r="B54" s="624"/>
    </row>
    <row r="55" spans="2:8" ht="14.25">
      <c r="B55" s="624"/>
    </row>
    <row r="56" spans="2:8" ht="14.25">
      <c r="B56" s="624"/>
    </row>
    <row r="57" spans="2:8" ht="14.25">
      <c r="B57" s="624"/>
    </row>
    <row r="58" spans="2:8" ht="14.25">
      <c r="B58" s="624"/>
    </row>
    <row r="59" spans="2:8" ht="14.25">
      <c r="B59" s="624"/>
    </row>
    <row r="60" spans="2:8" ht="14.25">
      <c r="B60" s="624"/>
    </row>
    <row r="61" spans="2:8" ht="14.25">
      <c r="B61" s="624"/>
    </row>
    <row r="62" spans="2:8" ht="14.25">
      <c r="B62" s="624"/>
    </row>
    <row r="63" spans="2:8" ht="14.25">
      <c r="B63" s="624"/>
    </row>
    <row r="64" spans="2:8" ht="14.25">
      <c r="B64" s="624"/>
    </row>
    <row r="65" spans="2:5" ht="14.25">
      <c r="B65" s="624"/>
    </row>
    <row r="66" spans="2:5" ht="14.25">
      <c r="B66" s="624"/>
    </row>
    <row r="67" spans="2:5" ht="14.25">
      <c r="B67" s="624"/>
    </row>
    <row r="68" spans="2:5" ht="14.25">
      <c r="B68" s="624"/>
    </row>
    <row r="69" spans="2:5" ht="14.25">
      <c r="B69" s="624"/>
    </row>
    <row r="70" spans="2:5" ht="14.25">
      <c r="B70" s="624"/>
    </row>
    <row r="74" spans="2:5" ht="14.25">
      <c r="B74" s="2055"/>
    </row>
    <row r="79" spans="2:5" ht="15.75">
      <c r="B79" s="2067"/>
      <c r="C79" s="2067"/>
      <c r="D79" s="2067"/>
      <c r="E79" s="2067"/>
    </row>
    <row r="83" spans="1:10" ht="15">
      <c r="B83" s="809"/>
    </row>
    <row r="84" spans="1:10">
      <c r="B84" s="570"/>
      <c r="C84" s="570"/>
      <c r="D84" s="570"/>
      <c r="E84" s="570"/>
      <c r="F84" s="570"/>
      <c r="G84" s="570"/>
      <c r="H84" s="570"/>
      <c r="I84" s="570"/>
    </row>
    <row r="85" spans="1:10">
      <c r="B85" s="570"/>
      <c r="C85" s="570"/>
      <c r="D85" s="570"/>
      <c r="E85" s="570"/>
      <c r="F85" s="570"/>
      <c r="G85" s="570"/>
      <c r="H85" s="570"/>
      <c r="I85" s="570"/>
    </row>
    <row r="86" spans="1:10" ht="18" customHeight="1">
      <c r="B86" s="570"/>
      <c r="C86" s="570"/>
      <c r="D86" s="570"/>
      <c r="E86" s="570"/>
      <c r="F86" s="570"/>
      <c r="G86" s="570"/>
      <c r="H86" s="570"/>
      <c r="I86" s="570"/>
    </row>
    <row r="87" spans="1:10" ht="13.5" customHeight="1">
      <c r="B87" s="570"/>
      <c r="C87" s="570"/>
      <c r="D87" s="570"/>
      <c r="E87" s="570"/>
      <c r="F87" s="570"/>
      <c r="G87" s="570"/>
      <c r="H87" s="570"/>
      <c r="I87" s="570"/>
    </row>
    <row r="88" spans="1:10" s="576" customFormat="1">
      <c r="B88" s="570"/>
      <c r="C88" s="570"/>
      <c r="D88" s="570"/>
      <c r="E88" s="570"/>
      <c r="F88" s="570"/>
      <c r="G88" s="570"/>
      <c r="H88" s="570"/>
      <c r="I88" s="570"/>
    </row>
    <row r="89" spans="1:10" ht="15.75">
      <c r="A89" s="572"/>
      <c r="B89" s="570"/>
      <c r="C89" s="570"/>
      <c r="D89" s="570"/>
      <c r="E89" s="570"/>
      <c r="F89" s="570"/>
      <c r="G89" s="570"/>
      <c r="H89" s="570"/>
      <c r="I89" s="570"/>
    </row>
    <row r="90" spans="1:10" ht="15.75">
      <c r="A90" s="573"/>
      <c r="B90" s="570"/>
      <c r="C90" s="570"/>
      <c r="D90" s="570"/>
      <c r="E90" s="570"/>
      <c r="F90" s="570"/>
      <c r="G90" s="570"/>
      <c r="H90" s="570"/>
      <c r="I90" s="570"/>
    </row>
    <row r="91" spans="1:10" ht="15.75">
      <c r="A91" s="573"/>
      <c r="B91" s="570"/>
      <c r="C91" s="570"/>
      <c r="D91" s="570"/>
      <c r="E91" s="570"/>
      <c r="F91" s="570"/>
      <c r="G91" s="570"/>
      <c r="H91" s="570"/>
      <c r="I91" s="570"/>
    </row>
    <row r="92" spans="1:10" ht="15.75" customHeight="1">
      <c r="A92" s="2021"/>
      <c r="B92" s="570"/>
      <c r="C92" s="570"/>
      <c r="D92" s="570"/>
      <c r="E92" s="570"/>
      <c r="F92" s="570"/>
      <c r="G92" s="570"/>
      <c r="H92" s="570"/>
      <c r="I92" s="570"/>
      <c r="J92" s="605"/>
    </row>
    <row r="93" spans="1:10" ht="16.5" customHeight="1">
      <c r="A93" s="2021"/>
      <c r="B93" s="570"/>
      <c r="C93" s="570"/>
      <c r="D93" s="570"/>
      <c r="E93" s="570"/>
      <c r="F93" s="570"/>
      <c r="G93" s="570"/>
      <c r="H93" s="570"/>
      <c r="I93" s="570"/>
    </row>
    <row r="94" spans="1:10" ht="15.75">
      <c r="A94" s="573"/>
      <c r="B94" s="570"/>
      <c r="C94" s="570"/>
      <c r="D94" s="570"/>
      <c r="E94" s="570"/>
      <c r="F94" s="570"/>
      <c r="G94" s="570"/>
      <c r="H94" s="570"/>
      <c r="I94" s="570"/>
    </row>
    <row r="95" spans="1:10" ht="15">
      <c r="A95" s="2068"/>
      <c r="B95" s="570"/>
      <c r="C95" s="570"/>
      <c r="D95" s="570"/>
      <c r="E95" s="570"/>
      <c r="F95" s="570"/>
      <c r="G95" s="570"/>
      <c r="H95" s="570"/>
      <c r="I95" s="570"/>
    </row>
    <row r="96" spans="1:10" ht="15">
      <c r="A96" s="2068"/>
      <c r="B96" s="570"/>
      <c r="C96" s="570"/>
      <c r="D96" s="570"/>
      <c r="E96" s="570"/>
      <c r="F96" s="570"/>
      <c r="G96" s="570"/>
      <c r="H96" s="570"/>
      <c r="I96" s="570"/>
    </row>
    <row r="97" spans="1:9" ht="15">
      <c r="A97" s="2068"/>
      <c r="B97" s="570"/>
      <c r="C97" s="570"/>
      <c r="D97" s="570"/>
      <c r="E97" s="570"/>
      <c r="F97" s="570"/>
      <c r="G97" s="570"/>
      <c r="H97" s="570"/>
      <c r="I97" s="570"/>
    </row>
    <row r="98" spans="1:9" ht="15">
      <c r="A98" s="2068"/>
      <c r="B98" s="570"/>
      <c r="C98" s="570"/>
      <c r="D98" s="570"/>
      <c r="E98" s="570"/>
      <c r="F98" s="570"/>
      <c r="G98" s="570"/>
      <c r="H98" s="570"/>
      <c r="I98" s="570"/>
    </row>
    <row r="99" spans="1:9" ht="15.75" customHeight="1">
      <c r="A99" s="2068"/>
      <c r="B99" s="570"/>
      <c r="C99" s="570"/>
      <c r="D99" s="570"/>
      <c r="E99" s="570"/>
      <c r="F99" s="570"/>
      <c r="G99" s="570"/>
      <c r="H99" s="570"/>
      <c r="I99" s="570"/>
    </row>
    <row r="100" spans="1:9" ht="15">
      <c r="A100" s="2068"/>
      <c r="B100" s="570"/>
      <c r="C100" s="570"/>
      <c r="D100" s="570"/>
      <c r="E100" s="570"/>
      <c r="F100" s="570"/>
      <c r="G100" s="570"/>
      <c r="H100" s="570"/>
      <c r="I100" s="570"/>
    </row>
    <row r="101" spans="1:9" ht="15">
      <c r="A101" s="2068"/>
      <c r="B101" s="570"/>
      <c r="C101" s="570"/>
      <c r="D101" s="570"/>
      <c r="E101" s="570"/>
      <c r="F101" s="570"/>
      <c r="G101" s="570"/>
      <c r="H101" s="570"/>
      <c r="I101" s="570"/>
    </row>
    <row r="102" spans="1:9" ht="15">
      <c r="A102" s="2068"/>
      <c r="B102" s="570"/>
      <c r="C102" s="570"/>
      <c r="D102" s="570"/>
      <c r="E102" s="570"/>
      <c r="F102" s="570"/>
      <c r="G102" s="570"/>
      <c r="H102" s="570"/>
      <c r="I102" s="570"/>
    </row>
    <row r="103" spans="1:9" ht="15">
      <c r="A103" s="2068"/>
      <c r="B103" s="570"/>
      <c r="C103" s="570"/>
      <c r="D103" s="570"/>
      <c r="E103" s="570"/>
      <c r="F103" s="570"/>
      <c r="G103" s="570"/>
      <c r="H103" s="570"/>
      <c r="I103" s="570"/>
    </row>
    <row r="104" spans="1:9" ht="15">
      <c r="A104" s="2036"/>
      <c r="B104" s="570"/>
      <c r="C104" s="570"/>
      <c r="D104" s="570"/>
      <c r="E104" s="570"/>
      <c r="F104" s="570"/>
      <c r="G104" s="570"/>
      <c r="H104" s="570"/>
      <c r="I104" s="570"/>
    </row>
    <row r="105" spans="1:9" ht="15">
      <c r="A105" s="2036"/>
      <c r="B105" s="570"/>
      <c r="C105" s="570"/>
      <c r="D105" s="570"/>
      <c r="E105" s="570"/>
      <c r="F105" s="570"/>
      <c r="G105" s="570"/>
      <c r="H105" s="570"/>
      <c r="I105" s="570"/>
    </row>
    <row r="106" spans="1:9" ht="15">
      <c r="A106" s="2069"/>
      <c r="B106" s="570"/>
      <c r="C106" s="570"/>
      <c r="D106" s="570"/>
      <c r="E106" s="570"/>
      <c r="F106" s="570"/>
      <c r="G106" s="570"/>
      <c r="H106" s="570"/>
      <c r="I106" s="570"/>
    </row>
    <row r="107" spans="1:9" ht="15">
      <c r="A107" s="2069"/>
      <c r="B107" s="570"/>
      <c r="C107" s="570"/>
      <c r="D107" s="570"/>
      <c r="E107" s="570"/>
      <c r="F107" s="570"/>
      <c r="G107" s="570"/>
      <c r="H107" s="570"/>
      <c r="I107" s="570"/>
    </row>
    <row r="108" spans="1:9" ht="15">
      <c r="A108" s="2069"/>
      <c r="B108" s="570"/>
      <c r="C108" s="570"/>
      <c r="D108" s="570"/>
      <c r="E108" s="570"/>
      <c r="F108" s="570"/>
      <c r="G108" s="570"/>
      <c r="H108" s="570"/>
      <c r="I108" s="570"/>
    </row>
    <row r="109" spans="1:9" ht="15">
      <c r="A109" s="2069"/>
      <c r="B109" s="570"/>
      <c r="C109" s="570"/>
      <c r="D109" s="570"/>
      <c r="E109" s="570"/>
      <c r="F109" s="570"/>
      <c r="G109" s="570"/>
      <c r="H109" s="570"/>
      <c r="I109" s="570"/>
    </row>
    <row r="110" spans="1:9" ht="15.75" customHeight="1">
      <c r="A110" s="1978"/>
      <c r="B110" s="570"/>
      <c r="C110" s="570"/>
      <c r="D110" s="570"/>
      <c r="E110" s="570"/>
      <c r="F110" s="570"/>
      <c r="G110" s="570"/>
      <c r="H110" s="570"/>
      <c r="I110" s="570"/>
    </row>
    <row r="111" spans="1:9" ht="15" customHeight="1">
      <c r="A111" s="3108"/>
      <c r="B111" s="570"/>
      <c r="C111" s="570"/>
      <c r="D111" s="570"/>
      <c r="E111" s="570"/>
      <c r="F111" s="570"/>
      <c r="G111" s="570"/>
      <c r="H111" s="570"/>
      <c r="I111" s="570"/>
    </row>
    <row r="112" spans="1:9" ht="15" customHeight="1">
      <c r="A112" s="3108"/>
      <c r="B112" s="570"/>
      <c r="C112" s="570"/>
      <c r="D112" s="570"/>
      <c r="E112" s="570"/>
      <c r="F112" s="570"/>
      <c r="G112" s="570"/>
      <c r="H112" s="570"/>
      <c r="I112" s="570"/>
    </row>
    <row r="113" spans="1:9" ht="15" customHeight="1">
      <c r="A113" s="3108"/>
      <c r="B113" s="570"/>
      <c r="C113" s="570"/>
      <c r="D113" s="570"/>
      <c r="E113" s="570"/>
      <c r="F113" s="570"/>
      <c r="G113" s="570"/>
      <c r="H113" s="570"/>
      <c r="I113" s="570"/>
    </row>
    <row r="114" spans="1:9" ht="15" customHeight="1">
      <c r="A114" s="3108"/>
      <c r="B114" s="570"/>
      <c r="C114" s="570"/>
      <c r="D114" s="570"/>
      <c r="E114" s="570"/>
      <c r="F114" s="570"/>
      <c r="G114" s="570"/>
      <c r="H114" s="570"/>
      <c r="I114" s="570"/>
    </row>
    <row r="115" spans="1:9" ht="15" customHeight="1">
      <c r="A115" s="3108"/>
      <c r="B115" s="570"/>
      <c r="C115" s="570"/>
      <c r="D115" s="570"/>
      <c r="E115" s="570"/>
      <c r="F115" s="570"/>
      <c r="G115" s="570"/>
      <c r="H115" s="570"/>
      <c r="I115" s="570"/>
    </row>
    <row r="116" spans="1:9" ht="15">
      <c r="A116" s="1965"/>
      <c r="B116" s="570"/>
      <c r="C116" s="570"/>
      <c r="D116" s="570"/>
      <c r="E116" s="570"/>
      <c r="F116" s="570"/>
      <c r="G116" s="570"/>
      <c r="H116" s="570"/>
      <c r="I116" s="570"/>
    </row>
    <row r="117" spans="1:9" ht="15">
      <c r="A117" s="1965"/>
      <c r="B117" s="570"/>
      <c r="C117" s="570"/>
      <c r="D117" s="570"/>
      <c r="E117" s="570"/>
      <c r="F117" s="570"/>
      <c r="G117" s="570"/>
      <c r="H117" s="570"/>
      <c r="I117" s="570"/>
    </row>
    <row r="118" spans="1:9" ht="15.75" customHeight="1">
      <c r="A118" s="1965"/>
      <c r="B118" s="570"/>
      <c r="C118" s="570"/>
      <c r="D118" s="570"/>
      <c r="E118" s="570"/>
      <c r="F118" s="570"/>
      <c r="G118" s="570"/>
      <c r="H118" s="570"/>
      <c r="I118" s="570"/>
    </row>
    <row r="119" spans="1:9" ht="15">
      <c r="A119" s="1965"/>
      <c r="B119" s="570"/>
      <c r="C119" s="570"/>
      <c r="D119" s="570"/>
      <c r="E119" s="570"/>
      <c r="F119" s="570"/>
      <c r="G119" s="570"/>
      <c r="H119" s="570"/>
      <c r="I119" s="570"/>
    </row>
    <row r="120" spans="1:9" ht="15.75" customHeight="1">
      <c r="A120" s="1965"/>
      <c r="B120" s="570"/>
      <c r="C120" s="570"/>
      <c r="D120" s="570"/>
      <c r="E120" s="570"/>
      <c r="F120" s="570"/>
      <c r="G120" s="570"/>
      <c r="H120" s="570"/>
      <c r="I120" s="570"/>
    </row>
    <row r="121" spans="1:9" ht="30.75" customHeight="1">
      <c r="A121" s="2020"/>
      <c r="B121" s="570"/>
      <c r="C121" s="570"/>
      <c r="D121" s="570"/>
      <c r="E121" s="570"/>
      <c r="F121" s="570"/>
      <c r="G121" s="570"/>
      <c r="H121" s="570"/>
      <c r="I121" s="570"/>
    </row>
    <row r="122" spans="1:9" ht="15">
      <c r="A122" s="627"/>
      <c r="B122" s="570"/>
      <c r="C122" s="570"/>
      <c r="D122" s="570"/>
      <c r="E122" s="570"/>
      <c r="F122" s="570"/>
      <c r="G122" s="570"/>
      <c r="H122" s="570"/>
      <c r="I122" s="570"/>
    </row>
    <row r="123" spans="1:9" ht="15">
      <c r="A123" s="627"/>
      <c r="B123" s="570"/>
      <c r="C123" s="570"/>
      <c r="D123" s="570"/>
      <c r="E123" s="570"/>
      <c r="F123" s="570"/>
      <c r="G123" s="570"/>
      <c r="H123" s="570"/>
      <c r="I123" s="570"/>
    </row>
  </sheetData>
  <mergeCells count="11">
    <mergeCell ref="B47:F47"/>
    <mergeCell ref="B48:F48"/>
    <mergeCell ref="A111:A115"/>
    <mergeCell ref="B1:E1"/>
    <mergeCell ref="B3:G3"/>
    <mergeCell ref="A7:A8"/>
    <mergeCell ref="B7:B8"/>
    <mergeCell ref="C7:C8"/>
    <mergeCell ref="D7:D8"/>
    <mergeCell ref="E7:E8"/>
    <mergeCell ref="F7:F8"/>
  </mergeCells>
  <conditionalFormatting sqref="B29">
    <cfRule type="cellIs" dxfId="136" priority="2" stopIfTrue="1" operator="equal">
      <formula>"?"</formula>
    </cfRule>
  </conditionalFormatting>
  <conditionalFormatting sqref="B30">
    <cfRule type="cellIs" dxfId="135" priority="1" stopIfTrue="1" operator="equal">
      <formula>"?"</formula>
    </cfRule>
  </conditionalFormatting>
  <printOptions horizontalCentered="1"/>
  <pageMargins left="0.63" right="0.15" top="0.65" bottom="0.24" header="0.5" footer="0.16"/>
  <pageSetup paperSize="9"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0"/>
  <sheetViews>
    <sheetView workbookViewId="0">
      <pane xSplit="2" ySplit="9" topLeftCell="C39" activePane="bottomRight" state="frozen"/>
      <selection pane="topRight" activeCell="C1" sqref="C1"/>
      <selection pane="bottomLeft" activeCell="A10" sqref="A10"/>
      <selection pane="bottomRight" activeCell="I41" sqref="I41"/>
    </sheetView>
  </sheetViews>
  <sheetFormatPr defaultRowHeight="12.75"/>
  <cols>
    <col min="1" max="1" width="4.5703125" style="70" customWidth="1"/>
    <col min="2" max="2" width="44.140625" style="70" customWidth="1"/>
    <col min="3" max="3" width="11.5703125" style="70" customWidth="1"/>
    <col min="4" max="4" width="5.5703125" style="70" customWidth="1"/>
    <col min="5" max="5" width="9.7109375" style="70" customWidth="1"/>
    <col min="6" max="6" width="5.5703125" style="70" customWidth="1"/>
    <col min="7" max="7" width="14.42578125" style="70" customWidth="1"/>
    <col min="8" max="8" width="14.28515625" style="70" customWidth="1"/>
    <col min="9" max="9" width="20" style="70" customWidth="1"/>
    <col min="10" max="10" width="13.5703125" style="70" customWidth="1"/>
    <col min="11" max="11" width="13.85546875" style="70" customWidth="1"/>
    <col min="12" max="256" width="9.140625" style="70"/>
    <col min="257" max="257" width="4.5703125" style="70" customWidth="1"/>
    <col min="258" max="258" width="44.140625" style="70" customWidth="1"/>
    <col min="259" max="259" width="11.5703125" style="70" customWidth="1"/>
    <col min="260" max="260" width="5.5703125" style="70" customWidth="1"/>
    <col min="261" max="261" width="9.7109375" style="70" customWidth="1"/>
    <col min="262" max="262" width="5.5703125" style="70" customWidth="1"/>
    <col min="263" max="263" width="13.85546875" style="70" customWidth="1"/>
    <col min="264" max="264" width="14.28515625" style="70" customWidth="1"/>
    <col min="265" max="265" width="20" style="70" customWidth="1"/>
    <col min="266" max="266" width="13.5703125" style="70" customWidth="1"/>
    <col min="267" max="267" width="13.85546875" style="70" customWidth="1"/>
    <col min="268" max="512" width="9.140625" style="70"/>
    <col min="513" max="513" width="4.5703125" style="70" customWidth="1"/>
    <col min="514" max="514" width="44.140625" style="70" customWidth="1"/>
    <col min="515" max="515" width="11.5703125" style="70" customWidth="1"/>
    <col min="516" max="516" width="5.5703125" style="70" customWidth="1"/>
    <col min="517" max="517" width="9.7109375" style="70" customWidth="1"/>
    <col min="518" max="518" width="5.5703125" style="70" customWidth="1"/>
    <col min="519" max="519" width="13.85546875" style="70" customWidth="1"/>
    <col min="520" max="520" width="14.28515625" style="70" customWidth="1"/>
    <col min="521" max="521" width="20" style="70" customWidth="1"/>
    <col min="522" max="522" width="13.5703125" style="70" customWidth="1"/>
    <col min="523" max="523" width="13.85546875" style="70" customWidth="1"/>
    <col min="524" max="768" width="9.140625" style="70"/>
    <col min="769" max="769" width="4.5703125" style="70" customWidth="1"/>
    <col min="770" max="770" width="44.140625" style="70" customWidth="1"/>
    <col min="771" max="771" width="11.5703125" style="70" customWidth="1"/>
    <col min="772" max="772" width="5.5703125" style="70" customWidth="1"/>
    <col min="773" max="773" width="9.7109375" style="70" customWidth="1"/>
    <col min="774" max="774" width="5.5703125" style="70" customWidth="1"/>
    <col min="775" max="775" width="13.85546875" style="70" customWidth="1"/>
    <col min="776" max="776" width="14.28515625" style="70" customWidth="1"/>
    <col min="777" max="777" width="20" style="70" customWidth="1"/>
    <col min="778" max="778" width="13.5703125" style="70" customWidth="1"/>
    <col min="779" max="779" width="13.85546875" style="70" customWidth="1"/>
    <col min="780" max="1024" width="9.140625" style="70"/>
    <col min="1025" max="1025" width="4.5703125" style="70" customWidth="1"/>
    <col min="1026" max="1026" width="44.140625" style="70" customWidth="1"/>
    <col min="1027" max="1027" width="11.5703125" style="70" customWidth="1"/>
    <col min="1028" max="1028" width="5.5703125" style="70" customWidth="1"/>
    <col min="1029" max="1029" width="9.7109375" style="70" customWidth="1"/>
    <col min="1030" max="1030" width="5.5703125" style="70" customWidth="1"/>
    <col min="1031" max="1031" width="13.85546875" style="70" customWidth="1"/>
    <col min="1032" max="1032" width="14.28515625" style="70" customWidth="1"/>
    <col min="1033" max="1033" width="20" style="70" customWidth="1"/>
    <col min="1034" max="1034" width="13.5703125" style="70" customWidth="1"/>
    <col min="1035" max="1035" width="13.85546875" style="70" customWidth="1"/>
    <col min="1036" max="1280" width="9.140625" style="70"/>
    <col min="1281" max="1281" width="4.5703125" style="70" customWidth="1"/>
    <col min="1282" max="1282" width="44.140625" style="70" customWidth="1"/>
    <col min="1283" max="1283" width="11.5703125" style="70" customWidth="1"/>
    <col min="1284" max="1284" width="5.5703125" style="70" customWidth="1"/>
    <col min="1285" max="1285" width="9.7109375" style="70" customWidth="1"/>
    <col min="1286" max="1286" width="5.5703125" style="70" customWidth="1"/>
    <col min="1287" max="1287" width="13.85546875" style="70" customWidth="1"/>
    <col min="1288" max="1288" width="14.28515625" style="70" customWidth="1"/>
    <col min="1289" max="1289" width="20" style="70" customWidth="1"/>
    <col min="1290" max="1290" width="13.5703125" style="70" customWidth="1"/>
    <col min="1291" max="1291" width="13.85546875" style="70" customWidth="1"/>
    <col min="1292" max="1536" width="9.140625" style="70"/>
    <col min="1537" max="1537" width="4.5703125" style="70" customWidth="1"/>
    <col min="1538" max="1538" width="44.140625" style="70" customWidth="1"/>
    <col min="1539" max="1539" width="11.5703125" style="70" customWidth="1"/>
    <col min="1540" max="1540" width="5.5703125" style="70" customWidth="1"/>
    <col min="1541" max="1541" width="9.7109375" style="70" customWidth="1"/>
    <col min="1542" max="1542" width="5.5703125" style="70" customWidth="1"/>
    <col min="1543" max="1543" width="13.85546875" style="70" customWidth="1"/>
    <col min="1544" max="1544" width="14.28515625" style="70" customWidth="1"/>
    <col min="1545" max="1545" width="20" style="70" customWidth="1"/>
    <col min="1546" max="1546" width="13.5703125" style="70" customWidth="1"/>
    <col min="1547" max="1547" width="13.85546875" style="70" customWidth="1"/>
    <col min="1548" max="1792" width="9.140625" style="70"/>
    <col min="1793" max="1793" width="4.5703125" style="70" customWidth="1"/>
    <col min="1794" max="1794" width="44.140625" style="70" customWidth="1"/>
    <col min="1795" max="1795" width="11.5703125" style="70" customWidth="1"/>
    <col min="1796" max="1796" width="5.5703125" style="70" customWidth="1"/>
    <col min="1797" max="1797" width="9.7109375" style="70" customWidth="1"/>
    <col min="1798" max="1798" width="5.5703125" style="70" customWidth="1"/>
    <col min="1799" max="1799" width="13.85546875" style="70" customWidth="1"/>
    <col min="1800" max="1800" width="14.28515625" style="70" customWidth="1"/>
    <col min="1801" max="1801" width="20" style="70" customWidth="1"/>
    <col min="1802" max="1802" width="13.5703125" style="70" customWidth="1"/>
    <col min="1803" max="1803" width="13.85546875" style="70" customWidth="1"/>
    <col min="1804" max="2048" width="9.140625" style="70"/>
    <col min="2049" max="2049" width="4.5703125" style="70" customWidth="1"/>
    <col min="2050" max="2050" width="44.140625" style="70" customWidth="1"/>
    <col min="2051" max="2051" width="11.5703125" style="70" customWidth="1"/>
    <col min="2052" max="2052" width="5.5703125" style="70" customWidth="1"/>
    <col min="2053" max="2053" width="9.7109375" style="70" customWidth="1"/>
    <col min="2054" max="2054" width="5.5703125" style="70" customWidth="1"/>
    <col min="2055" max="2055" width="13.85546875" style="70" customWidth="1"/>
    <col min="2056" max="2056" width="14.28515625" style="70" customWidth="1"/>
    <col min="2057" max="2057" width="20" style="70" customWidth="1"/>
    <col min="2058" max="2058" width="13.5703125" style="70" customWidth="1"/>
    <col min="2059" max="2059" width="13.85546875" style="70" customWidth="1"/>
    <col min="2060" max="2304" width="9.140625" style="70"/>
    <col min="2305" max="2305" width="4.5703125" style="70" customWidth="1"/>
    <col min="2306" max="2306" width="44.140625" style="70" customWidth="1"/>
    <col min="2307" max="2307" width="11.5703125" style="70" customWidth="1"/>
    <col min="2308" max="2308" width="5.5703125" style="70" customWidth="1"/>
    <col min="2309" max="2309" width="9.7109375" style="70" customWidth="1"/>
    <col min="2310" max="2310" width="5.5703125" style="70" customWidth="1"/>
    <col min="2311" max="2311" width="13.85546875" style="70" customWidth="1"/>
    <col min="2312" max="2312" width="14.28515625" style="70" customWidth="1"/>
    <col min="2313" max="2313" width="20" style="70" customWidth="1"/>
    <col min="2314" max="2314" width="13.5703125" style="70" customWidth="1"/>
    <col min="2315" max="2315" width="13.85546875" style="70" customWidth="1"/>
    <col min="2316" max="2560" width="9.140625" style="70"/>
    <col min="2561" max="2561" width="4.5703125" style="70" customWidth="1"/>
    <col min="2562" max="2562" width="44.140625" style="70" customWidth="1"/>
    <col min="2563" max="2563" width="11.5703125" style="70" customWidth="1"/>
    <col min="2564" max="2564" width="5.5703125" style="70" customWidth="1"/>
    <col min="2565" max="2565" width="9.7109375" style="70" customWidth="1"/>
    <col min="2566" max="2566" width="5.5703125" style="70" customWidth="1"/>
    <col min="2567" max="2567" width="13.85546875" style="70" customWidth="1"/>
    <col min="2568" max="2568" width="14.28515625" style="70" customWidth="1"/>
    <col min="2569" max="2569" width="20" style="70" customWidth="1"/>
    <col min="2570" max="2570" width="13.5703125" style="70" customWidth="1"/>
    <col min="2571" max="2571" width="13.85546875" style="70" customWidth="1"/>
    <col min="2572" max="2816" width="9.140625" style="70"/>
    <col min="2817" max="2817" width="4.5703125" style="70" customWidth="1"/>
    <col min="2818" max="2818" width="44.140625" style="70" customWidth="1"/>
    <col min="2819" max="2819" width="11.5703125" style="70" customWidth="1"/>
    <col min="2820" max="2820" width="5.5703125" style="70" customWidth="1"/>
    <col min="2821" max="2821" width="9.7109375" style="70" customWidth="1"/>
    <col min="2822" max="2822" width="5.5703125" style="70" customWidth="1"/>
    <col min="2823" max="2823" width="13.85546875" style="70" customWidth="1"/>
    <col min="2824" max="2824" width="14.28515625" style="70" customWidth="1"/>
    <col min="2825" max="2825" width="20" style="70" customWidth="1"/>
    <col min="2826" max="2826" width="13.5703125" style="70" customWidth="1"/>
    <col min="2827" max="2827" width="13.85546875" style="70" customWidth="1"/>
    <col min="2828" max="3072" width="9.140625" style="70"/>
    <col min="3073" max="3073" width="4.5703125" style="70" customWidth="1"/>
    <col min="3074" max="3074" width="44.140625" style="70" customWidth="1"/>
    <col min="3075" max="3075" width="11.5703125" style="70" customWidth="1"/>
    <col min="3076" max="3076" width="5.5703125" style="70" customWidth="1"/>
    <col min="3077" max="3077" width="9.7109375" style="70" customWidth="1"/>
    <col min="3078" max="3078" width="5.5703125" style="70" customWidth="1"/>
    <col min="3079" max="3079" width="13.85546875" style="70" customWidth="1"/>
    <col min="3080" max="3080" width="14.28515625" style="70" customWidth="1"/>
    <col min="3081" max="3081" width="20" style="70" customWidth="1"/>
    <col min="3082" max="3082" width="13.5703125" style="70" customWidth="1"/>
    <col min="3083" max="3083" width="13.85546875" style="70" customWidth="1"/>
    <col min="3084" max="3328" width="9.140625" style="70"/>
    <col min="3329" max="3329" width="4.5703125" style="70" customWidth="1"/>
    <col min="3330" max="3330" width="44.140625" style="70" customWidth="1"/>
    <col min="3331" max="3331" width="11.5703125" style="70" customWidth="1"/>
    <col min="3332" max="3332" width="5.5703125" style="70" customWidth="1"/>
    <col min="3333" max="3333" width="9.7109375" style="70" customWidth="1"/>
    <col min="3334" max="3334" width="5.5703125" style="70" customWidth="1"/>
    <col min="3335" max="3335" width="13.85546875" style="70" customWidth="1"/>
    <col min="3336" max="3336" width="14.28515625" style="70" customWidth="1"/>
    <col min="3337" max="3337" width="20" style="70" customWidth="1"/>
    <col min="3338" max="3338" width="13.5703125" style="70" customWidth="1"/>
    <col min="3339" max="3339" width="13.85546875" style="70" customWidth="1"/>
    <col min="3340" max="3584" width="9.140625" style="70"/>
    <col min="3585" max="3585" width="4.5703125" style="70" customWidth="1"/>
    <col min="3586" max="3586" width="44.140625" style="70" customWidth="1"/>
    <col min="3587" max="3587" width="11.5703125" style="70" customWidth="1"/>
    <col min="3588" max="3588" width="5.5703125" style="70" customWidth="1"/>
    <col min="3589" max="3589" width="9.7109375" style="70" customWidth="1"/>
    <col min="3590" max="3590" width="5.5703125" style="70" customWidth="1"/>
    <col min="3591" max="3591" width="13.85546875" style="70" customWidth="1"/>
    <col min="3592" max="3592" width="14.28515625" style="70" customWidth="1"/>
    <col min="3593" max="3593" width="20" style="70" customWidth="1"/>
    <col min="3594" max="3594" width="13.5703125" style="70" customWidth="1"/>
    <col min="3595" max="3595" width="13.85546875" style="70" customWidth="1"/>
    <col min="3596" max="3840" width="9.140625" style="70"/>
    <col min="3841" max="3841" width="4.5703125" style="70" customWidth="1"/>
    <col min="3842" max="3842" width="44.140625" style="70" customWidth="1"/>
    <col min="3843" max="3843" width="11.5703125" style="70" customWidth="1"/>
    <col min="3844" max="3844" width="5.5703125" style="70" customWidth="1"/>
    <col min="3845" max="3845" width="9.7109375" style="70" customWidth="1"/>
    <col min="3846" max="3846" width="5.5703125" style="70" customWidth="1"/>
    <col min="3847" max="3847" width="13.85546875" style="70" customWidth="1"/>
    <col min="3848" max="3848" width="14.28515625" style="70" customWidth="1"/>
    <col min="3849" max="3849" width="20" style="70" customWidth="1"/>
    <col min="3850" max="3850" width="13.5703125" style="70" customWidth="1"/>
    <col min="3851" max="3851" width="13.85546875" style="70" customWidth="1"/>
    <col min="3852" max="4096" width="9.140625" style="70"/>
    <col min="4097" max="4097" width="4.5703125" style="70" customWidth="1"/>
    <col min="4098" max="4098" width="44.140625" style="70" customWidth="1"/>
    <col min="4099" max="4099" width="11.5703125" style="70" customWidth="1"/>
    <col min="4100" max="4100" width="5.5703125" style="70" customWidth="1"/>
    <col min="4101" max="4101" width="9.7109375" style="70" customWidth="1"/>
    <col min="4102" max="4102" width="5.5703125" style="70" customWidth="1"/>
    <col min="4103" max="4103" width="13.85546875" style="70" customWidth="1"/>
    <col min="4104" max="4104" width="14.28515625" style="70" customWidth="1"/>
    <col min="4105" max="4105" width="20" style="70" customWidth="1"/>
    <col min="4106" max="4106" width="13.5703125" style="70" customWidth="1"/>
    <col min="4107" max="4107" width="13.85546875" style="70" customWidth="1"/>
    <col min="4108" max="4352" width="9.140625" style="70"/>
    <col min="4353" max="4353" width="4.5703125" style="70" customWidth="1"/>
    <col min="4354" max="4354" width="44.140625" style="70" customWidth="1"/>
    <col min="4355" max="4355" width="11.5703125" style="70" customWidth="1"/>
    <col min="4356" max="4356" width="5.5703125" style="70" customWidth="1"/>
    <col min="4357" max="4357" width="9.7109375" style="70" customWidth="1"/>
    <col min="4358" max="4358" width="5.5703125" style="70" customWidth="1"/>
    <col min="4359" max="4359" width="13.85546875" style="70" customWidth="1"/>
    <col min="4360" max="4360" width="14.28515625" style="70" customWidth="1"/>
    <col min="4361" max="4361" width="20" style="70" customWidth="1"/>
    <col min="4362" max="4362" width="13.5703125" style="70" customWidth="1"/>
    <col min="4363" max="4363" width="13.85546875" style="70" customWidth="1"/>
    <col min="4364" max="4608" width="9.140625" style="70"/>
    <col min="4609" max="4609" width="4.5703125" style="70" customWidth="1"/>
    <col min="4610" max="4610" width="44.140625" style="70" customWidth="1"/>
    <col min="4611" max="4611" width="11.5703125" style="70" customWidth="1"/>
    <col min="4612" max="4612" width="5.5703125" style="70" customWidth="1"/>
    <col min="4613" max="4613" width="9.7109375" style="70" customWidth="1"/>
    <col min="4614" max="4614" width="5.5703125" style="70" customWidth="1"/>
    <col min="4615" max="4615" width="13.85546875" style="70" customWidth="1"/>
    <col min="4616" max="4616" width="14.28515625" style="70" customWidth="1"/>
    <col min="4617" max="4617" width="20" style="70" customWidth="1"/>
    <col min="4618" max="4618" width="13.5703125" style="70" customWidth="1"/>
    <col min="4619" max="4619" width="13.85546875" style="70" customWidth="1"/>
    <col min="4620" max="4864" width="9.140625" style="70"/>
    <col min="4865" max="4865" width="4.5703125" style="70" customWidth="1"/>
    <col min="4866" max="4866" width="44.140625" style="70" customWidth="1"/>
    <col min="4867" max="4867" width="11.5703125" style="70" customWidth="1"/>
    <col min="4868" max="4868" width="5.5703125" style="70" customWidth="1"/>
    <col min="4869" max="4869" width="9.7109375" style="70" customWidth="1"/>
    <col min="4870" max="4870" width="5.5703125" style="70" customWidth="1"/>
    <col min="4871" max="4871" width="13.85546875" style="70" customWidth="1"/>
    <col min="4872" max="4872" width="14.28515625" style="70" customWidth="1"/>
    <col min="4873" max="4873" width="20" style="70" customWidth="1"/>
    <col min="4874" max="4874" width="13.5703125" style="70" customWidth="1"/>
    <col min="4875" max="4875" width="13.85546875" style="70" customWidth="1"/>
    <col min="4876" max="5120" width="9.140625" style="70"/>
    <col min="5121" max="5121" width="4.5703125" style="70" customWidth="1"/>
    <col min="5122" max="5122" width="44.140625" style="70" customWidth="1"/>
    <col min="5123" max="5123" width="11.5703125" style="70" customWidth="1"/>
    <col min="5124" max="5124" width="5.5703125" style="70" customWidth="1"/>
    <col min="5125" max="5125" width="9.7109375" style="70" customWidth="1"/>
    <col min="5126" max="5126" width="5.5703125" style="70" customWidth="1"/>
    <col min="5127" max="5127" width="13.85546875" style="70" customWidth="1"/>
    <col min="5128" max="5128" width="14.28515625" style="70" customWidth="1"/>
    <col min="5129" max="5129" width="20" style="70" customWidth="1"/>
    <col min="5130" max="5130" width="13.5703125" style="70" customWidth="1"/>
    <col min="5131" max="5131" width="13.85546875" style="70" customWidth="1"/>
    <col min="5132" max="5376" width="9.140625" style="70"/>
    <col min="5377" max="5377" width="4.5703125" style="70" customWidth="1"/>
    <col min="5378" max="5378" width="44.140625" style="70" customWidth="1"/>
    <col min="5379" max="5379" width="11.5703125" style="70" customWidth="1"/>
    <col min="5380" max="5380" width="5.5703125" style="70" customWidth="1"/>
    <col min="5381" max="5381" width="9.7109375" style="70" customWidth="1"/>
    <col min="5382" max="5382" width="5.5703125" style="70" customWidth="1"/>
    <col min="5383" max="5383" width="13.85546875" style="70" customWidth="1"/>
    <col min="5384" max="5384" width="14.28515625" style="70" customWidth="1"/>
    <col min="5385" max="5385" width="20" style="70" customWidth="1"/>
    <col min="5386" max="5386" width="13.5703125" style="70" customWidth="1"/>
    <col min="5387" max="5387" width="13.85546875" style="70" customWidth="1"/>
    <col min="5388" max="5632" width="9.140625" style="70"/>
    <col min="5633" max="5633" width="4.5703125" style="70" customWidth="1"/>
    <col min="5634" max="5634" width="44.140625" style="70" customWidth="1"/>
    <col min="5635" max="5635" width="11.5703125" style="70" customWidth="1"/>
    <col min="5636" max="5636" width="5.5703125" style="70" customWidth="1"/>
    <col min="5637" max="5637" width="9.7109375" style="70" customWidth="1"/>
    <col min="5638" max="5638" width="5.5703125" style="70" customWidth="1"/>
    <col min="5639" max="5639" width="13.85546875" style="70" customWidth="1"/>
    <col min="5640" max="5640" width="14.28515625" style="70" customWidth="1"/>
    <col min="5641" max="5641" width="20" style="70" customWidth="1"/>
    <col min="5642" max="5642" width="13.5703125" style="70" customWidth="1"/>
    <col min="5643" max="5643" width="13.85546875" style="70" customWidth="1"/>
    <col min="5644" max="5888" width="9.140625" style="70"/>
    <col min="5889" max="5889" width="4.5703125" style="70" customWidth="1"/>
    <col min="5890" max="5890" width="44.140625" style="70" customWidth="1"/>
    <col min="5891" max="5891" width="11.5703125" style="70" customWidth="1"/>
    <col min="5892" max="5892" width="5.5703125" style="70" customWidth="1"/>
    <col min="5893" max="5893" width="9.7109375" style="70" customWidth="1"/>
    <col min="5894" max="5894" width="5.5703125" style="70" customWidth="1"/>
    <col min="5895" max="5895" width="13.85546875" style="70" customWidth="1"/>
    <col min="5896" max="5896" width="14.28515625" style="70" customWidth="1"/>
    <col min="5897" max="5897" width="20" style="70" customWidth="1"/>
    <col min="5898" max="5898" width="13.5703125" style="70" customWidth="1"/>
    <col min="5899" max="5899" width="13.85546875" style="70" customWidth="1"/>
    <col min="5900" max="6144" width="9.140625" style="70"/>
    <col min="6145" max="6145" width="4.5703125" style="70" customWidth="1"/>
    <col min="6146" max="6146" width="44.140625" style="70" customWidth="1"/>
    <col min="6147" max="6147" width="11.5703125" style="70" customWidth="1"/>
    <col min="6148" max="6148" width="5.5703125" style="70" customWidth="1"/>
    <col min="6149" max="6149" width="9.7109375" style="70" customWidth="1"/>
    <col min="6150" max="6150" width="5.5703125" style="70" customWidth="1"/>
    <col min="6151" max="6151" width="13.85546875" style="70" customWidth="1"/>
    <col min="6152" max="6152" width="14.28515625" style="70" customWidth="1"/>
    <col min="6153" max="6153" width="20" style="70" customWidth="1"/>
    <col min="6154" max="6154" width="13.5703125" style="70" customWidth="1"/>
    <col min="6155" max="6155" width="13.85546875" style="70" customWidth="1"/>
    <col min="6156" max="6400" width="9.140625" style="70"/>
    <col min="6401" max="6401" width="4.5703125" style="70" customWidth="1"/>
    <col min="6402" max="6402" width="44.140625" style="70" customWidth="1"/>
    <col min="6403" max="6403" width="11.5703125" style="70" customWidth="1"/>
    <col min="6404" max="6404" width="5.5703125" style="70" customWidth="1"/>
    <col min="6405" max="6405" width="9.7109375" style="70" customWidth="1"/>
    <col min="6406" max="6406" width="5.5703125" style="70" customWidth="1"/>
    <col min="6407" max="6407" width="13.85546875" style="70" customWidth="1"/>
    <col min="6408" max="6408" width="14.28515625" style="70" customWidth="1"/>
    <col min="6409" max="6409" width="20" style="70" customWidth="1"/>
    <col min="6410" max="6410" width="13.5703125" style="70" customWidth="1"/>
    <col min="6411" max="6411" width="13.85546875" style="70" customWidth="1"/>
    <col min="6412" max="6656" width="9.140625" style="70"/>
    <col min="6657" max="6657" width="4.5703125" style="70" customWidth="1"/>
    <col min="6658" max="6658" width="44.140625" style="70" customWidth="1"/>
    <col min="6659" max="6659" width="11.5703125" style="70" customWidth="1"/>
    <col min="6660" max="6660" width="5.5703125" style="70" customWidth="1"/>
    <col min="6661" max="6661" width="9.7109375" style="70" customWidth="1"/>
    <col min="6662" max="6662" width="5.5703125" style="70" customWidth="1"/>
    <col min="6663" max="6663" width="13.85546875" style="70" customWidth="1"/>
    <col min="6664" max="6664" width="14.28515625" style="70" customWidth="1"/>
    <col min="6665" max="6665" width="20" style="70" customWidth="1"/>
    <col min="6666" max="6666" width="13.5703125" style="70" customWidth="1"/>
    <col min="6667" max="6667" width="13.85546875" style="70" customWidth="1"/>
    <col min="6668" max="6912" width="9.140625" style="70"/>
    <col min="6913" max="6913" width="4.5703125" style="70" customWidth="1"/>
    <col min="6914" max="6914" width="44.140625" style="70" customWidth="1"/>
    <col min="6915" max="6915" width="11.5703125" style="70" customWidth="1"/>
    <col min="6916" max="6916" width="5.5703125" style="70" customWidth="1"/>
    <col min="6917" max="6917" width="9.7109375" style="70" customWidth="1"/>
    <col min="6918" max="6918" width="5.5703125" style="70" customWidth="1"/>
    <col min="6919" max="6919" width="13.85546875" style="70" customWidth="1"/>
    <col min="6920" max="6920" width="14.28515625" style="70" customWidth="1"/>
    <col min="6921" max="6921" width="20" style="70" customWidth="1"/>
    <col min="6922" max="6922" width="13.5703125" style="70" customWidth="1"/>
    <col min="6923" max="6923" width="13.85546875" style="70" customWidth="1"/>
    <col min="6924" max="7168" width="9.140625" style="70"/>
    <col min="7169" max="7169" width="4.5703125" style="70" customWidth="1"/>
    <col min="7170" max="7170" width="44.140625" style="70" customWidth="1"/>
    <col min="7171" max="7171" width="11.5703125" style="70" customWidth="1"/>
    <col min="7172" max="7172" width="5.5703125" style="70" customWidth="1"/>
    <col min="7173" max="7173" width="9.7109375" style="70" customWidth="1"/>
    <col min="7174" max="7174" width="5.5703125" style="70" customWidth="1"/>
    <col min="7175" max="7175" width="13.85546875" style="70" customWidth="1"/>
    <col min="7176" max="7176" width="14.28515625" style="70" customWidth="1"/>
    <col min="7177" max="7177" width="20" style="70" customWidth="1"/>
    <col min="7178" max="7178" width="13.5703125" style="70" customWidth="1"/>
    <col min="7179" max="7179" width="13.85546875" style="70" customWidth="1"/>
    <col min="7180" max="7424" width="9.140625" style="70"/>
    <col min="7425" max="7425" width="4.5703125" style="70" customWidth="1"/>
    <col min="7426" max="7426" width="44.140625" style="70" customWidth="1"/>
    <col min="7427" max="7427" width="11.5703125" style="70" customWidth="1"/>
    <col min="7428" max="7428" width="5.5703125" style="70" customWidth="1"/>
    <col min="7429" max="7429" width="9.7109375" style="70" customWidth="1"/>
    <col min="7430" max="7430" width="5.5703125" style="70" customWidth="1"/>
    <col min="7431" max="7431" width="13.85546875" style="70" customWidth="1"/>
    <col min="7432" max="7432" width="14.28515625" style="70" customWidth="1"/>
    <col min="7433" max="7433" width="20" style="70" customWidth="1"/>
    <col min="7434" max="7434" width="13.5703125" style="70" customWidth="1"/>
    <col min="7435" max="7435" width="13.85546875" style="70" customWidth="1"/>
    <col min="7436" max="7680" width="9.140625" style="70"/>
    <col min="7681" max="7681" width="4.5703125" style="70" customWidth="1"/>
    <col min="7682" max="7682" width="44.140625" style="70" customWidth="1"/>
    <col min="7683" max="7683" width="11.5703125" style="70" customWidth="1"/>
    <col min="7684" max="7684" width="5.5703125" style="70" customWidth="1"/>
    <col min="7685" max="7685" width="9.7109375" style="70" customWidth="1"/>
    <col min="7686" max="7686" width="5.5703125" style="70" customWidth="1"/>
    <col min="7687" max="7687" width="13.85546875" style="70" customWidth="1"/>
    <col min="7688" max="7688" width="14.28515625" style="70" customWidth="1"/>
    <col min="7689" max="7689" width="20" style="70" customWidth="1"/>
    <col min="7690" max="7690" width="13.5703125" style="70" customWidth="1"/>
    <col min="7691" max="7691" width="13.85546875" style="70" customWidth="1"/>
    <col min="7692" max="7936" width="9.140625" style="70"/>
    <col min="7937" max="7937" width="4.5703125" style="70" customWidth="1"/>
    <col min="7938" max="7938" width="44.140625" style="70" customWidth="1"/>
    <col min="7939" max="7939" width="11.5703125" style="70" customWidth="1"/>
    <col min="7940" max="7940" width="5.5703125" style="70" customWidth="1"/>
    <col min="7941" max="7941" width="9.7109375" style="70" customWidth="1"/>
    <col min="7942" max="7942" width="5.5703125" style="70" customWidth="1"/>
    <col min="7943" max="7943" width="13.85546875" style="70" customWidth="1"/>
    <col min="7944" max="7944" width="14.28515625" style="70" customWidth="1"/>
    <col min="7945" max="7945" width="20" style="70" customWidth="1"/>
    <col min="7946" max="7946" width="13.5703125" style="70" customWidth="1"/>
    <col min="7947" max="7947" width="13.85546875" style="70" customWidth="1"/>
    <col min="7948" max="8192" width="9.140625" style="70"/>
    <col min="8193" max="8193" width="4.5703125" style="70" customWidth="1"/>
    <col min="8194" max="8194" width="44.140625" style="70" customWidth="1"/>
    <col min="8195" max="8195" width="11.5703125" style="70" customWidth="1"/>
    <col min="8196" max="8196" width="5.5703125" style="70" customWidth="1"/>
    <col min="8197" max="8197" width="9.7109375" style="70" customWidth="1"/>
    <col min="8198" max="8198" width="5.5703125" style="70" customWidth="1"/>
    <col min="8199" max="8199" width="13.85546875" style="70" customWidth="1"/>
    <col min="8200" max="8200" width="14.28515625" style="70" customWidth="1"/>
    <col min="8201" max="8201" width="20" style="70" customWidth="1"/>
    <col min="8202" max="8202" width="13.5703125" style="70" customWidth="1"/>
    <col min="8203" max="8203" width="13.85546875" style="70" customWidth="1"/>
    <col min="8204" max="8448" width="9.140625" style="70"/>
    <col min="8449" max="8449" width="4.5703125" style="70" customWidth="1"/>
    <col min="8450" max="8450" width="44.140625" style="70" customWidth="1"/>
    <col min="8451" max="8451" width="11.5703125" style="70" customWidth="1"/>
    <col min="8452" max="8452" width="5.5703125" style="70" customWidth="1"/>
    <col min="8453" max="8453" width="9.7109375" style="70" customWidth="1"/>
    <col min="8454" max="8454" width="5.5703125" style="70" customWidth="1"/>
    <col min="8455" max="8455" width="13.85546875" style="70" customWidth="1"/>
    <col min="8456" max="8456" width="14.28515625" style="70" customWidth="1"/>
    <col min="8457" max="8457" width="20" style="70" customWidth="1"/>
    <col min="8458" max="8458" width="13.5703125" style="70" customWidth="1"/>
    <col min="8459" max="8459" width="13.85546875" style="70" customWidth="1"/>
    <col min="8460" max="8704" width="9.140625" style="70"/>
    <col min="8705" max="8705" width="4.5703125" style="70" customWidth="1"/>
    <col min="8706" max="8706" width="44.140625" style="70" customWidth="1"/>
    <col min="8707" max="8707" width="11.5703125" style="70" customWidth="1"/>
    <col min="8708" max="8708" width="5.5703125" style="70" customWidth="1"/>
    <col min="8709" max="8709" width="9.7109375" style="70" customWidth="1"/>
    <col min="8710" max="8710" width="5.5703125" style="70" customWidth="1"/>
    <col min="8711" max="8711" width="13.85546875" style="70" customWidth="1"/>
    <col min="8712" max="8712" width="14.28515625" style="70" customWidth="1"/>
    <col min="8713" max="8713" width="20" style="70" customWidth="1"/>
    <col min="8714" max="8714" width="13.5703125" style="70" customWidth="1"/>
    <col min="8715" max="8715" width="13.85546875" style="70" customWidth="1"/>
    <col min="8716" max="8960" width="9.140625" style="70"/>
    <col min="8961" max="8961" width="4.5703125" style="70" customWidth="1"/>
    <col min="8962" max="8962" width="44.140625" style="70" customWidth="1"/>
    <col min="8963" max="8963" width="11.5703125" style="70" customWidth="1"/>
    <col min="8964" max="8964" width="5.5703125" style="70" customWidth="1"/>
    <col min="8965" max="8965" width="9.7109375" style="70" customWidth="1"/>
    <col min="8966" max="8966" width="5.5703125" style="70" customWidth="1"/>
    <col min="8967" max="8967" width="13.85546875" style="70" customWidth="1"/>
    <col min="8968" max="8968" width="14.28515625" style="70" customWidth="1"/>
    <col min="8969" max="8969" width="20" style="70" customWidth="1"/>
    <col min="8970" max="8970" width="13.5703125" style="70" customWidth="1"/>
    <col min="8971" max="8971" width="13.85546875" style="70" customWidth="1"/>
    <col min="8972" max="9216" width="9.140625" style="70"/>
    <col min="9217" max="9217" width="4.5703125" style="70" customWidth="1"/>
    <col min="9218" max="9218" width="44.140625" style="70" customWidth="1"/>
    <col min="9219" max="9219" width="11.5703125" style="70" customWidth="1"/>
    <col min="9220" max="9220" width="5.5703125" style="70" customWidth="1"/>
    <col min="9221" max="9221" width="9.7109375" style="70" customWidth="1"/>
    <col min="9222" max="9222" width="5.5703125" style="70" customWidth="1"/>
    <col min="9223" max="9223" width="13.85546875" style="70" customWidth="1"/>
    <col min="9224" max="9224" width="14.28515625" style="70" customWidth="1"/>
    <col min="9225" max="9225" width="20" style="70" customWidth="1"/>
    <col min="9226" max="9226" width="13.5703125" style="70" customWidth="1"/>
    <col min="9227" max="9227" width="13.85546875" style="70" customWidth="1"/>
    <col min="9228" max="9472" width="9.140625" style="70"/>
    <col min="9473" max="9473" width="4.5703125" style="70" customWidth="1"/>
    <col min="9474" max="9474" width="44.140625" style="70" customWidth="1"/>
    <col min="9475" max="9475" width="11.5703125" style="70" customWidth="1"/>
    <col min="9476" max="9476" width="5.5703125" style="70" customWidth="1"/>
    <col min="9477" max="9477" width="9.7109375" style="70" customWidth="1"/>
    <col min="9478" max="9478" width="5.5703125" style="70" customWidth="1"/>
    <col min="9479" max="9479" width="13.85546875" style="70" customWidth="1"/>
    <col min="9480" max="9480" width="14.28515625" style="70" customWidth="1"/>
    <col min="9481" max="9481" width="20" style="70" customWidth="1"/>
    <col min="9482" max="9482" width="13.5703125" style="70" customWidth="1"/>
    <col min="9483" max="9483" width="13.85546875" style="70" customWidth="1"/>
    <col min="9484" max="9728" width="9.140625" style="70"/>
    <col min="9729" max="9729" width="4.5703125" style="70" customWidth="1"/>
    <col min="9730" max="9730" width="44.140625" style="70" customWidth="1"/>
    <col min="9731" max="9731" width="11.5703125" style="70" customWidth="1"/>
    <col min="9732" max="9732" width="5.5703125" style="70" customWidth="1"/>
    <col min="9733" max="9733" width="9.7109375" style="70" customWidth="1"/>
    <col min="9734" max="9734" width="5.5703125" style="70" customWidth="1"/>
    <col min="9735" max="9735" width="13.85546875" style="70" customWidth="1"/>
    <col min="9736" max="9736" width="14.28515625" style="70" customWidth="1"/>
    <col min="9737" max="9737" width="20" style="70" customWidth="1"/>
    <col min="9738" max="9738" width="13.5703125" style="70" customWidth="1"/>
    <col min="9739" max="9739" width="13.85546875" style="70" customWidth="1"/>
    <col min="9740" max="9984" width="9.140625" style="70"/>
    <col min="9985" max="9985" width="4.5703125" style="70" customWidth="1"/>
    <col min="9986" max="9986" width="44.140625" style="70" customWidth="1"/>
    <col min="9987" max="9987" width="11.5703125" style="70" customWidth="1"/>
    <col min="9988" max="9988" width="5.5703125" style="70" customWidth="1"/>
    <col min="9989" max="9989" width="9.7109375" style="70" customWidth="1"/>
    <col min="9990" max="9990" width="5.5703125" style="70" customWidth="1"/>
    <col min="9991" max="9991" width="13.85546875" style="70" customWidth="1"/>
    <col min="9992" max="9992" width="14.28515625" style="70" customWidth="1"/>
    <col min="9993" max="9993" width="20" style="70" customWidth="1"/>
    <col min="9994" max="9994" width="13.5703125" style="70" customWidth="1"/>
    <col min="9995" max="9995" width="13.85546875" style="70" customWidth="1"/>
    <col min="9996" max="10240" width="9.140625" style="70"/>
    <col min="10241" max="10241" width="4.5703125" style="70" customWidth="1"/>
    <col min="10242" max="10242" width="44.140625" style="70" customWidth="1"/>
    <col min="10243" max="10243" width="11.5703125" style="70" customWidth="1"/>
    <col min="10244" max="10244" width="5.5703125" style="70" customWidth="1"/>
    <col min="10245" max="10245" width="9.7109375" style="70" customWidth="1"/>
    <col min="10246" max="10246" width="5.5703125" style="70" customWidth="1"/>
    <col min="10247" max="10247" width="13.85546875" style="70" customWidth="1"/>
    <col min="10248" max="10248" width="14.28515625" style="70" customWidth="1"/>
    <col min="10249" max="10249" width="20" style="70" customWidth="1"/>
    <col min="10250" max="10250" width="13.5703125" style="70" customWidth="1"/>
    <col min="10251" max="10251" width="13.85546875" style="70" customWidth="1"/>
    <col min="10252" max="10496" width="9.140625" style="70"/>
    <col min="10497" max="10497" width="4.5703125" style="70" customWidth="1"/>
    <col min="10498" max="10498" width="44.140625" style="70" customWidth="1"/>
    <col min="10499" max="10499" width="11.5703125" style="70" customWidth="1"/>
    <col min="10500" max="10500" width="5.5703125" style="70" customWidth="1"/>
    <col min="10501" max="10501" width="9.7109375" style="70" customWidth="1"/>
    <col min="10502" max="10502" width="5.5703125" style="70" customWidth="1"/>
    <col min="10503" max="10503" width="13.85546875" style="70" customWidth="1"/>
    <col min="10504" max="10504" width="14.28515625" style="70" customWidth="1"/>
    <col min="10505" max="10505" width="20" style="70" customWidth="1"/>
    <col min="10506" max="10506" width="13.5703125" style="70" customWidth="1"/>
    <col min="10507" max="10507" width="13.85546875" style="70" customWidth="1"/>
    <col min="10508" max="10752" width="9.140625" style="70"/>
    <col min="10753" max="10753" width="4.5703125" style="70" customWidth="1"/>
    <col min="10754" max="10754" width="44.140625" style="70" customWidth="1"/>
    <col min="10755" max="10755" width="11.5703125" style="70" customWidth="1"/>
    <col min="10756" max="10756" width="5.5703125" style="70" customWidth="1"/>
    <col min="10757" max="10757" width="9.7109375" style="70" customWidth="1"/>
    <col min="10758" max="10758" width="5.5703125" style="70" customWidth="1"/>
    <col min="10759" max="10759" width="13.85546875" style="70" customWidth="1"/>
    <col min="10760" max="10760" width="14.28515625" style="70" customWidth="1"/>
    <col min="10761" max="10761" width="20" style="70" customWidth="1"/>
    <col min="10762" max="10762" width="13.5703125" style="70" customWidth="1"/>
    <col min="10763" max="10763" width="13.85546875" style="70" customWidth="1"/>
    <col min="10764" max="11008" width="9.140625" style="70"/>
    <col min="11009" max="11009" width="4.5703125" style="70" customWidth="1"/>
    <col min="11010" max="11010" width="44.140625" style="70" customWidth="1"/>
    <col min="11011" max="11011" width="11.5703125" style="70" customWidth="1"/>
    <col min="11012" max="11012" width="5.5703125" style="70" customWidth="1"/>
    <col min="11013" max="11013" width="9.7109375" style="70" customWidth="1"/>
    <col min="11014" max="11014" width="5.5703125" style="70" customWidth="1"/>
    <col min="11015" max="11015" width="13.85546875" style="70" customWidth="1"/>
    <col min="11016" max="11016" width="14.28515625" style="70" customWidth="1"/>
    <col min="11017" max="11017" width="20" style="70" customWidth="1"/>
    <col min="11018" max="11018" width="13.5703125" style="70" customWidth="1"/>
    <col min="11019" max="11019" width="13.85546875" style="70" customWidth="1"/>
    <col min="11020" max="11264" width="9.140625" style="70"/>
    <col min="11265" max="11265" width="4.5703125" style="70" customWidth="1"/>
    <col min="11266" max="11266" width="44.140625" style="70" customWidth="1"/>
    <col min="11267" max="11267" width="11.5703125" style="70" customWidth="1"/>
    <col min="11268" max="11268" width="5.5703125" style="70" customWidth="1"/>
    <col min="11269" max="11269" width="9.7109375" style="70" customWidth="1"/>
    <col min="11270" max="11270" width="5.5703125" style="70" customWidth="1"/>
    <col min="11271" max="11271" width="13.85546875" style="70" customWidth="1"/>
    <col min="11272" max="11272" width="14.28515625" style="70" customWidth="1"/>
    <col min="11273" max="11273" width="20" style="70" customWidth="1"/>
    <col min="11274" max="11274" width="13.5703125" style="70" customWidth="1"/>
    <col min="11275" max="11275" width="13.85546875" style="70" customWidth="1"/>
    <col min="11276" max="11520" width="9.140625" style="70"/>
    <col min="11521" max="11521" width="4.5703125" style="70" customWidth="1"/>
    <col min="11522" max="11522" width="44.140625" style="70" customWidth="1"/>
    <col min="11523" max="11523" width="11.5703125" style="70" customWidth="1"/>
    <col min="11524" max="11524" width="5.5703125" style="70" customWidth="1"/>
    <col min="11525" max="11525" width="9.7109375" style="70" customWidth="1"/>
    <col min="11526" max="11526" width="5.5703125" style="70" customWidth="1"/>
    <col min="11527" max="11527" width="13.85546875" style="70" customWidth="1"/>
    <col min="11528" max="11528" width="14.28515625" style="70" customWidth="1"/>
    <col min="11529" max="11529" width="20" style="70" customWidth="1"/>
    <col min="11530" max="11530" width="13.5703125" style="70" customWidth="1"/>
    <col min="11531" max="11531" width="13.85546875" style="70" customWidth="1"/>
    <col min="11532" max="11776" width="9.140625" style="70"/>
    <col min="11777" max="11777" width="4.5703125" style="70" customWidth="1"/>
    <col min="11778" max="11778" width="44.140625" style="70" customWidth="1"/>
    <col min="11779" max="11779" width="11.5703125" style="70" customWidth="1"/>
    <col min="11780" max="11780" width="5.5703125" style="70" customWidth="1"/>
    <col min="11781" max="11781" width="9.7109375" style="70" customWidth="1"/>
    <col min="11782" max="11782" width="5.5703125" style="70" customWidth="1"/>
    <col min="11783" max="11783" width="13.85546875" style="70" customWidth="1"/>
    <col min="11784" max="11784" width="14.28515625" style="70" customWidth="1"/>
    <col min="11785" max="11785" width="20" style="70" customWidth="1"/>
    <col min="11786" max="11786" width="13.5703125" style="70" customWidth="1"/>
    <col min="11787" max="11787" width="13.85546875" style="70" customWidth="1"/>
    <col min="11788" max="12032" width="9.140625" style="70"/>
    <col min="12033" max="12033" width="4.5703125" style="70" customWidth="1"/>
    <col min="12034" max="12034" width="44.140625" style="70" customWidth="1"/>
    <col min="12035" max="12035" width="11.5703125" style="70" customWidth="1"/>
    <col min="12036" max="12036" width="5.5703125" style="70" customWidth="1"/>
    <col min="12037" max="12037" width="9.7109375" style="70" customWidth="1"/>
    <col min="12038" max="12038" width="5.5703125" style="70" customWidth="1"/>
    <col min="12039" max="12039" width="13.85546875" style="70" customWidth="1"/>
    <col min="12040" max="12040" width="14.28515625" style="70" customWidth="1"/>
    <col min="12041" max="12041" width="20" style="70" customWidth="1"/>
    <col min="12042" max="12042" width="13.5703125" style="70" customWidth="1"/>
    <col min="12043" max="12043" width="13.85546875" style="70" customWidth="1"/>
    <col min="12044" max="12288" width="9.140625" style="70"/>
    <col min="12289" max="12289" width="4.5703125" style="70" customWidth="1"/>
    <col min="12290" max="12290" width="44.140625" style="70" customWidth="1"/>
    <col min="12291" max="12291" width="11.5703125" style="70" customWidth="1"/>
    <col min="12292" max="12292" width="5.5703125" style="70" customWidth="1"/>
    <col min="12293" max="12293" width="9.7109375" style="70" customWidth="1"/>
    <col min="12294" max="12294" width="5.5703125" style="70" customWidth="1"/>
    <col min="12295" max="12295" width="13.85546875" style="70" customWidth="1"/>
    <col min="12296" max="12296" width="14.28515625" style="70" customWidth="1"/>
    <col min="12297" max="12297" width="20" style="70" customWidth="1"/>
    <col min="12298" max="12298" width="13.5703125" style="70" customWidth="1"/>
    <col min="12299" max="12299" width="13.85546875" style="70" customWidth="1"/>
    <col min="12300" max="12544" width="9.140625" style="70"/>
    <col min="12545" max="12545" width="4.5703125" style="70" customWidth="1"/>
    <col min="12546" max="12546" width="44.140625" style="70" customWidth="1"/>
    <col min="12547" max="12547" width="11.5703125" style="70" customWidth="1"/>
    <col min="12548" max="12548" width="5.5703125" style="70" customWidth="1"/>
    <col min="12549" max="12549" width="9.7109375" style="70" customWidth="1"/>
    <col min="12550" max="12550" width="5.5703125" style="70" customWidth="1"/>
    <col min="12551" max="12551" width="13.85546875" style="70" customWidth="1"/>
    <col min="12552" max="12552" width="14.28515625" style="70" customWidth="1"/>
    <col min="12553" max="12553" width="20" style="70" customWidth="1"/>
    <col min="12554" max="12554" width="13.5703125" style="70" customWidth="1"/>
    <col min="12555" max="12555" width="13.85546875" style="70" customWidth="1"/>
    <col min="12556" max="12800" width="9.140625" style="70"/>
    <col min="12801" max="12801" width="4.5703125" style="70" customWidth="1"/>
    <col min="12802" max="12802" width="44.140625" style="70" customWidth="1"/>
    <col min="12803" max="12803" width="11.5703125" style="70" customWidth="1"/>
    <col min="12804" max="12804" width="5.5703125" style="70" customWidth="1"/>
    <col min="12805" max="12805" width="9.7109375" style="70" customWidth="1"/>
    <col min="12806" max="12806" width="5.5703125" style="70" customWidth="1"/>
    <col min="12807" max="12807" width="13.85546875" style="70" customWidth="1"/>
    <col min="12808" max="12808" width="14.28515625" style="70" customWidth="1"/>
    <col min="12809" max="12809" width="20" style="70" customWidth="1"/>
    <col min="12810" max="12810" width="13.5703125" style="70" customWidth="1"/>
    <col min="12811" max="12811" width="13.85546875" style="70" customWidth="1"/>
    <col min="12812" max="13056" width="9.140625" style="70"/>
    <col min="13057" max="13057" width="4.5703125" style="70" customWidth="1"/>
    <col min="13058" max="13058" width="44.140625" style="70" customWidth="1"/>
    <col min="13059" max="13059" width="11.5703125" style="70" customWidth="1"/>
    <col min="13060" max="13060" width="5.5703125" style="70" customWidth="1"/>
    <col min="13061" max="13061" width="9.7109375" style="70" customWidth="1"/>
    <col min="13062" max="13062" width="5.5703125" style="70" customWidth="1"/>
    <col min="13063" max="13063" width="13.85546875" style="70" customWidth="1"/>
    <col min="13064" max="13064" width="14.28515625" style="70" customWidth="1"/>
    <col min="13065" max="13065" width="20" style="70" customWidth="1"/>
    <col min="13066" max="13066" width="13.5703125" style="70" customWidth="1"/>
    <col min="13067" max="13067" width="13.85546875" style="70" customWidth="1"/>
    <col min="13068" max="13312" width="9.140625" style="70"/>
    <col min="13313" max="13313" width="4.5703125" style="70" customWidth="1"/>
    <col min="13314" max="13314" width="44.140625" style="70" customWidth="1"/>
    <col min="13315" max="13315" width="11.5703125" style="70" customWidth="1"/>
    <col min="13316" max="13316" width="5.5703125" style="70" customWidth="1"/>
    <col min="13317" max="13317" width="9.7109375" style="70" customWidth="1"/>
    <col min="13318" max="13318" width="5.5703125" style="70" customWidth="1"/>
    <col min="13319" max="13319" width="13.85546875" style="70" customWidth="1"/>
    <col min="13320" max="13320" width="14.28515625" style="70" customWidth="1"/>
    <col min="13321" max="13321" width="20" style="70" customWidth="1"/>
    <col min="13322" max="13322" width="13.5703125" style="70" customWidth="1"/>
    <col min="13323" max="13323" width="13.85546875" style="70" customWidth="1"/>
    <col min="13324" max="13568" width="9.140625" style="70"/>
    <col min="13569" max="13569" width="4.5703125" style="70" customWidth="1"/>
    <col min="13570" max="13570" width="44.140625" style="70" customWidth="1"/>
    <col min="13571" max="13571" width="11.5703125" style="70" customWidth="1"/>
    <col min="13572" max="13572" width="5.5703125" style="70" customWidth="1"/>
    <col min="13573" max="13573" width="9.7109375" style="70" customWidth="1"/>
    <col min="13574" max="13574" width="5.5703125" style="70" customWidth="1"/>
    <col min="13575" max="13575" width="13.85546875" style="70" customWidth="1"/>
    <col min="13576" max="13576" width="14.28515625" style="70" customWidth="1"/>
    <col min="13577" max="13577" width="20" style="70" customWidth="1"/>
    <col min="13578" max="13578" width="13.5703125" style="70" customWidth="1"/>
    <col min="13579" max="13579" width="13.85546875" style="70" customWidth="1"/>
    <col min="13580" max="13824" width="9.140625" style="70"/>
    <col min="13825" max="13825" width="4.5703125" style="70" customWidth="1"/>
    <col min="13826" max="13826" width="44.140625" style="70" customWidth="1"/>
    <col min="13827" max="13827" width="11.5703125" style="70" customWidth="1"/>
    <col min="13828" max="13828" width="5.5703125" style="70" customWidth="1"/>
    <col min="13829" max="13829" width="9.7109375" style="70" customWidth="1"/>
    <col min="13830" max="13830" width="5.5703125" style="70" customWidth="1"/>
    <col min="13831" max="13831" width="13.85546875" style="70" customWidth="1"/>
    <col min="13832" max="13832" width="14.28515625" style="70" customWidth="1"/>
    <col min="13833" max="13833" width="20" style="70" customWidth="1"/>
    <col min="13834" max="13834" width="13.5703125" style="70" customWidth="1"/>
    <col min="13835" max="13835" width="13.85546875" style="70" customWidth="1"/>
    <col min="13836" max="14080" width="9.140625" style="70"/>
    <col min="14081" max="14081" width="4.5703125" style="70" customWidth="1"/>
    <col min="14082" max="14082" width="44.140625" style="70" customWidth="1"/>
    <col min="14083" max="14083" width="11.5703125" style="70" customWidth="1"/>
    <col min="14084" max="14084" width="5.5703125" style="70" customWidth="1"/>
    <col min="14085" max="14085" width="9.7109375" style="70" customWidth="1"/>
    <col min="14086" max="14086" width="5.5703125" style="70" customWidth="1"/>
    <col min="14087" max="14087" width="13.85546875" style="70" customWidth="1"/>
    <col min="14088" max="14088" width="14.28515625" style="70" customWidth="1"/>
    <col min="14089" max="14089" width="20" style="70" customWidth="1"/>
    <col min="14090" max="14090" width="13.5703125" style="70" customWidth="1"/>
    <col min="14091" max="14091" width="13.85546875" style="70" customWidth="1"/>
    <col min="14092" max="14336" width="9.140625" style="70"/>
    <col min="14337" max="14337" width="4.5703125" style="70" customWidth="1"/>
    <col min="14338" max="14338" width="44.140625" style="70" customWidth="1"/>
    <col min="14339" max="14339" width="11.5703125" style="70" customWidth="1"/>
    <col min="14340" max="14340" width="5.5703125" style="70" customWidth="1"/>
    <col min="14341" max="14341" width="9.7109375" style="70" customWidth="1"/>
    <col min="14342" max="14342" width="5.5703125" style="70" customWidth="1"/>
    <col min="14343" max="14343" width="13.85546875" style="70" customWidth="1"/>
    <col min="14344" max="14344" width="14.28515625" style="70" customWidth="1"/>
    <col min="14345" max="14345" width="20" style="70" customWidth="1"/>
    <col min="14346" max="14346" width="13.5703125" style="70" customWidth="1"/>
    <col min="14347" max="14347" width="13.85546875" style="70" customWidth="1"/>
    <col min="14348" max="14592" width="9.140625" style="70"/>
    <col min="14593" max="14593" width="4.5703125" style="70" customWidth="1"/>
    <col min="14594" max="14594" width="44.140625" style="70" customWidth="1"/>
    <col min="14595" max="14595" width="11.5703125" style="70" customWidth="1"/>
    <col min="14596" max="14596" width="5.5703125" style="70" customWidth="1"/>
    <col min="14597" max="14597" width="9.7109375" style="70" customWidth="1"/>
    <col min="14598" max="14598" width="5.5703125" style="70" customWidth="1"/>
    <col min="14599" max="14599" width="13.85546875" style="70" customWidth="1"/>
    <col min="14600" max="14600" width="14.28515625" style="70" customWidth="1"/>
    <col min="14601" max="14601" width="20" style="70" customWidth="1"/>
    <col min="14602" max="14602" width="13.5703125" style="70" customWidth="1"/>
    <col min="14603" max="14603" width="13.85546875" style="70" customWidth="1"/>
    <col min="14604" max="14848" width="9.140625" style="70"/>
    <col min="14849" max="14849" width="4.5703125" style="70" customWidth="1"/>
    <col min="14850" max="14850" width="44.140625" style="70" customWidth="1"/>
    <col min="14851" max="14851" width="11.5703125" style="70" customWidth="1"/>
    <col min="14852" max="14852" width="5.5703125" style="70" customWidth="1"/>
    <col min="14853" max="14853" width="9.7109375" style="70" customWidth="1"/>
    <col min="14854" max="14854" width="5.5703125" style="70" customWidth="1"/>
    <col min="14855" max="14855" width="13.85546875" style="70" customWidth="1"/>
    <col min="14856" max="14856" width="14.28515625" style="70" customWidth="1"/>
    <col min="14857" max="14857" width="20" style="70" customWidth="1"/>
    <col min="14858" max="14858" width="13.5703125" style="70" customWidth="1"/>
    <col min="14859" max="14859" width="13.85546875" style="70" customWidth="1"/>
    <col min="14860" max="15104" width="9.140625" style="70"/>
    <col min="15105" max="15105" width="4.5703125" style="70" customWidth="1"/>
    <col min="15106" max="15106" width="44.140625" style="70" customWidth="1"/>
    <col min="15107" max="15107" width="11.5703125" style="70" customWidth="1"/>
    <col min="15108" max="15108" width="5.5703125" style="70" customWidth="1"/>
    <col min="15109" max="15109" width="9.7109375" style="70" customWidth="1"/>
    <col min="15110" max="15110" width="5.5703125" style="70" customWidth="1"/>
    <col min="15111" max="15111" width="13.85546875" style="70" customWidth="1"/>
    <col min="15112" max="15112" width="14.28515625" style="70" customWidth="1"/>
    <col min="15113" max="15113" width="20" style="70" customWidth="1"/>
    <col min="15114" max="15114" width="13.5703125" style="70" customWidth="1"/>
    <col min="15115" max="15115" width="13.85546875" style="70" customWidth="1"/>
    <col min="15116" max="15360" width="9.140625" style="70"/>
    <col min="15361" max="15361" width="4.5703125" style="70" customWidth="1"/>
    <col min="15362" max="15362" width="44.140625" style="70" customWidth="1"/>
    <col min="15363" max="15363" width="11.5703125" style="70" customWidth="1"/>
    <col min="15364" max="15364" width="5.5703125" style="70" customWidth="1"/>
    <col min="15365" max="15365" width="9.7109375" style="70" customWidth="1"/>
    <col min="15366" max="15366" width="5.5703125" style="70" customWidth="1"/>
    <col min="15367" max="15367" width="13.85546875" style="70" customWidth="1"/>
    <col min="15368" max="15368" width="14.28515625" style="70" customWidth="1"/>
    <col min="15369" max="15369" width="20" style="70" customWidth="1"/>
    <col min="15370" max="15370" width="13.5703125" style="70" customWidth="1"/>
    <col min="15371" max="15371" width="13.85546875" style="70" customWidth="1"/>
    <col min="15372" max="15616" width="9.140625" style="70"/>
    <col min="15617" max="15617" width="4.5703125" style="70" customWidth="1"/>
    <col min="15618" max="15618" width="44.140625" style="70" customWidth="1"/>
    <col min="15619" max="15619" width="11.5703125" style="70" customWidth="1"/>
    <col min="15620" max="15620" width="5.5703125" style="70" customWidth="1"/>
    <col min="15621" max="15621" width="9.7109375" style="70" customWidth="1"/>
    <col min="15622" max="15622" width="5.5703125" style="70" customWidth="1"/>
    <col min="15623" max="15623" width="13.85546875" style="70" customWidth="1"/>
    <col min="15624" max="15624" width="14.28515625" style="70" customWidth="1"/>
    <col min="15625" max="15625" width="20" style="70" customWidth="1"/>
    <col min="15626" max="15626" width="13.5703125" style="70" customWidth="1"/>
    <col min="15627" max="15627" width="13.85546875" style="70" customWidth="1"/>
    <col min="15628" max="15872" width="9.140625" style="70"/>
    <col min="15873" max="15873" width="4.5703125" style="70" customWidth="1"/>
    <col min="15874" max="15874" width="44.140625" style="70" customWidth="1"/>
    <col min="15875" max="15875" width="11.5703125" style="70" customWidth="1"/>
    <col min="15876" max="15876" width="5.5703125" style="70" customWidth="1"/>
    <col min="15877" max="15877" width="9.7109375" style="70" customWidth="1"/>
    <col min="15878" max="15878" width="5.5703125" style="70" customWidth="1"/>
    <col min="15879" max="15879" width="13.85546875" style="70" customWidth="1"/>
    <col min="15880" max="15880" width="14.28515625" style="70" customWidth="1"/>
    <col min="15881" max="15881" width="20" style="70" customWidth="1"/>
    <col min="15882" max="15882" width="13.5703125" style="70" customWidth="1"/>
    <col min="15883" max="15883" width="13.85546875" style="70" customWidth="1"/>
    <col min="15884" max="16128" width="9.140625" style="70"/>
    <col min="16129" max="16129" width="4.5703125" style="70" customWidth="1"/>
    <col min="16130" max="16130" width="44.140625" style="70" customWidth="1"/>
    <col min="16131" max="16131" width="11.5703125" style="70" customWidth="1"/>
    <col min="16132" max="16132" width="5.5703125" style="70" customWidth="1"/>
    <col min="16133" max="16133" width="9.7109375" style="70" customWidth="1"/>
    <col min="16134" max="16134" width="5.5703125" style="70" customWidth="1"/>
    <col min="16135" max="16135" width="13.85546875" style="70" customWidth="1"/>
    <col min="16136" max="16136" width="14.28515625" style="70" customWidth="1"/>
    <col min="16137" max="16137" width="20" style="70" customWidth="1"/>
    <col min="16138" max="16138" width="13.5703125" style="70" customWidth="1"/>
    <col min="16139" max="16139" width="13.85546875" style="70" customWidth="1"/>
    <col min="16140" max="16384" width="9.140625" style="70"/>
  </cols>
  <sheetData>
    <row r="1" spans="1:14" ht="18">
      <c r="B1" s="3115" t="s">
        <v>2714</v>
      </c>
      <c r="C1" s="3115"/>
      <c r="D1" s="3115"/>
      <c r="E1" s="3115"/>
    </row>
    <row r="3" spans="1:14" ht="18">
      <c r="B3" s="3116" t="s">
        <v>2715</v>
      </c>
      <c r="C3" s="3116"/>
      <c r="D3" s="3116"/>
      <c r="E3" s="3116"/>
      <c r="F3" s="3116"/>
      <c r="G3" s="3116"/>
      <c r="H3" s="3116"/>
    </row>
    <row r="4" spans="1:14" ht="14.25" customHeight="1">
      <c r="B4" s="2405"/>
      <c r="C4" s="2405"/>
      <c r="D4" s="2405"/>
      <c r="E4" s="2405"/>
      <c r="F4" s="2405"/>
      <c r="G4" s="2405"/>
      <c r="H4" s="2405"/>
      <c r="I4" s="2112"/>
    </row>
    <row r="5" spans="1:14" ht="14.25" customHeight="1">
      <c r="B5" s="2405"/>
      <c r="C5" s="2405"/>
      <c r="D5" s="2405"/>
      <c r="E5" s="2405"/>
      <c r="F5" s="2405"/>
      <c r="G5" s="2405"/>
      <c r="H5" s="2412" t="s">
        <v>89</v>
      </c>
      <c r="I5" s="2112"/>
    </row>
    <row r="6" spans="1:14" ht="17.25" customHeight="1">
      <c r="B6" s="2405"/>
      <c r="C6" s="2405"/>
      <c r="D6" s="2405"/>
      <c r="E6" s="2405"/>
      <c r="F6" s="2405"/>
      <c r="G6" s="2405"/>
      <c r="H6" s="2405"/>
      <c r="I6" s="2112"/>
    </row>
    <row r="7" spans="1:14" ht="45.75" customHeight="1">
      <c r="A7" s="3117" t="s">
        <v>2</v>
      </c>
      <c r="B7" s="3117" t="s">
        <v>3</v>
      </c>
      <c r="C7" s="3117" t="s">
        <v>2716</v>
      </c>
      <c r="D7" s="3117" t="s">
        <v>5</v>
      </c>
      <c r="E7" s="3117" t="s">
        <v>96</v>
      </c>
      <c r="F7" s="3117" t="s">
        <v>95</v>
      </c>
      <c r="G7" s="3099" t="s">
        <v>2717</v>
      </c>
      <c r="H7" s="3099"/>
    </row>
    <row r="8" spans="1:14" ht="45" customHeight="1">
      <c r="A8" s="3117"/>
      <c r="B8" s="3117"/>
      <c r="C8" s="3117"/>
      <c r="D8" s="3117"/>
      <c r="E8" s="3117"/>
      <c r="F8" s="3117"/>
      <c r="G8" s="2140" t="s">
        <v>2718</v>
      </c>
      <c r="H8" s="2140" t="s">
        <v>2549</v>
      </c>
      <c r="I8" s="2406"/>
      <c r="J8" s="2406"/>
      <c r="K8" s="605"/>
      <c r="L8" s="2407"/>
      <c r="M8" s="2407"/>
      <c r="N8" s="605"/>
    </row>
    <row r="9" spans="1:14" ht="13.5">
      <c r="A9" s="2408">
        <v>1</v>
      </c>
      <c r="B9" s="2408">
        <v>2</v>
      </c>
      <c r="C9" s="2408">
        <v>3</v>
      </c>
      <c r="D9" s="2408">
        <v>4</v>
      </c>
      <c r="E9" s="2408">
        <v>5</v>
      </c>
      <c r="F9" s="2408">
        <v>6</v>
      </c>
      <c r="G9" s="2408">
        <v>7</v>
      </c>
      <c r="H9" s="2408">
        <v>8</v>
      </c>
    </row>
    <row r="10" spans="1:14" ht="28.5" customHeight="1">
      <c r="A10" s="2413">
        <v>1</v>
      </c>
      <c r="B10" s="2414" t="s">
        <v>1558</v>
      </c>
      <c r="C10" s="2415">
        <v>7130601958</v>
      </c>
      <c r="D10" s="2416" t="s">
        <v>26</v>
      </c>
      <c r="E10" s="2417">
        <f>VLOOKUP(C10,'[25]SOR RATE'!A:D,4,0)/1000</f>
        <v>64.326520000000002</v>
      </c>
      <c r="F10" s="2418">
        <v>482.3</v>
      </c>
      <c r="G10" s="2417">
        <f>E10*F10</f>
        <v>31024.680596000002</v>
      </c>
      <c r="H10" s="2417">
        <f>E10*F10</f>
        <v>31024.680596000002</v>
      </c>
      <c r="I10" s="480"/>
      <c r="J10" s="480"/>
      <c r="K10" s="87"/>
      <c r="L10" s="87"/>
      <c r="M10" s="87"/>
    </row>
    <row r="11" spans="1:14" ht="15" customHeight="1">
      <c r="A11" s="2413">
        <v>2</v>
      </c>
      <c r="B11" s="2419" t="s">
        <v>2719</v>
      </c>
      <c r="C11" s="2415">
        <v>7130310053</v>
      </c>
      <c r="D11" s="2413" t="s">
        <v>190</v>
      </c>
      <c r="E11" s="2417">
        <f>VLOOKUP(C11,'[25]SOR RATE'!A:D,4,0)/1000</f>
        <v>1680.817</v>
      </c>
      <c r="F11" s="2413">
        <v>50</v>
      </c>
      <c r="G11" s="2417">
        <f>E11*F11</f>
        <v>84040.85</v>
      </c>
      <c r="H11" s="2413"/>
    </row>
    <row r="12" spans="1:14" ht="15.75" customHeight="1">
      <c r="A12" s="2413">
        <v>3</v>
      </c>
      <c r="B12" s="2419" t="s">
        <v>2720</v>
      </c>
      <c r="C12" s="2415">
        <v>7130310054</v>
      </c>
      <c r="D12" s="2413" t="s">
        <v>190</v>
      </c>
      <c r="E12" s="2417">
        <f>VLOOKUP(C12,'[25]SOR RATE'!A:D,4,0)/1000</f>
        <v>2137.3324900000002</v>
      </c>
      <c r="F12" s="2413">
        <v>50</v>
      </c>
      <c r="G12" s="2413"/>
      <c r="H12" s="2417">
        <f>E12*F12</f>
        <v>106866.62450000001</v>
      </c>
    </row>
    <row r="13" spans="1:14" ht="30" customHeight="1">
      <c r="A13" s="2413">
        <v>4</v>
      </c>
      <c r="B13" s="2420" t="s">
        <v>2721</v>
      </c>
      <c r="C13" s="2413">
        <v>7130320039</v>
      </c>
      <c r="D13" s="2413" t="s">
        <v>40</v>
      </c>
      <c r="E13" s="2417">
        <f>VLOOKUP(C13,'[25]SOR RATE'!A:D,4,0)</f>
        <v>19607.23</v>
      </c>
      <c r="F13" s="2413">
        <v>2</v>
      </c>
      <c r="G13" s="2417">
        <f>E13*F13</f>
        <v>39214.46</v>
      </c>
      <c r="H13" s="2417"/>
    </row>
    <row r="14" spans="1:14" ht="30" customHeight="1">
      <c r="A14" s="2413">
        <v>5</v>
      </c>
      <c r="B14" s="2420" t="s">
        <v>2722</v>
      </c>
      <c r="C14" s="2413">
        <v>7130320040</v>
      </c>
      <c r="D14" s="2413" t="s">
        <v>40</v>
      </c>
      <c r="E14" s="2417">
        <f>VLOOKUP(C14,'[25]SOR RATE'!A:D,4,0)</f>
        <v>22875.11</v>
      </c>
      <c r="F14" s="2413">
        <v>2</v>
      </c>
      <c r="G14" s="2417"/>
      <c r="H14" s="2417">
        <f>E14*F14</f>
        <v>45750.22</v>
      </c>
    </row>
    <row r="15" spans="1:14" ht="16.5" customHeight="1">
      <c r="A15" s="2413">
        <v>6</v>
      </c>
      <c r="B15" s="2419" t="s">
        <v>2723</v>
      </c>
      <c r="C15" s="2413">
        <v>7130870013</v>
      </c>
      <c r="D15" s="2413" t="s">
        <v>68</v>
      </c>
      <c r="E15" s="2417">
        <f>VLOOKUP(C15,'[25]SOR RATE'!A:D,4,0)</f>
        <v>152.88999999999999</v>
      </c>
      <c r="F15" s="2413">
        <v>1</v>
      </c>
      <c r="G15" s="2417">
        <f t="shared" ref="G15:G29" si="0">E15*F15</f>
        <v>152.88999999999999</v>
      </c>
      <c r="H15" s="2417">
        <f t="shared" ref="H15:H29" si="1">E15*F15</f>
        <v>152.88999999999999</v>
      </c>
    </row>
    <row r="16" spans="1:14" ht="15.75" customHeight="1">
      <c r="A16" s="2413">
        <v>7</v>
      </c>
      <c r="B16" s="2421" t="s">
        <v>623</v>
      </c>
      <c r="C16" s="2413">
        <v>7130810681</v>
      </c>
      <c r="D16" s="2413" t="s">
        <v>40</v>
      </c>
      <c r="E16" s="2417">
        <f>VLOOKUP(C16,'[25]SOR RATE'!A:D,4,0)</f>
        <v>4249.5600000000004</v>
      </c>
      <c r="F16" s="2413">
        <v>2</v>
      </c>
      <c r="G16" s="2417">
        <f>E16*F16</f>
        <v>8499.1200000000008</v>
      </c>
      <c r="H16" s="2417">
        <f>E16*F16</f>
        <v>8499.1200000000008</v>
      </c>
    </row>
    <row r="17" spans="1:13" ht="14.25" customHeight="1">
      <c r="A17" s="2413">
        <v>8</v>
      </c>
      <c r="B17" s="2421" t="s">
        <v>2724</v>
      </c>
      <c r="C17" s="2413">
        <v>7130860033</v>
      </c>
      <c r="D17" s="2413" t="s">
        <v>12</v>
      </c>
      <c r="E17" s="2417">
        <f>VLOOKUP(C17,'[25]SOR RATE'!A:D,4,0)</f>
        <v>1031.6600000000001</v>
      </c>
      <c r="F17" s="2413">
        <v>2</v>
      </c>
      <c r="G17" s="2417">
        <f>E17*F17</f>
        <v>2063.3200000000002</v>
      </c>
      <c r="H17" s="2417">
        <f>E17*F17</f>
        <v>2063.3200000000002</v>
      </c>
    </row>
    <row r="18" spans="1:13" ht="16.5" customHeight="1">
      <c r="A18" s="2413">
        <v>9</v>
      </c>
      <c r="B18" s="2421" t="s">
        <v>2725</v>
      </c>
      <c r="C18" s="2413">
        <v>7130860076</v>
      </c>
      <c r="D18" s="2413" t="s">
        <v>26</v>
      </c>
      <c r="E18" s="2417">
        <f>VLOOKUP(C18,'[25]SOR RATE'!A:D,4,0)/1000</f>
        <v>92.856940000000009</v>
      </c>
      <c r="F18" s="2413">
        <v>17</v>
      </c>
      <c r="G18" s="2417">
        <f>E18*F18</f>
        <v>1578.5679800000003</v>
      </c>
      <c r="H18" s="2417">
        <f>E18*F18</f>
        <v>1578.5679800000003</v>
      </c>
    </row>
    <row r="19" spans="1:13" ht="42" customHeight="1">
      <c r="A19" s="2413">
        <v>10</v>
      </c>
      <c r="B19" s="2422" t="s">
        <v>2726</v>
      </c>
      <c r="C19" s="2413">
        <v>7130200202</v>
      </c>
      <c r="D19" s="2423" t="s">
        <v>76</v>
      </c>
      <c r="E19" s="2417">
        <f>VLOOKUP(C19,'[25]SOR RATE'!A:D,4,0)</f>
        <v>2970</v>
      </c>
      <c r="F19" s="2424">
        <f>0.65+0.6</f>
        <v>1.25</v>
      </c>
      <c r="G19" s="2417">
        <f>E19*F19</f>
        <v>3712.5</v>
      </c>
      <c r="H19" s="2417">
        <f>E19*F19</f>
        <v>3712.5</v>
      </c>
      <c r="I19" s="2044" t="s">
        <v>47</v>
      </c>
      <c r="J19" s="347"/>
    </row>
    <row r="20" spans="1:13" ht="14.25" customHeight="1">
      <c r="A20" s="2425">
        <v>11</v>
      </c>
      <c r="B20" s="2426" t="s">
        <v>28</v>
      </c>
      <c r="C20" s="2415">
        <v>7130211158</v>
      </c>
      <c r="D20" s="2416" t="s">
        <v>29</v>
      </c>
      <c r="E20" s="2417">
        <f>VLOOKUP(C20,'[25]SOR RATE'!A:D,4,0)</f>
        <v>193.62</v>
      </c>
      <c r="F20" s="2413">
        <v>1</v>
      </c>
      <c r="G20" s="2417">
        <f t="shared" si="0"/>
        <v>193.62</v>
      </c>
      <c r="H20" s="2417">
        <f t="shared" si="1"/>
        <v>193.62</v>
      </c>
    </row>
    <row r="21" spans="1:13" ht="14.25" customHeight="1">
      <c r="A21" s="2413">
        <v>12</v>
      </c>
      <c r="B21" s="2426" t="s">
        <v>30</v>
      </c>
      <c r="C21" s="2415">
        <v>7130210809</v>
      </c>
      <c r="D21" s="2416" t="s">
        <v>29</v>
      </c>
      <c r="E21" s="2417">
        <f>VLOOKUP(C21,'[25]SOR RATE'!A:D,4,0)</f>
        <v>432.63</v>
      </c>
      <c r="F21" s="2413">
        <v>1</v>
      </c>
      <c r="G21" s="2417">
        <f t="shared" si="0"/>
        <v>432.63</v>
      </c>
      <c r="H21" s="2417">
        <f t="shared" si="1"/>
        <v>432.63</v>
      </c>
    </row>
    <row r="22" spans="1:13" ht="14.25" customHeight="1">
      <c r="A22" s="2425">
        <v>13</v>
      </c>
      <c r="B22" s="2414" t="s">
        <v>1441</v>
      </c>
      <c r="C22" s="2415">
        <v>7130610206</v>
      </c>
      <c r="D22" s="2416" t="s">
        <v>26</v>
      </c>
      <c r="E22" s="2417">
        <f>VLOOKUP(C22,'[25]SOR RATE'!A:D,4,0)/1000</f>
        <v>97.233429999999998</v>
      </c>
      <c r="F22" s="2413">
        <v>2</v>
      </c>
      <c r="G22" s="2417">
        <f t="shared" si="0"/>
        <v>194.46686</v>
      </c>
      <c r="H22" s="2417">
        <f t="shared" si="1"/>
        <v>194.46686</v>
      </c>
      <c r="I22" s="95"/>
      <c r="J22" s="806"/>
      <c r="K22" s="87"/>
    </row>
    <row r="23" spans="1:13" ht="15" customHeight="1">
      <c r="A23" s="2413">
        <v>14</v>
      </c>
      <c r="B23" s="2426" t="s">
        <v>32</v>
      </c>
      <c r="C23" s="2415">
        <v>7130880041</v>
      </c>
      <c r="D23" s="2416" t="s">
        <v>12</v>
      </c>
      <c r="E23" s="2417">
        <f>VLOOKUP(C23,'[25]SOR RATE'!A:D,4,0)</f>
        <v>113.77</v>
      </c>
      <c r="F23" s="2413">
        <v>1</v>
      </c>
      <c r="G23" s="2417">
        <f t="shared" si="0"/>
        <v>113.77</v>
      </c>
      <c r="H23" s="2417">
        <f t="shared" si="1"/>
        <v>113.77</v>
      </c>
    </row>
    <row r="24" spans="1:13" ht="14.25" customHeight="1">
      <c r="A24" s="2425">
        <v>15</v>
      </c>
      <c r="B24" s="2414" t="s">
        <v>1574</v>
      </c>
      <c r="C24" s="2415">
        <v>7130810692</v>
      </c>
      <c r="D24" s="2416" t="s">
        <v>15</v>
      </c>
      <c r="E24" s="2417">
        <f>VLOOKUP(C24,'[25]SOR RATE'!A:D,4,0)</f>
        <v>410.25</v>
      </c>
      <c r="F24" s="2413">
        <v>4</v>
      </c>
      <c r="G24" s="2417">
        <f t="shared" si="0"/>
        <v>1641</v>
      </c>
      <c r="H24" s="2417">
        <f t="shared" si="1"/>
        <v>1641</v>
      </c>
    </row>
    <row r="25" spans="1:13" ht="13.5" customHeight="1">
      <c r="A25" s="2425">
        <v>16</v>
      </c>
      <c r="B25" s="2426" t="s">
        <v>2727</v>
      </c>
      <c r="C25" s="2415">
        <v>7130620609</v>
      </c>
      <c r="D25" s="2416" t="s">
        <v>26</v>
      </c>
      <c r="E25" s="2417">
        <f>VLOOKUP(C25,'[25]SOR RATE'!A:D,4,0)</f>
        <v>87.23</v>
      </c>
      <c r="F25" s="2413">
        <v>5</v>
      </c>
      <c r="G25" s="2417">
        <f t="shared" si="0"/>
        <v>436.15000000000003</v>
      </c>
      <c r="H25" s="2417">
        <f t="shared" si="1"/>
        <v>436.15000000000003</v>
      </c>
    </row>
    <row r="26" spans="1:13" ht="13.5" customHeight="1">
      <c r="A26" s="2413">
        <v>17</v>
      </c>
      <c r="B26" s="2426" t="s">
        <v>2728</v>
      </c>
      <c r="C26" s="2415">
        <v>7130620614</v>
      </c>
      <c r="D26" s="2416" t="s">
        <v>26</v>
      </c>
      <c r="E26" s="2417">
        <f>VLOOKUP(C26,'[25]SOR RATE'!A:D,4,0)</f>
        <v>85.77</v>
      </c>
      <c r="F26" s="2413">
        <v>1</v>
      </c>
      <c r="G26" s="2417">
        <f t="shared" si="0"/>
        <v>85.77</v>
      </c>
      <c r="H26" s="2417">
        <f t="shared" si="1"/>
        <v>85.77</v>
      </c>
    </row>
    <row r="27" spans="1:13" ht="16.5" customHeight="1">
      <c r="A27" s="2413">
        <v>18</v>
      </c>
      <c r="B27" s="2427" t="s">
        <v>2729</v>
      </c>
      <c r="C27" s="2413">
        <v>7130320044</v>
      </c>
      <c r="D27" s="2416" t="s">
        <v>68</v>
      </c>
      <c r="E27" s="2417">
        <f>VLOOKUP(C27,'[25]SOR RATE'!A:D,4,0)</f>
        <v>1111.29</v>
      </c>
      <c r="F27" s="2413">
        <v>2</v>
      </c>
      <c r="G27" s="2417">
        <f t="shared" si="0"/>
        <v>2222.58</v>
      </c>
      <c r="H27" s="2417">
        <f t="shared" si="1"/>
        <v>2222.58</v>
      </c>
      <c r="I27" s="1989"/>
      <c r="J27" s="2122"/>
      <c r="K27" s="808"/>
      <c r="L27" s="841"/>
      <c r="M27" s="841"/>
    </row>
    <row r="28" spans="1:13" ht="41.25" customHeight="1">
      <c r="A28" s="2413">
        <v>19</v>
      </c>
      <c r="B28" s="2427" t="s">
        <v>2730</v>
      </c>
      <c r="C28" s="2413">
        <v>7130642039</v>
      </c>
      <c r="D28" s="2428" t="s">
        <v>12</v>
      </c>
      <c r="E28" s="2417">
        <f>VLOOKUP(C28,'[25]SOR RATE'!A:D,4,0)</f>
        <v>998.57</v>
      </c>
      <c r="F28" s="2413">
        <v>2</v>
      </c>
      <c r="G28" s="2417">
        <f t="shared" si="0"/>
        <v>1997.14</v>
      </c>
      <c r="H28" s="2417">
        <f t="shared" si="1"/>
        <v>1997.14</v>
      </c>
      <c r="I28" s="1989"/>
      <c r="J28" s="2122"/>
      <c r="K28" s="2122"/>
    </row>
    <row r="29" spans="1:13" ht="15" customHeight="1">
      <c r="A29" s="2413">
        <v>20</v>
      </c>
      <c r="B29" s="2427" t="s">
        <v>397</v>
      </c>
      <c r="C29" s="2428">
        <v>7130320045</v>
      </c>
      <c r="D29" s="2428" t="s">
        <v>12</v>
      </c>
      <c r="E29" s="2417">
        <f>VLOOKUP(C29,'[25]SOR RATE'!A:D,4,0)</f>
        <v>33.01</v>
      </c>
      <c r="F29" s="2413">
        <v>25</v>
      </c>
      <c r="G29" s="2417">
        <f t="shared" si="0"/>
        <v>825.25</v>
      </c>
      <c r="H29" s="2417">
        <f t="shared" si="1"/>
        <v>825.25</v>
      </c>
      <c r="J29" s="2122"/>
      <c r="K29" s="2122"/>
    </row>
    <row r="30" spans="1:13" ht="15.75" customHeight="1">
      <c r="A30" s="2429">
        <v>21</v>
      </c>
      <c r="B30" s="2430" t="s">
        <v>48</v>
      </c>
      <c r="C30" s="2431"/>
      <c r="D30" s="2431"/>
      <c r="E30" s="2429"/>
      <c r="F30" s="2429"/>
      <c r="G30" s="2432">
        <f>SUM(G10:G29)</f>
        <v>178428.76543599999</v>
      </c>
      <c r="H30" s="2432">
        <f>SUM(H10:H29)</f>
        <v>207790.29993599997</v>
      </c>
      <c r="J30" s="102"/>
      <c r="K30" s="102"/>
    </row>
    <row r="31" spans="1:13" ht="15.75" customHeight="1">
      <c r="A31" s="2429">
        <v>22</v>
      </c>
      <c r="B31" s="2430" t="s">
        <v>49</v>
      </c>
      <c r="C31" s="2431"/>
      <c r="D31" s="2431"/>
      <c r="E31" s="2429"/>
      <c r="F31" s="2429"/>
      <c r="G31" s="2432">
        <f>G30/1.18</f>
        <v>151210.8181661017</v>
      </c>
      <c r="H31" s="2432">
        <f>H30/1.18</f>
        <v>176093.47452203388</v>
      </c>
      <c r="I31" s="87"/>
      <c r="J31" s="102"/>
      <c r="K31" s="102"/>
    </row>
    <row r="32" spans="1:13" ht="15.75" customHeight="1">
      <c r="A32" s="2413">
        <v>23</v>
      </c>
      <c r="B32" s="2414" t="s">
        <v>50</v>
      </c>
      <c r="C32" s="2425"/>
      <c r="D32" s="2425"/>
      <c r="E32" s="2413">
        <v>7.4999999999999997E-2</v>
      </c>
      <c r="F32" s="2413"/>
      <c r="G32" s="2417">
        <f>E32*G30</f>
        <v>13382.157407699999</v>
      </c>
      <c r="H32" s="2417">
        <f>E32*H30</f>
        <v>15584.272495199997</v>
      </c>
      <c r="I32" s="89"/>
    </row>
    <row r="33" spans="1:13" ht="14.25" customHeight="1">
      <c r="A33" s="2413">
        <v>24</v>
      </c>
      <c r="B33" s="2426" t="s">
        <v>2731</v>
      </c>
      <c r="C33" s="2425"/>
      <c r="D33" s="2425"/>
      <c r="E33" s="2417">
        <v>18686.23</v>
      </c>
      <c r="F33" s="2413">
        <v>1</v>
      </c>
      <c r="G33" s="2417">
        <f>E33*F33</f>
        <v>18686.23</v>
      </c>
      <c r="H33" s="2417">
        <f>E33*F33</f>
        <v>18686.23</v>
      </c>
    </row>
    <row r="34" spans="1:13" ht="15.75" customHeight="1">
      <c r="A34" s="2413">
        <v>25</v>
      </c>
      <c r="B34" s="2422" t="s">
        <v>1606</v>
      </c>
      <c r="C34" s="2425"/>
      <c r="D34" s="2425"/>
      <c r="E34" s="2433">
        <v>0.04</v>
      </c>
      <c r="F34" s="2413">
        <v>1</v>
      </c>
      <c r="G34" s="2417">
        <f>G31*E34</f>
        <v>6048.4327266440678</v>
      </c>
      <c r="H34" s="2417">
        <f>H31*E34</f>
        <v>7043.738980881355</v>
      </c>
      <c r="I34" s="2045" t="s">
        <v>1827</v>
      </c>
      <c r="K34" s="82"/>
    </row>
    <row r="35" spans="1:13" ht="15" customHeight="1">
      <c r="A35" s="2413">
        <v>26</v>
      </c>
      <c r="B35" s="2434" t="s">
        <v>82</v>
      </c>
      <c r="C35" s="2425"/>
      <c r="D35" s="2413" t="s">
        <v>76</v>
      </c>
      <c r="E35" s="2435">
        <f>665.173187113158*1.043</f>
        <v>693.77563415902364</v>
      </c>
      <c r="F35" s="2413">
        <v>1.25</v>
      </c>
      <c r="G35" s="2417">
        <f>E35*F35</f>
        <v>867.21954269877961</v>
      </c>
      <c r="H35" s="2417">
        <f>E35*F35</f>
        <v>867.21954269877961</v>
      </c>
      <c r="I35" s="91"/>
    </row>
    <row r="36" spans="1:13" ht="15" customHeight="1">
      <c r="A36" s="2413">
        <v>27</v>
      </c>
      <c r="B36" s="2427" t="s">
        <v>2534</v>
      </c>
      <c r="C36" s="2436"/>
      <c r="D36" s="2428" t="s">
        <v>12</v>
      </c>
      <c r="E36" s="2437">
        <f>3020.13589298559*1.043</f>
        <v>3150.0017363839702</v>
      </c>
      <c r="F36" s="2413">
        <v>2</v>
      </c>
      <c r="G36" s="2417">
        <f>E36*F36</f>
        <v>6300.0034727679404</v>
      </c>
      <c r="H36" s="2417">
        <f>E36*F36</f>
        <v>6300.0034727679404</v>
      </c>
    </row>
    <row r="37" spans="1:13" ht="42" customHeight="1">
      <c r="A37" s="2413">
        <v>28</v>
      </c>
      <c r="B37" s="2414" t="s">
        <v>2732</v>
      </c>
      <c r="C37" s="2436"/>
      <c r="D37" s="2428"/>
      <c r="E37" s="2417"/>
      <c r="F37" s="2413"/>
      <c r="G37" s="2417">
        <f>(G30+G32+G33+G34+G35+G36)*0.125</f>
        <v>27964.101073226349</v>
      </c>
      <c r="H37" s="2417">
        <f>(H30+H32+H33+H34+H35+H36)*0.125</f>
        <v>32033.970553443505</v>
      </c>
      <c r="M37" s="2409"/>
    </row>
    <row r="38" spans="1:13" ht="27.75" customHeight="1">
      <c r="A38" s="2429">
        <v>29</v>
      </c>
      <c r="B38" s="2438" t="s">
        <v>2733</v>
      </c>
      <c r="C38" s="2436"/>
      <c r="D38" s="2428"/>
      <c r="E38" s="2433"/>
      <c r="F38" s="2413"/>
      <c r="G38" s="2432">
        <f>SUM(G31:G37)</f>
        <v>224458.96238913885</v>
      </c>
      <c r="H38" s="2432">
        <f>SUM(H31:H37)</f>
        <v>256608.90956702546</v>
      </c>
    </row>
    <row r="39" spans="1:13" ht="15.75" customHeight="1">
      <c r="A39" s="2423">
        <v>30</v>
      </c>
      <c r="B39" s="2414" t="s">
        <v>1611</v>
      </c>
      <c r="C39" s="2436"/>
      <c r="D39" s="2428"/>
      <c r="E39" s="2433">
        <v>0.09</v>
      </c>
      <c r="F39" s="2413"/>
      <c r="G39" s="2433">
        <f>G38*E39</f>
        <v>20201.306615022495</v>
      </c>
      <c r="H39" s="2433">
        <f>H38*E39</f>
        <v>23094.801861032291</v>
      </c>
    </row>
    <row r="40" spans="1:13" ht="15.75" customHeight="1">
      <c r="A40" s="2423">
        <v>31</v>
      </c>
      <c r="B40" s="2414" t="s">
        <v>1612</v>
      </c>
      <c r="C40" s="2436"/>
      <c r="D40" s="2428"/>
      <c r="E40" s="2433">
        <v>0.09</v>
      </c>
      <c r="F40" s="2413"/>
      <c r="G40" s="2417">
        <f>G38*E40</f>
        <v>20201.306615022495</v>
      </c>
      <c r="H40" s="2417">
        <f>H38*E40</f>
        <v>23094.801861032291</v>
      </c>
      <c r="I40" s="95"/>
      <c r="J40" s="806"/>
    </row>
    <row r="41" spans="1:13" ht="28.5" customHeight="1">
      <c r="A41" s="2423">
        <v>32</v>
      </c>
      <c r="B41" s="2414" t="s">
        <v>1613</v>
      </c>
      <c r="C41" s="2425"/>
      <c r="D41" s="2425"/>
      <c r="E41" s="2425"/>
      <c r="F41" s="2425"/>
      <c r="G41" s="2439">
        <f>G38+G39+G40</f>
        <v>264861.57561918383</v>
      </c>
      <c r="H41" s="2439">
        <f>H38+H39+H40</f>
        <v>302798.51328909001</v>
      </c>
    </row>
    <row r="42" spans="1:13" ht="30" customHeight="1">
      <c r="A42" s="2429">
        <v>33</v>
      </c>
      <c r="B42" s="2438" t="s">
        <v>59</v>
      </c>
      <c r="C42" s="2440"/>
      <c r="D42" s="2440"/>
      <c r="E42" s="2440"/>
      <c r="F42" s="2440"/>
      <c r="G42" s="2439">
        <f>ROUND(G41,0)</f>
        <v>264862</v>
      </c>
      <c r="H42" s="2439">
        <f>ROUND(H41,0)</f>
        <v>302799</v>
      </c>
    </row>
    <row r="43" spans="1:13" ht="9" customHeight="1"/>
    <row r="44" spans="1:13" ht="27.75" customHeight="1">
      <c r="A44" s="2410" t="s">
        <v>62</v>
      </c>
      <c r="B44" s="3114" t="s">
        <v>2734</v>
      </c>
      <c r="C44" s="3114"/>
      <c r="D44" s="3114"/>
      <c r="E44" s="3114"/>
      <c r="F44" s="3114"/>
      <c r="I44" s="579"/>
      <c r="J44" s="579"/>
    </row>
    <row r="45" spans="1:13" ht="15">
      <c r="G45" s="2411"/>
      <c r="H45" s="2411"/>
      <c r="I45" s="579"/>
      <c r="J45" s="579"/>
    </row>
    <row r="46" spans="1:13">
      <c r="I46" s="579"/>
      <c r="J46" s="579"/>
    </row>
    <row r="47" spans="1:13">
      <c r="G47" s="579"/>
      <c r="H47" s="579"/>
    </row>
    <row r="50" spans="1:1" ht="12" customHeight="1">
      <c r="A50" s="2065"/>
    </row>
  </sheetData>
  <mergeCells count="10">
    <mergeCell ref="B44:F44"/>
    <mergeCell ref="B1:E1"/>
    <mergeCell ref="B3:H3"/>
    <mergeCell ref="A7:A8"/>
    <mergeCell ref="B7:B8"/>
    <mergeCell ref="C7:C8"/>
    <mergeCell ref="D7:D8"/>
    <mergeCell ref="E7:E8"/>
    <mergeCell ref="F7:F8"/>
    <mergeCell ref="G7:H7"/>
  </mergeCells>
  <conditionalFormatting sqref="B30">
    <cfRule type="cellIs" dxfId="134" priority="2" stopIfTrue="1" operator="equal">
      <formula>"?"</formula>
    </cfRule>
  </conditionalFormatting>
  <conditionalFormatting sqref="B31">
    <cfRule type="cellIs" dxfId="133" priority="1" stopIfTrue="1" operator="equal">
      <formula>"?"</formula>
    </cfRule>
  </conditionalFormatting>
  <pageMargins left="0.84" right="0.12" top="0.72" bottom="0.32" header="0.5" footer="0.16"/>
  <pageSetup scale="115"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8"/>
  <sheetViews>
    <sheetView workbookViewId="0">
      <pane xSplit="2" ySplit="8" topLeftCell="C57" activePane="bottomRight" state="frozen"/>
      <selection pane="topRight" activeCell="C1" sqref="C1"/>
      <selection pane="bottomLeft" activeCell="A9" sqref="A9"/>
      <selection pane="bottomRight" activeCell="G13" sqref="G13"/>
    </sheetView>
  </sheetViews>
  <sheetFormatPr defaultRowHeight="12.75"/>
  <cols>
    <col min="1" max="1" width="4.140625" style="70" customWidth="1"/>
    <col min="2" max="2" width="52" style="70" customWidth="1"/>
    <col min="3" max="3" width="13.7109375" style="70" customWidth="1"/>
    <col min="4" max="4" width="6.28515625" style="70" customWidth="1"/>
    <col min="5" max="5" width="5.5703125" style="70" customWidth="1"/>
    <col min="6" max="6" width="9.5703125" style="70" customWidth="1"/>
    <col min="7" max="7" width="13.5703125" style="70" customWidth="1"/>
    <col min="8" max="8" width="5.28515625" style="70" customWidth="1"/>
    <col min="9" max="9" width="9" style="70" customWidth="1"/>
    <col min="10" max="10" width="11.140625" style="70" customWidth="1"/>
    <col min="11" max="11" width="24.7109375" style="70" customWidth="1"/>
    <col min="12" max="12" width="21.140625" style="70" bestFit="1" customWidth="1"/>
    <col min="13" max="13" width="8.42578125" style="70" customWidth="1"/>
    <col min="14" max="14" width="10" style="70" customWidth="1"/>
    <col min="15" max="256" width="9.140625" style="70"/>
    <col min="257" max="257" width="4.140625" style="70" customWidth="1"/>
    <col min="258" max="258" width="52" style="70" customWidth="1"/>
    <col min="259" max="259" width="13.7109375" style="70" customWidth="1"/>
    <col min="260" max="260" width="5.7109375" style="70" bestFit="1" customWidth="1"/>
    <col min="261" max="261" width="5.5703125" style="70" customWidth="1"/>
    <col min="262" max="262" width="9.5703125" style="70" customWidth="1"/>
    <col min="263" max="263" width="13.5703125" style="70" customWidth="1"/>
    <col min="264" max="264" width="5.28515625" style="70" customWidth="1"/>
    <col min="265" max="265" width="9" style="70" customWidth="1"/>
    <col min="266" max="266" width="11.140625" style="70" customWidth="1"/>
    <col min="267" max="267" width="23.5703125" style="70" customWidth="1"/>
    <col min="268" max="268" width="23.7109375" style="70" customWidth="1"/>
    <col min="269" max="269" width="14.85546875" style="70" customWidth="1"/>
    <col min="270" max="512" width="9.140625" style="70"/>
    <col min="513" max="513" width="4.140625" style="70" customWidth="1"/>
    <col min="514" max="514" width="52" style="70" customWidth="1"/>
    <col min="515" max="515" width="13.7109375" style="70" customWidth="1"/>
    <col min="516" max="516" width="5.7109375" style="70" bestFit="1" customWidth="1"/>
    <col min="517" max="517" width="5.5703125" style="70" customWidth="1"/>
    <col min="518" max="518" width="9.5703125" style="70" customWidth="1"/>
    <col min="519" max="519" width="13.5703125" style="70" customWidth="1"/>
    <col min="520" max="520" width="5.28515625" style="70" customWidth="1"/>
    <col min="521" max="521" width="9" style="70" customWidth="1"/>
    <col min="522" max="522" width="11.140625" style="70" customWidth="1"/>
    <col min="523" max="523" width="23.5703125" style="70" customWidth="1"/>
    <col min="524" max="524" width="23.7109375" style="70" customWidth="1"/>
    <col min="525" max="525" width="14.85546875" style="70" customWidth="1"/>
    <col min="526" max="768" width="9.140625" style="70"/>
    <col min="769" max="769" width="4.140625" style="70" customWidth="1"/>
    <col min="770" max="770" width="52" style="70" customWidth="1"/>
    <col min="771" max="771" width="13.7109375" style="70" customWidth="1"/>
    <col min="772" max="772" width="5.7109375" style="70" bestFit="1" customWidth="1"/>
    <col min="773" max="773" width="5.5703125" style="70" customWidth="1"/>
    <col min="774" max="774" width="9.5703125" style="70" customWidth="1"/>
    <col min="775" max="775" width="13.5703125" style="70" customWidth="1"/>
    <col min="776" max="776" width="5.28515625" style="70" customWidth="1"/>
    <col min="777" max="777" width="9" style="70" customWidth="1"/>
    <col min="778" max="778" width="11.140625" style="70" customWidth="1"/>
    <col min="779" max="779" width="23.5703125" style="70" customWidth="1"/>
    <col min="780" max="780" width="23.7109375" style="70" customWidth="1"/>
    <col min="781" max="781" width="14.85546875" style="70" customWidth="1"/>
    <col min="782" max="1024" width="9.140625" style="70"/>
    <col min="1025" max="1025" width="4.140625" style="70" customWidth="1"/>
    <col min="1026" max="1026" width="52" style="70" customWidth="1"/>
    <col min="1027" max="1027" width="13.7109375" style="70" customWidth="1"/>
    <col min="1028" max="1028" width="5.7109375" style="70" bestFit="1" customWidth="1"/>
    <col min="1029" max="1029" width="5.5703125" style="70" customWidth="1"/>
    <col min="1030" max="1030" width="9.5703125" style="70" customWidth="1"/>
    <col min="1031" max="1031" width="13.5703125" style="70" customWidth="1"/>
    <col min="1032" max="1032" width="5.28515625" style="70" customWidth="1"/>
    <col min="1033" max="1033" width="9" style="70" customWidth="1"/>
    <col min="1034" max="1034" width="11.140625" style="70" customWidth="1"/>
    <col min="1035" max="1035" width="23.5703125" style="70" customWidth="1"/>
    <col min="1036" max="1036" width="23.7109375" style="70" customWidth="1"/>
    <col min="1037" max="1037" width="14.85546875" style="70" customWidth="1"/>
    <col min="1038" max="1280" width="9.140625" style="70"/>
    <col min="1281" max="1281" width="4.140625" style="70" customWidth="1"/>
    <col min="1282" max="1282" width="52" style="70" customWidth="1"/>
    <col min="1283" max="1283" width="13.7109375" style="70" customWidth="1"/>
    <col min="1284" max="1284" width="5.7109375" style="70" bestFit="1" customWidth="1"/>
    <col min="1285" max="1285" width="5.5703125" style="70" customWidth="1"/>
    <col min="1286" max="1286" width="9.5703125" style="70" customWidth="1"/>
    <col min="1287" max="1287" width="13.5703125" style="70" customWidth="1"/>
    <col min="1288" max="1288" width="5.28515625" style="70" customWidth="1"/>
    <col min="1289" max="1289" width="9" style="70" customWidth="1"/>
    <col min="1290" max="1290" width="11.140625" style="70" customWidth="1"/>
    <col min="1291" max="1291" width="23.5703125" style="70" customWidth="1"/>
    <col min="1292" max="1292" width="23.7109375" style="70" customWidth="1"/>
    <col min="1293" max="1293" width="14.85546875" style="70" customWidth="1"/>
    <col min="1294" max="1536" width="9.140625" style="70"/>
    <col min="1537" max="1537" width="4.140625" style="70" customWidth="1"/>
    <col min="1538" max="1538" width="52" style="70" customWidth="1"/>
    <col min="1539" max="1539" width="13.7109375" style="70" customWidth="1"/>
    <col min="1540" max="1540" width="5.7109375" style="70" bestFit="1" customWidth="1"/>
    <col min="1541" max="1541" width="5.5703125" style="70" customWidth="1"/>
    <col min="1542" max="1542" width="9.5703125" style="70" customWidth="1"/>
    <col min="1543" max="1543" width="13.5703125" style="70" customWidth="1"/>
    <col min="1544" max="1544" width="5.28515625" style="70" customWidth="1"/>
    <col min="1545" max="1545" width="9" style="70" customWidth="1"/>
    <col min="1546" max="1546" width="11.140625" style="70" customWidth="1"/>
    <col min="1547" max="1547" width="23.5703125" style="70" customWidth="1"/>
    <col min="1548" max="1548" width="23.7109375" style="70" customWidth="1"/>
    <col min="1549" max="1549" width="14.85546875" style="70" customWidth="1"/>
    <col min="1550" max="1792" width="9.140625" style="70"/>
    <col min="1793" max="1793" width="4.140625" style="70" customWidth="1"/>
    <col min="1794" max="1794" width="52" style="70" customWidth="1"/>
    <col min="1795" max="1795" width="13.7109375" style="70" customWidth="1"/>
    <col min="1796" max="1796" width="5.7109375" style="70" bestFit="1" customWidth="1"/>
    <col min="1797" max="1797" width="5.5703125" style="70" customWidth="1"/>
    <col min="1798" max="1798" width="9.5703125" style="70" customWidth="1"/>
    <col min="1799" max="1799" width="13.5703125" style="70" customWidth="1"/>
    <col min="1800" max="1800" width="5.28515625" style="70" customWidth="1"/>
    <col min="1801" max="1801" width="9" style="70" customWidth="1"/>
    <col min="1802" max="1802" width="11.140625" style="70" customWidth="1"/>
    <col min="1803" max="1803" width="23.5703125" style="70" customWidth="1"/>
    <col min="1804" max="1804" width="23.7109375" style="70" customWidth="1"/>
    <col min="1805" max="1805" width="14.85546875" style="70" customWidth="1"/>
    <col min="1806" max="2048" width="9.140625" style="70"/>
    <col min="2049" max="2049" width="4.140625" style="70" customWidth="1"/>
    <col min="2050" max="2050" width="52" style="70" customWidth="1"/>
    <col min="2051" max="2051" width="13.7109375" style="70" customWidth="1"/>
    <col min="2052" max="2052" width="5.7109375" style="70" bestFit="1" customWidth="1"/>
    <col min="2053" max="2053" width="5.5703125" style="70" customWidth="1"/>
    <col min="2054" max="2054" width="9.5703125" style="70" customWidth="1"/>
    <col min="2055" max="2055" width="13.5703125" style="70" customWidth="1"/>
    <col min="2056" max="2056" width="5.28515625" style="70" customWidth="1"/>
    <col min="2057" max="2057" width="9" style="70" customWidth="1"/>
    <col min="2058" max="2058" width="11.140625" style="70" customWidth="1"/>
    <col min="2059" max="2059" width="23.5703125" style="70" customWidth="1"/>
    <col min="2060" max="2060" width="23.7109375" style="70" customWidth="1"/>
    <col min="2061" max="2061" width="14.85546875" style="70" customWidth="1"/>
    <col min="2062" max="2304" width="9.140625" style="70"/>
    <col min="2305" max="2305" width="4.140625" style="70" customWidth="1"/>
    <col min="2306" max="2306" width="52" style="70" customWidth="1"/>
    <col min="2307" max="2307" width="13.7109375" style="70" customWidth="1"/>
    <col min="2308" max="2308" width="5.7109375" style="70" bestFit="1" customWidth="1"/>
    <col min="2309" max="2309" width="5.5703125" style="70" customWidth="1"/>
    <col min="2310" max="2310" width="9.5703125" style="70" customWidth="1"/>
    <col min="2311" max="2311" width="13.5703125" style="70" customWidth="1"/>
    <col min="2312" max="2312" width="5.28515625" style="70" customWidth="1"/>
    <col min="2313" max="2313" width="9" style="70" customWidth="1"/>
    <col min="2314" max="2314" width="11.140625" style="70" customWidth="1"/>
    <col min="2315" max="2315" width="23.5703125" style="70" customWidth="1"/>
    <col min="2316" max="2316" width="23.7109375" style="70" customWidth="1"/>
    <col min="2317" max="2317" width="14.85546875" style="70" customWidth="1"/>
    <col min="2318" max="2560" width="9.140625" style="70"/>
    <col min="2561" max="2561" width="4.140625" style="70" customWidth="1"/>
    <col min="2562" max="2562" width="52" style="70" customWidth="1"/>
    <col min="2563" max="2563" width="13.7109375" style="70" customWidth="1"/>
    <col min="2564" max="2564" width="5.7109375" style="70" bestFit="1" customWidth="1"/>
    <col min="2565" max="2565" width="5.5703125" style="70" customWidth="1"/>
    <col min="2566" max="2566" width="9.5703125" style="70" customWidth="1"/>
    <col min="2567" max="2567" width="13.5703125" style="70" customWidth="1"/>
    <col min="2568" max="2568" width="5.28515625" style="70" customWidth="1"/>
    <col min="2569" max="2569" width="9" style="70" customWidth="1"/>
    <col min="2570" max="2570" width="11.140625" style="70" customWidth="1"/>
    <col min="2571" max="2571" width="23.5703125" style="70" customWidth="1"/>
    <col min="2572" max="2572" width="23.7109375" style="70" customWidth="1"/>
    <col min="2573" max="2573" width="14.85546875" style="70" customWidth="1"/>
    <col min="2574" max="2816" width="9.140625" style="70"/>
    <col min="2817" max="2817" width="4.140625" style="70" customWidth="1"/>
    <col min="2818" max="2818" width="52" style="70" customWidth="1"/>
    <col min="2819" max="2819" width="13.7109375" style="70" customWidth="1"/>
    <col min="2820" max="2820" width="5.7109375" style="70" bestFit="1" customWidth="1"/>
    <col min="2821" max="2821" width="5.5703125" style="70" customWidth="1"/>
    <col min="2822" max="2822" width="9.5703125" style="70" customWidth="1"/>
    <col min="2823" max="2823" width="13.5703125" style="70" customWidth="1"/>
    <col min="2824" max="2824" width="5.28515625" style="70" customWidth="1"/>
    <col min="2825" max="2825" width="9" style="70" customWidth="1"/>
    <col min="2826" max="2826" width="11.140625" style="70" customWidth="1"/>
    <col min="2827" max="2827" width="23.5703125" style="70" customWidth="1"/>
    <col min="2828" max="2828" width="23.7109375" style="70" customWidth="1"/>
    <col min="2829" max="2829" width="14.85546875" style="70" customWidth="1"/>
    <col min="2830" max="3072" width="9.140625" style="70"/>
    <col min="3073" max="3073" width="4.140625" style="70" customWidth="1"/>
    <col min="3074" max="3074" width="52" style="70" customWidth="1"/>
    <col min="3075" max="3075" width="13.7109375" style="70" customWidth="1"/>
    <col min="3076" max="3076" width="5.7109375" style="70" bestFit="1" customWidth="1"/>
    <col min="3077" max="3077" width="5.5703125" style="70" customWidth="1"/>
    <col min="3078" max="3078" width="9.5703125" style="70" customWidth="1"/>
    <col min="3079" max="3079" width="13.5703125" style="70" customWidth="1"/>
    <col min="3080" max="3080" width="5.28515625" style="70" customWidth="1"/>
    <col min="3081" max="3081" width="9" style="70" customWidth="1"/>
    <col min="3082" max="3082" width="11.140625" style="70" customWidth="1"/>
    <col min="3083" max="3083" width="23.5703125" style="70" customWidth="1"/>
    <col min="3084" max="3084" width="23.7109375" style="70" customWidth="1"/>
    <col min="3085" max="3085" width="14.85546875" style="70" customWidth="1"/>
    <col min="3086" max="3328" width="9.140625" style="70"/>
    <col min="3329" max="3329" width="4.140625" style="70" customWidth="1"/>
    <col min="3330" max="3330" width="52" style="70" customWidth="1"/>
    <col min="3331" max="3331" width="13.7109375" style="70" customWidth="1"/>
    <col min="3332" max="3332" width="5.7109375" style="70" bestFit="1" customWidth="1"/>
    <col min="3333" max="3333" width="5.5703125" style="70" customWidth="1"/>
    <col min="3334" max="3334" width="9.5703125" style="70" customWidth="1"/>
    <col min="3335" max="3335" width="13.5703125" style="70" customWidth="1"/>
    <col min="3336" max="3336" width="5.28515625" style="70" customWidth="1"/>
    <col min="3337" max="3337" width="9" style="70" customWidth="1"/>
    <col min="3338" max="3338" width="11.140625" style="70" customWidth="1"/>
    <col min="3339" max="3339" width="23.5703125" style="70" customWidth="1"/>
    <col min="3340" max="3340" width="23.7109375" style="70" customWidth="1"/>
    <col min="3341" max="3341" width="14.85546875" style="70" customWidth="1"/>
    <col min="3342" max="3584" width="9.140625" style="70"/>
    <col min="3585" max="3585" width="4.140625" style="70" customWidth="1"/>
    <col min="3586" max="3586" width="52" style="70" customWidth="1"/>
    <col min="3587" max="3587" width="13.7109375" style="70" customWidth="1"/>
    <col min="3588" max="3588" width="5.7109375" style="70" bestFit="1" customWidth="1"/>
    <col min="3589" max="3589" width="5.5703125" style="70" customWidth="1"/>
    <col min="3590" max="3590" width="9.5703125" style="70" customWidth="1"/>
    <col min="3591" max="3591" width="13.5703125" style="70" customWidth="1"/>
    <col min="3592" max="3592" width="5.28515625" style="70" customWidth="1"/>
    <col min="3593" max="3593" width="9" style="70" customWidth="1"/>
    <col min="3594" max="3594" width="11.140625" style="70" customWidth="1"/>
    <col min="3595" max="3595" width="23.5703125" style="70" customWidth="1"/>
    <col min="3596" max="3596" width="23.7109375" style="70" customWidth="1"/>
    <col min="3597" max="3597" width="14.85546875" style="70" customWidth="1"/>
    <col min="3598" max="3840" width="9.140625" style="70"/>
    <col min="3841" max="3841" width="4.140625" style="70" customWidth="1"/>
    <col min="3842" max="3842" width="52" style="70" customWidth="1"/>
    <col min="3843" max="3843" width="13.7109375" style="70" customWidth="1"/>
    <col min="3844" max="3844" width="5.7109375" style="70" bestFit="1" customWidth="1"/>
    <col min="3845" max="3845" width="5.5703125" style="70" customWidth="1"/>
    <col min="3846" max="3846" width="9.5703125" style="70" customWidth="1"/>
    <col min="3847" max="3847" width="13.5703125" style="70" customWidth="1"/>
    <col min="3848" max="3848" width="5.28515625" style="70" customWidth="1"/>
    <col min="3849" max="3849" width="9" style="70" customWidth="1"/>
    <col min="3850" max="3850" width="11.140625" style="70" customWidth="1"/>
    <col min="3851" max="3851" width="23.5703125" style="70" customWidth="1"/>
    <col min="3852" max="3852" width="23.7109375" style="70" customWidth="1"/>
    <col min="3853" max="3853" width="14.85546875" style="70" customWidth="1"/>
    <col min="3854" max="4096" width="9.140625" style="70"/>
    <col min="4097" max="4097" width="4.140625" style="70" customWidth="1"/>
    <col min="4098" max="4098" width="52" style="70" customWidth="1"/>
    <col min="4099" max="4099" width="13.7109375" style="70" customWidth="1"/>
    <col min="4100" max="4100" width="5.7109375" style="70" bestFit="1" customWidth="1"/>
    <col min="4101" max="4101" width="5.5703125" style="70" customWidth="1"/>
    <col min="4102" max="4102" width="9.5703125" style="70" customWidth="1"/>
    <col min="4103" max="4103" width="13.5703125" style="70" customWidth="1"/>
    <col min="4104" max="4104" width="5.28515625" style="70" customWidth="1"/>
    <col min="4105" max="4105" width="9" style="70" customWidth="1"/>
    <col min="4106" max="4106" width="11.140625" style="70" customWidth="1"/>
    <col min="4107" max="4107" width="23.5703125" style="70" customWidth="1"/>
    <col min="4108" max="4108" width="23.7109375" style="70" customWidth="1"/>
    <col min="4109" max="4109" width="14.85546875" style="70" customWidth="1"/>
    <col min="4110" max="4352" width="9.140625" style="70"/>
    <col min="4353" max="4353" width="4.140625" style="70" customWidth="1"/>
    <col min="4354" max="4354" width="52" style="70" customWidth="1"/>
    <col min="4355" max="4355" width="13.7109375" style="70" customWidth="1"/>
    <col min="4356" max="4356" width="5.7109375" style="70" bestFit="1" customWidth="1"/>
    <col min="4357" max="4357" width="5.5703125" style="70" customWidth="1"/>
    <col min="4358" max="4358" width="9.5703125" style="70" customWidth="1"/>
    <col min="4359" max="4359" width="13.5703125" style="70" customWidth="1"/>
    <col min="4360" max="4360" width="5.28515625" style="70" customWidth="1"/>
    <col min="4361" max="4361" width="9" style="70" customWidth="1"/>
    <col min="4362" max="4362" width="11.140625" style="70" customWidth="1"/>
    <col min="4363" max="4363" width="23.5703125" style="70" customWidth="1"/>
    <col min="4364" max="4364" width="23.7109375" style="70" customWidth="1"/>
    <col min="4365" max="4365" width="14.85546875" style="70" customWidth="1"/>
    <col min="4366" max="4608" width="9.140625" style="70"/>
    <col min="4609" max="4609" width="4.140625" style="70" customWidth="1"/>
    <col min="4610" max="4610" width="52" style="70" customWidth="1"/>
    <col min="4611" max="4611" width="13.7109375" style="70" customWidth="1"/>
    <col min="4612" max="4612" width="5.7109375" style="70" bestFit="1" customWidth="1"/>
    <col min="4613" max="4613" width="5.5703125" style="70" customWidth="1"/>
    <col min="4614" max="4614" width="9.5703125" style="70" customWidth="1"/>
    <col min="4615" max="4615" width="13.5703125" style="70" customWidth="1"/>
    <col min="4616" max="4616" width="5.28515625" style="70" customWidth="1"/>
    <col min="4617" max="4617" width="9" style="70" customWidth="1"/>
    <col min="4618" max="4618" width="11.140625" style="70" customWidth="1"/>
    <col min="4619" max="4619" width="23.5703125" style="70" customWidth="1"/>
    <col min="4620" max="4620" width="23.7109375" style="70" customWidth="1"/>
    <col min="4621" max="4621" width="14.85546875" style="70" customWidth="1"/>
    <col min="4622" max="4864" width="9.140625" style="70"/>
    <col min="4865" max="4865" width="4.140625" style="70" customWidth="1"/>
    <col min="4866" max="4866" width="52" style="70" customWidth="1"/>
    <col min="4867" max="4867" width="13.7109375" style="70" customWidth="1"/>
    <col min="4868" max="4868" width="5.7109375" style="70" bestFit="1" customWidth="1"/>
    <col min="4869" max="4869" width="5.5703125" style="70" customWidth="1"/>
    <col min="4870" max="4870" width="9.5703125" style="70" customWidth="1"/>
    <col min="4871" max="4871" width="13.5703125" style="70" customWidth="1"/>
    <col min="4872" max="4872" width="5.28515625" style="70" customWidth="1"/>
    <col min="4873" max="4873" width="9" style="70" customWidth="1"/>
    <col min="4874" max="4874" width="11.140625" style="70" customWidth="1"/>
    <col min="4875" max="4875" width="23.5703125" style="70" customWidth="1"/>
    <col min="4876" max="4876" width="23.7109375" style="70" customWidth="1"/>
    <col min="4877" max="4877" width="14.85546875" style="70" customWidth="1"/>
    <col min="4878" max="5120" width="9.140625" style="70"/>
    <col min="5121" max="5121" width="4.140625" style="70" customWidth="1"/>
    <col min="5122" max="5122" width="52" style="70" customWidth="1"/>
    <col min="5123" max="5123" width="13.7109375" style="70" customWidth="1"/>
    <col min="5124" max="5124" width="5.7109375" style="70" bestFit="1" customWidth="1"/>
    <col min="5125" max="5125" width="5.5703125" style="70" customWidth="1"/>
    <col min="5126" max="5126" width="9.5703125" style="70" customWidth="1"/>
    <col min="5127" max="5127" width="13.5703125" style="70" customWidth="1"/>
    <col min="5128" max="5128" width="5.28515625" style="70" customWidth="1"/>
    <col min="5129" max="5129" width="9" style="70" customWidth="1"/>
    <col min="5130" max="5130" width="11.140625" style="70" customWidth="1"/>
    <col min="5131" max="5131" width="23.5703125" style="70" customWidth="1"/>
    <col min="5132" max="5132" width="23.7109375" style="70" customWidth="1"/>
    <col min="5133" max="5133" width="14.85546875" style="70" customWidth="1"/>
    <col min="5134" max="5376" width="9.140625" style="70"/>
    <col min="5377" max="5377" width="4.140625" style="70" customWidth="1"/>
    <col min="5378" max="5378" width="52" style="70" customWidth="1"/>
    <col min="5379" max="5379" width="13.7109375" style="70" customWidth="1"/>
    <col min="5380" max="5380" width="5.7109375" style="70" bestFit="1" customWidth="1"/>
    <col min="5381" max="5381" width="5.5703125" style="70" customWidth="1"/>
    <col min="5382" max="5382" width="9.5703125" style="70" customWidth="1"/>
    <col min="5383" max="5383" width="13.5703125" style="70" customWidth="1"/>
    <col min="5384" max="5384" width="5.28515625" style="70" customWidth="1"/>
    <col min="5385" max="5385" width="9" style="70" customWidth="1"/>
    <col min="5386" max="5386" width="11.140625" style="70" customWidth="1"/>
    <col min="5387" max="5387" width="23.5703125" style="70" customWidth="1"/>
    <col min="5388" max="5388" width="23.7109375" style="70" customWidth="1"/>
    <col min="5389" max="5389" width="14.85546875" style="70" customWidth="1"/>
    <col min="5390" max="5632" width="9.140625" style="70"/>
    <col min="5633" max="5633" width="4.140625" style="70" customWidth="1"/>
    <col min="5634" max="5634" width="52" style="70" customWidth="1"/>
    <col min="5635" max="5635" width="13.7109375" style="70" customWidth="1"/>
    <col min="5636" max="5636" width="5.7109375" style="70" bestFit="1" customWidth="1"/>
    <col min="5637" max="5637" width="5.5703125" style="70" customWidth="1"/>
    <col min="5638" max="5638" width="9.5703125" style="70" customWidth="1"/>
    <col min="5639" max="5639" width="13.5703125" style="70" customWidth="1"/>
    <col min="5640" max="5640" width="5.28515625" style="70" customWidth="1"/>
    <col min="5641" max="5641" width="9" style="70" customWidth="1"/>
    <col min="5642" max="5642" width="11.140625" style="70" customWidth="1"/>
    <col min="5643" max="5643" width="23.5703125" style="70" customWidth="1"/>
    <col min="5644" max="5644" width="23.7109375" style="70" customWidth="1"/>
    <col min="5645" max="5645" width="14.85546875" style="70" customWidth="1"/>
    <col min="5646" max="5888" width="9.140625" style="70"/>
    <col min="5889" max="5889" width="4.140625" style="70" customWidth="1"/>
    <col min="5890" max="5890" width="52" style="70" customWidth="1"/>
    <col min="5891" max="5891" width="13.7109375" style="70" customWidth="1"/>
    <col min="5892" max="5892" width="5.7109375" style="70" bestFit="1" customWidth="1"/>
    <col min="5893" max="5893" width="5.5703125" style="70" customWidth="1"/>
    <col min="5894" max="5894" width="9.5703125" style="70" customWidth="1"/>
    <col min="5895" max="5895" width="13.5703125" style="70" customWidth="1"/>
    <col min="5896" max="5896" width="5.28515625" style="70" customWidth="1"/>
    <col min="5897" max="5897" width="9" style="70" customWidth="1"/>
    <col min="5898" max="5898" width="11.140625" style="70" customWidth="1"/>
    <col min="5899" max="5899" width="23.5703125" style="70" customWidth="1"/>
    <col min="5900" max="5900" width="23.7109375" style="70" customWidth="1"/>
    <col min="5901" max="5901" width="14.85546875" style="70" customWidth="1"/>
    <col min="5902" max="6144" width="9.140625" style="70"/>
    <col min="6145" max="6145" width="4.140625" style="70" customWidth="1"/>
    <col min="6146" max="6146" width="52" style="70" customWidth="1"/>
    <col min="6147" max="6147" width="13.7109375" style="70" customWidth="1"/>
    <col min="6148" max="6148" width="5.7109375" style="70" bestFit="1" customWidth="1"/>
    <col min="6149" max="6149" width="5.5703125" style="70" customWidth="1"/>
    <col min="6150" max="6150" width="9.5703125" style="70" customWidth="1"/>
    <col min="6151" max="6151" width="13.5703125" style="70" customWidth="1"/>
    <col min="6152" max="6152" width="5.28515625" style="70" customWidth="1"/>
    <col min="6153" max="6153" width="9" style="70" customWidth="1"/>
    <col min="6154" max="6154" width="11.140625" style="70" customWidth="1"/>
    <col min="6155" max="6155" width="23.5703125" style="70" customWidth="1"/>
    <col min="6156" max="6156" width="23.7109375" style="70" customWidth="1"/>
    <col min="6157" max="6157" width="14.85546875" style="70" customWidth="1"/>
    <col min="6158" max="6400" width="9.140625" style="70"/>
    <col min="6401" max="6401" width="4.140625" style="70" customWidth="1"/>
    <col min="6402" max="6402" width="52" style="70" customWidth="1"/>
    <col min="6403" max="6403" width="13.7109375" style="70" customWidth="1"/>
    <col min="6404" max="6404" width="5.7109375" style="70" bestFit="1" customWidth="1"/>
    <col min="6405" max="6405" width="5.5703125" style="70" customWidth="1"/>
    <col min="6406" max="6406" width="9.5703125" style="70" customWidth="1"/>
    <col min="6407" max="6407" width="13.5703125" style="70" customWidth="1"/>
    <col min="6408" max="6408" width="5.28515625" style="70" customWidth="1"/>
    <col min="6409" max="6409" width="9" style="70" customWidth="1"/>
    <col min="6410" max="6410" width="11.140625" style="70" customWidth="1"/>
    <col min="6411" max="6411" width="23.5703125" style="70" customWidth="1"/>
    <col min="6412" max="6412" width="23.7109375" style="70" customWidth="1"/>
    <col min="6413" max="6413" width="14.85546875" style="70" customWidth="1"/>
    <col min="6414" max="6656" width="9.140625" style="70"/>
    <col min="6657" max="6657" width="4.140625" style="70" customWidth="1"/>
    <col min="6658" max="6658" width="52" style="70" customWidth="1"/>
    <col min="6659" max="6659" width="13.7109375" style="70" customWidth="1"/>
    <col min="6660" max="6660" width="5.7109375" style="70" bestFit="1" customWidth="1"/>
    <col min="6661" max="6661" width="5.5703125" style="70" customWidth="1"/>
    <col min="6662" max="6662" width="9.5703125" style="70" customWidth="1"/>
    <col min="6663" max="6663" width="13.5703125" style="70" customWidth="1"/>
    <col min="6664" max="6664" width="5.28515625" style="70" customWidth="1"/>
    <col min="6665" max="6665" width="9" style="70" customWidth="1"/>
    <col min="6666" max="6666" width="11.140625" style="70" customWidth="1"/>
    <col min="6667" max="6667" width="23.5703125" style="70" customWidth="1"/>
    <col min="6668" max="6668" width="23.7109375" style="70" customWidth="1"/>
    <col min="6669" max="6669" width="14.85546875" style="70" customWidth="1"/>
    <col min="6670" max="6912" width="9.140625" style="70"/>
    <col min="6913" max="6913" width="4.140625" style="70" customWidth="1"/>
    <col min="6914" max="6914" width="52" style="70" customWidth="1"/>
    <col min="6915" max="6915" width="13.7109375" style="70" customWidth="1"/>
    <col min="6916" max="6916" width="5.7109375" style="70" bestFit="1" customWidth="1"/>
    <col min="6917" max="6917" width="5.5703125" style="70" customWidth="1"/>
    <col min="6918" max="6918" width="9.5703125" style="70" customWidth="1"/>
    <col min="6919" max="6919" width="13.5703125" style="70" customWidth="1"/>
    <col min="6920" max="6920" width="5.28515625" style="70" customWidth="1"/>
    <col min="6921" max="6921" width="9" style="70" customWidth="1"/>
    <col min="6922" max="6922" width="11.140625" style="70" customWidth="1"/>
    <col min="6923" max="6923" width="23.5703125" style="70" customWidth="1"/>
    <col min="6924" max="6924" width="23.7109375" style="70" customWidth="1"/>
    <col min="6925" max="6925" width="14.85546875" style="70" customWidth="1"/>
    <col min="6926" max="7168" width="9.140625" style="70"/>
    <col min="7169" max="7169" width="4.140625" style="70" customWidth="1"/>
    <col min="7170" max="7170" width="52" style="70" customWidth="1"/>
    <col min="7171" max="7171" width="13.7109375" style="70" customWidth="1"/>
    <col min="7172" max="7172" width="5.7109375" style="70" bestFit="1" customWidth="1"/>
    <col min="7173" max="7173" width="5.5703125" style="70" customWidth="1"/>
    <col min="7174" max="7174" width="9.5703125" style="70" customWidth="1"/>
    <col min="7175" max="7175" width="13.5703125" style="70" customWidth="1"/>
    <col min="7176" max="7176" width="5.28515625" style="70" customWidth="1"/>
    <col min="7177" max="7177" width="9" style="70" customWidth="1"/>
    <col min="7178" max="7178" width="11.140625" style="70" customWidth="1"/>
    <col min="7179" max="7179" width="23.5703125" style="70" customWidth="1"/>
    <col min="7180" max="7180" width="23.7109375" style="70" customWidth="1"/>
    <col min="7181" max="7181" width="14.85546875" style="70" customWidth="1"/>
    <col min="7182" max="7424" width="9.140625" style="70"/>
    <col min="7425" max="7425" width="4.140625" style="70" customWidth="1"/>
    <col min="7426" max="7426" width="52" style="70" customWidth="1"/>
    <col min="7427" max="7427" width="13.7109375" style="70" customWidth="1"/>
    <col min="7428" max="7428" width="5.7109375" style="70" bestFit="1" customWidth="1"/>
    <col min="7429" max="7429" width="5.5703125" style="70" customWidth="1"/>
    <col min="7430" max="7430" width="9.5703125" style="70" customWidth="1"/>
    <col min="7431" max="7431" width="13.5703125" style="70" customWidth="1"/>
    <col min="7432" max="7432" width="5.28515625" style="70" customWidth="1"/>
    <col min="7433" max="7433" width="9" style="70" customWidth="1"/>
    <col min="7434" max="7434" width="11.140625" style="70" customWidth="1"/>
    <col min="7435" max="7435" width="23.5703125" style="70" customWidth="1"/>
    <col min="7436" max="7436" width="23.7109375" style="70" customWidth="1"/>
    <col min="7437" max="7437" width="14.85546875" style="70" customWidth="1"/>
    <col min="7438" max="7680" width="9.140625" style="70"/>
    <col min="7681" max="7681" width="4.140625" style="70" customWidth="1"/>
    <col min="7682" max="7682" width="52" style="70" customWidth="1"/>
    <col min="7683" max="7683" width="13.7109375" style="70" customWidth="1"/>
    <col min="7684" max="7684" width="5.7109375" style="70" bestFit="1" customWidth="1"/>
    <col min="7685" max="7685" width="5.5703125" style="70" customWidth="1"/>
    <col min="7686" max="7686" width="9.5703125" style="70" customWidth="1"/>
    <col min="7687" max="7687" width="13.5703125" style="70" customWidth="1"/>
    <col min="7688" max="7688" width="5.28515625" style="70" customWidth="1"/>
    <col min="7689" max="7689" width="9" style="70" customWidth="1"/>
    <col min="7690" max="7690" width="11.140625" style="70" customWidth="1"/>
    <col min="7691" max="7691" width="23.5703125" style="70" customWidth="1"/>
    <col min="7692" max="7692" width="23.7109375" style="70" customWidth="1"/>
    <col min="7693" max="7693" width="14.85546875" style="70" customWidth="1"/>
    <col min="7694" max="7936" width="9.140625" style="70"/>
    <col min="7937" max="7937" width="4.140625" style="70" customWidth="1"/>
    <col min="7938" max="7938" width="52" style="70" customWidth="1"/>
    <col min="7939" max="7939" width="13.7109375" style="70" customWidth="1"/>
    <col min="7940" max="7940" width="5.7109375" style="70" bestFit="1" customWidth="1"/>
    <col min="7941" max="7941" width="5.5703125" style="70" customWidth="1"/>
    <col min="7942" max="7942" width="9.5703125" style="70" customWidth="1"/>
    <col min="7943" max="7943" width="13.5703125" style="70" customWidth="1"/>
    <col min="7944" max="7944" width="5.28515625" style="70" customWidth="1"/>
    <col min="7945" max="7945" width="9" style="70" customWidth="1"/>
    <col min="7946" max="7946" width="11.140625" style="70" customWidth="1"/>
    <col min="7947" max="7947" width="23.5703125" style="70" customWidth="1"/>
    <col min="7948" max="7948" width="23.7109375" style="70" customWidth="1"/>
    <col min="7949" max="7949" width="14.85546875" style="70" customWidth="1"/>
    <col min="7950" max="8192" width="9.140625" style="70"/>
    <col min="8193" max="8193" width="4.140625" style="70" customWidth="1"/>
    <col min="8194" max="8194" width="52" style="70" customWidth="1"/>
    <col min="8195" max="8195" width="13.7109375" style="70" customWidth="1"/>
    <col min="8196" max="8196" width="5.7109375" style="70" bestFit="1" customWidth="1"/>
    <col min="8197" max="8197" width="5.5703125" style="70" customWidth="1"/>
    <col min="8198" max="8198" width="9.5703125" style="70" customWidth="1"/>
    <col min="8199" max="8199" width="13.5703125" style="70" customWidth="1"/>
    <col min="8200" max="8200" width="5.28515625" style="70" customWidth="1"/>
    <col min="8201" max="8201" width="9" style="70" customWidth="1"/>
    <col min="8202" max="8202" width="11.140625" style="70" customWidth="1"/>
    <col min="8203" max="8203" width="23.5703125" style="70" customWidth="1"/>
    <col min="8204" max="8204" width="23.7109375" style="70" customWidth="1"/>
    <col min="8205" max="8205" width="14.85546875" style="70" customWidth="1"/>
    <col min="8206" max="8448" width="9.140625" style="70"/>
    <col min="8449" max="8449" width="4.140625" style="70" customWidth="1"/>
    <col min="8450" max="8450" width="52" style="70" customWidth="1"/>
    <col min="8451" max="8451" width="13.7109375" style="70" customWidth="1"/>
    <col min="8452" max="8452" width="5.7109375" style="70" bestFit="1" customWidth="1"/>
    <col min="8453" max="8453" width="5.5703125" style="70" customWidth="1"/>
    <col min="8454" max="8454" width="9.5703125" style="70" customWidth="1"/>
    <col min="8455" max="8455" width="13.5703125" style="70" customWidth="1"/>
    <col min="8456" max="8456" width="5.28515625" style="70" customWidth="1"/>
    <col min="8457" max="8457" width="9" style="70" customWidth="1"/>
    <col min="8458" max="8458" width="11.140625" style="70" customWidth="1"/>
    <col min="8459" max="8459" width="23.5703125" style="70" customWidth="1"/>
    <col min="8460" max="8460" width="23.7109375" style="70" customWidth="1"/>
    <col min="8461" max="8461" width="14.85546875" style="70" customWidth="1"/>
    <col min="8462" max="8704" width="9.140625" style="70"/>
    <col min="8705" max="8705" width="4.140625" style="70" customWidth="1"/>
    <col min="8706" max="8706" width="52" style="70" customWidth="1"/>
    <col min="8707" max="8707" width="13.7109375" style="70" customWidth="1"/>
    <col min="8708" max="8708" width="5.7109375" style="70" bestFit="1" customWidth="1"/>
    <col min="8709" max="8709" width="5.5703125" style="70" customWidth="1"/>
    <col min="8710" max="8710" width="9.5703125" style="70" customWidth="1"/>
    <col min="8711" max="8711" width="13.5703125" style="70" customWidth="1"/>
    <col min="8712" max="8712" width="5.28515625" style="70" customWidth="1"/>
    <col min="8713" max="8713" width="9" style="70" customWidth="1"/>
    <col min="8714" max="8714" width="11.140625" style="70" customWidth="1"/>
    <col min="8715" max="8715" width="23.5703125" style="70" customWidth="1"/>
    <col min="8716" max="8716" width="23.7109375" style="70" customWidth="1"/>
    <col min="8717" max="8717" width="14.85546875" style="70" customWidth="1"/>
    <col min="8718" max="8960" width="9.140625" style="70"/>
    <col min="8961" max="8961" width="4.140625" style="70" customWidth="1"/>
    <col min="8962" max="8962" width="52" style="70" customWidth="1"/>
    <col min="8963" max="8963" width="13.7109375" style="70" customWidth="1"/>
    <col min="8964" max="8964" width="5.7109375" style="70" bestFit="1" customWidth="1"/>
    <col min="8965" max="8965" width="5.5703125" style="70" customWidth="1"/>
    <col min="8966" max="8966" width="9.5703125" style="70" customWidth="1"/>
    <col min="8967" max="8967" width="13.5703125" style="70" customWidth="1"/>
    <col min="8968" max="8968" width="5.28515625" style="70" customWidth="1"/>
    <col min="8969" max="8969" width="9" style="70" customWidth="1"/>
    <col min="8970" max="8970" width="11.140625" style="70" customWidth="1"/>
    <col min="8971" max="8971" width="23.5703125" style="70" customWidth="1"/>
    <col min="8972" max="8972" width="23.7109375" style="70" customWidth="1"/>
    <col min="8973" max="8973" width="14.85546875" style="70" customWidth="1"/>
    <col min="8974" max="9216" width="9.140625" style="70"/>
    <col min="9217" max="9217" width="4.140625" style="70" customWidth="1"/>
    <col min="9218" max="9218" width="52" style="70" customWidth="1"/>
    <col min="9219" max="9219" width="13.7109375" style="70" customWidth="1"/>
    <col min="9220" max="9220" width="5.7109375" style="70" bestFit="1" customWidth="1"/>
    <col min="9221" max="9221" width="5.5703125" style="70" customWidth="1"/>
    <col min="9222" max="9222" width="9.5703125" style="70" customWidth="1"/>
    <col min="9223" max="9223" width="13.5703125" style="70" customWidth="1"/>
    <col min="9224" max="9224" width="5.28515625" style="70" customWidth="1"/>
    <col min="9225" max="9225" width="9" style="70" customWidth="1"/>
    <col min="9226" max="9226" width="11.140625" style="70" customWidth="1"/>
    <col min="9227" max="9227" width="23.5703125" style="70" customWidth="1"/>
    <col min="9228" max="9228" width="23.7109375" style="70" customWidth="1"/>
    <col min="9229" max="9229" width="14.85546875" style="70" customWidth="1"/>
    <col min="9230" max="9472" width="9.140625" style="70"/>
    <col min="9473" max="9473" width="4.140625" style="70" customWidth="1"/>
    <col min="9474" max="9474" width="52" style="70" customWidth="1"/>
    <col min="9475" max="9475" width="13.7109375" style="70" customWidth="1"/>
    <col min="9476" max="9476" width="5.7109375" style="70" bestFit="1" customWidth="1"/>
    <col min="9477" max="9477" width="5.5703125" style="70" customWidth="1"/>
    <col min="9478" max="9478" width="9.5703125" style="70" customWidth="1"/>
    <col min="9479" max="9479" width="13.5703125" style="70" customWidth="1"/>
    <col min="9480" max="9480" width="5.28515625" style="70" customWidth="1"/>
    <col min="9481" max="9481" width="9" style="70" customWidth="1"/>
    <col min="9482" max="9482" width="11.140625" style="70" customWidth="1"/>
    <col min="9483" max="9483" width="23.5703125" style="70" customWidth="1"/>
    <col min="9484" max="9484" width="23.7109375" style="70" customWidth="1"/>
    <col min="9485" max="9485" width="14.85546875" style="70" customWidth="1"/>
    <col min="9486" max="9728" width="9.140625" style="70"/>
    <col min="9729" max="9729" width="4.140625" style="70" customWidth="1"/>
    <col min="9730" max="9730" width="52" style="70" customWidth="1"/>
    <col min="9731" max="9731" width="13.7109375" style="70" customWidth="1"/>
    <col min="9732" max="9732" width="5.7109375" style="70" bestFit="1" customWidth="1"/>
    <col min="9733" max="9733" width="5.5703125" style="70" customWidth="1"/>
    <col min="9734" max="9734" width="9.5703125" style="70" customWidth="1"/>
    <col min="9735" max="9735" width="13.5703125" style="70" customWidth="1"/>
    <col min="9736" max="9736" width="5.28515625" style="70" customWidth="1"/>
    <col min="9737" max="9737" width="9" style="70" customWidth="1"/>
    <col min="9738" max="9738" width="11.140625" style="70" customWidth="1"/>
    <col min="9739" max="9739" width="23.5703125" style="70" customWidth="1"/>
    <col min="9740" max="9740" width="23.7109375" style="70" customWidth="1"/>
    <col min="9741" max="9741" width="14.85546875" style="70" customWidth="1"/>
    <col min="9742" max="9984" width="9.140625" style="70"/>
    <col min="9985" max="9985" width="4.140625" style="70" customWidth="1"/>
    <col min="9986" max="9986" width="52" style="70" customWidth="1"/>
    <col min="9987" max="9987" width="13.7109375" style="70" customWidth="1"/>
    <col min="9988" max="9988" width="5.7109375" style="70" bestFit="1" customWidth="1"/>
    <col min="9989" max="9989" width="5.5703125" style="70" customWidth="1"/>
    <col min="9990" max="9990" width="9.5703125" style="70" customWidth="1"/>
    <col min="9991" max="9991" width="13.5703125" style="70" customWidth="1"/>
    <col min="9992" max="9992" width="5.28515625" style="70" customWidth="1"/>
    <col min="9993" max="9993" width="9" style="70" customWidth="1"/>
    <col min="9994" max="9994" width="11.140625" style="70" customWidth="1"/>
    <col min="9995" max="9995" width="23.5703125" style="70" customWidth="1"/>
    <col min="9996" max="9996" width="23.7109375" style="70" customWidth="1"/>
    <col min="9997" max="9997" width="14.85546875" style="70" customWidth="1"/>
    <col min="9998" max="10240" width="9.140625" style="70"/>
    <col min="10241" max="10241" width="4.140625" style="70" customWidth="1"/>
    <col min="10242" max="10242" width="52" style="70" customWidth="1"/>
    <col min="10243" max="10243" width="13.7109375" style="70" customWidth="1"/>
    <col min="10244" max="10244" width="5.7109375" style="70" bestFit="1" customWidth="1"/>
    <col min="10245" max="10245" width="5.5703125" style="70" customWidth="1"/>
    <col min="10246" max="10246" width="9.5703125" style="70" customWidth="1"/>
    <col min="10247" max="10247" width="13.5703125" style="70" customWidth="1"/>
    <col min="10248" max="10248" width="5.28515625" style="70" customWidth="1"/>
    <col min="10249" max="10249" width="9" style="70" customWidth="1"/>
    <col min="10250" max="10250" width="11.140625" style="70" customWidth="1"/>
    <col min="10251" max="10251" width="23.5703125" style="70" customWidth="1"/>
    <col min="10252" max="10252" width="23.7109375" style="70" customWidth="1"/>
    <col min="10253" max="10253" width="14.85546875" style="70" customWidth="1"/>
    <col min="10254" max="10496" width="9.140625" style="70"/>
    <col min="10497" max="10497" width="4.140625" style="70" customWidth="1"/>
    <col min="10498" max="10498" width="52" style="70" customWidth="1"/>
    <col min="10499" max="10499" width="13.7109375" style="70" customWidth="1"/>
    <col min="10500" max="10500" width="5.7109375" style="70" bestFit="1" customWidth="1"/>
    <col min="10501" max="10501" width="5.5703125" style="70" customWidth="1"/>
    <col min="10502" max="10502" width="9.5703125" style="70" customWidth="1"/>
    <col min="10503" max="10503" width="13.5703125" style="70" customWidth="1"/>
    <col min="10504" max="10504" width="5.28515625" style="70" customWidth="1"/>
    <col min="10505" max="10505" width="9" style="70" customWidth="1"/>
    <col min="10506" max="10506" width="11.140625" style="70" customWidth="1"/>
    <col min="10507" max="10507" width="23.5703125" style="70" customWidth="1"/>
    <col min="10508" max="10508" width="23.7109375" style="70" customWidth="1"/>
    <col min="10509" max="10509" width="14.85546875" style="70" customWidth="1"/>
    <col min="10510" max="10752" width="9.140625" style="70"/>
    <col min="10753" max="10753" width="4.140625" style="70" customWidth="1"/>
    <col min="10754" max="10754" width="52" style="70" customWidth="1"/>
    <col min="10755" max="10755" width="13.7109375" style="70" customWidth="1"/>
    <col min="10756" max="10756" width="5.7109375" style="70" bestFit="1" customWidth="1"/>
    <col min="10757" max="10757" width="5.5703125" style="70" customWidth="1"/>
    <col min="10758" max="10758" width="9.5703125" style="70" customWidth="1"/>
    <col min="10759" max="10759" width="13.5703125" style="70" customWidth="1"/>
    <col min="10760" max="10760" width="5.28515625" style="70" customWidth="1"/>
    <col min="10761" max="10761" width="9" style="70" customWidth="1"/>
    <col min="10762" max="10762" width="11.140625" style="70" customWidth="1"/>
    <col min="10763" max="10763" width="23.5703125" style="70" customWidth="1"/>
    <col min="10764" max="10764" width="23.7109375" style="70" customWidth="1"/>
    <col min="10765" max="10765" width="14.85546875" style="70" customWidth="1"/>
    <col min="10766" max="11008" width="9.140625" style="70"/>
    <col min="11009" max="11009" width="4.140625" style="70" customWidth="1"/>
    <col min="11010" max="11010" width="52" style="70" customWidth="1"/>
    <col min="11011" max="11011" width="13.7109375" style="70" customWidth="1"/>
    <col min="11012" max="11012" width="5.7109375" style="70" bestFit="1" customWidth="1"/>
    <col min="11013" max="11013" width="5.5703125" style="70" customWidth="1"/>
    <col min="11014" max="11014" width="9.5703125" style="70" customWidth="1"/>
    <col min="11015" max="11015" width="13.5703125" style="70" customWidth="1"/>
    <col min="11016" max="11016" width="5.28515625" style="70" customWidth="1"/>
    <col min="11017" max="11017" width="9" style="70" customWidth="1"/>
    <col min="11018" max="11018" width="11.140625" style="70" customWidth="1"/>
    <col min="11019" max="11019" width="23.5703125" style="70" customWidth="1"/>
    <col min="11020" max="11020" width="23.7109375" style="70" customWidth="1"/>
    <col min="11021" max="11021" width="14.85546875" style="70" customWidth="1"/>
    <col min="11022" max="11264" width="9.140625" style="70"/>
    <col min="11265" max="11265" width="4.140625" style="70" customWidth="1"/>
    <col min="11266" max="11266" width="52" style="70" customWidth="1"/>
    <col min="11267" max="11267" width="13.7109375" style="70" customWidth="1"/>
    <col min="11268" max="11268" width="5.7109375" style="70" bestFit="1" customWidth="1"/>
    <col min="11269" max="11269" width="5.5703125" style="70" customWidth="1"/>
    <col min="11270" max="11270" width="9.5703125" style="70" customWidth="1"/>
    <col min="11271" max="11271" width="13.5703125" style="70" customWidth="1"/>
    <col min="11272" max="11272" width="5.28515625" style="70" customWidth="1"/>
    <col min="11273" max="11273" width="9" style="70" customWidth="1"/>
    <col min="11274" max="11274" width="11.140625" style="70" customWidth="1"/>
    <col min="11275" max="11275" width="23.5703125" style="70" customWidth="1"/>
    <col min="11276" max="11276" width="23.7109375" style="70" customWidth="1"/>
    <col min="11277" max="11277" width="14.85546875" style="70" customWidth="1"/>
    <col min="11278" max="11520" width="9.140625" style="70"/>
    <col min="11521" max="11521" width="4.140625" style="70" customWidth="1"/>
    <col min="11522" max="11522" width="52" style="70" customWidth="1"/>
    <col min="11523" max="11523" width="13.7109375" style="70" customWidth="1"/>
    <col min="11524" max="11524" width="5.7109375" style="70" bestFit="1" customWidth="1"/>
    <col min="11525" max="11525" width="5.5703125" style="70" customWidth="1"/>
    <col min="11526" max="11526" width="9.5703125" style="70" customWidth="1"/>
    <col min="11527" max="11527" width="13.5703125" style="70" customWidth="1"/>
    <col min="11528" max="11528" width="5.28515625" style="70" customWidth="1"/>
    <col min="11529" max="11529" width="9" style="70" customWidth="1"/>
    <col min="11530" max="11530" width="11.140625" style="70" customWidth="1"/>
    <col min="11531" max="11531" width="23.5703125" style="70" customWidth="1"/>
    <col min="11532" max="11532" width="23.7109375" style="70" customWidth="1"/>
    <col min="11533" max="11533" width="14.85546875" style="70" customWidth="1"/>
    <col min="11534" max="11776" width="9.140625" style="70"/>
    <col min="11777" max="11777" width="4.140625" style="70" customWidth="1"/>
    <col min="11778" max="11778" width="52" style="70" customWidth="1"/>
    <col min="11779" max="11779" width="13.7109375" style="70" customWidth="1"/>
    <col min="11780" max="11780" width="5.7109375" style="70" bestFit="1" customWidth="1"/>
    <col min="11781" max="11781" width="5.5703125" style="70" customWidth="1"/>
    <col min="11782" max="11782" width="9.5703125" style="70" customWidth="1"/>
    <col min="11783" max="11783" width="13.5703125" style="70" customWidth="1"/>
    <col min="11784" max="11784" width="5.28515625" style="70" customWidth="1"/>
    <col min="11785" max="11785" width="9" style="70" customWidth="1"/>
    <col min="11786" max="11786" width="11.140625" style="70" customWidth="1"/>
    <col min="11787" max="11787" width="23.5703125" style="70" customWidth="1"/>
    <col min="11788" max="11788" width="23.7109375" style="70" customWidth="1"/>
    <col min="11789" max="11789" width="14.85546875" style="70" customWidth="1"/>
    <col min="11790" max="12032" width="9.140625" style="70"/>
    <col min="12033" max="12033" width="4.140625" style="70" customWidth="1"/>
    <col min="12034" max="12034" width="52" style="70" customWidth="1"/>
    <col min="12035" max="12035" width="13.7109375" style="70" customWidth="1"/>
    <col min="12036" max="12036" width="5.7109375" style="70" bestFit="1" customWidth="1"/>
    <col min="12037" max="12037" width="5.5703125" style="70" customWidth="1"/>
    <col min="12038" max="12038" width="9.5703125" style="70" customWidth="1"/>
    <col min="12039" max="12039" width="13.5703125" style="70" customWidth="1"/>
    <col min="12040" max="12040" width="5.28515625" style="70" customWidth="1"/>
    <col min="12041" max="12041" width="9" style="70" customWidth="1"/>
    <col min="12042" max="12042" width="11.140625" style="70" customWidth="1"/>
    <col min="12043" max="12043" width="23.5703125" style="70" customWidth="1"/>
    <col min="12044" max="12044" width="23.7109375" style="70" customWidth="1"/>
    <col min="12045" max="12045" width="14.85546875" style="70" customWidth="1"/>
    <col min="12046" max="12288" width="9.140625" style="70"/>
    <col min="12289" max="12289" width="4.140625" style="70" customWidth="1"/>
    <col min="12290" max="12290" width="52" style="70" customWidth="1"/>
    <col min="12291" max="12291" width="13.7109375" style="70" customWidth="1"/>
    <col min="12292" max="12292" width="5.7109375" style="70" bestFit="1" customWidth="1"/>
    <col min="12293" max="12293" width="5.5703125" style="70" customWidth="1"/>
    <col min="12294" max="12294" width="9.5703125" style="70" customWidth="1"/>
    <col min="12295" max="12295" width="13.5703125" style="70" customWidth="1"/>
    <col min="12296" max="12296" width="5.28515625" style="70" customWidth="1"/>
    <col min="12297" max="12297" width="9" style="70" customWidth="1"/>
    <col min="12298" max="12298" width="11.140625" style="70" customWidth="1"/>
    <col min="12299" max="12299" width="23.5703125" style="70" customWidth="1"/>
    <col min="12300" max="12300" width="23.7109375" style="70" customWidth="1"/>
    <col min="12301" max="12301" width="14.85546875" style="70" customWidth="1"/>
    <col min="12302" max="12544" width="9.140625" style="70"/>
    <col min="12545" max="12545" width="4.140625" style="70" customWidth="1"/>
    <col min="12546" max="12546" width="52" style="70" customWidth="1"/>
    <col min="12547" max="12547" width="13.7109375" style="70" customWidth="1"/>
    <col min="12548" max="12548" width="5.7109375" style="70" bestFit="1" customWidth="1"/>
    <col min="12549" max="12549" width="5.5703125" style="70" customWidth="1"/>
    <col min="12550" max="12550" width="9.5703125" style="70" customWidth="1"/>
    <col min="12551" max="12551" width="13.5703125" style="70" customWidth="1"/>
    <col min="12552" max="12552" width="5.28515625" style="70" customWidth="1"/>
    <col min="12553" max="12553" width="9" style="70" customWidth="1"/>
    <col min="12554" max="12554" width="11.140625" style="70" customWidth="1"/>
    <col min="12555" max="12555" width="23.5703125" style="70" customWidth="1"/>
    <col min="12556" max="12556" width="23.7109375" style="70" customWidth="1"/>
    <col min="12557" max="12557" width="14.85546875" style="70" customWidth="1"/>
    <col min="12558" max="12800" width="9.140625" style="70"/>
    <col min="12801" max="12801" width="4.140625" style="70" customWidth="1"/>
    <col min="12802" max="12802" width="52" style="70" customWidth="1"/>
    <col min="12803" max="12803" width="13.7109375" style="70" customWidth="1"/>
    <col min="12804" max="12804" width="5.7109375" style="70" bestFit="1" customWidth="1"/>
    <col min="12805" max="12805" width="5.5703125" style="70" customWidth="1"/>
    <col min="12806" max="12806" width="9.5703125" style="70" customWidth="1"/>
    <col min="12807" max="12807" width="13.5703125" style="70" customWidth="1"/>
    <col min="12808" max="12808" width="5.28515625" style="70" customWidth="1"/>
    <col min="12809" max="12809" width="9" style="70" customWidth="1"/>
    <col min="12810" max="12810" width="11.140625" style="70" customWidth="1"/>
    <col min="12811" max="12811" width="23.5703125" style="70" customWidth="1"/>
    <col min="12812" max="12812" width="23.7109375" style="70" customWidth="1"/>
    <col min="12813" max="12813" width="14.85546875" style="70" customWidth="1"/>
    <col min="12814" max="13056" width="9.140625" style="70"/>
    <col min="13057" max="13057" width="4.140625" style="70" customWidth="1"/>
    <col min="13058" max="13058" width="52" style="70" customWidth="1"/>
    <col min="13059" max="13059" width="13.7109375" style="70" customWidth="1"/>
    <col min="13060" max="13060" width="5.7109375" style="70" bestFit="1" customWidth="1"/>
    <col min="13061" max="13061" width="5.5703125" style="70" customWidth="1"/>
    <col min="13062" max="13062" width="9.5703125" style="70" customWidth="1"/>
    <col min="13063" max="13063" width="13.5703125" style="70" customWidth="1"/>
    <col min="13064" max="13064" width="5.28515625" style="70" customWidth="1"/>
    <col min="13065" max="13065" width="9" style="70" customWidth="1"/>
    <col min="13066" max="13066" width="11.140625" style="70" customWidth="1"/>
    <col min="13067" max="13067" width="23.5703125" style="70" customWidth="1"/>
    <col min="13068" max="13068" width="23.7109375" style="70" customWidth="1"/>
    <col min="13069" max="13069" width="14.85546875" style="70" customWidth="1"/>
    <col min="13070" max="13312" width="9.140625" style="70"/>
    <col min="13313" max="13313" width="4.140625" style="70" customWidth="1"/>
    <col min="13314" max="13314" width="52" style="70" customWidth="1"/>
    <col min="13315" max="13315" width="13.7109375" style="70" customWidth="1"/>
    <col min="13316" max="13316" width="5.7109375" style="70" bestFit="1" customWidth="1"/>
    <col min="13317" max="13317" width="5.5703125" style="70" customWidth="1"/>
    <col min="13318" max="13318" width="9.5703125" style="70" customWidth="1"/>
    <col min="13319" max="13319" width="13.5703125" style="70" customWidth="1"/>
    <col min="13320" max="13320" width="5.28515625" style="70" customWidth="1"/>
    <col min="13321" max="13321" width="9" style="70" customWidth="1"/>
    <col min="13322" max="13322" width="11.140625" style="70" customWidth="1"/>
    <col min="13323" max="13323" width="23.5703125" style="70" customWidth="1"/>
    <col min="13324" max="13324" width="23.7109375" style="70" customWidth="1"/>
    <col min="13325" max="13325" width="14.85546875" style="70" customWidth="1"/>
    <col min="13326" max="13568" width="9.140625" style="70"/>
    <col min="13569" max="13569" width="4.140625" style="70" customWidth="1"/>
    <col min="13570" max="13570" width="52" style="70" customWidth="1"/>
    <col min="13571" max="13571" width="13.7109375" style="70" customWidth="1"/>
    <col min="13572" max="13572" width="5.7109375" style="70" bestFit="1" customWidth="1"/>
    <col min="13573" max="13573" width="5.5703125" style="70" customWidth="1"/>
    <col min="13574" max="13574" width="9.5703125" style="70" customWidth="1"/>
    <col min="13575" max="13575" width="13.5703125" style="70" customWidth="1"/>
    <col min="13576" max="13576" width="5.28515625" style="70" customWidth="1"/>
    <col min="13577" max="13577" width="9" style="70" customWidth="1"/>
    <col min="13578" max="13578" width="11.140625" style="70" customWidth="1"/>
    <col min="13579" max="13579" width="23.5703125" style="70" customWidth="1"/>
    <col min="13580" max="13580" width="23.7109375" style="70" customWidth="1"/>
    <col min="13581" max="13581" width="14.85546875" style="70" customWidth="1"/>
    <col min="13582" max="13824" width="9.140625" style="70"/>
    <col min="13825" max="13825" width="4.140625" style="70" customWidth="1"/>
    <col min="13826" max="13826" width="52" style="70" customWidth="1"/>
    <col min="13827" max="13827" width="13.7109375" style="70" customWidth="1"/>
    <col min="13828" max="13828" width="5.7109375" style="70" bestFit="1" customWidth="1"/>
    <col min="13829" max="13829" width="5.5703125" style="70" customWidth="1"/>
    <col min="13830" max="13830" width="9.5703125" style="70" customWidth="1"/>
    <col min="13831" max="13831" width="13.5703125" style="70" customWidth="1"/>
    <col min="13832" max="13832" width="5.28515625" style="70" customWidth="1"/>
    <col min="13833" max="13833" width="9" style="70" customWidth="1"/>
    <col min="13834" max="13834" width="11.140625" style="70" customWidth="1"/>
    <col min="13835" max="13835" width="23.5703125" style="70" customWidth="1"/>
    <col min="13836" max="13836" width="23.7109375" style="70" customWidth="1"/>
    <col min="13837" max="13837" width="14.85546875" style="70" customWidth="1"/>
    <col min="13838" max="14080" width="9.140625" style="70"/>
    <col min="14081" max="14081" width="4.140625" style="70" customWidth="1"/>
    <col min="14082" max="14082" width="52" style="70" customWidth="1"/>
    <col min="14083" max="14083" width="13.7109375" style="70" customWidth="1"/>
    <col min="14084" max="14084" width="5.7109375" style="70" bestFit="1" customWidth="1"/>
    <col min="14085" max="14085" width="5.5703125" style="70" customWidth="1"/>
    <col min="14086" max="14086" width="9.5703125" style="70" customWidth="1"/>
    <col min="14087" max="14087" width="13.5703125" style="70" customWidth="1"/>
    <col min="14088" max="14088" width="5.28515625" style="70" customWidth="1"/>
    <col min="14089" max="14089" width="9" style="70" customWidth="1"/>
    <col min="14090" max="14090" width="11.140625" style="70" customWidth="1"/>
    <col min="14091" max="14091" width="23.5703125" style="70" customWidth="1"/>
    <col min="14092" max="14092" width="23.7109375" style="70" customWidth="1"/>
    <col min="14093" max="14093" width="14.85546875" style="70" customWidth="1"/>
    <col min="14094" max="14336" width="9.140625" style="70"/>
    <col min="14337" max="14337" width="4.140625" style="70" customWidth="1"/>
    <col min="14338" max="14338" width="52" style="70" customWidth="1"/>
    <col min="14339" max="14339" width="13.7109375" style="70" customWidth="1"/>
    <col min="14340" max="14340" width="5.7109375" style="70" bestFit="1" customWidth="1"/>
    <col min="14341" max="14341" width="5.5703125" style="70" customWidth="1"/>
    <col min="14342" max="14342" width="9.5703125" style="70" customWidth="1"/>
    <col min="14343" max="14343" width="13.5703125" style="70" customWidth="1"/>
    <col min="14344" max="14344" width="5.28515625" style="70" customWidth="1"/>
    <col min="14345" max="14345" width="9" style="70" customWidth="1"/>
    <col min="14346" max="14346" width="11.140625" style="70" customWidth="1"/>
    <col min="14347" max="14347" width="23.5703125" style="70" customWidth="1"/>
    <col min="14348" max="14348" width="23.7109375" style="70" customWidth="1"/>
    <col min="14349" max="14349" width="14.85546875" style="70" customWidth="1"/>
    <col min="14350" max="14592" width="9.140625" style="70"/>
    <col min="14593" max="14593" width="4.140625" style="70" customWidth="1"/>
    <col min="14594" max="14594" width="52" style="70" customWidth="1"/>
    <col min="14595" max="14595" width="13.7109375" style="70" customWidth="1"/>
    <col min="14596" max="14596" width="5.7109375" style="70" bestFit="1" customWidth="1"/>
    <col min="14597" max="14597" width="5.5703125" style="70" customWidth="1"/>
    <col min="14598" max="14598" width="9.5703125" style="70" customWidth="1"/>
    <col min="14599" max="14599" width="13.5703125" style="70" customWidth="1"/>
    <col min="14600" max="14600" width="5.28515625" style="70" customWidth="1"/>
    <col min="14601" max="14601" width="9" style="70" customWidth="1"/>
    <col min="14602" max="14602" width="11.140625" style="70" customWidth="1"/>
    <col min="14603" max="14603" width="23.5703125" style="70" customWidth="1"/>
    <col min="14604" max="14604" width="23.7109375" style="70" customWidth="1"/>
    <col min="14605" max="14605" width="14.85546875" style="70" customWidth="1"/>
    <col min="14606" max="14848" width="9.140625" style="70"/>
    <col min="14849" max="14849" width="4.140625" style="70" customWidth="1"/>
    <col min="14850" max="14850" width="52" style="70" customWidth="1"/>
    <col min="14851" max="14851" width="13.7109375" style="70" customWidth="1"/>
    <col min="14852" max="14852" width="5.7109375" style="70" bestFit="1" customWidth="1"/>
    <col min="14853" max="14853" width="5.5703125" style="70" customWidth="1"/>
    <col min="14854" max="14854" width="9.5703125" style="70" customWidth="1"/>
    <col min="14855" max="14855" width="13.5703125" style="70" customWidth="1"/>
    <col min="14856" max="14856" width="5.28515625" style="70" customWidth="1"/>
    <col min="14857" max="14857" width="9" style="70" customWidth="1"/>
    <col min="14858" max="14858" width="11.140625" style="70" customWidth="1"/>
    <col min="14859" max="14859" width="23.5703125" style="70" customWidth="1"/>
    <col min="14860" max="14860" width="23.7109375" style="70" customWidth="1"/>
    <col min="14861" max="14861" width="14.85546875" style="70" customWidth="1"/>
    <col min="14862" max="15104" width="9.140625" style="70"/>
    <col min="15105" max="15105" width="4.140625" style="70" customWidth="1"/>
    <col min="15106" max="15106" width="52" style="70" customWidth="1"/>
    <col min="15107" max="15107" width="13.7109375" style="70" customWidth="1"/>
    <col min="15108" max="15108" width="5.7109375" style="70" bestFit="1" customWidth="1"/>
    <col min="15109" max="15109" width="5.5703125" style="70" customWidth="1"/>
    <col min="15110" max="15110" width="9.5703125" style="70" customWidth="1"/>
    <col min="15111" max="15111" width="13.5703125" style="70" customWidth="1"/>
    <col min="15112" max="15112" width="5.28515625" style="70" customWidth="1"/>
    <col min="15113" max="15113" width="9" style="70" customWidth="1"/>
    <col min="15114" max="15114" width="11.140625" style="70" customWidth="1"/>
    <col min="15115" max="15115" width="23.5703125" style="70" customWidth="1"/>
    <col min="15116" max="15116" width="23.7109375" style="70" customWidth="1"/>
    <col min="15117" max="15117" width="14.85546875" style="70" customWidth="1"/>
    <col min="15118" max="15360" width="9.140625" style="70"/>
    <col min="15361" max="15361" width="4.140625" style="70" customWidth="1"/>
    <col min="15362" max="15362" width="52" style="70" customWidth="1"/>
    <col min="15363" max="15363" width="13.7109375" style="70" customWidth="1"/>
    <col min="15364" max="15364" width="5.7109375" style="70" bestFit="1" customWidth="1"/>
    <col min="15365" max="15365" width="5.5703125" style="70" customWidth="1"/>
    <col min="15366" max="15366" width="9.5703125" style="70" customWidth="1"/>
    <col min="15367" max="15367" width="13.5703125" style="70" customWidth="1"/>
    <col min="15368" max="15368" width="5.28515625" style="70" customWidth="1"/>
    <col min="15369" max="15369" width="9" style="70" customWidth="1"/>
    <col min="15370" max="15370" width="11.140625" style="70" customWidth="1"/>
    <col min="15371" max="15371" width="23.5703125" style="70" customWidth="1"/>
    <col min="15372" max="15372" width="23.7109375" style="70" customWidth="1"/>
    <col min="15373" max="15373" width="14.85546875" style="70" customWidth="1"/>
    <col min="15374" max="15616" width="9.140625" style="70"/>
    <col min="15617" max="15617" width="4.140625" style="70" customWidth="1"/>
    <col min="15618" max="15618" width="52" style="70" customWidth="1"/>
    <col min="15619" max="15619" width="13.7109375" style="70" customWidth="1"/>
    <col min="15620" max="15620" width="5.7109375" style="70" bestFit="1" customWidth="1"/>
    <col min="15621" max="15621" width="5.5703125" style="70" customWidth="1"/>
    <col min="15622" max="15622" width="9.5703125" style="70" customWidth="1"/>
    <col min="15623" max="15623" width="13.5703125" style="70" customWidth="1"/>
    <col min="15624" max="15624" width="5.28515625" style="70" customWidth="1"/>
    <col min="15625" max="15625" width="9" style="70" customWidth="1"/>
    <col min="15626" max="15626" width="11.140625" style="70" customWidth="1"/>
    <col min="15627" max="15627" width="23.5703125" style="70" customWidth="1"/>
    <col min="15628" max="15628" width="23.7109375" style="70" customWidth="1"/>
    <col min="15629" max="15629" width="14.85546875" style="70" customWidth="1"/>
    <col min="15630" max="15872" width="9.140625" style="70"/>
    <col min="15873" max="15873" width="4.140625" style="70" customWidth="1"/>
    <col min="15874" max="15874" width="52" style="70" customWidth="1"/>
    <col min="15875" max="15875" width="13.7109375" style="70" customWidth="1"/>
    <col min="15876" max="15876" width="5.7109375" style="70" bestFit="1" customWidth="1"/>
    <col min="15877" max="15877" width="5.5703125" style="70" customWidth="1"/>
    <col min="15878" max="15878" width="9.5703125" style="70" customWidth="1"/>
    <col min="15879" max="15879" width="13.5703125" style="70" customWidth="1"/>
    <col min="15880" max="15880" width="5.28515625" style="70" customWidth="1"/>
    <col min="15881" max="15881" width="9" style="70" customWidth="1"/>
    <col min="15882" max="15882" width="11.140625" style="70" customWidth="1"/>
    <col min="15883" max="15883" width="23.5703125" style="70" customWidth="1"/>
    <col min="15884" max="15884" width="23.7109375" style="70" customWidth="1"/>
    <col min="15885" max="15885" width="14.85546875" style="70" customWidth="1"/>
    <col min="15886" max="16128" width="9.140625" style="70"/>
    <col min="16129" max="16129" width="4.140625" style="70" customWidth="1"/>
    <col min="16130" max="16130" width="52" style="70" customWidth="1"/>
    <col min="16131" max="16131" width="13.7109375" style="70" customWidth="1"/>
    <col min="16132" max="16132" width="5.7109375" style="70" bestFit="1" customWidth="1"/>
    <col min="16133" max="16133" width="5.5703125" style="70" customWidth="1"/>
    <col min="16134" max="16134" width="9.5703125" style="70" customWidth="1"/>
    <col min="16135" max="16135" width="13.5703125" style="70" customWidth="1"/>
    <col min="16136" max="16136" width="5.28515625" style="70" customWidth="1"/>
    <col min="16137" max="16137" width="9" style="70" customWidth="1"/>
    <col min="16138" max="16138" width="11.140625" style="70" customWidth="1"/>
    <col min="16139" max="16139" width="23.5703125" style="70" customWidth="1"/>
    <col min="16140" max="16140" width="23.7109375" style="70" customWidth="1"/>
    <col min="16141" max="16141" width="14.85546875" style="70" customWidth="1"/>
    <col min="16142" max="16384" width="9.140625" style="70"/>
  </cols>
  <sheetData>
    <row r="1" spans="1:13" ht="18">
      <c r="A1" s="112"/>
      <c r="B1" s="597"/>
      <c r="C1" s="3116" t="s">
        <v>2735</v>
      </c>
      <c r="D1" s="3116"/>
      <c r="E1" s="3116"/>
      <c r="F1" s="3116"/>
      <c r="G1" s="3116"/>
    </row>
    <row r="2" spans="1:13" ht="9" customHeight="1">
      <c r="A2" s="112"/>
      <c r="C2" s="111"/>
    </row>
    <row r="3" spans="1:13" ht="35.25" customHeight="1">
      <c r="A3" s="112"/>
      <c r="B3" s="3095" t="s">
        <v>2736</v>
      </c>
      <c r="C3" s="3095"/>
      <c r="D3" s="3095"/>
      <c r="E3" s="3095"/>
      <c r="F3" s="3095"/>
      <c r="G3" s="3095"/>
      <c r="H3" s="3095"/>
      <c r="I3" s="3095"/>
    </row>
    <row r="4" spans="1:13" ht="17.25" customHeight="1">
      <c r="A4" s="112"/>
      <c r="B4" s="2021"/>
      <c r="C4" s="2021"/>
      <c r="D4" s="2021"/>
      <c r="E4" s="2021"/>
      <c r="F4" s="2021"/>
      <c r="G4" s="2021"/>
      <c r="H4" s="3123" t="s">
        <v>89</v>
      </c>
      <c r="I4" s="3123"/>
      <c r="J4" s="619"/>
    </row>
    <row r="5" spans="1:13" ht="11.25" customHeight="1">
      <c r="A5" s="112"/>
      <c r="B5" s="2021"/>
      <c r="C5" s="2021"/>
      <c r="D5" s="2021"/>
      <c r="E5" s="2021"/>
      <c r="F5" s="2021"/>
      <c r="G5" s="2021"/>
      <c r="H5" s="2141"/>
      <c r="I5" s="2141"/>
      <c r="J5" s="619"/>
    </row>
    <row r="6" spans="1:13" ht="33" customHeight="1">
      <c r="A6" s="3124" t="s">
        <v>1420</v>
      </c>
      <c r="B6" s="3124" t="s">
        <v>3</v>
      </c>
      <c r="C6" s="3029" t="s">
        <v>1421</v>
      </c>
      <c r="D6" s="3124" t="s">
        <v>5</v>
      </c>
      <c r="E6" s="3124" t="s">
        <v>1422</v>
      </c>
      <c r="F6" s="3124"/>
      <c r="G6" s="3124"/>
      <c r="H6" s="3124" t="s">
        <v>2737</v>
      </c>
      <c r="I6" s="3124"/>
      <c r="J6" s="3124"/>
    </row>
    <row r="7" spans="1:13" ht="16.5" customHeight="1">
      <c r="A7" s="3124"/>
      <c r="B7" s="3124"/>
      <c r="C7" s="3030"/>
      <c r="D7" s="3124"/>
      <c r="E7" s="2356" t="s">
        <v>95</v>
      </c>
      <c r="F7" s="2356" t="s">
        <v>9</v>
      </c>
      <c r="G7" s="2356" t="s">
        <v>10</v>
      </c>
      <c r="H7" s="2356" t="s">
        <v>95</v>
      </c>
      <c r="I7" s="2356" t="s">
        <v>9</v>
      </c>
      <c r="J7" s="2356" t="s">
        <v>10</v>
      </c>
    </row>
    <row r="8" spans="1:13" ht="14.25">
      <c r="A8" s="2442">
        <v>1</v>
      </c>
      <c r="B8" s="2335">
        <v>2</v>
      </c>
      <c r="C8" s="2335">
        <v>3</v>
      </c>
      <c r="D8" s="2335">
        <v>4</v>
      </c>
      <c r="E8" s="2443">
        <v>5</v>
      </c>
      <c r="F8" s="2443">
        <v>6</v>
      </c>
      <c r="G8" s="2443">
        <v>7</v>
      </c>
      <c r="H8" s="2335">
        <v>8</v>
      </c>
      <c r="I8" s="2335">
        <v>9</v>
      </c>
      <c r="J8" s="2335">
        <v>10</v>
      </c>
    </row>
    <row r="9" spans="1:13" ht="17.25" customHeight="1">
      <c r="A9" s="3118">
        <v>1</v>
      </c>
      <c r="B9" s="2453" t="s">
        <v>1500</v>
      </c>
      <c r="C9" s="2454">
        <v>7130800033</v>
      </c>
      <c r="D9" s="2455" t="s">
        <v>12</v>
      </c>
      <c r="E9" s="2456">
        <v>2</v>
      </c>
      <c r="F9" s="2457">
        <f>VLOOKUP(C9,'[25]SOR RATE'!A196:D196,4,0)</f>
        <v>4451.53</v>
      </c>
      <c r="G9" s="2457">
        <f>E9*F9</f>
        <v>8903.06</v>
      </c>
      <c r="H9" s="2458"/>
      <c r="I9" s="2458"/>
      <c r="J9" s="2458"/>
      <c r="K9" s="1946"/>
      <c r="L9" s="1946"/>
    </row>
    <row r="10" spans="1:13" ht="31.5" customHeight="1">
      <c r="A10" s="3118"/>
      <c r="B10" s="2453" t="s">
        <v>2738</v>
      </c>
      <c r="C10" s="2459">
        <v>7130601958</v>
      </c>
      <c r="D10" s="2455" t="s">
        <v>26</v>
      </c>
      <c r="E10" s="2458"/>
      <c r="F10" s="2460"/>
      <c r="G10" s="2460"/>
      <c r="H10" s="2458">
        <v>964.6</v>
      </c>
      <c r="I10" s="2461">
        <f>VLOOKUP(C10,'[25]SOR RATE'!A:D,4,0)/1000</f>
        <v>64.326520000000002</v>
      </c>
      <c r="J10" s="2460">
        <f t="shared" ref="J10:J17" si="0">I10*H10</f>
        <v>62049.361192000004</v>
      </c>
    </row>
    <row r="11" spans="1:13" ht="17.25" customHeight="1">
      <c r="A11" s="2456">
        <v>2</v>
      </c>
      <c r="B11" s="2462" t="s">
        <v>2739</v>
      </c>
      <c r="C11" s="2454">
        <v>7130810608</v>
      </c>
      <c r="D11" s="2456" t="s">
        <v>40</v>
      </c>
      <c r="E11" s="2458">
        <v>2</v>
      </c>
      <c r="F11" s="2457">
        <f>VLOOKUP(C11,'[25]SOR RATE'!A:D,4,0)</f>
        <v>7080.84</v>
      </c>
      <c r="G11" s="2460">
        <f t="shared" ref="G11:G14" si="1">F11*E11</f>
        <v>14161.68</v>
      </c>
      <c r="H11" s="2458">
        <v>2</v>
      </c>
      <c r="I11" s="2461">
        <f>VLOOKUP(C11,'[25]SOR RATE'!A:D,4,0)</f>
        <v>7080.84</v>
      </c>
      <c r="J11" s="2460">
        <f t="shared" si="0"/>
        <v>14161.68</v>
      </c>
    </row>
    <row r="12" spans="1:13" ht="15" customHeight="1">
      <c r="A12" s="2458">
        <v>3</v>
      </c>
      <c r="B12" s="2463" t="s">
        <v>1476</v>
      </c>
      <c r="C12" s="2454">
        <v>7130820013</v>
      </c>
      <c r="D12" s="2423" t="s">
        <v>33</v>
      </c>
      <c r="E12" s="2458">
        <v>6</v>
      </c>
      <c r="F12" s="2457">
        <f>VLOOKUP(C12,'[25]SOR RATE'!A:D,4,0)</f>
        <v>216.4</v>
      </c>
      <c r="G12" s="2460">
        <f>F12*E12</f>
        <v>1298.4000000000001</v>
      </c>
      <c r="H12" s="2458">
        <v>6</v>
      </c>
      <c r="I12" s="2461">
        <f>VLOOKUP(C12,'[25]SOR RATE'!A:D,4,0)</f>
        <v>216.4</v>
      </c>
      <c r="J12" s="2460">
        <f>I12*H12</f>
        <v>1298.4000000000001</v>
      </c>
      <c r="K12" s="95"/>
      <c r="L12" s="806"/>
      <c r="M12" s="2008"/>
    </row>
    <row r="13" spans="1:13" ht="14.25">
      <c r="A13" s="2464">
        <v>4</v>
      </c>
      <c r="B13" s="2463" t="s">
        <v>1475</v>
      </c>
      <c r="C13" s="2459">
        <v>7130820248</v>
      </c>
      <c r="D13" s="2458" t="s">
        <v>12</v>
      </c>
      <c r="E13" s="2458">
        <v>6</v>
      </c>
      <c r="F13" s="2457">
        <f>VLOOKUP(C13,'[25]SOR RATE'!A:D,4,0)</f>
        <v>318.89</v>
      </c>
      <c r="G13" s="2460">
        <f t="shared" si="1"/>
        <v>1913.34</v>
      </c>
      <c r="H13" s="2458">
        <v>6</v>
      </c>
      <c r="I13" s="2461">
        <f>VLOOKUP(C13,'[25]SOR RATE'!A:D,4,0)</f>
        <v>318.89</v>
      </c>
      <c r="J13" s="2460">
        <f t="shared" si="0"/>
        <v>1913.34</v>
      </c>
      <c r="L13" s="605"/>
      <c r="M13" s="605"/>
    </row>
    <row r="14" spans="1:13" ht="14.25">
      <c r="A14" s="2465">
        <v>5</v>
      </c>
      <c r="B14" s="2453" t="s">
        <v>1432</v>
      </c>
      <c r="C14" s="2454">
        <v>7130820009</v>
      </c>
      <c r="D14" s="2458" t="s">
        <v>12</v>
      </c>
      <c r="E14" s="2458">
        <v>3</v>
      </c>
      <c r="F14" s="2457">
        <f>VLOOKUP(C14,'[25]SOR RATE'!A:D,4,0)</f>
        <v>288.23</v>
      </c>
      <c r="G14" s="2460">
        <f t="shared" si="1"/>
        <v>864.69</v>
      </c>
      <c r="H14" s="2458">
        <v>3</v>
      </c>
      <c r="I14" s="2461">
        <f>VLOOKUP(C14,'[25]SOR RATE'!A:D,4,0)</f>
        <v>288.23</v>
      </c>
      <c r="J14" s="2460">
        <f>I14*H14</f>
        <v>864.69</v>
      </c>
      <c r="L14" s="85"/>
      <c r="M14" s="85"/>
    </row>
    <row r="15" spans="1:13" ht="15">
      <c r="A15" s="2465">
        <v>6</v>
      </c>
      <c r="B15" s="2466" t="s">
        <v>2593</v>
      </c>
      <c r="C15" s="2467">
        <v>7130810193</v>
      </c>
      <c r="D15" s="2458" t="s">
        <v>15</v>
      </c>
      <c r="E15" s="2458">
        <v>4</v>
      </c>
      <c r="F15" s="2457">
        <f>VLOOKUP(C15,'[25]SOR RATE'!A:D,4,0)</f>
        <v>369.79</v>
      </c>
      <c r="G15" s="2460">
        <f>F15*E15</f>
        <v>1479.16</v>
      </c>
      <c r="H15" s="2458"/>
      <c r="I15" s="2461"/>
      <c r="J15" s="2460"/>
      <c r="K15" s="1944" t="s">
        <v>119</v>
      </c>
      <c r="L15" s="85"/>
      <c r="M15" s="85"/>
    </row>
    <row r="16" spans="1:13" ht="15">
      <c r="A16" s="2465">
        <v>7</v>
      </c>
      <c r="B16" s="2466" t="s">
        <v>2649</v>
      </c>
      <c r="C16" s="2467">
        <v>7130810692</v>
      </c>
      <c r="D16" s="2458" t="s">
        <v>15</v>
      </c>
      <c r="E16" s="2458"/>
      <c r="F16" s="2457"/>
      <c r="G16" s="2460"/>
      <c r="H16" s="2458">
        <v>4</v>
      </c>
      <c r="I16" s="2461">
        <f>VLOOKUP(C16,'[25]SOR RATE'!A:D,4,0)</f>
        <v>410.25</v>
      </c>
      <c r="J16" s="2460">
        <f>I16*H16</f>
        <v>1641</v>
      </c>
      <c r="K16" s="1944" t="s">
        <v>119</v>
      </c>
      <c r="L16" s="85"/>
      <c r="M16" s="85"/>
    </row>
    <row r="17" spans="1:12" ht="16.5" customHeight="1">
      <c r="A17" s="3119">
        <v>8</v>
      </c>
      <c r="B17" s="2453" t="s">
        <v>1435</v>
      </c>
      <c r="C17" s="2454">
        <v>7130860033</v>
      </c>
      <c r="D17" s="2455" t="s">
        <v>12</v>
      </c>
      <c r="E17" s="2468">
        <v>4</v>
      </c>
      <c r="F17" s="2457">
        <f>VLOOKUP(C17,'[25]SOR RATE'!A:D,4,0)</f>
        <v>1031.6600000000001</v>
      </c>
      <c r="G17" s="2460">
        <f>F17*E17</f>
        <v>4126.6400000000003</v>
      </c>
      <c r="H17" s="2458">
        <v>4</v>
      </c>
      <c r="I17" s="2461">
        <f>VLOOKUP(C17,'[25]SOR RATE'!A:D,4,0)</f>
        <v>1031.6600000000001</v>
      </c>
      <c r="J17" s="2460">
        <f t="shared" si="0"/>
        <v>4126.6400000000003</v>
      </c>
    </row>
    <row r="18" spans="1:12" ht="16.5" customHeight="1">
      <c r="A18" s="3120"/>
      <c r="B18" s="2453" t="s">
        <v>101</v>
      </c>
      <c r="C18" s="2454">
        <v>7130810193</v>
      </c>
      <c r="D18" s="2455" t="s">
        <v>15</v>
      </c>
      <c r="E18" s="2468">
        <v>4</v>
      </c>
      <c r="F18" s="2457">
        <f>VLOOKUP(C18,'[25]SOR RATE'!A:D,4,0)</f>
        <v>369.79</v>
      </c>
      <c r="G18" s="2460">
        <f>F18*E18</f>
        <v>1479.16</v>
      </c>
      <c r="H18" s="2458"/>
      <c r="I18" s="2460"/>
      <c r="J18" s="2460"/>
    </row>
    <row r="19" spans="1:12" ht="16.5" customHeight="1">
      <c r="A19" s="3120"/>
      <c r="B19" s="2453" t="s">
        <v>1506</v>
      </c>
      <c r="C19" s="2454">
        <v>7130810692</v>
      </c>
      <c r="D19" s="2455" t="s">
        <v>15</v>
      </c>
      <c r="E19" s="2468"/>
      <c r="F19" s="2460"/>
      <c r="G19" s="2460"/>
      <c r="H19" s="2458">
        <v>4</v>
      </c>
      <c r="I19" s="2461">
        <f>VLOOKUP(C19,'[25]SOR RATE'!A:D,4,0)</f>
        <v>410.25</v>
      </c>
      <c r="J19" s="2460">
        <f>I19*H19</f>
        <v>1641</v>
      </c>
    </row>
    <row r="20" spans="1:12" ht="16.5" customHeight="1">
      <c r="A20" s="3121"/>
      <c r="B20" s="2453" t="s">
        <v>1507</v>
      </c>
      <c r="C20" s="2454">
        <v>7130860076</v>
      </c>
      <c r="D20" s="2455" t="s">
        <v>26</v>
      </c>
      <c r="E20" s="2468">
        <f>4*8.5</f>
        <v>34</v>
      </c>
      <c r="F20" s="2457">
        <f>VLOOKUP(C20,'[25]SOR RATE'!A:D,4,0)/1000</f>
        <v>92.856940000000009</v>
      </c>
      <c r="G20" s="2460">
        <f>F20*E20</f>
        <v>3157.1359600000005</v>
      </c>
      <c r="H20" s="2458">
        <v>34</v>
      </c>
      <c r="I20" s="2461">
        <f>VLOOKUP(C20,'[25]SOR RATE'!A:D,4,0)/1000</f>
        <v>92.856940000000009</v>
      </c>
      <c r="J20" s="2460">
        <f>I20*H20</f>
        <v>3157.1359600000005</v>
      </c>
    </row>
    <row r="21" spans="1:12" ht="17.25" customHeight="1">
      <c r="A21" s="2469">
        <v>9</v>
      </c>
      <c r="B21" s="2453" t="s">
        <v>617</v>
      </c>
      <c r="C21" s="2454">
        <v>7130810624</v>
      </c>
      <c r="D21" s="2455" t="s">
        <v>68</v>
      </c>
      <c r="E21" s="2468">
        <v>6</v>
      </c>
      <c r="F21" s="2457">
        <f>VLOOKUP(C21,'[25]SOR RATE'!A:D,4,0)</f>
        <v>114.38</v>
      </c>
      <c r="G21" s="2460">
        <f>F21*E21</f>
        <v>686.28</v>
      </c>
      <c r="H21" s="2458">
        <v>6</v>
      </c>
      <c r="I21" s="2461">
        <f>VLOOKUP(C21,'[25]SOR RATE'!A:D,4,0)</f>
        <v>114.38</v>
      </c>
      <c r="J21" s="2460">
        <f>I21*H21</f>
        <v>686.28</v>
      </c>
    </row>
    <row r="22" spans="1:12" ht="61.5" customHeight="1">
      <c r="A22" s="2458">
        <v>10</v>
      </c>
      <c r="B22" s="2453" t="s">
        <v>2740</v>
      </c>
      <c r="C22" s="2454">
        <v>7130200202</v>
      </c>
      <c r="D22" s="2455" t="s">
        <v>76</v>
      </c>
      <c r="E22" s="2470">
        <f>(0.55*2)+(0.3*4)</f>
        <v>2.2999999999999998</v>
      </c>
      <c r="F22" s="2457">
        <f>VLOOKUP(C22,'[25]SOR RATE'!A:D,4,0)</f>
        <v>2970</v>
      </c>
      <c r="G22" s="2460">
        <f>E22*F22</f>
        <v>6830.9999999999991</v>
      </c>
      <c r="H22" s="2470">
        <f>(0.65*2)+(0.3*4)</f>
        <v>2.5</v>
      </c>
      <c r="I22" s="2461">
        <f>VLOOKUP(C22,'[25]SOR RATE'!A:D,4,0)</f>
        <v>2970</v>
      </c>
      <c r="J22" s="2460">
        <f>H22*I22</f>
        <v>7425</v>
      </c>
      <c r="K22" s="2444" t="s">
        <v>47</v>
      </c>
    </row>
    <row r="23" spans="1:12" ht="17.25" customHeight="1">
      <c r="A23" s="2458">
        <v>11</v>
      </c>
      <c r="B23" s="2453" t="s">
        <v>1431</v>
      </c>
      <c r="C23" s="2454">
        <v>7130870013</v>
      </c>
      <c r="D23" s="2455" t="s">
        <v>12</v>
      </c>
      <c r="E23" s="2468">
        <v>2</v>
      </c>
      <c r="F23" s="2460">
        <f>VLOOKUP(C23,'[25]SOR RATE'!A:D,4,0)</f>
        <v>152.88999999999999</v>
      </c>
      <c r="G23" s="2460">
        <f>F23*E23</f>
        <v>305.77999999999997</v>
      </c>
      <c r="H23" s="2458">
        <v>2</v>
      </c>
      <c r="I23" s="2461">
        <f>VLOOKUP(C23,'[25]SOR RATE'!A:D,4,0)</f>
        <v>152.88999999999999</v>
      </c>
      <c r="J23" s="2460">
        <f>I23*H23</f>
        <v>305.77999999999997</v>
      </c>
    </row>
    <row r="24" spans="1:12" ht="14.25">
      <c r="A24" s="2464">
        <v>12</v>
      </c>
      <c r="B24" s="2453" t="s">
        <v>28</v>
      </c>
      <c r="C24" s="2454">
        <v>7130211158</v>
      </c>
      <c r="D24" s="2455" t="s">
        <v>29</v>
      </c>
      <c r="E24" s="2470">
        <v>0.5</v>
      </c>
      <c r="F24" s="2460">
        <f>VLOOKUP(C24,'[25]SOR RATE'!A:D,4,0)</f>
        <v>193.62</v>
      </c>
      <c r="G24" s="2460">
        <f>F24*E24</f>
        <v>96.81</v>
      </c>
      <c r="H24" s="2458">
        <v>2</v>
      </c>
      <c r="I24" s="2461">
        <f>VLOOKUP(C24,'[25]SOR RATE'!A:D,4,0)</f>
        <v>193.62</v>
      </c>
      <c r="J24" s="2460">
        <f>I24*H24</f>
        <v>387.24</v>
      </c>
    </row>
    <row r="25" spans="1:12" ht="14.25">
      <c r="A25" s="2471">
        <v>13</v>
      </c>
      <c r="B25" s="2453" t="s">
        <v>30</v>
      </c>
      <c r="C25" s="2454">
        <v>7130210809</v>
      </c>
      <c r="D25" s="2455" t="s">
        <v>29</v>
      </c>
      <c r="E25" s="2470">
        <v>0.5</v>
      </c>
      <c r="F25" s="2460">
        <f>VLOOKUP(C25,'[25]SOR RATE'!A:D,4,0)</f>
        <v>432.63</v>
      </c>
      <c r="G25" s="2460">
        <f>F25*E25</f>
        <v>216.315</v>
      </c>
      <c r="H25" s="2458">
        <v>2</v>
      </c>
      <c r="I25" s="2461">
        <f>VLOOKUP(C25,'[25]SOR RATE'!A:D,4,0)</f>
        <v>432.63</v>
      </c>
      <c r="J25" s="2460">
        <f>I25*H25</f>
        <v>865.26</v>
      </c>
    </row>
    <row r="26" spans="1:12" ht="17.25" customHeight="1">
      <c r="A26" s="2458">
        <v>14</v>
      </c>
      <c r="B26" s="2466" t="s">
        <v>2741</v>
      </c>
      <c r="C26" s="2454">
        <v>7130610206</v>
      </c>
      <c r="D26" s="2458" t="s">
        <v>26</v>
      </c>
      <c r="E26" s="2468">
        <v>4</v>
      </c>
      <c r="F26" s="2457">
        <f>VLOOKUP(C26,'[25]SOR RATE'!A:D,4,0)/1000</f>
        <v>97.233429999999998</v>
      </c>
      <c r="G26" s="2460">
        <f>F26*E26</f>
        <v>388.93371999999999</v>
      </c>
      <c r="H26" s="2458">
        <v>4</v>
      </c>
      <c r="I26" s="2461">
        <f>VLOOKUP(C26,'[25]SOR RATE'!A:D,4,0)/1000</f>
        <v>97.233429999999998</v>
      </c>
      <c r="J26" s="2460">
        <f>I26*H26</f>
        <v>388.93371999999999</v>
      </c>
      <c r="K26" s="95"/>
      <c r="L26" s="806"/>
    </row>
    <row r="27" spans="1:12" ht="14.25">
      <c r="A27" s="2464">
        <v>15</v>
      </c>
      <c r="B27" s="2453" t="s">
        <v>32</v>
      </c>
      <c r="C27" s="2454">
        <v>7130880041</v>
      </c>
      <c r="D27" s="2455" t="s">
        <v>12</v>
      </c>
      <c r="E27" s="2468">
        <v>1</v>
      </c>
      <c r="F27" s="2457">
        <f>VLOOKUP(C27,'[25]SOR RATE'!A:D,4,0)</f>
        <v>113.77</v>
      </c>
      <c r="G27" s="2460">
        <f>F27*E27</f>
        <v>113.77</v>
      </c>
      <c r="H27" s="2458">
        <v>1</v>
      </c>
      <c r="I27" s="2461">
        <f>VLOOKUP(C27,'[25]SOR RATE'!A:D,4,0)</f>
        <v>113.77</v>
      </c>
      <c r="J27" s="2460">
        <f>I27*H27</f>
        <v>113.77</v>
      </c>
    </row>
    <row r="28" spans="1:12" ht="14.25">
      <c r="A28" s="3118">
        <v>16</v>
      </c>
      <c r="B28" s="2453" t="s">
        <v>1443</v>
      </c>
      <c r="C28" s="2454"/>
      <c r="D28" s="2455" t="s">
        <v>26</v>
      </c>
      <c r="E28" s="2468">
        <f>SUM(E29:E33)</f>
        <v>7</v>
      </c>
      <c r="F28" s="2460"/>
      <c r="G28" s="2460"/>
      <c r="H28" s="2468">
        <f>SUM(H29:H33)</f>
        <v>7</v>
      </c>
      <c r="I28" s="2460"/>
      <c r="J28" s="2460"/>
    </row>
    <row r="29" spans="1:12" ht="15.75" customHeight="1">
      <c r="A29" s="3118"/>
      <c r="B29" s="2453" t="s">
        <v>79</v>
      </c>
      <c r="C29" s="2454">
        <v>7130620609</v>
      </c>
      <c r="D29" s="2455" t="s">
        <v>26</v>
      </c>
      <c r="E29" s="2460">
        <v>0.5</v>
      </c>
      <c r="F29" s="2457">
        <f>VLOOKUP(C29,'[25]SOR RATE'!A:D,4,0)</f>
        <v>87.23</v>
      </c>
      <c r="G29" s="2460">
        <f>F29*E29</f>
        <v>43.615000000000002</v>
      </c>
      <c r="H29" s="2472">
        <v>0.5</v>
      </c>
      <c r="I29" s="2461">
        <f>VLOOKUP(C29,'[25]SOR RATE'!A:D,4,0)</f>
        <v>87.23</v>
      </c>
      <c r="J29" s="2460">
        <f>I29*H29</f>
        <v>43.615000000000002</v>
      </c>
    </row>
    <row r="30" spans="1:12" ht="15.75" customHeight="1">
      <c r="A30" s="3118"/>
      <c r="B30" s="2453" t="s">
        <v>111</v>
      </c>
      <c r="C30" s="2454">
        <v>7130620614</v>
      </c>
      <c r="D30" s="2455" t="s">
        <v>26</v>
      </c>
      <c r="E30" s="2460">
        <v>0.5</v>
      </c>
      <c r="F30" s="2457">
        <f>VLOOKUP(C30,'[25]SOR RATE'!A:D,4,0)</f>
        <v>85.77</v>
      </c>
      <c r="G30" s="2460">
        <f>F30*E30</f>
        <v>42.884999999999998</v>
      </c>
      <c r="H30" s="2458">
        <v>0.5</v>
      </c>
      <c r="I30" s="2461">
        <f>VLOOKUP(C30,'[25]SOR RATE'!A:D,4,0)</f>
        <v>85.77</v>
      </c>
      <c r="J30" s="2460">
        <f>I30*H30</f>
        <v>42.884999999999998</v>
      </c>
    </row>
    <row r="31" spans="1:12" ht="14.25">
      <c r="A31" s="3118"/>
      <c r="B31" s="2453" t="s">
        <v>36</v>
      </c>
      <c r="C31" s="2454">
        <v>7130620619</v>
      </c>
      <c r="D31" s="2455" t="s">
        <v>26</v>
      </c>
      <c r="E31" s="2460"/>
      <c r="F31" s="2457">
        <f>VLOOKUP(C31,'[25]SOR RATE'!A:D,4,0)</f>
        <v>85.77</v>
      </c>
      <c r="G31" s="2460"/>
      <c r="H31" s="2472">
        <v>2.5</v>
      </c>
      <c r="I31" s="2461">
        <f>VLOOKUP(C31,'[25]SOR RATE'!A:D,4,0)</f>
        <v>85.77</v>
      </c>
      <c r="J31" s="2460">
        <f>I31*H31</f>
        <v>214.42499999999998</v>
      </c>
    </row>
    <row r="32" spans="1:12" ht="14.25">
      <c r="A32" s="3118"/>
      <c r="B32" s="2453" t="s">
        <v>112</v>
      </c>
      <c r="C32" s="2454">
        <v>7130620625</v>
      </c>
      <c r="D32" s="2455" t="s">
        <v>26</v>
      </c>
      <c r="E32" s="2468">
        <v>2</v>
      </c>
      <c r="F32" s="2457">
        <f>VLOOKUP(C32,'[25]SOR RATE'!A:D,4,0)</f>
        <v>84.32</v>
      </c>
      <c r="G32" s="2460">
        <f>F32*E32</f>
        <v>168.64</v>
      </c>
      <c r="H32" s="2472"/>
      <c r="I32" s="2461">
        <f>VLOOKUP(C32,'[25]SOR RATE'!A:D,4,0)</f>
        <v>84.32</v>
      </c>
      <c r="J32" s="2460"/>
    </row>
    <row r="33" spans="1:13" ht="14.25">
      <c r="A33" s="3118"/>
      <c r="B33" s="2453" t="s">
        <v>80</v>
      </c>
      <c r="C33" s="2454">
        <v>7130620631</v>
      </c>
      <c r="D33" s="2455" t="s">
        <v>26</v>
      </c>
      <c r="E33" s="2468">
        <v>4</v>
      </c>
      <c r="F33" s="2457">
        <f>VLOOKUP(C33,'[25]SOR RATE'!A:D,4,0)</f>
        <v>84.32</v>
      </c>
      <c r="G33" s="2460">
        <f>F33*E33</f>
        <v>337.28</v>
      </c>
      <c r="H33" s="2458">
        <v>3.5</v>
      </c>
      <c r="I33" s="2461">
        <f>VLOOKUP(C33,'[25]SOR RATE'!A:D,4,0)</f>
        <v>84.32</v>
      </c>
      <c r="J33" s="2460">
        <f>I33*H33</f>
        <v>295.12</v>
      </c>
    </row>
    <row r="34" spans="1:13" ht="43.5" customHeight="1">
      <c r="A34" s="2464">
        <v>17</v>
      </c>
      <c r="B34" s="2473" t="s">
        <v>2742</v>
      </c>
      <c r="C34" s="2459">
        <v>7130642039</v>
      </c>
      <c r="D34" s="2472" t="s">
        <v>12</v>
      </c>
      <c r="E34" s="2474">
        <v>2</v>
      </c>
      <c r="F34" s="2457">
        <f>VLOOKUP(C34,'[25]SOR RATE'!A:D,4,0)</f>
        <v>998.57</v>
      </c>
      <c r="G34" s="2475">
        <f>F34*E34</f>
        <v>1997.14</v>
      </c>
      <c r="H34" s="2472">
        <v>2</v>
      </c>
      <c r="I34" s="2461">
        <f>VLOOKUP(C34,'[25]SOR RATE'!A:D,4,0)</f>
        <v>998.57</v>
      </c>
      <c r="J34" s="2475">
        <f>I34*H34</f>
        <v>1997.14</v>
      </c>
    </row>
    <row r="35" spans="1:13" ht="16.5" customHeight="1">
      <c r="A35" s="2464">
        <v>18</v>
      </c>
      <c r="B35" s="2476" t="s">
        <v>2743</v>
      </c>
      <c r="C35" s="2477">
        <v>7130640171</v>
      </c>
      <c r="D35" s="2478" t="s">
        <v>33</v>
      </c>
      <c r="E35" s="2478">
        <v>2</v>
      </c>
      <c r="F35" s="2457">
        <f>VLOOKUP(C35,'[25]SOR RATE'!A:D,4,0)</f>
        <v>122.5</v>
      </c>
      <c r="G35" s="2475">
        <f>F35*E35</f>
        <v>245</v>
      </c>
      <c r="H35" s="2464">
        <v>2</v>
      </c>
      <c r="I35" s="2461">
        <f>VLOOKUP(C35,'[25]SOR RATE'!A:D,4,0)</f>
        <v>122.5</v>
      </c>
      <c r="J35" s="2479">
        <f>I35*H35</f>
        <v>245</v>
      </c>
      <c r="K35" s="1989"/>
    </row>
    <row r="36" spans="1:13" ht="15.75" customHeight="1">
      <c r="A36" s="2458">
        <v>19</v>
      </c>
      <c r="B36" s="2466" t="s">
        <v>2062</v>
      </c>
      <c r="C36" s="2454">
        <v>7130840021</v>
      </c>
      <c r="D36" s="2480" t="s">
        <v>33</v>
      </c>
      <c r="E36" s="2480">
        <v>3</v>
      </c>
      <c r="F36" s="2457">
        <f>VLOOKUP(C36,'[25]SOR RATE'!A:D,4,0)</f>
        <v>4094.6</v>
      </c>
      <c r="G36" s="2475">
        <f>F36*E36</f>
        <v>12283.8</v>
      </c>
      <c r="H36" s="2458">
        <v>3</v>
      </c>
      <c r="I36" s="2461">
        <f>VLOOKUP(C36,'[25]SOR RATE'!A:D,4,0)</f>
        <v>4094.6</v>
      </c>
      <c r="J36" s="2481">
        <f>I36*H36</f>
        <v>12283.8</v>
      </c>
      <c r="K36" s="2071" t="s">
        <v>1827</v>
      </c>
      <c r="L36" s="841"/>
      <c r="M36" s="841"/>
    </row>
    <row r="37" spans="1:13" ht="16.5" customHeight="1">
      <c r="A37" s="2464">
        <v>20</v>
      </c>
      <c r="B37" s="2476" t="s">
        <v>2744</v>
      </c>
      <c r="C37" s="2477"/>
      <c r="D37" s="2482" t="s">
        <v>12</v>
      </c>
      <c r="E37" s="2478"/>
      <c r="F37" s="2482"/>
      <c r="G37" s="2479"/>
      <c r="H37" s="2464"/>
      <c r="I37" s="2481"/>
      <c r="J37" s="2479"/>
    </row>
    <row r="38" spans="1:13" ht="17.25" customHeight="1">
      <c r="A38" s="2458">
        <v>21</v>
      </c>
      <c r="B38" s="2466" t="s">
        <v>2745</v>
      </c>
      <c r="C38" s="2454">
        <v>7130310660</v>
      </c>
      <c r="D38" s="2458" t="s">
        <v>21</v>
      </c>
      <c r="E38" s="2480">
        <v>10</v>
      </c>
      <c r="F38" s="2457">
        <f>VLOOKUP(C38,'[25]SOR RATE'!A:D,4,0)/1000</f>
        <v>258.71348</v>
      </c>
      <c r="G38" s="2475">
        <f>F38*E38</f>
        <v>2587.1347999999998</v>
      </c>
      <c r="H38" s="2458">
        <v>10</v>
      </c>
      <c r="I38" s="2460">
        <f>VLOOKUP(C38,'[25]SOR RATE'!A:D,4,0)/1000</f>
        <v>258.71348</v>
      </c>
      <c r="J38" s="2475">
        <f>I38*H38</f>
        <v>2587.1347999999998</v>
      </c>
    </row>
    <row r="39" spans="1:13" ht="30" customHeight="1">
      <c r="A39" s="2464">
        <v>22</v>
      </c>
      <c r="B39" s="2483" t="s">
        <v>815</v>
      </c>
      <c r="C39" s="2484">
        <v>7131310033</v>
      </c>
      <c r="D39" s="2441" t="s">
        <v>12</v>
      </c>
      <c r="E39" s="2480">
        <v>1</v>
      </c>
      <c r="F39" s="2457">
        <f>VLOOKUP(C39,'[25]SOR RATE'!A:D,4,0)</f>
        <v>4151.97</v>
      </c>
      <c r="G39" s="2475">
        <f>F39*E39</f>
        <v>4151.97</v>
      </c>
      <c r="H39" s="2458">
        <v>1</v>
      </c>
      <c r="I39" s="2460">
        <f>+F39</f>
        <v>4151.97</v>
      </c>
      <c r="J39" s="2475">
        <f t="shared" ref="J39:J41" si="2">I39*H39</f>
        <v>4151.97</v>
      </c>
      <c r="K39" s="613"/>
      <c r="L39" s="2445"/>
    </row>
    <row r="40" spans="1:13" ht="15.75" customHeight="1">
      <c r="A40" s="2464">
        <v>23</v>
      </c>
      <c r="B40" s="2466" t="s">
        <v>1158</v>
      </c>
      <c r="C40" s="2485">
        <v>7132404529</v>
      </c>
      <c r="D40" s="2464" t="s">
        <v>33</v>
      </c>
      <c r="E40" s="2478">
        <v>1</v>
      </c>
      <c r="F40" s="2457">
        <f>VLOOKUP(C40,'[25]SOR RATE'!A:D,4,0)</f>
        <v>4194.37</v>
      </c>
      <c r="G40" s="2479">
        <f>F40*E40</f>
        <v>4194.37</v>
      </c>
      <c r="H40" s="2464">
        <v>1</v>
      </c>
      <c r="I40" s="2481">
        <f>+F40</f>
        <v>4194.37</v>
      </c>
      <c r="J40" s="2479">
        <f t="shared" si="2"/>
        <v>4194.37</v>
      </c>
      <c r="K40" s="2446" t="s">
        <v>2746</v>
      </c>
      <c r="L40" s="2447"/>
    </row>
    <row r="41" spans="1:13" ht="17.25" customHeight="1">
      <c r="A41" s="2458">
        <v>24</v>
      </c>
      <c r="B41" s="2486" t="s">
        <v>823</v>
      </c>
      <c r="C41" s="2458">
        <v>7131397678</v>
      </c>
      <c r="D41" s="2458" t="s">
        <v>33</v>
      </c>
      <c r="E41" s="2480">
        <v>1</v>
      </c>
      <c r="F41" s="2457">
        <f>VLOOKUP(C41,'[25]SOR RATE'!A:D,4,0)</f>
        <v>1982.4</v>
      </c>
      <c r="G41" s="2475">
        <f>F41*E41</f>
        <v>1982.4</v>
      </c>
      <c r="H41" s="2458">
        <v>1</v>
      </c>
      <c r="I41" s="2460">
        <f>+F41</f>
        <v>1982.4</v>
      </c>
      <c r="J41" s="2475">
        <f t="shared" si="2"/>
        <v>1982.4</v>
      </c>
      <c r="K41" s="2446" t="s">
        <v>2747</v>
      </c>
      <c r="L41" s="2448"/>
    </row>
    <row r="42" spans="1:13" ht="17.25" customHeight="1">
      <c r="A42" s="2487">
        <v>25</v>
      </c>
      <c r="B42" s="2488" t="s">
        <v>48</v>
      </c>
      <c r="C42" s="2489"/>
      <c r="D42" s="2490"/>
      <c r="E42" s="2487"/>
      <c r="F42" s="2491"/>
      <c r="G42" s="2491">
        <f>SUM(G9:G41)</f>
        <v>74056.389479999983</v>
      </c>
      <c r="H42" s="2487"/>
      <c r="I42" s="2491"/>
      <c r="J42" s="2491">
        <f>SUM(J9:J41)</f>
        <v>129063.37067199999</v>
      </c>
    </row>
    <row r="43" spans="1:13" ht="18" customHeight="1">
      <c r="A43" s="2487">
        <v>26</v>
      </c>
      <c r="B43" s="2488" t="s">
        <v>49</v>
      </c>
      <c r="C43" s="2488"/>
      <c r="D43" s="2492"/>
      <c r="E43" s="2493"/>
      <c r="F43" s="2491"/>
      <c r="G43" s="2491">
        <f>G42/1.18</f>
        <v>62759.652101694905</v>
      </c>
      <c r="H43" s="2494"/>
      <c r="I43" s="2491"/>
      <c r="J43" s="2491">
        <f>J42/1.18</f>
        <v>109375.73785762711</v>
      </c>
    </row>
    <row r="44" spans="1:13" ht="15">
      <c r="A44" s="2458">
        <v>27</v>
      </c>
      <c r="B44" s="2453" t="s">
        <v>50</v>
      </c>
      <c r="C44" s="2488"/>
      <c r="D44" s="2488"/>
      <c r="E44" s="2488"/>
      <c r="F44" s="2454">
        <v>7.4999999999999997E-2</v>
      </c>
      <c r="G44" s="2460">
        <f>G42*F44</f>
        <v>5554.2292109999989</v>
      </c>
      <c r="H44" s="2495"/>
      <c r="I44" s="2454">
        <v>7.4999999999999997E-2</v>
      </c>
      <c r="J44" s="2460">
        <f>J42*I44</f>
        <v>9679.7528003999996</v>
      </c>
    </row>
    <row r="45" spans="1:13" ht="17.25" customHeight="1">
      <c r="A45" s="2472">
        <v>28</v>
      </c>
      <c r="B45" s="2496" t="s">
        <v>82</v>
      </c>
      <c r="C45" s="2497"/>
      <c r="D45" s="2455" t="s">
        <v>76</v>
      </c>
      <c r="E45" s="2470">
        <v>2.2999999999999998</v>
      </c>
      <c r="F45" s="2460">
        <f>665.173187113158*1.043</f>
        <v>693.77563415902364</v>
      </c>
      <c r="G45" s="2460">
        <f>F45*E45</f>
        <v>1595.6839585657542</v>
      </c>
      <c r="H45" s="2458">
        <v>2.5</v>
      </c>
      <c r="I45" s="2460">
        <f>665.173187113158*1.043</f>
        <v>693.77563415902364</v>
      </c>
      <c r="J45" s="2460">
        <f>I45*H45</f>
        <v>1734.4390853975592</v>
      </c>
    </row>
    <row r="46" spans="1:13" ht="30.75" customHeight="1">
      <c r="A46" s="2465">
        <v>29</v>
      </c>
      <c r="B46" s="2453" t="s">
        <v>1456</v>
      </c>
      <c r="C46" s="2498"/>
      <c r="D46" s="2455" t="s">
        <v>12</v>
      </c>
      <c r="E46" s="2474">
        <v>0</v>
      </c>
      <c r="F46" s="2460">
        <f>424.920563407448*1.043</f>
        <v>443.19214763396826</v>
      </c>
      <c r="G46" s="2475">
        <f>E46*F46</f>
        <v>0</v>
      </c>
      <c r="H46" s="2472"/>
      <c r="I46" s="2475"/>
      <c r="J46" s="2475"/>
      <c r="K46" s="95"/>
    </row>
    <row r="47" spans="1:13" ht="17.25" customHeight="1">
      <c r="A47" s="2472">
        <v>30</v>
      </c>
      <c r="B47" s="2499" t="s">
        <v>1509</v>
      </c>
      <c r="C47" s="2498"/>
      <c r="D47" s="2499"/>
      <c r="E47" s="2472"/>
      <c r="F47" s="2475"/>
      <c r="G47" s="2475">
        <v>9747.93</v>
      </c>
      <c r="H47" s="2472"/>
      <c r="I47" s="2475"/>
      <c r="J47" s="2475">
        <v>10395.629999999999</v>
      </c>
    </row>
    <row r="48" spans="1:13" ht="17.25" customHeight="1">
      <c r="A48" s="2472">
        <v>31</v>
      </c>
      <c r="B48" s="2499" t="s">
        <v>2748</v>
      </c>
      <c r="C48" s="2498"/>
      <c r="D48" s="2499"/>
      <c r="E48" s="2472">
        <v>0.04</v>
      </c>
      <c r="F48" s="2475"/>
      <c r="G48" s="2441">
        <f>G43*E48</f>
        <v>2510.3860840677962</v>
      </c>
      <c r="H48" s="2472"/>
      <c r="I48" s="2475"/>
      <c r="J48" s="2441">
        <f>J43*E48</f>
        <v>4375.0295143050844</v>
      </c>
      <c r="K48" s="2060" t="s">
        <v>1827</v>
      </c>
      <c r="L48" s="82"/>
    </row>
    <row r="49" spans="1:12" ht="31.5" customHeight="1">
      <c r="A49" s="2472">
        <v>32</v>
      </c>
      <c r="B49" s="2453" t="s">
        <v>2749</v>
      </c>
      <c r="C49" s="2498"/>
      <c r="D49" s="2499"/>
      <c r="E49" s="2472"/>
      <c r="F49" s="2475"/>
      <c r="G49" s="2500"/>
      <c r="H49" s="2500"/>
      <c r="I49" s="2500"/>
      <c r="J49" s="2441"/>
      <c r="K49" s="92"/>
      <c r="L49" s="82"/>
    </row>
    <row r="50" spans="1:12" ht="17.25" customHeight="1">
      <c r="A50" s="2501" t="s">
        <v>1493</v>
      </c>
      <c r="B50" s="2496" t="s">
        <v>2750</v>
      </c>
      <c r="C50" s="2498"/>
      <c r="D50" s="2499"/>
      <c r="E50" s="2472"/>
      <c r="F50" s="2475"/>
      <c r="G50" s="2500">
        <f>(G42+G44+G45+G47+G48)*0.125</f>
        <v>11683.077341704191</v>
      </c>
      <c r="H50" s="2500"/>
      <c r="I50" s="2500"/>
      <c r="J50" s="2440"/>
      <c r="K50" s="92"/>
      <c r="L50" s="82"/>
    </row>
    <row r="51" spans="1:12" ht="17.25" customHeight="1">
      <c r="A51" s="2501" t="s">
        <v>1494</v>
      </c>
      <c r="B51" s="2496" t="s">
        <v>2751</v>
      </c>
      <c r="C51" s="2498"/>
      <c r="D51" s="2499"/>
      <c r="E51" s="2472"/>
      <c r="F51" s="2475"/>
      <c r="G51" s="2441"/>
      <c r="H51" s="2500"/>
      <c r="I51" s="2500"/>
      <c r="J51" s="2441">
        <f>(J42+J44+J45+J47+J48)*0.125</f>
        <v>19406.027759012828</v>
      </c>
      <c r="K51" s="92"/>
      <c r="L51" s="82"/>
    </row>
    <row r="52" spans="1:12" ht="30">
      <c r="A52" s="2502">
        <v>33</v>
      </c>
      <c r="B52" s="2503" t="s">
        <v>167</v>
      </c>
      <c r="C52" s="2498"/>
      <c r="D52" s="2499"/>
      <c r="E52" s="2472"/>
      <c r="F52" s="2475"/>
      <c r="G52" s="2440"/>
      <c r="H52" s="2491"/>
      <c r="I52" s="2491"/>
      <c r="J52" s="2440"/>
    </row>
    <row r="53" spans="1:12" ht="15">
      <c r="A53" s="2501" t="s">
        <v>1493</v>
      </c>
      <c r="B53" s="2496" t="s">
        <v>2752</v>
      </c>
      <c r="C53" s="2498"/>
      <c r="D53" s="2499"/>
      <c r="E53" s="2472"/>
      <c r="F53" s="2475"/>
      <c r="G53" s="2491">
        <f>SUM(G43:G50)</f>
        <v>93850.958697032664</v>
      </c>
      <c r="H53" s="2491"/>
      <c r="I53" s="2491"/>
      <c r="J53" s="2491"/>
    </row>
    <row r="54" spans="1:12" ht="15">
      <c r="A54" s="2501" t="s">
        <v>1494</v>
      </c>
      <c r="B54" s="2496" t="s">
        <v>2753</v>
      </c>
      <c r="C54" s="2498"/>
      <c r="D54" s="2499"/>
      <c r="E54" s="2472"/>
      <c r="F54" s="2475"/>
      <c r="G54" s="2491"/>
      <c r="H54" s="2491"/>
      <c r="I54" s="2491"/>
      <c r="J54" s="2491">
        <f>SUM(J43:J51)</f>
        <v>154966.61701674259</v>
      </c>
    </row>
    <row r="55" spans="1:12" ht="17.25" customHeight="1">
      <c r="A55" s="2472">
        <v>34</v>
      </c>
      <c r="B55" s="2453" t="s">
        <v>2669</v>
      </c>
      <c r="C55" s="2498"/>
      <c r="D55" s="2499"/>
      <c r="E55" s="2472"/>
      <c r="F55" s="2475">
        <v>0.09</v>
      </c>
      <c r="G55" s="2475">
        <f>G53*F55</f>
        <v>8446.5862827329402</v>
      </c>
      <c r="H55" s="2475"/>
      <c r="I55" s="2475">
        <v>0.09</v>
      </c>
      <c r="J55" s="2475">
        <f>J54*I55</f>
        <v>13946.995531506833</v>
      </c>
    </row>
    <row r="56" spans="1:12" ht="18.75" customHeight="1">
      <c r="A56" s="2472">
        <v>35</v>
      </c>
      <c r="B56" s="2453" t="s">
        <v>2670</v>
      </c>
      <c r="C56" s="2498"/>
      <c r="D56" s="2499"/>
      <c r="E56" s="2472"/>
      <c r="F56" s="2475">
        <v>0.09</v>
      </c>
      <c r="G56" s="2460">
        <f>G53*F56</f>
        <v>8446.5862827329402</v>
      </c>
      <c r="H56" s="2472"/>
      <c r="I56" s="2475">
        <v>0.09</v>
      </c>
      <c r="J56" s="2460">
        <f>J54*I56</f>
        <v>13946.995531506833</v>
      </c>
      <c r="K56" s="806"/>
      <c r="L56" s="806"/>
    </row>
    <row r="57" spans="1:12" ht="18" customHeight="1">
      <c r="A57" s="2458">
        <v>36</v>
      </c>
      <c r="B57" s="2453" t="s">
        <v>2671</v>
      </c>
      <c r="C57" s="2497"/>
      <c r="D57" s="2466"/>
      <c r="E57" s="2458"/>
      <c r="F57" s="2458"/>
      <c r="G57" s="2440"/>
      <c r="H57" s="2458"/>
      <c r="I57" s="2460"/>
      <c r="J57" s="2440"/>
    </row>
    <row r="58" spans="1:12" ht="18" customHeight="1">
      <c r="A58" s="2501" t="s">
        <v>1493</v>
      </c>
      <c r="B58" s="2496" t="s">
        <v>2754</v>
      </c>
      <c r="C58" s="2497"/>
      <c r="D58" s="2466"/>
      <c r="E58" s="2458"/>
      <c r="F58" s="2458"/>
      <c r="G58" s="2460">
        <f>G53+G55+G56</f>
        <v>110744.13126249854</v>
      </c>
      <c r="H58" s="2458"/>
      <c r="I58" s="2460"/>
      <c r="J58" s="2460"/>
    </row>
    <row r="59" spans="1:12" ht="18" customHeight="1">
      <c r="A59" s="2501" t="s">
        <v>1494</v>
      </c>
      <c r="B59" s="2496" t="s">
        <v>2755</v>
      </c>
      <c r="C59" s="2497"/>
      <c r="D59" s="2466"/>
      <c r="E59" s="2458"/>
      <c r="F59" s="2458"/>
      <c r="G59" s="2460"/>
      <c r="H59" s="2458"/>
      <c r="I59" s="2460"/>
      <c r="J59" s="2460">
        <f>J54+J55+J56</f>
        <v>182860.60807975626</v>
      </c>
    </row>
    <row r="60" spans="1:12" ht="19.5" customHeight="1">
      <c r="A60" s="2493">
        <v>37</v>
      </c>
      <c r="B60" s="2503" t="s">
        <v>59</v>
      </c>
      <c r="C60" s="2497"/>
      <c r="D60" s="2466"/>
      <c r="E60" s="2458"/>
      <c r="F60" s="2458"/>
      <c r="G60" s="2504">
        <f>ROUND(G58,0)</f>
        <v>110744</v>
      </c>
      <c r="H60" s="2458"/>
      <c r="I60" s="2460"/>
      <c r="J60" s="2504">
        <f>ROUND(J59,0)</f>
        <v>182861</v>
      </c>
    </row>
    <row r="61" spans="1:12" ht="15.75">
      <c r="A61" s="2449"/>
      <c r="B61" s="2021"/>
      <c r="C61" s="2450"/>
      <c r="D61" s="1978"/>
      <c r="E61" s="2139"/>
      <c r="F61" s="2139"/>
      <c r="G61" s="2023"/>
      <c r="H61" s="2139"/>
      <c r="I61" s="372"/>
      <c r="J61" s="2023"/>
      <c r="K61" s="2138"/>
      <c r="L61" s="2138"/>
    </row>
    <row r="62" spans="1:12" ht="15.75">
      <c r="A62" s="112"/>
      <c r="B62" s="110" t="s">
        <v>2756</v>
      </c>
      <c r="C62" s="109"/>
      <c r="D62" s="108"/>
      <c r="E62" s="2142"/>
      <c r="F62" s="2142"/>
      <c r="G62" s="615"/>
      <c r="H62" s="2142"/>
      <c r="I62" s="2142"/>
      <c r="J62" s="2142"/>
      <c r="K62" s="2138"/>
      <c r="L62" s="2138"/>
    </row>
    <row r="63" spans="1:12" ht="15">
      <c r="A63" s="2451"/>
      <c r="B63" s="627" t="s">
        <v>2757</v>
      </c>
      <c r="C63" s="2000"/>
      <c r="D63" s="627"/>
      <c r="E63" s="627"/>
      <c r="F63" s="627"/>
      <c r="G63" s="627"/>
      <c r="H63" s="627"/>
      <c r="I63" s="627"/>
      <c r="J63" s="627"/>
      <c r="K63" s="2138"/>
      <c r="L63" s="2138"/>
    </row>
    <row r="64" spans="1:12" ht="15">
      <c r="A64" s="2451"/>
      <c r="B64" s="3122"/>
      <c r="C64" s="3122"/>
      <c r="D64" s="1963"/>
      <c r="E64" s="1963"/>
      <c r="F64" s="1963"/>
      <c r="G64" s="1963"/>
      <c r="H64" s="1963"/>
      <c r="I64" s="1963"/>
      <c r="J64" s="1963"/>
    </row>
    <row r="65" spans="1:10">
      <c r="A65" s="2452"/>
      <c r="B65" s="2138"/>
      <c r="C65" s="2138"/>
      <c r="D65" s="2138"/>
      <c r="E65" s="2138"/>
      <c r="F65" s="2138"/>
      <c r="G65" s="2138"/>
      <c r="H65" s="2138"/>
      <c r="I65" s="2138"/>
      <c r="J65" s="2138"/>
    </row>
    <row r="66" spans="1:10">
      <c r="A66" s="112"/>
      <c r="C66" s="111"/>
    </row>
    <row r="67" spans="1:10">
      <c r="A67" s="112"/>
      <c r="C67" s="111"/>
    </row>
    <row r="68" spans="1:10">
      <c r="A68" s="112"/>
      <c r="C68" s="111"/>
    </row>
  </sheetData>
  <mergeCells count="13">
    <mergeCell ref="A9:A10"/>
    <mergeCell ref="A17:A20"/>
    <mergeCell ref="A28:A33"/>
    <mergeCell ref="B64:C64"/>
    <mergeCell ref="C1:G1"/>
    <mergeCell ref="B3:I3"/>
    <mergeCell ref="H4:I4"/>
    <mergeCell ref="A6:A7"/>
    <mergeCell ref="B6:B7"/>
    <mergeCell ref="C6:C7"/>
    <mergeCell ref="D6:D7"/>
    <mergeCell ref="E6:G6"/>
    <mergeCell ref="H6:J6"/>
  </mergeCells>
  <conditionalFormatting sqref="B42">
    <cfRule type="cellIs" dxfId="132" priority="2" stopIfTrue="1" operator="equal">
      <formula>"?"</formula>
    </cfRule>
  </conditionalFormatting>
  <conditionalFormatting sqref="B43">
    <cfRule type="cellIs" dxfId="131" priority="1" stopIfTrue="1" operator="equal">
      <formula>"?"</formula>
    </cfRule>
  </conditionalFormatting>
  <pageMargins left="0.75" right="0.15" top="0.65" bottom="0.28000000000000003" header="0.5" footer="0.17"/>
  <pageSetup orientation="landscape"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1"/>
  <sheetViews>
    <sheetView workbookViewId="0">
      <pane xSplit="2" ySplit="9" topLeftCell="C43" activePane="bottomRight" state="frozen"/>
      <selection pane="topRight" activeCell="C1" sqref="C1"/>
      <selection pane="bottomLeft" activeCell="A10" sqref="A10"/>
      <selection pane="bottomRight" activeCell="J10" sqref="J10"/>
    </sheetView>
  </sheetViews>
  <sheetFormatPr defaultRowHeight="12.75"/>
  <cols>
    <col min="1" max="1" width="4.5703125" style="70" customWidth="1"/>
    <col min="2" max="2" width="44.140625" style="70" customWidth="1"/>
    <col min="3" max="3" width="11.5703125" style="70" customWidth="1"/>
    <col min="4" max="4" width="5.5703125" style="70" customWidth="1"/>
    <col min="5" max="5" width="9.7109375" style="70" customWidth="1"/>
    <col min="6" max="6" width="5.5703125" style="70" customWidth="1"/>
    <col min="7" max="7" width="13.85546875" style="70" customWidth="1"/>
    <col min="8" max="8" width="14.28515625" style="70" customWidth="1"/>
    <col min="9" max="9" width="22" style="70" customWidth="1"/>
    <col min="10" max="11" width="13.85546875" style="70" customWidth="1"/>
    <col min="12" max="256" width="9.140625" style="70"/>
    <col min="257" max="257" width="4.5703125" style="70" customWidth="1"/>
    <col min="258" max="258" width="44.140625" style="70" customWidth="1"/>
    <col min="259" max="259" width="11.5703125" style="70" customWidth="1"/>
    <col min="260" max="260" width="5.5703125" style="70" customWidth="1"/>
    <col min="261" max="261" width="9.7109375" style="70" customWidth="1"/>
    <col min="262" max="262" width="5.5703125" style="70" customWidth="1"/>
    <col min="263" max="263" width="13.85546875" style="70" customWidth="1"/>
    <col min="264" max="264" width="14.28515625" style="70" customWidth="1"/>
    <col min="265" max="265" width="22" style="70" customWidth="1"/>
    <col min="266" max="267" width="13.85546875" style="70" customWidth="1"/>
    <col min="268" max="512" width="9.140625" style="70"/>
    <col min="513" max="513" width="4.5703125" style="70" customWidth="1"/>
    <col min="514" max="514" width="44.140625" style="70" customWidth="1"/>
    <col min="515" max="515" width="11.5703125" style="70" customWidth="1"/>
    <col min="516" max="516" width="5.5703125" style="70" customWidth="1"/>
    <col min="517" max="517" width="9.7109375" style="70" customWidth="1"/>
    <col min="518" max="518" width="5.5703125" style="70" customWidth="1"/>
    <col min="519" max="519" width="13.85546875" style="70" customWidth="1"/>
    <col min="520" max="520" width="14.28515625" style="70" customWidth="1"/>
    <col min="521" max="521" width="22" style="70" customWidth="1"/>
    <col min="522" max="523" width="13.85546875" style="70" customWidth="1"/>
    <col min="524" max="768" width="9.140625" style="70"/>
    <col min="769" max="769" width="4.5703125" style="70" customWidth="1"/>
    <col min="770" max="770" width="44.140625" style="70" customWidth="1"/>
    <col min="771" max="771" width="11.5703125" style="70" customWidth="1"/>
    <col min="772" max="772" width="5.5703125" style="70" customWidth="1"/>
    <col min="773" max="773" width="9.7109375" style="70" customWidth="1"/>
    <col min="774" max="774" width="5.5703125" style="70" customWidth="1"/>
    <col min="775" max="775" width="13.85546875" style="70" customWidth="1"/>
    <col min="776" max="776" width="14.28515625" style="70" customWidth="1"/>
    <col min="777" max="777" width="22" style="70" customWidth="1"/>
    <col min="778" max="779" width="13.85546875" style="70" customWidth="1"/>
    <col min="780" max="1024" width="9.140625" style="70"/>
    <col min="1025" max="1025" width="4.5703125" style="70" customWidth="1"/>
    <col min="1026" max="1026" width="44.140625" style="70" customWidth="1"/>
    <col min="1027" max="1027" width="11.5703125" style="70" customWidth="1"/>
    <col min="1028" max="1028" width="5.5703125" style="70" customWidth="1"/>
    <col min="1029" max="1029" width="9.7109375" style="70" customWidth="1"/>
    <col min="1030" max="1030" width="5.5703125" style="70" customWidth="1"/>
    <col min="1031" max="1031" width="13.85546875" style="70" customWidth="1"/>
    <col min="1032" max="1032" width="14.28515625" style="70" customWidth="1"/>
    <col min="1033" max="1033" width="22" style="70" customWidth="1"/>
    <col min="1034" max="1035" width="13.85546875" style="70" customWidth="1"/>
    <col min="1036" max="1280" width="9.140625" style="70"/>
    <col min="1281" max="1281" width="4.5703125" style="70" customWidth="1"/>
    <col min="1282" max="1282" width="44.140625" style="70" customWidth="1"/>
    <col min="1283" max="1283" width="11.5703125" style="70" customWidth="1"/>
    <col min="1284" max="1284" width="5.5703125" style="70" customWidth="1"/>
    <col min="1285" max="1285" width="9.7109375" style="70" customWidth="1"/>
    <col min="1286" max="1286" width="5.5703125" style="70" customWidth="1"/>
    <col min="1287" max="1287" width="13.85546875" style="70" customWidth="1"/>
    <col min="1288" max="1288" width="14.28515625" style="70" customWidth="1"/>
    <col min="1289" max="1289" width="22" style="70" customWidth="1"/>
    <col min="1290" max="1291" width="13.85546875" style="70" customWidth="1"/>
    <col min="1292" max="1536" width="9.140625" style="70"/>
    <col min="1537" max="1537" width="4.5703125" style="70" customWidth="1"/>
    <col min="1538" max="1538" width="44.140625" style="70" customWidth="1"/>
    <col min="1539" max="1539" width="11.5703125" style="70" customWidth="1"/>
    <col min="1540" max="1540" width="5.5703125" style="70" customWidth="1"/>
    <col min="1541" max="1541" width="9.7109375" style="70" customWidth="1"/>
    <col min="1542" max="1542" width="5.5703125" style="70" customWidth="1"/>
    <col min="1543" max="1543" width="13.85546875" style="70" customWidth="1"/>
    <col min="1544" max="1544" width="14.28515625" style="70" customWidth="1"/>
    <col min="1545" max="1545" width="22" style="70" customWidth="1"/>
    <col min="1546" max="1547" width="13.85546875" style="70" customWidth="1"/>
    <col min="1548" max="1792" width="9.140625" style="70"/>
    <col min="1793" max="1793" width="4.5703125" style="70" customWidth="1"/>
    <col min="1794" max="1794" width="44.140625" style="70" customWidth="1"/>
    <col min="1795" max="1795" width="11.5703125" style="70" customWidth="1"/>
    <col min="1796" max="1796" width="5.5703125" style="70" customWidth="1"/>
    <col min="1797" max="1797" width="9.7109375" style="70" customWidth="1"/>
    <col min="1798" max="1798" width="5.5703125" style="70" customWidth="1"/>
    <col min="1799" max="1799" width="13.85546875" style="70" customWidth="1"/>
    <col min="1800" max="1800" width="14.28515625" style="70" customWidth="1"/>
    <col min="1801" max="1801" width="22" style="70" customWidth="1"/>
    <col min="1802" max="1803" width="13.85546875" style="70" customWidth="1"/>
    <col min="1804" max="2048" width="9.140625" style="70"/>
    <col min="2049" max="2049" width="4.5703125" style="70" customWidth="1"/>
    <col min="2050" max="2050" width="44.140625" style="70" customWidth="1"/>
    <col min="2051" max="2051" width="11.5703125" style="70" customWidth="1"/>
    <col min="2052" max="2052" width="5.5703125" style="70" customWidth="1"/>
    <col min="2053" max="2053" width="9.7109375" style="70" customWidth="1"/>
    <col min="2054" max="2054" width="5.5703125" style="70" customWidth="1"/>
    <col min="2055" max="2055" width="13.85546875" style="70" customWidth="1"/>
    <col min="2056" max="2056" width="14.28515625" style="70" customWidth="1"/>
    <col min="2057" max="2057" width="22" style="70" customWidth="1"/>
    <col min="2058" max="2059" width="13.85546875" style="70" customWidth="1"/>
    <col min="2060" max="2304" width="9.140625" style="70"/>
    <col min="2305" max="2305" width="4.5703125" style="70" customWidth="1"/>
    <col min="2306" max="2306" width="44.140625" style="70" customWidth="1"/>
    <col min="2307" max="2307" width="11.5703125" style="70" customWidth="1"/>
    <col min="2308" max="2308" width="5.5703125" style="70" customWidth="1"/>
    <col min="2309" max="2309" width="9.7109375" style="70" customWidth="1"/>
    <col min="2310" max="2310" width="5.5703125" style="70" customWidth="1"/>
    <col min="2311" max="2311" width="13.85546875" style="70" customWidth="1"/>
    <col min="2312" max="2312" width="14.28515625" style="70" customWidth="1"/>
    <col min="2313" max="2313" width="22" style="70" customWidth="1"/>
    <col min="2314" max="2315" width="13.85546875" style="70" customWidth="1"/>
    <col min="2316" max="2560" width="9.140625" style="70"/>
    <col min="2561" max="2561" width="4.5703125" style="70" customWidth="1"/>
    <col min="2562" max="2562" width="44.140625" style="70" customWidth="1"/>
    <col min="2563" max="2563" width="11.5703125" style="70" customWidth="1"/>
    <col min="2564" max="2564" width="5.5703125" style="70" customWidth="1"/>
    <col min="2565" max="2565" width="9.7109375" style="70" customWidth="1"/>
    <col min="2566" max="2566" width="5.5703125" style="70" customWidth="1"/>
    <col min="2567" max="2567" width="13.85546875" style="70" customWidth="1"/>
    <col min="2568" max="2568" width="14.28515625" style="70" customWidth="1"/>
    <col min="2569" max="2569" width="22" style="70" customWidth="1"/>
    <col min="2570" max="2571" width="13.85546875" style="70" customWidth="1"/>
    <col min="2572" max="2816" width="9.140625" style="70"/>
    <col min="2817" max="2817" width="4.5703125" style="70" customWidth="1"/>
    <col min="2818" max="2818" width="44.140625" style="70" customWidth="1"/>
    <col min="2819" max="2819" width="11.5703125" style="70" customWidth="1"/>
    <col min="2820" max="2820" width="5.5703125" style="70" customWidth="1"/>
    <col min="2821" max="2821" width="9.7109375" style="70" customWidth="1"/>
    <col min="2822" max="2822" width="5.5703125" style="70" customWidth="1"/>
    <col min="2823" max="2823" width="13.85546875" style="70" customWidth="1"/>
    <col min="2824" max="2824" width="14.28515625" style="70" customWidth="1"/>
    <col min="2825" max="2825" width="22" style="70" customWidth="1"/>
    <col min="2826" max="2827" width="13.85546875" style="70" customWidth="1"/>
    <col min="2828" max="3072" width="9.140625" style="70"/>
    <col min="3073" max="3073" width="4.5703125" style="70" customWidth="1"/>
    <col min="3074" max="3074" width="44.140625" style="70" customWidth="1"/>
    <col min="3075" max="3075" width="11.5703125" style="70" customWidth="1"/>
    <col min="3076" max="3076" width="5.5703125" style="70" customWidth="1"/>
    <col min="3077" max="3077" width="9.7109375" style="70" customWidth="1"/>
    <col min="3078" max="3078" width="5.5703125" style="70" customWidth="1"/>
    <col min="3079" max="3079" width="13.85546875" style="70" customWidth="1"/>
    <col min="3080" max="3080" width="14.28515625" style="70" customWidth="1"/>
    <col min="3081" max="3081" width="22" style="70" customWidth="1"/>
    <col min="3082" max="3083" width="13.85546875" style="70" customWidth="1"/>
    <col min="3084" max="3328" width="9.140625" style="70"/>
    <col min="3329" max="3329" width="4.5703125" style="70" customWidth="1"/>
    <col min="3330" max="3330" width="44.140625" style="70" customWidth="1"/>
    <col min="3331" max="3331" width="11.5703125" style="70" customWidth="1"/>
    <col min="3332" max="3332" width="5.5703125" style="70" customWidth="1"/>
    <col min="3333" max="3333" width="9.7109375" style="70" customWidth="1"/>
    <col min="3334" max="3334" width="5.5703125" style="70" customWidth="1"/>
    <col min="3335" max="3335" width="13.85546875" style="70" customWidth="1"/>
    <col min="3336" max="3336" width="14.28515625" style="70" customWidth="1"/>
    <col min="3337" max="3337" width="22" style="70" customWidth="1"/>
    <col min="3338" max="3339" width="13.85546875" style="70" customWidth="1"/>
    <col min="3340" max="3584" width="9.140625" style="70"/>
    <col min="3585" max="3585" width="4.5703125" style="70" customWidth="1"/>
    <col min="3586" max="3586" width="44.140625" style="70" customWidth="1"/>
    <col min="3587" max="3587" width="11.5703125" style="70" customWidth="1"/>
    <col min="3588" max="3588" width="5.5703125" style="70" customWidth="1"/>
    <col min="3589" max="3589" width="9.7109375" style="70" customWidth="1"/>
    <col min="3590" max="3590" width="5.5703125" style="70" customWidth="1"/>
    <col min="3591" max="3591" width="13.85546875" style="70" customWidth="1"/>
    <col min="3592" max="3592" width="14.28515625" style="70" customWidth="1"/>
    <col min="3593" max="3593" width="22" style="70" customWidth="1"/>
    <col min="3594" max="3595" width="13.85546875" style="70" customWidth="1"/>
    <col min="3596" max="3840" width="9.140625" style="70"/>
    <col min="3841" max="3841" width="4.5703125" style="70" customWidth="1"/>
    <col min="3842" max="3842" width="44.140625" style="70" customWidth="1"/>
    <col min="3843" max="3843" width="11.5703125" style="70" customWidth="1"/>
    <col min="3844" max="3844" width="5.5703125" style="70" customWidth="1"/>
    <col min="3845" max="3845" width="9.7109375" style="70" customWidth="1"/>
    <col min="3846" max="3846" width="5.5703125" style="70" customWidth="1"/>
    <col min="3847" max="3847" width="13.85546875" style="70" customWidth="1"/>
    <col min="3848" max="3848" width="14.28515625" style="70" customWidth="1"/>
    <col min="3849" max="3849" width="22" style="70" customWidth="1"/>
    <col min="3850" max="3851" width="13.85546875" style="70" customWidth="1"/>
    <col min="3852" max="4096" width="9.140625" style="70"/>
    <col min="4097" max="4097" width="4.5703125" style="70" customWidth="1"/>
    <col min="4098" max="4098" width="44.140625" style="70" customWidth="1"/>
    <col min="4099" max="4099" width="11.5703125" style="70" customWidth="1"/>
    <col min="4100" max="4100" width="5.5703125" style="70" customWidth="1"/>
    <col min="4101" max="4101" width="9.7109375" style="70" customWidth="1"/>
    <col min="4102" max="4102" width="5.5703125" style="70" customWidth="1"/>
    <col min="4103" max="4103" width="13.85546875" style="70" customWidth="1"/>
    <col min="4104" max="4104" width="14.28515625" style="70" customWidth="1"/>
    <col min="4105" max="4105" width="22" style="70" customWidth="1"/>
    <col min="4106" max="4107" width="13.85546875" style="70" customWidth="1"/>
    <col min="4108" max="4352" width="9.140625" style="70"/>
    <col min="4353" max="4353" width="4.5703125" style="70" customWidth="1"/>
    <col min="4354" max="4354" width="44.140625" style="70" customWidth="1"/>
    <col min="4355" max="4355" width="11.5703125" style="70" customWidth="1"/>
    <col min="4356" max="4356" width="5.5703125" style="70" customWidth="1"/>
    <col min="4357" max="4357" width="9.7109375" style="70" customWidth="1"/>
    <col min="4358" max="4358" width="5.5703125" style="70" customWidth="1"/>
    <col min="4359" max="4359" width="13.85546875" style="70" customWidth="1"/>
    <col min="4360" max="4360" width="14.28515625" style="70" customWidth="1"/>
    <col min="4361" max="4361" width="22" style="70" customWidth="1"/>
    <col min="4362" max="4363" width="13.85546875" style="70" customWidth="1"/>
    <col min="4364" max="4608" width="9.140625" style="70"/>
    <col min="4609" max="4609" width="4.5703125" style="70" customWidth="1"/>
    <col min="4610" max="4610" width="44.140625" style="70" customWidth="1"/>
    <col min="4611" max="4611" width="11.5703125" style="70" customWidth="1"/>
    <col min="4612" max="4612" width="5.5703125" style="70" customWidth="1"/>
    <col min="4613" max="4613" width="9.7109375" style="70" customWidth="1"/>
    <col min="4614" max="4614" width="5.5703125" style="70" customWidth="1"/>
    <col min="4615" max="4615" width="13.85546875" style="70" customWidth="1"/>
    <col min="4616" max="4616" width="14.28515625" style="70" customWidth="1"/>
    <col min="4617" max="4617" width="22" style="70" customWidth="1"/>
    <col min="4618" max="4619" width="13.85546875" style="70" customWidth="1"/>
    <col min="4620" max="4864" width="9.140625" style="70"/>
    <col min="4865" max="4865" width="4.5703125" style="70" customWidth="1"/>
    <col min="4866" max="4866" width="44.140625" style="70" customWidth="1"/>
    <col min="4867" max="4867" width="11.5703125" style="70" customWidth="1"/>
    <col min="4868" max="4868" width="5.5703125" style="70" customWidth="1"/>
    <col min="4869" max="4869" width="9.7109375" style="70" customWidth="1"/>
    <col min="4870" max="4870" width="5.5703125" style="70" customWidth="1"/>
    <col min="4871" max="4871" width="13.85546875" style="70" customWidth="1"/>
    <col min="4872" max="4872" width="14.28515625" style="70" customWidth="1"/>
    <col min="4873" max="4873" width="22" style="70" customWidth="1"/>
    <col min="4874" max="4875" width="13.85546875" style="70" customWidth="1"/>
    <col min="4876" max="5120" width="9.140625" style="70"/>
    <col min="5121" max="5121" width="4.5703125" style="70" customWidth="1"/>
    <col min="5122" max="5122" width="44.140625" style="70" customWidth="1"/>
    <col min="5123" max="5123" width="11.5703125" style="70" customWidth="1"/>
    <col min="5124" max="5124" width="5.5703125" style="70" customWidth="1"/>
    <col min="5125" max="5125" width="9.7109375" style="70" customWidth="1"/>
    <col min="5126" max="5126" width="5.5703125" style="70" customWidth="1"/>
    <col min="5127" max="5127" width="13.85546875" style="70" customWidth="1"/>
    <col min="5128" max="5128" width="14.28515625" style="70" customWidth="1"/>
    <col min="5129" max="5129" width="22" style="70" customWidth="1"/>
    <col min="5130" max="5131" width="13.85546875" style="70" customWidth="1"/>
    <col min="5132" max="5376" width="9.140625" style="70"/>
    <col min="5377" max="5377" width="4.5703125" style="70" customWidth="1"/>
    <col min="5378" max="5378" width="44.140625" style="70" customWidth="1"/>
    <col min="5379" max="5379" width="11.5703125" style="70" customWidth="1"/>
    <col min="5380" max="5380" width="5.5703125" style="70" customWidth="1"/>
    <col min="5381" max="5381" width="9.7109375" style="70" customWidth="1"/>
    <col min="5382" max="5382" width="5.5703125" style="70" customWidth="1"/>
    <col min="5383" max="5383" width="13.85546875" style="70" customWidth="1"/>
    <col min="5384" max="5384" width="14.28515625" style="70" customWidth="1"/>
    <col min="5385" max="5385" width="22" style="70" customWidth="1"/>
    <col min="5386" max="5387" width="13.85546875" style="70" customWidth="1"/>
    <col min="5388" max="5632" width="9.140625" style="70"/>
    <col min="5633" max="5633" width="4.5703125" style="70" customWidth="1"/>
    <col min="5634" max="5634" width="44.140625" style="70" customWidth="1"/>
    <col min="5635" max="5635" width="11.5703125" style="70" customWidth="1"/>
    <col min="5636" max="5636" width="5.5703125" style="70" customWidth="1"/>
    <col min="5637" max="5637" width="9.7109375" style="70" customWidth="1"/>
    <col min="5638" max="5638" width="5.5703125" style="70" customWidth="1"/>
    <col min="5639" max="5639" width="13.85546875" style="70" customWidth="1"/>
    <col min="5640" max="5640" width="14.28515625" style="70" customWidth="1"/>
    <col min="5641" max="5641" width="22" style="70" customWidth="1"/>
    <col min="5642" max="5643" width="13.85546875" style="70" customWidth="1"/>
    <col min="5644" max="5888" width="9.140625" style="70"/>
    <col min="5889" max="5889" width="4.5703125" style="70" customWidth="1"/>
    <col min="5890" max="5890" width="44.140625" style="70" customWidth="1"/>
    <col min="5891" max="5891" width="11.5703125" style="70" customWidth="1"/>
    <col min="5892" max="5892" width="5.5703125" style="70" customWidth="1"/>
    <col min="5893" max="5893" width="9.7109375" style="70" customWidth="1"/>
    <col min="5894" max="5894" width="5.5703125" style="70" customWidth="1"/>
    <col min="5895" max="5895" width="13.85546875" style="70" customWidth="1"/>
    <col min="5896" max="5896" width="14.28515625" style="70" customWidth="1"/>
    <col min="5897" max="5897" width="22" style="70" customWidth="1"/>
    <col min="5898" max="5899" width="13.85546875" style="70" customWidth="1"/>
    <col min="5900" max="6144" width="9.140625" style="70"/>
    <col min="6145" max="6145" width="4.5703125" style="70" customWidth="1"/>
    <col min="6146" max="6146" width="44.140625" style="70" customWidth="1"/>
    <col min="6147" max="6147" width="11.5703125" style="70" customWidth="1"/>
    <col min="6148" max="6148" width="5.5703125" style="70" customWidth="1"/>
    <col min="6149" max="6149" width="9.7109375" style="70" customWidth="1"/>
    <col min="6150" max="6150" width="5.5703125" style="70" customWidth="1"/>
    <col min="6151" max="6151" width="13.85546875" style="70" customWidth="1"/>
    <col min="6152" max="6152" width="14.28515625" style="70" customWidth="1"/>
    <col min="6153" max="6153" width="22" style="70" customWidth="1"/>
    <col min="6154" max="6155" width="13.85546875" style="70" customWidth="1"/>
    <col min="6156" max="6400" width="9.140625" style="70"/>
    <col min="6401" max="6401" width="4.5703125" style="70" customWidth="1"/>
    <col min="6402" max="6402" width="44.140625" style="70" customWidth="1"/>
    <col min="6403" max="6403" width="11.5703125" style="70" customWidth="1"/>
    <col min="6404" max="6404" width="5.5703125" style="70" customWidth="1"/>
    <col min="6405" max="6405" width="9.7109375" style="70" customWidth="1"/>
    <col min="6406" max="6406" width="5.5703125" style="70" customWidth="1"/>
    <col min="6407" max="6407" width="13.85546875" style="70" customWidth="1"/>
    <col min="6408" max="6408" width="14.28515625" style="70" customWidth="1"/>
    <col min="6409" max="6409" width="22" style="70" customWidth="1"/>
    <col min="6410" max="6411" width="13.85546875" style="70" customWidth="1"/>
    <col min="6412" max="6656" width="9.140625" style="70"/>
    <col min="6657" max="6657" width="4.5703125" style="70" customWidth="1"/>
    <col min="6658" max="6658" width="44.140625" style="70" customWidth="1"/>
    <col min="6659" max="6659" width="11.5703125" style="70" customWidth="1"/>
    <col min="6660" max="6660" width="5.5703125" style="70" customWidth="1"/>
    <col min="6661" max="6661" width="9.7109375" style="70" customWidth="1"/>
    <col min="6662" max="6662" width="5.5703125" style="70" customWidth="1"/>
    <col min="6663" max="6663" width="13.85546875" style="70" customWidth="1"/>
    <col min="6664" max="6664" width="14.28515625" style="70" customWidth="1"/>
    <col min="6665" max="6665" width="22" style="70" customWidth="1"/>
    <col min="6666" max="6667" width="13.85546875" style="70" customWidth="1"/>
    <col min="6668" max="6912" width="9.140625" style="70"/>
    <col min="6913" max="6913" width="4.5703125" style="70" customWidth="1"/>
    <col min="6914" max="6914" width="44.140625" style="70" customWidth="1"/>
    <col min="6915" max="6915" width="11.5703125" style="70" customWidth="1"/>
    <col min="6916" max="6916" width="5.5703125" style="70" customWidth="1"/>
    <col min="6917" max="6917" width="9.7109375" style="70" customWidth="1"/>
    <col min="6918" max="6918" width="5.5703125" style="70" customWidth="1"/>
    <col min="6919" max="6919" width="13.85546875" style="70" customWidth="1"/>
    <col min="6920" max="6920" width="14.28515625" style="70" customWidth="1"/>
    <col min="6921" max="6921" width="22" style="70" customWidth="1"/>
    <col min="6922" max="6923" width="13.85546875" style="70" customWidth="1"/>
    <col min="6924" max="7168" width="9.140625" style="70"/>
    <col min="7169" max="7169" width="4.5703125" style="70" customWidth="1"/>
    <col min="7170" max="7170" width="44.140625" style="70" customWidth="1"/>
    <col min="7171" max="7171" width="11.5703125" style="70" customWidth="1"/>
    <col min="7172" max="7172" width="5.5703125" style="70" customWidth="1"/>
    <col min="7173" max="7173" width="9.7109375" style="70" customWidth="1"/>
    <col min="7174" max="7174" width="5.5703125" style="70" customWidth="1"/>
    <col min="7175" max="7175" width="13.85546875" style="70" customWidth="1"/>
    <col min="7176" max="7176" width="14.28515625" style="70" customWidth="1"/>
    <col min="7177" max="7177" width="22" style="70" customWidth="1"/>
    <col min="7178" max="7179" width="13.85546875" style="70" customWidth="1"/>
    <col min="7180" max="7424" width="9.140625" style="70"/>
    <col min="7425" max="7425" width="4.5703125" style="70" customWidth="1"/>
    <col min="7426" max="7426" width="44.140625" style="70" customWidth="1"/>
    <col min="7427" max="7427" width="11.5703125" style="70" customWidth="1"/>
    <col min="7428" max="7428" width="5.5703125" style="70" customWidth="1"/>
    <col min="7429" max="7429" width="9.7109375" style="70" customWidth="1"/>
    <col min="7430" max="7430" width="5.5703125" style="70" customWidth="1"/>
    <col min="7431" max="7431" width="13.85546875" style="70" customWidth="1"/>
    <col min="7432" max="7432" width="14.28515625" style="70" customWidth="1"/>
    <col min="7433" max="7433" width="22" style="70" customWidth="1"/>
    <col min="7434" max="7435" width="13.85546875" style="70" customWidth="1"/>
    <col min="7436" max="7680" width="9.140625" style="70"/>
    <col min="7681" max="7681" width="4.5703125" style="70" customWidth="1"/>
    <col min="7682" max="7682" width="44.140625" style="70" customWidth="1"/>
    <col min="7683" max="7683" width="11.5703125" style="70" customWidth="1"/>
    <col min="7684" max="7684" width="5.5703125" style="70" customWidth="1"/>
    <col min="7685" max="7685" width="9.7109375" style="70" customWidth="1"/>
    <col min="7686" max="7686" width="5.5703125" style="70" customWidth="1"/>
    <col min="7687" max="7687" width="13.85546875" style="70" customWidth="1"/>
    <col min="7688" max="7688" width="14.28515625" style="70" customWidth="1"/>
    <col min="7689" max="7689" width="22" style="70" customWidth="1"/>
    <col min="7690" max="7691" width="13.85546875" style="70" customWidth="1"/>
    <col min="7692" max="7936" width="9.140625" style="70"/>
    <col min="7937" max="7937" width="4.5703125" style="70" customWidth="1"/>
    <col min="7938" max="7938" width="44.140625" style="70" customWidth="1"/>
    <col min="7939" max="7939" width="11.5703125" style="70" customWidth="1"/>
    <col min="7940" max="7940" width="5.5703125" style="70" customWidth="1"/>
    <col min="7941" max="7941" width="9.7109375" style="70" customWidth="1"/>
    <col min="7942" max="7942" width="5.5703125" style="70" customWidth="1"/>
    <col min="7943" max="7943" width="13.85546875" style="70" customWidth="1"/>
    <col min="7944" max="7944" width="14.28515625" style="70" customWidth="1"/>
    <col min="7945" max="7945" width="22" style="70" customWidth="1"/>
    <col min="7946" max="7947" width="13.85546875" style="70" customWidth="1"/>
    <col min="7948" max="8192" width="9.140625" style="70"/>
    <col min="8193" max="8193" width="4.5703125" style="70" customWidth="1"/>
    <col min="8194" max="8194" width="44.140625" style="70" customWidth="1"/>
    <col min="8195" max="8195" width="11.5703125" style="70" customWidth="1"/>
    <col min="8196" max="8196" width="5.5703125" style="70" customWidth="1"/>
    <col min="8197" max="8197" width="9.7109375" style="70" customWidth="1"/>
    <col min="8198" max="8198" width="5.5703125" style="70" customWidth="1"/>
    <col min="8199" max="8199" width="13.85546875" style="70" customWidth="1"/>
    <col min="8200" max="8200" width="14.28515625" style="70" customWidth="1"/>
    <col min="8201" max="8201" width="22" style="70" customWidth="1"/>
    <col min="8202" max="8203" width="13.85546875" style="70" customWidth="1"/>
    <col min="8204" max="8448" width="9.140625" style="70"/>
    <col min="8449" max="8449" width="4.5703125" style="70" customWidth="1"/>
    <col min="8450" max="8450" width="44.140625" style="70" customWidth="1"/>
    <col min="8451" max="8451" width="11.5703125" style="70" customWidth="1"/>
    <col min="8452" max="8452" width="5.5703125" style="70" customWidth="1"/>
    <col min="8453" max="8453" width="9.7109375" style="70" customWidth="1"/>
    <col min="8454" max="8454" width="5.5703125" style="70" customWidth="1"/>
    <col min="8455" max="8455" width="13.85546875" style="70" customWidth="1"/>
    <col min="8456" max="8456" width="14.28515625" style="70" customWidth="1"/>
    <col min="8457" max="8457" width="22" style="70" customWidth="1"/>
    <col min="8458" max="8459" width="13.85546875" style="70" customWidth="1"/>
    <col min="8460" max="8704" width="9.140625" style="70"/>
    <col min="8705" max="8705" width="4.5703125" style="70" customWidth="1"/>
    <col min="8706" max="8706" width="44.140625" style="70" customWidth="1"/>
    <col min="8707" max="8707" width="11.5703125" style="70" customWidth="1"/>
    <col min="8708" max="8708" width="5.5703125" style="70" customWidth="1"/>
    <col min="8709" max="8709" width="9.7109375" style="70" customWidth="1"/>
    <col min="8710" max="8710" width="5.5703125" style="70" customWidth="1"/>
    <col min="8711" max="8711" width="13.85546875" style="70" customWidth="1"/>
    <col min="8712" max="8712" width="14.28515625" style="70" customWidth="1"/>
    <col min="8713" max="8713" width="22" style="70" customWidth="1"/>
    <col min="8714" max="8715" width="13.85546875" style="70" customWidth="1"/>
    <col min="8716" max="8960" width="9.140625" style="70"/>
    <col min="8961" max="8961" width="4.5703125" style="70" customWidth="1"/>
    <col min="8962" max="8962" width="44.140625" style="70" customWidth="1"/>
    <col min="8963" max="8963" width="11.5703125" style="70" customWidth="1"/>
    <col min="8964" max="8964" width="5.5703125" style="70" customWidth="1"/>
    <col min="8965" max="8965" width="9.7109375" style="70" customWidth="1"/>
    <col min="8966" max="8966" width="5.5703125" style="70" customWidth="1"/>
    <col min="8967" max="8967" width="13.85546875" style="70" customWidth="1"/>
    <col min="8968" max="8968" width="14.28515625" style="70" customWidth="1"/>
    <col min="8969" max="8969" width="22" style="70" customWidth="1"/>
    <col min="8970" max="8971" width="13.85546875" style="70" customWidth="1"/>
    <col min="8972" max="9216" width="9.140625" style="70"/>
    <col min="9217" max="9217" width="4.5703125" style="70" customWidth="1"/>
    <col min="9218" max="9218" width="44.140625" style="70" customWidth="1"/>
    <col min="9219" max="9219" width="11.5703125" style="70" customWidth="1"/>
    <col min="9220" max="9220" width="5.5703125" style="70" customWidth="1"/>
    <col min="9221" max="9221" width="9.7109375" style="70" customWidth="1"/>
    <col min="9222" max="9222" width="5.5703125" style="70" customWidth="1"/>
    <col min="9223" max="9223" width="13.85546875" style="70" customWidth="1"/>
    <col min="9224" max="9224" width="14.28515625" style="70" customWidth="1"/>
    <col min="9225" max="9225" width="22" style="70" customWidth="1"/>
    <col min="9226" max="9227" width="13.85546875" style="70" customWidth="1"/>
    <col min="9228" max="9472" width="9.140625" style="70"/>
    <col min="9473" max="9473" width="4.5703125" style="70" customWidth="1"/>
    <col min="9474" max="9474" width="44.140625" style="70" customWidth="1"/>
    <col min="9475" max="9475" width="11.5703125" style="70" customWidth="1"/>
    <col min="9476" max="9476" width="5.5703125" style="70" customWidth="1"/>
    <col min="9477" max="9477" width="9.7109375" style="70" customWidth="1"/>
    <col min="9478" max="9478" width="5.5703125" style="70" customWidth="1"/>
    <col min="9479" max="9479" width="13.85546875" style="70" customWidth="1"/>
    <col min="9480" max="9480" width="14.28515625" style="70" customWidth="1"/>
    <col min="9481" max="9481" width="22" style="70" customWidth="1"/>
    <col min="9482" max="9483" width="13.85546875" style="70" customWidth="1"/>
    <col min="9484" max="9728" width="9.140625" style="70"/>
    <col min="9729" max="9729" width="4.5703125" style="70" customWidth="1"/>
    <col min="9730" max="9730" width="44.140625" style="70" customWidth="1"/>
    <col min="9731" max="9731" width="11.5703125" style="70" customWidth="1"/>
    <col min="9732" max="9732" width="5.5703125" style="70" customWidth="1"/>
    <col min="9733" max="9733" width="9.7109375" style="70" customWidth="1"/>
    <col min="9734" max="9734" width="5.5703125" style="70" customWidth="1"/>
    <col min="9735" max="9735" width="13.85546875" style="70" customWidth="1"/>
    <col min="9736" max="9736" width="14.28515625" style="70" customWidth="1"/>
    <col min="9737" max="9737" width="22" style="70" customWidth="1"/>
    <col min="9738" max="9739" width="13.85546875" style="70" customWidth="1"/>
    <col min="9740" max="9984" width="9.140625" style="70"/>
    <col min="9985" max="9985" width="4.5703125" style="70" customWidth="1"/>
    <col min="9986" max="9986" width="44.140625" style="70" customWidth="1"/>
    <col min="9987" max="9987" width="11.5703125" style="70" customWidth="1"/>
    <col min="9988" max="9988" width="5.5703125" style="70" customWidth="1"/>
    <col min="9989" max="9989" width="9.7109375" style="70" customWidth="1"/>
    <col min="9990" max="9990" width="5.5703125" style="70" customWidth="1"/>
    <col min="9991" max="9991" width="13.85546875" style="70" customWidth="1"/>
    <col min="9992" max="9992" width="14.28515625" style="70" customWidth="1"/>
    <col min="9993" max="9993" width="22" style="70" customWidth="1"/>
    <col min="9994" max="9995" width="13.85546875" style="70" customWidth="1"/>
    <col min="9996" max="10240" width="9.140625" style="70"/>
    <col min="10241" max="10241" width="4.5703125" style="70" customWidth="1"/>
    <col min="10242" max="10242" width="44.140625" style="70" customWidth="1"/>
    <col min="10243" max="10243" width="11.5703125" style="70" customWidth="1"/>
    <col min="10244" max="10244" width="5.5703125" style="70" customWidth="1"/>
    <col min="10245" max="10245" width="9.7109375" style="70" customWidth="1"/>
    <col min="10246" max="10246" width="5.5703125" style="70" customWidth="1"/>
    <col min="10247" max="10247" width="13.85546875" style="70" customWidth="1"/>
    <col min="10248" max="10248" width="14.28515625" style="70" customWidth="1"/>
    <col min="10249" max="10249" width="22" style="70" customWidth="1"/>
    <col min="10250" max="10251" width="13.85546875" style="70" customWidth="1"/>
    <col min="10252" max="10496" width="9.140625" style="70"/>
    <col min="10497" max="10497" width="4.5703125" style="70" customWidth="1"/>
    <col min="10498" max="10498" width="44.140625" style="70" customWidth="1"/>
    <col min="10499" max="10499" width="11.5703125" style="70" customWidth="1"/>
    <col min="10500" max="10500" width="5.5703125" style="70" customWidth="1"/>
    <col min="10501" max="10501" width="9.7109375" style="70" customWidth="1"/>
    <col min="10502" max="10502" width="5.5703125" style="70" customWidth="1"/>
    <col min="10503" max="10503" width="13.85546875" style="70" customWidth="1"/>
    <col min="10504" max="10504" width="14.28515625" style="70" customWidth="1"/>
    <col min="10505" max="10505" width="22" style="70" customWidth="1"/>
    <col min="10506" max="10507" width="13.85546875" style="70" customWidth="1"/>
    <col min="10508" max="10752" width="9.140625" style="70"/>
    <col min="10753" max="10753" width="4.5703125" style="70" customWidth="1"/>
    <col min="10754" max="10754" width="44.140625" style="70" customWidth="1"/>
    <col min="10755" max="10755" width="11.5703125" style="70" customWidth="1"/>
    <col min="10756" max="10756" width="5.5703125" style="70" customWidth="1"/>
    <col min="10757" max="10757" width="9.7109375" style="70" customWidth="1"/>
    <col min="10758" max="10758" width="5.5703125" style="70" customWidth="1"/>
    <col min="10759" max="10759" width="13.85546875" style="70" customWidth="1"/>
    <col min="10760" max="10760" width="14.28515625" style="70" customWidth="1"/>
    <col min="10761" max="10761" width="22" style="70" customWidth="1"/>
    <col min="10762" max="10763" width="13.85546875" style="70" customWidth="1"/>
    <col min="10764" max="11008" width="9.140625" style="70"/>
    <col min="11009" max="11009" width="4.5703125" style="70" customWidth="1"/>
    <col min="11010" max="11010" width="44.140625" style="70" customWidth="1"/>
    <col min="11011" max="11011" width="11.5703125" style="70" customWidth="1"/>
    <col min="11012" max="11012" width="5.5703125" style="70" customWidth="1"/>
    <col min="11013" max="11013" width="9.7109375" style="70" customWidth="1"/>
    <col min="11014" max="11014" width="5.5703125" style="70" customWidth="1"/>
    <col min="11015" max="11015" width="13.85546875" style="70" customWidth="1"/>
    <col min="11016" max="11016" width="14.28515625" style="70" customWidth="1"/>
    <col min="11017" max="11017" width="22" style="70" customWidth="1"/>
    <col min="11018" max="11019" width="13.85546875" style="70" customWidth="1"/>
    <col min="11020" max="11264" width="9.140625" style="70"/>
    <col min="11265" max="11265" width="4.5703125" style="70" customWidth="1"/>
    <col min="11266" max="11266" width="44.140625" style="70" customWidth="1"/>
    <col min="11267" max="11267" width="11.5703125" style="70" customWidth="1"/>
    <col min="11268" max="11268" width="5.5703125" style="70" customWidth="1"/>
    <col min="11269" max="11269" width="9.7109375" style="70" customWidth="1"/>
    <col min="11270" max="11270" width="5.5703125" style="70" customWidth="1"/>
    <col min="11271" max="11271" width="13.85546875" style="70" customWidth="1"/>
    <col min="11272" max="11272" width="14.28515625" style="70" customWidth="1"/>
    <col min="11273" max="11273" width="22" style="70" customWidth="1"/>
    <col min="11274" max="11275" width="13.85546875" style="70" customWidth="1"/>
    <col min="11276" max="11520" width="9.140625" style="70"/>
    <col min="11521" max="11521" width="4.5703125" style="70" customWidth="1"/>
    <col min="11522" max="11522" width="44.140625" style="70" customWidth="1"/>
    <col min="11523" max="11523" width="11.5703125" style="70" customWidth="1"/>
    <col min="11524" max="11524" width="5.5703125" style="70" customWidth="1"/>
    <col min="11525" max="11525" width="9.7109375" style="70" customWidth="1"/>
    <col min="11526" max="11526" width="5.5703125" style="70" customWidth="1"/>
    <col min="11527" max="11527" width="13.85546875" style="70" customWidth="1"/>
    <col min="11528" max="11528" width="14.28515625" style="70" customWidth="1"/>
    <col min="11529" max="11529" width="22" style="70" customWidth="1"/>
    <col min="11530" max="11531" width="13.85546875" style="70" customWidth="1"/>
    <col min="11532" max="11776" width="9.140625" style="70"/>
    <col min="11777" max="11777" width="4.5703125" style="70" customWidth="1"/>
    <col min="11778" max="11778" width="44.140625" style="70" customWidth="1"/>
    <col min="11779" max="11779" width="11.5703125" style="70" customWidth="1"/>
    <col min="11780" max="11780" width="5.5703125" style="70" customWidth="1"/>
    <col min="11781" max="11781" width="9.7109375" style="70" customWidth="1"/>
    <col min="11782" max="11782" width="5.5703125" style="70" customWidth="1"/>
    <col min="11783" max="11783" width="13.85546875" style="70" customWidth="1"/>
    <col min="11784" max="11784" width="14.28515625" style="70" customWidth="1"/>
    <col min="11785" max="11785" width="22" style="70" customWidth="1"/>
    <col min="11786" max="11787" width="13.85546875" style="70" customWidth="1"/>
    <col min="11788" max="12032" width="9.140625" style="70"/>
    <col min="12033" max="12033" width="4.5703125" style="70" customWidth="1"/>
    <col min="12034" max="12034" width="44.140625" style="70" customWidth="1"/>
    <col min="12035" max="12035" width="11.5703125" style="70" customWidth="1"/>
    <col min="12036" max="12036" width="5.5703125" style="70" customWidth="1"/>
    <col min="12037" max="12037" width="9.7109375" style="70" customWidth="1"/>
    <col min="12038" max="12038" width="5.5703125" style="70" customWidth="1"/>
    <col min="12039" max="12039" width="13.85546875" style="70" customWidth="1"/>
    <col min="12040" max="12040" width="14.28515625" style="70" customWidth="1"/>
    <col min="12041" max="12041" width="22" style="70" customWidth="1"/>
    <col min="12042" max="12043" width="13.85546875" style="70" customWidth="1"/>
    <col min="12044" max="12288" width="9.140625" style="70"/>
    <col min="12289" max="12289" width="4.5703125" style="70" customWidth="1"/>
    <col min="12290" max="12290" width="44.140625" style="70" customWidth="1"/>
    <col min="12291" max="12291" width="11.5703125" style="70" customWidth="1"/>
    <col min="12292" max="12292" width="5.5703125" style="70" customWidth="1"/>
    <col min="12293" max="12293" width="9.7109375" style="70" customWidth="1"/>
    <col min="12294" max="12294" width="5.5703125" style="70" customWidth="1"/>
    <col min="12295" max="12295" width="13.85546875" style="70" customWidth="1"/>
    <col min="12296" max="12296" width="14.28515625" style="70" customWidth="1"/>
    <col min="12297" max="12297" width="22" style="70" customWidth="1"/>
    <col min="12298" max="12299" width="13.85546875" style="70" customWidth="1"/>
    <col min="12300" max="12544" width="9.140625" style="70"/>
    <col min="12545" max="12545" width="4.5703125" style="70" customWidth="1"/>
    <col min="12546" max="12546" width="44.140625" style="70" customWidth="1"/>
    <col min="12547" max="12547" width="11.5703125" style="70" customWidth="1"/>
    <col min="12548" max="12548" width="5.5703125" style="70" customWidth="1"/>
    <col min="12549" max="12549" width="9.7109375" style="70" customWidth="1"/>
    <col min="12550" max="12550" width="5.5703125" style="70" customWidth="1"/>
    <col min="12551" max="12551" width="13.85546875" style="70" customWidth="1"/>
    <col min="12552" max="12552" width="14.28515625" style="70" customWidth="1"/>
    <col min="12553" max="12553" width="22" style="70" customWidth="1"/>
    <col min="12554" max="12555" width="13.85546875" style="70" customWidth="1"/>
    <col min="12556" max="12800" width="9.140625" style="70"/>
    <col min="12801" max="12801" width="4.5703125" style="70" customWidth="1"/>
    <col min="12802" max="12802" width="44.140625" style="70" customWidth="1"/>
    <col min="12803" max="12803" width="11.5703125" style="70" customWidth="1"/>
    <col min="12804" max="12804" width="5.5703125" style="70" customWidth="1"/>
    <col min="12805" max="12805" width="9.7109375" style="70" customWidth="1"/>
    <col min="12806" max="12806" width="5.5703125" style="70" customWidth="1"/>
    <col min="12807" max="12807" width="13.85546875" style="70" customWidth="1"/>
    <col min="12808" max="12808" width="14.28515625" style="70" customWidth="1"/>
    <col min="12809" max="12809" width="22" style="70" customWidth="1"/>
    <col min="12810" max="12811" width="13.85546875" style="70" customWidth="1"/>
    <col min="12812" max="13056" width="9.140625" style="70"/>
    <col min="13057" max="13057" width="4.5703125" style="70" customWidth="1"/>
    <col min="13058" max="13058" width="44.140625" style="70" customWidth="1"/>
    <col min="13059" max="13059" width="11.5703125" style="70" customWidth="1"/>
    <col min="13060" max="13060" width="5.5703125" style="70" customWidth="1"/>
    <col min="13061" max="13061" width="9.7109375" style="70" customWidth="1"/>
    <col min="13062" max="13062" width="5.5703125" style="70" customWidth="1"/>
    <col min="13063" max="13063" width="13.85546875" style="70" customWidth="1"/>
    <col min="13064" max="13064" width="14.28515625" style="70" customWidth="1"/>
    <col min="13065" max="13065" width="22" style="70" customWidth="1"/>
    <col min="13066" max="13067" width="13.85546875" style="70" customWidth="1"/>
    <col min="13068" max="13312" width="9.140625" style="70"/>
    <col min="13313" max="13313" width="4.5703125" style="70" customWidth="1"/>
    <col min="13314" max="13314" width="44.140625" style="70" customWidth="1"/>
    <col min="13315" max="13315" width="11.5703125" style="70" customWidth="1"/>
    <col min="13316" max="13316" width="5.5703125" style="70" customWidth="1"/>
    <col min="13317" max="13317" width="9.7109375" style="70" customWidth="1"/>
    <col min="13318" max="13318" width="5.5703125" style="70" customWidth="1"/>
    <col min="13319" max="13319" width="13.85546875" style="70" customWidth="1"/>
    <col min="13320" max="13320" width="14.28515625" style="70" customWidth="1"/>
    <col min="13321" max="13321" width="22" style="70" customWidth="1"/>
    <col min="13322" max="13323" width="13.85546875" style="70" customWidth="1"/>
    <col min="13324" max="13568" width="9.140625" style="70"/>
    <col min="13569" max="13569" width="4.5703125" style="70" customWidth="1"/>
    <col min="13570" max="13570" width="44.140625" style="70" customWidth="1"/>
    <col min="13571" max="13571" width="11.5703125" style="70" customWidth="1"/>
    <col min="13572" max="13572" width="5.5703125" style="70" customWidth="1"/>
    <col min="13573" max="13573" width="9.7109375" style="70" customWidth="1"/>
    <col min="13574" max="13574" width="5.5703125" style="70" customWidth="1"/>
    <col min="13575" max="13575" width="13.85546875" style="70" customWidth="1"/>
    <col min="13576" max="13576" width="14.28515625" style="70" customWidth="1"/>
    <col min="13577" max="13577" width="22" style="70" customWidth="1"/>
    <col min="13578" max="13579" width="13.85546875" style="70" customWidth="1"/>
    <col min="13580" max="13824" width="9.140625" style="70"/>
    <col min="13825" max="13825" width="4.5703125" style="70" customWidth="1"/>
    <col min="13826" max="13826" width="44.140625" style="70" customWidth="1"/>
    <col min="13827" max="13827" width="11.5703125" style="70" customWidth="1"/>
    <col min="13828" max="13828" width="5.5703125" style="70" customWidth="1"/>
    <col min="13829" max="13829" width="9.7109375" style="70" customWidth="1"/>
    <col min="13830" max="13830" width="5.5703125" style="70" customWidth="1"/>
    <col min="13831" max="13831" width="13.85546875" style="70" customWidth="1"/>
    <col min="13832" max="13832" width="14.28515625" style="70" customWidth="1"/>
    <col min="13833" max="13833" width="22" style="70" customWidth="1"/>
    <col min="13834" max="13835" width="13.85546875" style="70" customWidth="1"/>
    <col min="13836" max="14080" width="9.140625" style="70"/>
    <col min="14081" max="14081" width="4.5703125" style="70" customWidth="1"/>
    <col min="14082" max="14082" width="44.140625" style="70" customWidth="1"/>
    <col min="14083" max="14083" width="11.5703125" style="70" customWidth="1"/>
    <col min="14084" max="14084" width="5.5703125" style="70" customWidth="1"/>
    <col min="14085" max="14085" width="9.7109375" style="70" customWidth="1"/>
    <col min="14086" max="14086" width="5.5703125" style="70" customWidth="1"/>
    <col min="14087" max="14087" width="13.85546875" style="70" customWidth="1"/>
    <col min="14088" max="14088" width="14.28515625" style="70" customWidth="1"/>
    <col min="14089" max="14089" width="22" style="70" customWidth="1"/>
    <col min="14090" max="14091" width="13.85546875" style="70" customWidth="1"/>
    <col min="14092" max="14336" width="9.140625" style="70"/>
    <col min="14337" max="14337" width="4.5703125" style="70" customWidth="1"/>
    <col min="14338" max="14338" width="44.140625" style="70" customWidth="1"/>
    <col min="14339" max="14339" width="11.5703125" style="70" customWidth="1"/>
    <col min="14340" max="14340" width="5.5703125" style="70" customWidth="1"/>
    <col min="14341" max="14341" width="9.7109375" style="70" customWidth="1"/>
    <col min="14342" max="14342" width="5.5703125" style="70" customWidth="1"/>
    <col min="14343" max="14343" width="13.85546875" style="70" customWidth="1"/>
    <col min="14344" max="14344" width="14.28515625" style="70" customWidth="1"/>
    <col min="14345" max="14345" width="22" style="70" customWidth="1"/>
    <col min="14346" max="14347" width="13.85546875" style="70" customWidth="1"/>
    <col min="14348" max="14592" width="9.140625" style="70"/>
    <col min="14593" max="14593" width="4.5703125" style="70" customWidth="1"/>
    <col min="14594" max="14594" width="44.140625" style="70" customWidth="1"/>
    <col min="14595" max="14595" width="11.5703125" style="70" customWidth="1"/>
    <col min="14596" max="14596" width="5.5703125" style="70" customWidth="1"/>
    <col min="14597" max="14597" width="9.7109375" style="70" customWidth="1"/>
    <col min="14598" max="14598" width="5.5703125" style="70" customWidth="1"/>
    <col min="14599" max="14599" width="13.85546875" style="70" customWidth="1"/>
    <col min="14600" max="14600" width="14.28515625" style="70" customWidth="1"/>
    <col min="14601" max="14601" width="22" style="70" customWidth="1"/>
    <col min="14602" max="14603" width="13.85546875" style="70" customWidth="1"/>
    <col min="14604" max="14848" width="9.140625" style="70"/>
    <col min="14849" max="14849" width="4.5703125" style="70" customWidth="1"/>
    <col min="14850" max="14850" width="44.140625" style="70" customWidth="1"/>
    <col min="14851" max="14851" width="11.5703125" style="70" customWidth="1"/>
    <col min="14852" max="14852" width="5.5703125" style="70" customWidth="1"/>
    <col min="14853" max="14853" width="9.7109375" style="70" customWidth="1"/>
    <col min="14854" max="14854" width="5.5703125" style="70" customWidth="1"/>
    <col min="14855" max="14855" width="13.85546875" style="70" customWidth="1"/>
    <col min="14856" max="14856" width="14.28515625" style="70" customWidth="1"/>
    <col min="14857" max="14857" width="22" style="70" customWidth="1"/>
    <col min="14858" max="14859" width="13.85546875" style="70" customWidth="1"/>
    <col min="14860" max="15104" width="9.140625" style="70"/>
    <col min="15105" max="15105" width="4.5703125" style="70" customWidth="1"/>
    <col min="15106" max="15106" width="44.140625" style="70" customWidth="1"/>
    <col min="15107" max="15107" width="11.5703125" style="70" customWidth="1"/>
    <col min="15108" max="15108" width="5.5703125" style="70" customWidth="1"/>
    <col min="15109" max="15109" width="9.7109375" style="70" customWidth="1"/>
    <col min="15110" max="15110" width="5.5703125" style="70" customWidth="1"/>
    <col min="15111" max="15111" width="13.85546875" style="70" customWidth="1"/>
    <col min="15112" max="15112" width="14.28515625" style="70" customWidth="1"/>
    <col min="15113" max="15113" width="22" style="70" customWidth="1"/>
    <col min="15114" max="15115" width="13.85546875" style="70" customWidth="1"/>
    <col min="15116" max="15360" width="9.140625" style="70"/>
    <col min="15361" max="15361" width="4.5703125" style="70" customWidth="1"/>
    <col min="15362" max="15362" width="44.140625" style="70" customWidth="1"/>
    <col min="15363" max="15363" width="11.5703125" style="70" customWidth="1"/>
    <col min="15364" max="15364" width="5.5703125" style="70" customWidth="1"/>
    <col min="15365" max="15365" width="9.7109375" style="70" customWidth="1"/>
    <col min="15366" max="15366" width="5.5703125" style="70" customWidth="1"/>
    <col min="15367" max="15367" width="13.85546875" style="70" customWidth="1"/>
    <col min="15368" max="15368" width="14.28515625" style="70" customWidth="1"/>
    <col min="15369" max="15369" width="22" style="70" customWidth="1"/>
    <col min="15370" max="15371" width="13.85546875" style="70" customWidth="1"/>
    <col min="15372" max="15616" width="9.140625" style="70"/>
    <col min="15617" max="15617" width="4.5703125" style="70" customWidth="1"/>
    <col min="15618" max="15618" width="44.140625" style="70" customWidth="1"/>
    <col min="15619" max="15619" width="11.5703125" style="70" customWidth="1"/>
    <col min="15620" max="15620" width="5.5703125" style="70" customWidth="1"/>
    <col min="15621" max="15621" width="9.7109375" style="70" customWidth="1"/>
    <col min="15622" max="15622" width="5.5703125" style="70" customWidth="1"/>
    <col min="15623" max="15623" width="13.85546875" style="70" customWidth="1"/>
    <col min="15624" max="15624" width="14.28515625" style="70" customWidth="1"/>
    <col min="15625" max="15625" width="22" style="70" customWidth="1"/>
    <col min="15626" max="15627" width="13.85546875" style="70" customWidth="1"/>
    <col min="15628" max="15872" width="9.140625" style="70"/>
    <col min="15873" max="15873" width="4.5703125" style="70" customWidth="1"/>
    <col min="15874" max="15874" width="44.140625" style="70" customWidth="1"/>
    <col min="15875" max="15875" width="11.5703125" style="70" customWidth="1"/>
    <col min="15876" max="15876" width="5.5703125" style="70" customWidth="1"/>
    <col min="15877" max="15877" width="9.7109375" style="70" customWidth="1"/>
    <col min="15878" max="15878" width="5.5703125" style="70" customWidth="1"/>
    <col min="15879" max="15879" width="13.85546875" style="70" customWidth="1"/>
    <col min="15880" max="15880" width="14.28515625" style="70" customWidth="1"/>
    <col min="15881" max="15881" width="22" style="70" customWidth="1"/>
    <col min="15882" max="15883" width="13.85546875" style="70" customWidth="1"/>
    <col min="15884" max="16128" width="9.140625" style="70"/>
    <col min="16129" max="16129" width="4.5703125" style="70" customWidth="1"/>
    <col min="16130" max="16130" width="44.140625" style="70" customWidth="1"/>
    <col min="16131" max="16131" width="11.5703125" style="70" customWidth="1"/>
    <col min="16132" max="16132" width="5.5703125" style="70" customWidth="1"/>
    <col min="16133" max="16133" width="9.7109375" style="70" customWidth="1"/>
    <col min="16134" max="16134" width="5.5703125" style="70" customWidth="1"/>
    <col min="16135" max="16135" width="13.85546875" style="70" customWidth="1"/>
    <col min="16136" max="16136" width="14.28515625" style="70" customWidth="1"/>
    <col min="16137" max="16137" width="22" style="70" customWidth="1"/>
    <col min="16138" max="16139" width="13.85546875" style="70" customWidth="1"/>
    <col min="16140" max="16384" width="9.140625" style="70"/>
  </cols>
  <sheetData>
    <row r="1" spans="1:14" ht="18">
      <c r="B1" s="3115" t="s">
        <v>2758</v>
      </c>
      <c r="C1" s="3115"/>
      <c r="D1" s="3115"/>
      <c r="E1" s="3115"/>
    </row>
    <row r="3" spans="1:14" ht="42.75" customHeight="1">
      <c r="B3" s="3125" t="s">
        <v>2759</v>
      </c>
      <c r="C3" s="3125"/>
      <c r="D3" s="3125"/>
      <c r="E3" s="3125"/>
      <c r="F3" s="3125"/>
      <c r="G3" s="3125"/>
      <c r="H3" s="3125"/>
    </row>
    <row r="4" spans="1:14" ht="8.25" customHeight="1">
      <c r="B4" s="2405"/>
      <c r="C4" s="2405"/>
      <c r="D4" s="2405"/>
      <c r="E4" s="2405"/>
      <c r="F4" s="2405"/>
      <c r="G4" s="2405"/>
      <c r="H4" s="2405"/>
      <c r="I4" s="2112"/>
    </row>
    <row r="5" spans="1:14" ht="18" customHeight="1">
      <c r="B5" s="2405"/>
      <c r="C5" s="2405"/>
      <c r="D5" s="2405"/>
      <c r="E5" s="2405"/>
      <c r="F5" s="2405"/>
      <c r="G5" s="2405"/>
      <c r="H5" s="2505" t="s">
        <v>89</v>
      </c>
      <c r="I5" s="2112"/>
    </row>
    <row r="6" spans="1:14" ht="12.75" customHeight="1">
      <c r="B6" s="2405"/>
      <c r="C6" s="2405"/>
      <c r="D6" s="2405"/>
      <c r="E6" s="2405"/>
      <c r="F6" s="2405"/>
      <c r="G6" s="2405"/>
      <c r="H6" s="2405"/>
      <c r="I6" s="2112"/>
    </row>
    <row r="7" spans="1:14" ht="45.75" customHeight="1">
      <c r="A7" s="3117" t="s">
        <v>2</v>
      </c>
      <c r="B7" s="3117" t="s">
        <v>3</v>
      </c>
      <c r="C7" s="3117" t="s">
        <v>2716</v>
      </c>
      <c r="D7" s="3117" t="s">
        <v>5</v>
      </c>
      <c r="E7" s="3117" t="s">
        <v>96</v>
      </c>
      <c r="F7" s="3117" t="s">
        <v>95</v>
      </c>
      <c r="G7" s="3099" t="s">
        <v>2717</v>
      </c>
      <c r="H7" s="3099"/>
    </row>
    <row r="8" spans="1:14" ht="45" customHeight="1">
      <c r="A8" s="3117"/>
      <c r="B8" s="3117"/>
      <c r="C8" s="3117"/>
      <c r="D8" s="3117"/>
      <c r="E8" s="3117"/>
      <c r="F8" s="3117"/>
      <c r="G8" s="2140" t="s">
        <v>2760</v>
      </c>
      <c r="H8" s="2140" t="s">
        <v>2761</v>
      </c>
      <c r="I8" s="2406"/>
      <c r="J8" s="2406"/>
      <c r="K8" s="605"/>
      <c r="L8" s="2407"/>
      <c r="M8" s="2407"/>
      <c r="N8" s="605"/>
    </row>
    <row r="9" spans="1:14" ht="13.5">
      <c r="A9" s="2408">
        <v>1</v>
      </c>
      <c r="B9" s="2408">
        <v>2</v>
      </c>
      <c r="C9" s="2408">
        <v>3</v>
      </c>
      <c r="D9" s="2408">
        <v>4</v>
      </c>
      <c r="E9" s="2408">
        <v>5</v>
      </c>
      <c r="F9" s="2408">
        <v>6</v>
      </c>
      <c r="G9" s="2408">
        <v>7</v>
      </c>
      <c r="H9" s="2408">
        <v>8</v>
      </c>
    </row>
    <row r="10" spans="1:14" ht="28.5" customHeight="1">
      <c r="A10" s="2413">
        <v>1</v>
      </c>
      <c r="B10" s="2414" t="s">
        <v>1558</v>
      </c>
      <c r="C10" s="2415">
        <v>7130601958</v>
      </c>
      <c r="D10" s="2416" t="s">
        <v>26</v>
      </c>
      <c r="E10" s="2417">
        <f>VLOOKUP(C10,'[25]SOR RATE'!A:D,4,0)/1000</f>
        <v>64.326520000000002</v>
      </c>
      <c r="F10" s="2418">
        <v>482.3</v>
      </c>
      <c r="G10" s="2417">
        <f>E10*F10</f>
        <v>31024.680596000002</v>
      </c>
      <c r="H10" s="2417">
        <f>E10*F10</f>
        <v>31024.680596000002</v>
      </c>
      <c r="I10" s="480"/>
      <c r="J10" s="480"/>
      <c r="K10" s="87"/>
      <c r="L10" s="87"/>
      <c r="M10" s="87"/>
    </row>
    <row r="11" spans="1:14" ht="28.5" customHeight="1">
      <c r="A11" s="2413">
        <v>2</v>
      </c>
      <c r="B11" s="2414" t="s">
        <v>2762</v>
      </c>
      <c r="C11" s="2415">
        <v>7130310045</v>
      </c>
      <c r="D11" s="2413" t="s">
        <v>190</v>
      </c>
      <c r="E11" s="2417">
        <f>VLOOKUP(C11,'[25]SOR RATE'!A:D,4,0)</f>
        <v>474.03</v>
      </c>
      <c r="F11" s="2413">
        <v>150</v>
      </c>
      <c r="G11" s="2417">
        <f>E11*F11</f>
        <v>71104.5</v>
      </c>
      <c r="H11" s="2413"/>
    </row>
    <row r="12" spans="1:14" ht="29.25" customHeight="1">
      <c r="A12" s="2413">
        <v>3</v>
      </c>
      <c r="B12" s="2414" t="s">
        <v>2763</v>
      </c>
      <c r="C12" s="2415">
        <v>7130310046</v>
      </c>
      <c r="D12" s="2413" t="s">
        <v>190</v>
      </c>
      <c r="E12" s="2417">
        <f>VLOOKUP(C12,'[25]SOR RATE'!A:D,4,0)</f>
        <v>518.15</v>
      </c>
      <c r="F12" s="2413">
        <v>150</v>
      </c>
      <c r="G12" s="2413"/>
      <c r="H12" s="2417">
        <f>E12*F12</f>
        <v>77722.5</v>
      </c>
    </row>
    <row r="13" spans="1:14" ht="15" customHeight="1">
      <c r="A13" s="2413">
        <v>4</v>
      </c>
      <c r="B13" s="2427" t="s">
        <v>1476</v>
      </c>
      <c r="C13" s="2415">
        <v>7130820013</v>
      </c>
      <c r="D13" s="2423" t="s">
        <v>33</v>
      </c>
      <c r="E13" s="2417">
        <f>VLOOKUP(C13,'[25]SOR RATE'!A:D,4,0)</f>
        <v>216.4</v>
      </c>
      <c r="F13" s="2413">
        <v>6</v>
      </c>
      <c r="G13" s="2417">
        <f>E13*F13</f>
        <v>1298.4000000000001</v>
      </c>
      <c r="H13" s="2417">
        <f>E13*F13</f>
        <v>1298.4000000000001</v>
      </c>
      <c r="I13" s="2042"/>
      <c r="J13" s="2043"/>
    </row>
    <row r="14" spans="1:14" ht="26.25" customHeight="1">
      <c r="A14" s="2413">
        <v>5</v>
      </c>
      <c r="B14" s="2427" t="s">
        <v>2764</v>
      </c>
      <c r="C14" s="2415">
        <v>7130320050</v>
      </c>
      <c r="D14" s="2428" t="s">
        <v>68</v>
      </c>
      <c r="E14" s="2417">
        <f>VLOOKUP(C14,'[25]SOR RATE'!A:D,4,0)</f>
        <v>1475</v>
      </c>
      <c r="F14" s="2413">
        <v>6</v>
      </c>
      <c r="G14" s="2417">
        <f>F14*E14</f>
        <v>8850</v>
      </c>
      <c r="H14" s="2417">
        <f>F14*E14</f>
        <v>8850</v>
      </c>
      <c r="I14" s="1941" t="s">
        <v>119</v>
      </c>
      <c r="J14" s="2043"/>
    </row>
    <row r="15" spans="1:14" ht="27" customHeight="1">
      <c r="A15" s="2413">
        <v>6</v>
      </c>
      <c r="B15" s="2427" t="s">
        <v>1372</v>
      </c>
      <c r="C15" s="2415">
        <v>7130320052</v>
      </c>
      <c r="D15" s="2428" t="s">
        <v>12</v>
      </c>
      <c r="E15" s="2417">
        <f>VLOOKUP(C15,'[25]SOR RATE'!A:D,4,0)</f>
        <v>1604.8</v>
      </c>
      <c r="F15" s="2413">
        <v>6</v>
      </c>
      <c r="G15" s="2417">
        <f>F15*E15</f>
        <v>9628.7999999999993</v>
      </c>
      <c r="H15" s="2417">
        <f>F15*E15</f>
        <v>9628.7999999999993</v>
      </c>
      <c r="I15" s="1941" t="s">
        <v>119</v>
      </c>
      <c r="J15" s="2043"/>
    </row>
    <row r="16" spans="1:14" ht="15" customHeight="1">
      <c r="A16" s="2413">
        <v>7</v>
      </c>
      <c r="B16" s="2414" t="s">
        <v>1432</v>
      </c>
      <c r="C16" s="2415">
        <v>7130820009</v>
      </c>
      <c r="D16" s="2416" t="s">
        <v>12</v>
      </c>
      <c r="E16" s="2417">
        <f>VLOOKUP(C16,'[25]SOR RATE'!A:D,4,0)</f>
        <v>288.23</v>
      </c>
      <c r="F16" s="2413">
        <v>3</v>
      </c>
      <c r="G16" s="2417">
        <f>F16*E16</f>
        <v>864.69</v>
      </c>
      <c r="H16" s="2417">
        <f>F16*E16</f>
        <v>864.69</v>
      </c>
      <c r="I16" s="1941" t="s">
        <v>119</v>
      </c>
      <c r="J16" s="2043"/>
    </row>
    <row r="17" spans="1:13" ht="16.5" customHeight="1">
      <c r="A17" s="2413">
        <v>8</v>
      </c>
      <c r="B17" s="2419" t="s">
        <v>2723</v>
      </c>
      <c r="C17" s="2413">
        <v>7130870013</v>
      </c>
      <c r="D17" s="2413" t="s">
        <v>68</v>
      </c>
      <c r="E17" s="2417">
        <f>VLOOKUP(C17,'[25]SOR RATE'!A:D,4,0)</f>
        <v>152.88999999999999</v>
      </c>
      <c r="F17" s="2413">
        <v>1</v>
      </c>
      <c r="G17" s="2417">
        <f t="shared" ref="G17:G28" si="0">E17*F17</f>
        <v>152.88999999999999</v>
      </c>
      <c r="H17" s="2417">
        <f t="shared" ref="H17:H28" si="1">E17*F17</f>
        <v>152.88999999999999</v>
      </c>
    </row>
    <row r="18" spans="1:13" ht="15.75" customHeight="1">
      <c r="A18" s="2413">
        <v>9</v>
      </c>
      <c r="B18" s="2421" t="s">
        <v>623</v>
      </c>
      <c r="C18" s="2413">
        <v>7130810681</v>
      </c>
      <c r="D18" s="2413" t="s">
        <v>40</v>
      </c>
      <c r="E18" s="2417">
        <f>VLOOKUP(C18,'[25]SOR RATE'!A:D,4,0)</f>
        <v>4249.5600000000004</v>
      </c>
      <c r="F18" s="2413">
        <v>2</v>
      </c>
      <c r="G18" s="2417">
        <f t="shared" si="0"/>
        <v>8499.1200000000008</v>
      </c>
      <c r="H18" s="2417">
        <f t="shared" si="1"/>
        <v>8499.1200000000008</v>
      </c>
    </row>
    <row r="19" spans="1:13" ht="14.25" customHeight="1">
      <c r="A19" s="2413">
        <v>10</v>
      </c>
      <c r="B19" s="2421" t="s">
        <v>2724</v>
      </c>
      <c r="C19" s="2413">
        <v>7130860033</v>
      </c>
      <c r="D19" s="2413" t="s">
        <v>12</v>
      </c>
      <c r="E19" s="2417">
        <f>VLOOKUP(C19,'[25]SOR RATE'!A:D,4,0)</f>
        <v>1031.6600000000001</v>
      </c>
      <c r="F19" s="2413">
        <v>2</v>
      </c>
      <c r="G19" s="2417">
        <f t="shared" si="0"/>
        <v>2063.3200000000002</v>
      </c>
      <c r="H19" s="2417">
        <f t="shared" si="1"/>
        <v>2063.3200000000002</v>
      </c>
    </row>
    <row r="20" spans="1:13" ht="16.5" customHeight="1">
      <c r="A20" s="2413">
        <v>11</v>
      </c>
      <c r="B20" s="2421" t="s">
        <v>2725</v>
      </c>
      <c r="C20" s="2413">
        <v>7130860076</v>
      </c>
      <c r="D20" s="2413" t="s">
        <v>26</v>
      </c>
      <c r="E20" s="2417">
        <f>VLOOKUP(C20,'[25]SOR RATE'!A:D,4,0)/1000</f>
        <v>92.856940000000009</v>
      </c>
      <c r="F20" s="2413">
        <v>17</v>
      </c>
      <c r="G20" s="2417">
        <f t="shared" si="0"/>
        <v>1578.5679800000003</v>
      </c>
      <c r="H20" s="2417">
        <f t="shared" si="1"/>
        <v>1578.5679800000003</v>
      </c>
    </row>
    <row r="21" spans="1:13" ht="40.5" customHeight="1">
      <c r="A21" s="2506">
        <v>12</v>
      </c>
      <c r="B21" s="2422" t="s">
        <v>2765</v>
      </c>
      <c r="C21" s="2413">
        <v>7130200202</v>
      </c>
      <c r="D21" s="2423" t="s">
        <v>76</v>
      </c>
      <c r="E21" s="2417">
        <f>VLOOKUP(C21,'[25]SOR RATE'!A:D,4,0)</f>
        <v>2970</v>
      </c>
      <c r="F21" s="2424">
        <f>0.65+0.6</f>
        <v>1.25</v>
      </c>
      <c r="G21" s="2417">
        <f>E21*F21</f>
        <v>3712.5</v>
      </c>
      <c r="H21" s="2417">
        <f>E21*F21</f>
        <v>3712.5</v>
      </c>
      <c r="I21" s="2044" t="s">
        <v>47</v>
      </c>
      <c r="J21" s="347"/>
    </row>
    <row r="22" spans="1:13" ht="14.25" customHeight="1">
      <c r="A22" s="2425">
        <v>13</v>
      </c>
      <c r="B22" s="2426" t="s">
        <v>28</v>
      </c>
      <c r="C22" s="2415">
        <v>7130211158</v>
      </c>
      <c r="D22" s="2416" t="s">
        <v>29</v>
      </c>
      <c r="E22" s="2417">
        <f>VLOOKUP(C22,'[25]SOR RATE'!A:D,4,0)</f>
        <v>193.62</v>
      </c>
      <c r="F22" s="2413">
        <v>1</v>
      </c>
      <c r="G22" s="2417">
        <f t="shared" si="0"/>
        <v>193.62</v>
      </c>
      <c r="H22" s="2417">
        <f t="shared" si="1"/>
        <v>193.62</v>
      </c>
    </row>
    <row r="23" spans="1:13" ht="14.25" customHeight="1">
      <c r="A23" s="2413">
        <v>14</v>
      </c>
      <c r="B23" s="2426" t="s">
        <v>30</v>
      </c>
      <c r="C23" s="2415">
        <v>7130210809</v>
      </c>
      <c r="D23" s="2416" t="s">
        <v>29</v>
      </c>
      <c r="E23" s="2417">
        <f>VLOOKUP(C23,'[25]SOR RATE'!A:D,4,0)</f>
        <v>432.63</v>
      </c>
      <c r="F23" s="2413">
        <v>1</v>
      </c>
      <c r="G23" s="2417">
        <f t="shared" si="0"/>
        <v>432.63</v>
      </c>
      <c r="H23" s="2417">
        <f t="shared" si="1"/>
        <v>432.63</v>
      </c>
    </row>
    <row r="24" spans="1:13" ht="14.25" customHeight="1">
      <c r="A24" s="2425">
        <v>15</v>
      </c>
      <c r="B24" s="2414" t="s">
        <v>1441</v>
      </c>
      <c r="C24" s="2415">
        <v>7130610206</v>
      </c>
      <c r="D24" s="2416" t="s">
        <v>26</v>
      </c>
      <c r="E24" s="2417">
        <f>VLOOKUP(C24,'[25]SOR RATE'!A:D,4,0)/1000</f>
        <v>97.233429999999998</v>
      </c>
      <c r="F24" s="2413">
        <v>2</v>
      </c>
      <c r="G24" s="2417">
        <f t="shared" si="0"/>
        <v>194.46686</v>
      </c>
      <c r="H24" s="2417">
        <f t="shared" si="1"/>
        <v>194.46686</v>
      </c>
      <c r="I24" s="95"/>
      <c r="J24" s="806"/>
      <c r="K24" s="87"/>
    </row>
    <row r="25" spans="1:13" ht="15" customHeight="1">
      <c r="A25" s="2413">
        <v>16</v>
      </c>
      <c r="B25" s="2426" t="s">
        <v>32</v>
      </c>
      <c r="C25" s="2415">
        <v>7130880041</v>
      </c>
      <c r="D25" s="2416" t="s">
        <v>12</v>
      </c>
      <c r="E25" s="2417">
        <f>VLOOKUP(C25,'[25]SOR RATE'!A:D,4,0)</f>
        <v>113.77</v>
      </c>
      <c r="F25" s="2413">
        <v>1</v>
      </c>
      <c r="G25" s="2417">
        <f t="shared" si="0"/>
        <v>113.77</v>
      </c>
      <c r="H25" s="2417">
        <f t="shared" si="1"/>
        <v>113.77</v>
      </c>
    </row>
    <row r="26" spans="1:13" ht="14.25" customHeight="1">
      <c r="A26" s="2425">
        <v>17</v>
      </c>
      <c r="B26" s="2414" t="s">
        <v>1574</v>
      </c>
      <c r="C26" s="2415">
        <v>7130810692</v>
      </c>
      <c r="D26" s="2416" t="s">
        <v>15</v>
      </c>
      <c r="E26" s="2417">
        <f>VLOOKUP(C26,'[25]SOR RATE'!A:D,4,0)</f>
        <v>410.25</v>
      </c>
      <c r="F26" s="2413">
        <v>4</v>
      </c>
      <c r="G26" s="2417">
        <f t="shared" si="0"/>
        <v>1641</v>
      </c>
      <c r="H26" s="2417">
        <f t="shared" si="1"/>
        <v>1641</v>
      </c>
    </row>
    <row r="27" spans="1:13" ht="13.5" customHeight="1">
      <c r="A27" s="2425">
        <v>18</v>
      </c>
      <c r="B27" s="2426" t="s">
        <v>2727</v>
      </c>
      <c r="C27" s="2415">
        <v>7130620609</v>
      </c>
      <c r="D27" s="2416" t="s">
        <v>26</v>
      </c>
      <c r="E27" s="2417">
        <f>VLOOKUP(C27,'[25]SOR RATE'!A:D,4,0)</f>
        <v>87.23</v>
      </c>
      <c r="F27" s="2413">
        <v>5</v>
      </c>
      <c r="G27" s="2417">
        <f t="shared" si="0"/>
        <v>436.15000000000003</v>
      </c>
      <c r="H27" s="2417">
        <f t="shared" si="1"/>
        <v>436.15000000000003</v>
      </c>
    </row>
    <row r="28" spans="1:13" ht="13.5" customHeight="1">
      <c r="A28" s="2413">
        <v>19</v>
      </c>
      <c r="B28" s="2426" t="s">
        <v>2728</v>
      </c>
      <c r="C28" s="2415">
        <v>7130620614</v>
      </c>
      <c r="D28" s="2416" t="s">
        <v>26</v>
      </c>
      <c r="E28" s="2417">
        <f>VLOOKUP(C28,'[25]SOR RATE'!A:D,4,0)</f>
        <v>85.77</v>
      </c>
      <c r="F28" s="2413">
        <v>1</v>
      </c>
      <c r="G28" s="2417">
        <f t="shared" si="0"/>
        <v>85.77</v>
      </c>
      <c r="H28" s="2417">
        <f t="shared" si="1"/>
        <v>85.77</v>
      </c>
    </row>
    <row r="29" spans="1:13" ht="16.5" customHeight="1">
      <c r="A29" s="2413">
        <v>20</v>
      </c>
      <c r="B29" s="2427" t="s">
        <v>2729</v>
      </c>
      <c r="C29" s="2413">
        <v>7130320044</v>
      </c>
      <c r="D29" s="2416" t="s">
        <v>68</v>
      </c>
      <c r="E29" s="2417">
        <f>VLOOKUP(C29,'[25]SOR RATE'!A:D,4,0)</f>
        <v>1111.29</v>
      </c>
      <c r="F29" s="2413">
        <v>0</v>
      </c>
      <c r="G29" s="2417">
        <f>E29*F29</f>
        <v>0</v>
      </c>
      <c r="H29" s="2417">
        <f>E29*F29</f>
        <v>0</v>
      </c>
      <c r="I29" s="1989"/>
      <c r="J29" s="2122"/>
      <c r="K29" s="808"/>
      <c r="L29" s="841"/>
      <c r="M29" s="841"/>
    </row>
    <row r="30" spans="1:13" ht="41.25" customHeight="1">
      <c r="A30" s="2413">
        <v>21</v>
      </c>
      <c r="B30" s="2427" t="s">
        <v>2730</v>
      </c>
      <c r="C30" s="2413">
        <v>7130642039</v>
      </c>
      <c r="D30" s="2428" t="s">
        <v>12</v>
      </c>
      <c r="E30" s="2417">
        <f>VLOOKUP(C30,'[25]SOR RATE'!A:D,4,0)</f>
        <v>998.57</v>
      </c>
      <c r="F30" s="2413">
        <v>3</v>
      </c>
      <c r="G30" s="2417">
        <f>E30*F30</f>
        <v>2995.71</v>
      </c>
      <c r="H30" s="2417">
        <f>E30*F30</f>
        <v>2995.71</v>
      </c>
      <c r="I30" s="1989"/>
      <c r="J30" s="2122"/>
      <c r="K30" s="2122"/>
    </row>
    <row r="31" spans="1:13" ht="16.5" customHeight="1">
      <c r="A31" s="2413">
        <v>22</v>
      </c>
      <c r="B31" s="2427" t="s">
        <v>397</v>
      </c>
      <c r="C31" s="2428">
        <v>7130320045</v>
      </c>
      <c r="D31" s="2428" t="s">
        <v>12</v>
      </c>
      <c r="E31" s="2417">
        <f>VLOOKUP(C31,'[25]SOR RATE'!A:D,4,0)</f>
        <v>33.01</v>
      </c>
      <c r="F31" s="2413">
        <v>0</v>
      </c>
      <c r="G31" s="2417">
        <f>E31*F31</f>
        <v>0</v>
      </c>
      <c r="H31" s="2417">
        <f>E31*F31</f>
        <v>0</v>
      </c>
      <c r="I31" s="1989"/>
      <c r="J31" s="2122"/>
      <c r="K31" s="2122"/>
    </row>
    <row r="32" spans="1:13" ht="15.75" customHeight="1">
      <c r="A32" s="2429">
        <v>23</v>
      </c>
      <c r="B32" s="2430" t="s">
        <v>48</v>
      </c>
      <c r="C32" s="2431"/>
      <c r="D32" s="2431"/>
      <c r="E32" s="2429"/>
      <c r="F32" s="2429"/>
      <c r="G32" s="2432">
        <f>SUM(G10:G31)</f>
        <v>144870.58543599996</v>
      </c>
      <c r="H32" s="2432">
        <f>SUM(H10:H31)</f>
        <v>151488.58543599996</v>
      </c>
      <c r="J32" s="102"/>
      <c r="K32" s="102"/>
    </row>
    <row r="33" spans="1:11" ht="15.75" customHeight="1">
      <c r="A33" s="2429">
        <v>24</v>
      </c>
      <c r="B33" s="2430" t="s">
        <v>49</v>
      </c>
      <c r="C33" s="2431"/>
      <c r="D33" s="2431"/>
      <c r="E33" s="2429"/>
      <c r="F33" s="2429"/>
      <c r="G33" s="2432">
        <f>G32/1.18</f>
        <v>122771.68257288133</v>
      </c>
      <c r="H33" s="2432">
        <f>H32/1.18</f>
        <v>128380.15714915252</v>
      </c>
      <c r="I33" s="87"/>
      <c r="J33" s="102"/>
      <c r="K33" s="102"/>
    </row>
    <row r="34" spans="1:11" ht="17.25" customHeight="1">
      <c r="A34" s="2413">
        <v>25</v>
      </c>
      <c r="B34" s="2414" t="s">
        <v>50</v>
      </c>
      <c r="C34" s="2425"/>
      <c r="D34" s="2425"/>
      <c r="E34" s="2413">
        <v>7.4999999999999997E-2</v>
      </c>
      <c r="F34" s="2413"/>
      <c r="G34" s="2417">
        <f>E34*G32</f>
        <v>10865.293907699997</v>
      </c>
      <c r="H34" s="2417">
        <f>E34*H32</f>
        <v>11361.643907699998</v>
      </c>
      <c r="I34" s="89"/>
    </row>
    <row r="35" spans="1:11" ht="14.25" customHeight="1">
      <c r="A35" s="2413">
        <v>26</v>
      </c>
      <c r="B35" s="2426" t="s">
        <v>2766</v>
      </c>
      <c r="C35" s="2425"/>
      <c r="D35" s="2425"/>
      <c r="E35" s="2417">
        <v>18686.23</v>
      </c>
      <c r="F35" s="2413">
        <v>1</v>
      </c>
      <c r="G35" s="2417">
        <f>E35*F35</f>
        <v>18686.23</v>
      </c>
      <c r="H35" s="2417">
        <f>E35*F35</f>
        <v>18686.23</v>
      </c>
      <c r="I35" s="802"/>
    </row>
    <row r="36" spans="1:11" ht="15.75" customHeight="1">
      <c r="A36" s="2413">
        <v>27</v>
      </c>
      <c r="B36" s="2422" t="s">
        <v>2767</v>
      </c>
      <c r="C36" s="2425"/>
      <c r="D36" s="2425"/>
      <c r="E36" s="2433">
        <v>0.04</v>
      </c>
      <c r="F36" s="2413"/>
      <c r="G36" s="2417">
        <f>G33*E36</f>
        <v>4910.8673029152533</v>
      </c>
      <c r="H36" s="2417">
        <f>H33*E36</f>
        <v>5135.2062859661009</v>
      </c>
      <c r="I36" s="2045" t="s">
        <v>1827</v>
      </c>
      <c r="K36" s="82"/>
    </row>
    <row r="37" spans="1:11" ht="15" customHeight="1">
      <c r="A37" s="2507">
        <v>28</v>
      </c>
      <c r="B37" s="2434" t="s">
        <v>82</v>
      </c>
      <c r="C37" s="2425"/>
      <c r="D37" s="2413" t="s">
        <v>76</v>
      </c>
      <c r="E37" s="2435">
        <f>665.173187113158*1.043</f>
        <v>693.77563415902364</v>
      </c>
      <c r="F37" s="2413">
        <v>1.25</v>
      </c>
      <c r="G37" s="2417">
        <f>E37*F37</f>
        <v>867.21954269877961</v>
      </c>
      <c r="H37" s="2417">
        <f>E37*F37</f>
        <v>867.21954269877961</v>
      </c>
      <c r="I37" s="91"/>
    </row>
    <row r="38" spans="1:11" ht="15" customHeight="1">
      <c r="A38" s="2507">
        <v>29</v>
      </c>
      <c r="B38" s="2508" t="s">
        <v>2534</v>
      </c>
      <c r="C38" s="2436"/>
      <c r="D38" s="2428" t="s">
        <v>12</v>
      </c>
      <c r="E38" s="2437">
        <f>3020.13589298559*1.043</f>
        <v>3150.0017363839702</v>
      </c>
      <c r="F38" s="2413">
        <v>2</v>
      </c>
      <c r="G38" s="2417">
        <f>E38*F38</f>
        <v>6300.0034727679404</v>
      </c>
      <c r="H38" s="2417">
        <f>E38*F38</f>
        <v>6300.0034727679404</v>
      </c>
    </row>
    <row r="39" spans="1:11" ht="39.75" customHeight="1">
      <c r="A39" s="2507">
        <v>30</v>
      </c>
      <c r="B39" s="2509" t="s">
        <v>2768</v>
      </c>
      <c r="C39" s="2436"/>
      <c r="D39" s="2428"/>
      <c r="E39" s="2433"/>
      <c r="F39" s="2413"/>
      <c r="G39" s="2417">
        <f>(G32+G34+G35+G36+G37+G38)*0.125</f>
        <v>23312.524957760244</v>
      </c>
      <c r="H39" s="2417">
        <f>(H32+H34+H35+H36+H37+H38)*0.125</f>
        <v>24229.8610806416</v>
      </c>
    </row>
    <row r="40" spans="1:11" ht="28.5" customHeight="1">
      <c r="A40" s="2510">
        <v>31</v>
      </c>
      <c r="B40" s="2511" t="s">
        <v>167</v>
      </c>
      <c r="C40" s="2436"/>
      <c r="D40" s="2428"/>
      <c r="E40" s="2433"/>
      <c r="F40" s="2413"/>
      <c r="G40" s="2432">
        <f>SUM(G33:G39)</f>
        <v>187713.82175672357</v>
      </c>
      <c r="H40" s="2432">
        <f>SUM(H33:H39)</f>
        <v>194960.32143892697</v>
      </c>
    </row>
    <row r="41" spans="1:11" ht="17.25" customHeight="1">
      <c r="A41" s="2423">
        <v>32</v>
      </c>
      <c r="B41" s="2414" t="s">
        <v>168</v>
      </c>
      <c r="C41" s="2436"/>
      <c r="D41" s="2428"/>
      <c r="E41" s="2433">
        <v>0.09</v>
      </c>
      <c r="F41" s="2413"/>
      <c r="G41" s="2433">
        <f>G40*E41</f>
        <v>16894.243958105122</v>
      </c>
      <c r="H41" s="2433">
        <f>H40*E41</f>
        <v>17546.428929503425</v>
      </c>
    </row>
    <row r="42" spans="1:11" ht="16.5" customHeight="1">
      <c r="A42" s="2423">
        <v>33</v>
      </c>
      <c r="B42" s="2414" t="s">
        <v>170</v>
      </c>
      <c r="C42" s="2436"/>
      <c r="D42" s="2428"/>
      <c r="E42" s="2433">
        <v>0.09</v>
      </c>
      <c r="F42" s="2413"/>
      <c r="G42" s="2417">
        <f>G40*E42</f>
        <v>16894.243958105122</v>
      </c>
      <c r="H42" s="2417">
        <f>H40*E42</f>
        <v>17546.428929503425</v>
      </c>
      <c r="I42" s="95"/>
      <c r="J42" s="806"/>
    </row>
    <row r="43" spans="1:11" ht="27.75" customHeight="1">
      <c r="A43" s="2512">
        <v>34</v>
      </c>
      <c r="B43" s="2414" t="s">
        <v>171</v>
      </c>
      <c r="C43" s="2425"/>
      <c r="D43" s="2425"/>
      <c r="E43" s="2425"/>
      <c r="F43" s="2425"/>
      <c r="G43" s="2439">
        <f>G40+G41+G42</f>
        <v>221502.30967293383</v>
      </c>
      <c r="H43" s="2439">
        <f>H40+H41+H42</f>
        <v>230053.17929793382</v>
      </c>
    </row>
    <row r="44" spans="1:11" ht="25.5">
      <c r="A44" s="2510">
        <v>35</v>
      </c>
      <c r="B44" s="2438" t="s">
        <v>59</v>
      </c>
      <c r="C44" s="2440"/>
      <c r="D44" s="2440"/>
      <c r="E44" s="2440"/>
      <c r="F44" s="2440"/>
      <c r="G44" s="2439">
        <f>ROUND(G43,0)</f>
        <v>221502</v>
      </c>
      <c r="H44" s="2439">
        <f>ROUND(H43,0)</f>
        <v>230053</v>
      </c>
    </row>
    <row r="45" spans="1:11" ht="9" customHeight="1"/>
    <row r="46" spans="1:11" ht="15" customHeight="1">
      <c r="A46" s="2410"/>
      <c r="B46" s="2122"/>
      <c r="C46" s="2122"/>
      <c r="D46" s="2122"/>
      <c r="E46" s="2122"/>
      <c r="F46" s="2122"/>
    </row>
    <row r="47" spans="1:11" ht="12" customHeight="1">
      <c r="A47" s="2410"/>
      <c r="B47" s="2122"/>
      <c r="C47" s="2122"/>
      <c r="D47" s="2122"/>
      <c r="E47" s="2122"/>
      <c r="F47" s="2122"/>
    </row>
    <row r="48" spans="1:11" ht="12" customHeight="1">
      <c r="A48" s="2410"/>
      <c r="B48" s="2122"/>
      <c r="C48" s="2122"/>
      <c r="D48" s="2122"/>
      <c r="E48" s="2122"/>
      <c r="F48" s="2122"/>
    </row>
    <row r="49" spans="1:6" ht="12" customHeight="1">
      <c r="A49" s="2410"/>
      <c r="B49" s="2122"/>
      <c r="C49" s="2122"/>
      <c r="D49" s="2122"/>
      <c r="E49" s="2122"/>
      <c r="F49" s="2122"/>
    </row>
    <row r="51" spans="1:6" ht="12.75" customHeight="1">
      <c r="A51" s="2065"/>
    </row>
  </sheetData>
  <mergeCells count="9">
    <mergeCell ref="B1:E1"/>
    <mergeCell ref="B3:H3"/>
    <mergeCell ref="A7:A8"/>
    <mergeCell ref="B7:B8"/>
    <mergeCell ref="C7:C8"/>
    <mergeCell ref="D7:D8"/>
    <mergeCell ref="E7:E8"/>
    <mergeCell ref="F7:F8"/>
    <mergeCell ref="G7:H7"/>
  </mergeCells>
  <conditionalFormatting sqref="B32">
    <cfRule type="cellIs" dxfId="130" priority="2" stopIfTrue="1" operator="equal">
      <formula>"?"</formula>
    </cfRule>
  </conditionalFormatting>
  <conditionalFormatting sqref="B33">
    <cfRule type="cellIs" dxfId="129" priority="1" stopIfTrue="1" operator="equal">
      <formula>"?"</formula>
    </cfRule>
  </conditionalFormatting>
  <pageMargins left="0.84" right="0.12" top="0.72" bottom="0.32" header="0.5" footer="0.16"/>
  <pageSetup scale="115"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5"/>
  <sheetViews>
    <sheetView workbookViewId="0">
      <pane xSplit="2" ySplit="9" topLeftCell="C38" activePane="bottomRight" state="frozen"/>
      <selection pane="topRight" activeCell="C1" sqref="C1"/>
      <selection pane="bottomLeft" activeCell="A10" sqref="A10"/>
      <selection pane="bottomRight" activeCell="C28" sqref="C28"/>
    </sheetView>
  </sheetViews>
  <sheetFormatPr defaultRowHeight="12.75"/>
  <cols>
    <col min="1" max="1" width="5.28515625" style="70" customWidth="1"/>
    <col min="2" max="2" width="70.5703125" style="70" customWidth="1"/>
    <col min="3" max="3" width="13.42578125" style="70" customWidth="1"/>
    <col min="4" max="4" width="6.7109375" style="70" customWidth="1"/>
    <col min="5" max="5" width="10.7109375" style="70" customWidth="1"/>
    <col min="6" max="6" width="6.42578125" style="70" customWidth="1"/>
    <col min="7" max="8" width="12.7109375" style="70" customWidth="1"/>
    <col min="9" max="9" width="19.85546875" style="70" customWidth="1"/>
    <col min="10" max="10" width="16.140625" style="70" customWidth="1"/>
    <col min="11" max="11" width="30" style="70" customWidth="1"/>
    <col min="12" max="12" width="11.28515625" style="70" customWidth="1"/>
    <col min="13" max="16" width="9.140625" style="70"/>
    <col min="17" max="17" width="11" style="70" bestFit="1" customWidth="1"/>
    <col min="18" max="256" width="9.140625" style="70"/>
    <col min="257" max="257" width="5.28515625" style="70" customWidth="1"/>
    <col min="258" max="258" width="70.5703125" style="70" customWidth="1"/>
    <col min="259" max="259" width="13.42578125" style="70" customWidth="1"/>
    <col min="260" max="260" width="6.7109375" style="70" customWidth="1"/>
    <col min="261" max="261" width="10.7109375" style="70" customWidth="1"/>
    <col min="262" max="262" width="6.42578125" style="70" customWidth="1"/>
    <col min="263" max="264" width="12.7109375" style="70" customWidth="1"/>
    <col min="265" max="265" width="18.28515625" style="70" customWidth="1"/>
    <col min="266" max="266" width="16.140625" style="70" customWidth="1"/>
    <col min="267" max="267" width="30" style="70" customWidth="1"/>
    <col min="268" max="268" width="11.28515625" style="70" customWidth="1"/>
    <col min="269" max="272" width="9.140625" style="70"/>
    <col min="273" max="273" width="11" style="70" bestFit="1" customWidth="1"/>
    <col min="274" max="512" width="9.140625" style="70"/>
    <col min="513" max="513" width="5.28515625" style="70" customWidth="1"/>
    <col min="514" max="514" width="70.5703125" style="70" customWidth="1"/>
    <col min="515" max="515" width="13.42578125" style="70" customWidth="1"/>
    <col min="516" max="516" width="6.7109375" style="70" customWidth="1"/>
    <col min="517" max="517" width="10.7109375" style="70" customWidth="1"/>
    <col min="518" max="518" width="6.42578125" style="70" customWidth="1"/>
    <col min="519" max="520" width="12.7109375" style="70" customWidth="1"/>
    <col min="521" max="521" width="18.28515625" style="70" customWidth="1"/>
    <col min="522" max="522" width="16.140625" style="70" customWidth="1"/>
    <col min="523" max="523" width="30" style="70" customWidth="1"/>
    <col min="524" max="524" width="11.28515625" style="70" customWidth="1"/>
    <col min="525" max="528" width="9.140625" style="70"/>
    <col min="529" max="529" width="11" style="70" bestFit="1" customWidth="1"/>
    <col min="530" max="768" width="9.140625" style="70"/>
    <col min="769" max="769" width="5.28515625" style="70" customWidth="1"/>
    <col min="770" max="770" width="70.5703125" style="70" customWidth="1"/>
    <col min="771" max="771" width="13.42578125" style="70" customWidth="1"/>
    <col min="772" max="772" width="6.7109375" style="70" customWidth="1"/>
    <col min="773" max="773" width="10.7109375" style="70" customWidth="1"/>
    <col min="774" max="774" width="6.42578125" style="70" customWidth="1"/>
    <col min="775" max="776" width="12.7109375" style="70" customWidth="1"/>
    <col min="777" max="777" width="18.28515625" style="70" customWidth="1"/>
    <col min="778" max="778" width="16.140625" style="70" customWidth="1"/>
    <col min="779" max="779" width="30" style="70" customWidth="1"/>
    <col min="780" max="780" width="11.28515625" style="70" customWidth="1"/>
    <col min="781" max="784" width="9.140625" style="70"/>
    <col min="785" max="785" width="11" style="70" bestFit="1" customWidth="1"/>
    <col min="786" max="1024" width="9.140625" style="70"/>
    <col min="1025" max="1025" width="5.28515625" style="70" customWidth="1"/>
    <col min="1026" max="1026" width="70.5703125" style="70" customWidth="1"/>
    <col min="1027" max="1027" width="13.42578125" style="70" customWidth="1"/>
    <col min="1028" max="1028" width="6.7109375" style="70" customWidth="1"/>
    <col min="1029" max="1029" width="10.7109375" style="70" customWidth="1"/>
    <col min="1030" max="1030" width="6.42578125" style="70" customWidth="1"/>
    <col min="1031" max="1032" width="12.7109375" style="70" customWidth="1"/>
    <col min="1033" max="1033" width="18.28515625" style="70" customWidth="1"/>
    <col min="1034" max="1034" width="16.140625" style="70" customWidth="1"/>
    <col min="1035" max="1035" width="30" style="70" customWidth="1"/>
    <col min="1036" max="1036" width="11.28515625" style="70" customWidth="1"/>
    <col min="1037" max="1040" width="9.140625" style="70"/>
    <col min="1041" max="1041" width="11" style="70" bestFit="1" customWidth="1"/>
    <col min="1042" max="1280" width="9.140625" style="70"/>
    <col min="1281" max="1281" width="5.28515625" style="70" customWidth="1"/>
    <col min="1282" max="1282" width="70.5703125" style="70" customWidth="1"/>
    <col min="1283" max="1283" width="13.42578125" style="70" customWidth="1"/>
    <col min="1284" max="1284" width="6.7109375" style="70" customWidth="1"/>
    <col min="1285" max="1285" width="10.7109375" style="70" customWidth="1"/>
    <col min="1286" max="1286" width="6.42578125" style="70" customWidth="1"/>
    <col min="1287" max="1288" width="12.7109375" style="70" customWidth="1"/>
    <col min="1289" max="1289" width="18.28515625" style="70" customWidth="1"/>
    <col min="1290" max="1290" width="16.140625" style="70" customWidth="1"/>
    <col min="1291" max="1291" width="30" style="70" customWidth="1"/>
    <col min="1292" max="1292" width="11.28515625" style="70" customWidth="1"/>
    <col min="1293" max="1296" width="9.140625" style="70"/>
    <col min="1297" max="1297" width="11" style="70" bestFit="1" customWidth="1"/>
    <col min="1298" max="1536" width="9.140625" style="70"/>
    <col min="1537" max="1537" width="5.28515625" style="70" customWidth="1"/>
    <col min="1538" max="1538" width="70.5703125" style="70" customWidth="1"/>
    <col min="1539" max="1539" width="13.42578125" style="70" customWidth="1"/>
    <col min="1540" max="1540" width="6.7109375" style="70" customWidth="1"/>
    <col min="1541" max="1541" width="10.7109375" style="70" customWidth="1"/>
    <col min="1542" max="1542" width="6.42578125" style="70" customWidth="1"/>
    <col min="1543" max="1544" width="12.7109375" style="70" customWidth="1"/>
    <col min="1545" max="1545" width="18.28515625" style="70" customWidth="1"/>
    <col min="1546" max="1546" width="16.140625" style="70" customWidth="1"/>
    <col min="1547" max="1547" width="30" style="70" customWidth="1"/>
    <col min="1548" max="1548" width="11.28515625" style="70" customWidth="1"/>
    <col min="1549" max="1552" width="9.140625" style="70"/>
    <col min="1553" max="1553" width="11" style="70" bestFit="1" customWidth="1"/>
    <col min="1554" max="1792" width="9.140625" style="70"/>
    <col min="1793" max="1793" width="5.28515625" style="70" customWidth="1"/>
    <col min="1794" max="1794" width="70.5703125" style="70" customWidth="1"/>
    <col min="1795" max="1795" width="13.42578125" style="70" customWidth="1"/>
    <col min="1796" max="1796" width="6.7109375" style="70" customWidth="1"/>
    <col min="1797" max="1797" width="10.7109375" style="70" customWidth="1"/>
    <col min="1798" max="1798" width="6.42578125" style="70" customWidth="1"/>
    <col min="1799" max="1800" width="12.7109375" style="70" customWidth="1"/>
    <col min="1801" max="1801" width="18.28515625" style="70" customWidth="1"/>
    <col min="1802" max="1802" width="16.140625" style="70" customWidth="1"/>
    <col min="1803" max="1803" width="30" style="70" customWidth="1"/>
    <col min="1804" max="1804" width="11.28515625" style="70" customWidth="1"/>
    <col min="1805" max="1808" width="9.140625" style="70"/>
    <col min="1809" max="1809" width="11" style="70" bestFit="1" customWidth="1"/>
    <col min="1810" max="2048" width="9.140625" style="70"/>
    <col min="2049" max="2049" width="5.28515625" style="70" customWidth="1"/>
    <col min="2050" max="2050" width="70.5703125" style="70" customWidth="1"/>
    <col min="2051" max="2051" width="13.42578125" style="70" customWidth="1"/>
    <col min="2052" max="2052" width="6.7109375" style="70" customWidth="1"/>
    <col min="2053" max="2053" width="10.7109375" style="70" customWidth="1"/>
    <col min="2054" max="2054" width="6.42578125" style="70" customWidth="1"/>
    <col min="2055" max="2056" width="12.7109375" style="70" customWidth="1"/>
    <col min="2057" max="2057" width="18.28515625" style="70" customWidth="1"/>
    <col min="2058" max="2058" width="16.140625" style="70" customWidth="1"/>
    <col min="2059" max="2059" width="30" style="70" customWidth="1"/>
    <col min="2060" max="2060" width="11.28515625" style="70" customWidth="1"/>
    <col min="2061" max="2064" width="9.140625" style="70"/>
    <col min="2065" max="2065" width="11" style="70" bestFit="1" customWidth="1"/>
    <col min="2066" max="2304" width="9.140625" style="70"/>
    <col min="2305" max="2305" width="5.28515625" style="70" customWidth="1"/>
    <col min="2306" max="2306" width="70.5703125" style="70" customWidth="1"/>
    <col min="2307" max="2307" width="13.42578125" style="70" customWidth="1"/>
    <col min="2308" max="2308" width="6.7109375" style="70" customWidth="1"/>
    <col min="2309" max="2309" width="10.7109375" style="70" customWidth="1"/>
    <col min="2310" max="2310" width="6.42578125" style="70" customWidth="1"/>
    <col min="2311" max="2312" width="12.7109375" style="70" customWidth="1"/>
    <col min="2313" max="2313" width="18.28515625" style="70" customWidth="1"/>
    <col min="2314" max="2314" width="16.140625" style="70" customWidth="1"/>
    <col min="2315" max="2315" width="30" style="70" customWidth="1"/>
    <col min="2316" max="2316" width="11.28515625" style="70" customWidth="1"/>
    <col min="2317" max="2320" width="9.140625" style="70"/>
    <col min="2321" max="2321" width="11" style="70" bestFit="1" customWidth="1"/>
    <col min="2322" max="2560" width="9.140625" style="70"/>
    <col min="2561" max="2561" width="5.28515625" style="70" customWidth="1"/>
    <col min="2562" max="2562" width="70.5703125" style="70" customWidth="1"/>
    <col min="2563" max="2563" width="13.42578125" style="70" customWidth="1"/>
    <col min="2564" max="2564" width="6.7109375" style="70" customWidth="1"/>
    <col min="2565" max="2565" width="10.7109375" style="70" customWidth="1"/>
    <col min="2566" max="2566" width="6.42578125" style="70" customWidth="1"/>
    <col min="2567" max="2568" width="12.7109375" style="70" customWidth="1"/>
    <col min="2569" max="2569" width="18.28515625" style="70" customWidth="1"/>
    <col min="2570" max="2570" width="16.140625" style="70" customWidth="1"/>
    <col min="2571" max="2571" width="30" style="70" customWidth="1"/>
    <col min="2572" max="2572" width="11.28515625" style="70" customWidth="1"/>
    <col min="2573" max="2576" width="9.140625" style="70"/>
    <col min="2577" max="2577" width="11" style="70" bestFit="1" customWidth="1"/>
    <col min="2578" max="2816" width="9.140625" style="70"/>
    <col min="2817" max="2817" width="5.28515625" style="70" customWidth="1"/>
    <col min="2818" max="2818" width="70.5703125" style="70" customWidth="1"/>
    <col min="2819" max="2819" width="13.42578125" style="70" customWidth="1"/>
    <col min="2820" max="2820" width="6.7109375" style="70" customWidth="1"/>
    <col min="2821" max="2821" width="10.7109375" style="70" customWidth="1"/>
    <col min="2822" max="2822" width="6.42578125" style="70" customWidth="1"/>
    <col min="2823" max="2824" width="12.7109375" style="70" customWidth="1"/>
    <col min="2825" max="2825" width="18.28515625" style="70" customWidth="1"/>
    <col min="2826" max="2826" width="16.140625" style="70" customWidth="1"/>
    <col min="2827" max="2827" width="30" style="70" customWidth="1"/>
    <col min="2828" max="2828" width="11.28515625" style="70" customWidth="1"/>
    <col min="2829" max="2832" width="9.140625" style="70"/>
    <col min="2833" max="2833" width="11" style="70" bestFit="1" customWidth="1"/>
    <col min="2834" max="3072" width="9.140625" style="70"/>
    <col min="3073" max="3073" width="5.28515625" style="70" customWidth="1"/>
    <col min="3074" max="3074" width="70.5703125" style="70" customWidth="1"/>
    <col min="3075" max="3075" width="13.42578125" style="70" customWidth="1"/>
    <col min="3076" max="3076" width="6.7109375" style="70" customWidth="1"/>
    <col min="3077" max="3077" width="10.7109375" style="70" customWidth="1"/>
    <col min="3078" max="3078" width="6.42578125" style="70" customWidth="1"/>
    <col min="3079" max="3080" width="12.7109375" style="70" customWidth="1"/>
    <col min="3081" max="3081" width="18.28515625" style="70" customWidth="1"/>
    <col min="3082" max="3082" width="16.140625" style="70" customWidth="1"/>
    <col min="3083" max="3083" width="30" style="70" customWidth="1"/>
    <col min="3084" max="3084" width="11.28515625" style="70" customWidth="1"/>
    <col min="3085" max="3088" width="9.140625" style="70"/>
    <col min="3089" max="3089" width="11" style="70" bestFit="1" customWidth="1"/>
    <col min="3090" max="3328" width="9.140625" style="70"/>
    <col min="3329" max="3329" width="5.28515625" style="70" customWidth="1"/>
    <col min="3330" max="3330" width="70.5703125" style="70" customWidth="1"/>
    <col min="3331" max="3331" width="13.42578125" style="70" customWidth="1"/>
    <col min="3332" max="3332" width="6.7109375" style="70" customWidth="1"/>
    <col min="3333" max="3333" width="10.7109375" style="70" customWidth="1"/>
    <col min="3334" max="3334" width="6.42578125" style="70" customWidth="1"/>
    <col min="3335" max="3336" width="12.7109375" style="70" customWidth="1"/>
    <col min="3337" max="3337" width="18.28515625" style="70" customWidth="1"/>
    <col min="3338" max="3338" width="16.140625" style="70" customWidth="1"/>
    <col min="3339" max="3339" width="30" style="70" customWidth="1"/>
    <col min="3340" max="3340" width="11.28515625" style="70" customWidth="1"/>
    <col min="3341" max="3344" width="9.140625" style="70"/>
    <col min="3345" max="3345" width="11" style="70" bestFit="1" customWidth="1"/>
    <col min="3346" max="3584" width="9.140625" style="70"/>
    <col min="3585" max="3585" width="5.28515625" style="70" customWidth="1"/>
    <col min="3586" max="3586" width="70.5703125" style="70" customWidth="1"/>
    <col min="3587" max="3587" width="13.42578125" style="70" customWidth="1"/>
    <col min="3588" max="3588" width="6.7109375" style="70" customWidth="1"/>
    <col min="3589" max="3589" width="10.7109375" style="70" customWidth="1"/>
    <col min="3590" max="3590" width="6.42578125" style="70" customWidth="1"/>
    <col min="3591" max="3592" width="12.7109375" style="70" customWidth="1"/>
    <col min="3593" max="3593" width="18.28515625" style="70" customWidth="1"/>
    <col min="3594" max="3594" width="16.140625" style="70" customWidth="1"/>
    <col min="3595" max="3595" width="30" style="70" customWidth="1"/>
    <col min="3596" max="3596" width="11.28515625" style="70" customWidth="1"/>
    <col min="3597" max="3600" width="9.140625" style="70"/>
    <col min="3601" max="3601" width="11" style="70" bestFit="1" customWidth="1"/>
    <col min="3602" max="3840" width="9.140625" style="70"/>
    <col min="3841" max="3841" width="5.28515625" style="70" customWidth="1"/>
    <col min="3842" max="3842" width="70.5703125" style="70" customWidth="1"/>
    <col min="3843" max="3843" width="13.42578125" style="70" customWidth="1"/>
    <col min="3844" max="3844" width="6.7109375" style="70" customWidth="1"/>
    <col min="3845" max="3845" width="10.7109375" style="70" customWidth="1"/>
    <col min="3846" max="3846" width="6.42578125" style="70" customWidth="1"/>
    <col min="3847" max="3848" width="12.7109375" style="70" customWidth="1"/>
    <col min="3849" max="3849" width="18.28515625" style="70" customWidth="1"/>
    <col min="3850" max="3850" width="16.140625" style="70" customWidth="1"/>
    <col min="3851" max="3851" width="30" style="70" customWidth="1"/>
    <col min="3852" max="3852" width="11.28515625" style="70" customWidth="1"/>
    <col min="3853" max="3856" width="9.140625" style="70"/>
    <col min="3857" max="3857" width="11" style="70" bestFit="1" customWidth="1"/>
    <col min="3858" max="4096" width="9.140625" style="70"/>
    <col min="4097" max="4097" width="5.28515625" style="70" customWidth="1"/>
    <col min="4098" max="4098" width="70.5703125" style="70" customWidth="1"/>
    <col min="4099" max="4099" width="13.42578125" style="70" customWidth="1"/>
    <col min="4100" max="4100" width="6.7109375" style="70" customWidth="1"/>
    <col min="4101" max="4101" width="10.7109375" style="70" customWidth="1"/>
    <col min="4102" max="4102" width="6.42578125" style="70" customWidth="1"/>
    <col min="4103" max="4104" width="12.7109375" style="70" customWidth="1"/>
    <col min="4105" max="4105" width="18.28515625" style="70" customWidth="1"/>
    <col min="4106" max="4106" width="16.140625" style="70" customWidth="1"/>
    <col min="4107" max="4107" width="30" style="70" customWidth="1"/>
    <col min="4108" max="4108" width="11.28515625" style="70" customWidth="1"/>
    <col min="4109" max="4112" width="9.140625" style="70"/>
    <col min="4113" max="4113" width="11" style="70" bestFit="1" customWidth="1"/>
    <col min="4114" max="4352" width="9.140625" style="70"/>
    <col min="4353" max="4353" width="5.28515625" style="70" customWidth="1"/>
    <col min="4354" max="4354" width="70.5703125" style="70" customWidth="1"/>
    <col min="4355" max="4355" width="13.42578125" style="70" customWidth="1"/>
    <col min="4356" max="4356" width="6.7109375" style="70" customWidth="1"/>
    <col min="4357" max="4357" width="10.7109375" style="70" customWidth="1"/>
    <col min="4358" max="4358" width="6.42578125" style="70" customWidth="1"/>
    <col min="4359" max="4360" width="12.7109375" style="70" customWidth="1"/>
    <col min="4361" max="4361" width="18.28515625" style="70" customWidth="1"/>
    <col min="4362" max="4362" width="16.140625" style="70" customWidth="1"/>
    <col min="4363" max="4363" width="30" style="70" customWidth="1"/>
    <col min="4364" max="4364" width="11.28515625" style="70" customWidth="1"/>
    <col min="4365" max="4368" width="9.140625" style="70"/>
    <col min="4369" max="4369" width="11" style="70" bestFit="1" customWidth="1"/>
    <col min="4370" max="4608" width="9.140625" style="70"/>
    <col min="4609" max="4609" width="5.28515625" style="70" customWidth="1"/>
    <col min="4610" max="4610" width="70.5703125" style="70" customWidth="1"/>
    <col min="4611" max="4611" width="13.42578125" style="70" customWidth="1"/>
    <col min="4612" max="4612" width="6.7109375" style="70" customWidth="1"/>
    <col min="4613" max="4613" width="10.7109375" style="70" customWidth="1"/>
    <col min="4614" max="4614" width="6.42578125" style="70" customWidth="1"/>
    <col min="4615" max="4616" width="12.7109375" style="70" customWidth="1"/>
    <col min="4617" max="4617" width="18.28515625" style="70" customWidth="1"/>
    <col min="4618" max="4618" width="16.140625" style="70" customWidth="1"/>
    <col min="4619" max="4619" width="30" style="70" customWidth="1"/>
    <col min="4620" max="4620" width="11.28515625" style="70" customWidth="1"/>
    <col min="4621" max="4624" width="9.140625" style="70"/>
    <col min="4625" max="4625" width="11" style="70" bestFit="1" customWidth="1"/>
    <col min="4626" max="4864" width="9.140625" style="70"/>
    <col min="4865" max="4865" width="5.28515625" style="70" customWidth="1"/>
    <col min="4866" max="4866" width="70.5703125" style="70" customWidth="1"/>
    <col min="4867" max="4867" width="13.42578125" style="70" customWidth="1"/>
    <col min="4868" max="4868" width="6.7109375" style="70" customWidth="1"/>
    <col min="4869" max="4869" width="10.7109375" style="70" customWidth="1"/>
    <col min="4870" max="4870" width="6.42578125" style="70" customWidth="1"/>
    <col min="4871" max="4872" width="12.7109375" style="70" customWidth="1"/>
    <col min="4873" max="4873" width="18.28515625" style="70" customWidth="1"/>
    <col min="4874" max="4874" width="16.140625" style="70" customWidth="1"/>
    <col min="4875" max="4875" width="30" style="70" customWidth="1"/>
    <col min="4876" max="4876" width="11.28515625" style="70" customWidth="1"/>
    <col min="4877" max="4880" width="9.140625" style="70"/>
    <col min="4881" max="4881" width="11" style="70" bestFit="1" customWidth="1"/>
    <col min="4882" max="5120" width="9.140625" style="70"/>
    <col min="5121" max="5121" width="5.28515625" style="70" customWidth="1"/>
    <col min="5122" max="5122" width="70.5703125" style="70" customWidth="1"/>
    <col min="5123" max="5123" width="13.42578125" style="70" customWidth="1"/>
    <col min="5124" max="5124" width="6.7109375" style="70" customWidth="1"/>
    <col min="5125" max="5125" width="10.7109375" style="70" customWidth="1"/>
    <col min="5126" max="5126" width="6.42578125" style="70" customWidth="1"/>
    <col min="5127" max="5128" width="12.7109375" style="70" customWidth="1"/>
    <col min="5129" max="5129" width="18.28515625" style="70" customWidth="1"/>
    <col min="5130" max="5130" width="16.140625" style="70" customWidth="1"/>
    <col min="5131" max="5131" width="30" style="70" customWidth="1"/>
    <col min="5132" max="5132" width="11.28515625" style="70" customWidth="1"/>
    <col min="5133" max="5136" width="9.140625" style="70"/>
    <col min="5137" max="5137" width="11" style="70" bestFit="1" customWidth="1"/>
    <col min="5138" max="5376" width="9.140625" style="70"/>
    <col min="5377" max="5377" width="5.28515625" style="70" customWidth="1"/>
    <col min="5378" max="5378" width="70.5703125" style="70" customWidth="1"/>
    <col min="5379" max="5379" width="13.42578125" style="70" customWidth="1"/>
    <col min="5380" max="5380" width="6.7109375" style="70" customWidth="1"/>
    <col min="5381" max="5381" width="10.7109375" style="70" customWidth="1"/>
    <col min="5382" max="5382" width="6.42578125" style="70" customWidth="1"/>
    <col min="5383" max="5384" width="12.7109375" style="70" customWidth="1"/>
    <col min="5385" max="5385" width="18.28515625" style="70" customWidth="1"/>
    <col min="5386" max="5386" width="16.140625" style="70" customWidth="1"/>
    <col min="5387" max="5387" width="30" style="70" customWidth="1"/>
    <col min="5388" max="5388" width="11.28515625" style="70" customWidth="1"/>
    <col min="5389" max="5392" width="9.140625" style="70"/>
    <col min="5393" max="5393" width="11" style="70" bestFit="1" customWidth="1"/>
    <col min="5394" max="5632" width="9.140625" style="70"/>
    <col min="5633" max="5633" width="5.28515625" style="70" customWidth="1"/>
    <col min="5634" max="5634" width="70.5703125" style="70" customWidth="1"/>
    <col min="5635" max="5635" width="13.42578125" style="70" customWidth="1"/>
    <col min="5636" max="5636" width="6.7109375" style="70" customWidth="1"/>
    <col min="5637" max="5637" width="10.7109375" style="70" customWidth="1"/>
    <col min="5638" max="5638" width="6.42578125" style="70" customWidth="1"/>
    <col min="5639" max="5640" width="12.7109375" style="70" customWidth="1"/>
    <col min="5641" max="5641" width="18.28515625" style="70" customWidth="1"/>
    <col min="5642" max="5642" width="16.140625" style="70" customWidth="1"/>
    <col min="5643" max="5643" width="30" style="70" customWidth="1"/>
    <col min="5644" max="5644" width="11.28515625" style="70" customWidth="1"/>
    <col min="5645" max="5648" width="9.140625" style="70"/>
    <col min="5649" max="5649" width="11" style="70" bestFit="1" customWidth="1"/>
    <col min="5650" max="5888" width="9.140625" style="70"/>
    <col min="5889" max="5889" width="5.28515625" style="70" customWidth="1"/>
    <col min="5890" max="5890" width="70.5703125" style="70" customWidth="1"/>
    <col min="5891" max="5891" width="13.42578125" style="70" customWidth="1"/>
    <col min="5892" max="5892" width="6.7109375" style="70" customWidth="1"/>
    <col min="5893" max="5893" width="10.7109375" style="70" customWidth="1"/>
    <col min="5894" max="5894" width="6.42578125" style="70" customWidth="1"/>
    <col min="5895" max="5896" width="12.7109375" style="70" customWidth="1"/>
    <col min="5897" max="5897" width="18.28515625" style="70" customWidth="1"/>
    <col min="5898" max="5898" width="16.140625" style="70" customWidth="1"/>
    <col min="5899" max="5899" width="30" style="70" customWidth="1"/>
    <col min="5900" max="5900" width="11.28515625" style="70" customWidth="1"/>
    <col min="5901" max="5904" width="9.140625" style="70"/>
    <col min="5905" max="5905" width="11" style="70" bestFit="1" customWidth="1"/>
    <col min="5906" max="6144" width="9.140625" style="70"/>
    <col min="6145" max="6145" width="5.28515625" style="70" customWidth="1"/>
    <col min="6146" max="6146" width="70.5703125" style="70" customWidth="1"/>
    <col min="6147" max="6147" width="13.42578125" style="70" customWidth="1"/>
    <col min="6148" max="6148" width="6.7109375" style="70" customWidth="1"/>
    <col min="6149" max="6149" width="10.7109375" style="70" customWidth="1"/>
    <col min="6150" max="6150" width="6.42578125" style="70" customWidth="1"/>
    <col min="6151" max="6152" width="12.7109375" style="70" customWidth="1"/>
    <col min="6153" max="6153" width="18.28515625" style="70" customWidth="1"/>
    <col min="6154" max="6154" width="16.140625" style="70" customWidth="1"/>
    <col min="6155" max="6155" width="30" style="70" customWidth="1"/>
    <col min="6156" max="6156" width="11.28515625" style="70" customWidth="1"/>
    <col min="6157" max="6160" width="9.140625" style="70"/>
    <col min="6161" max="6161" width="11" style="70" bestFit="1" customWidth="1"/>
    <col min="6162" max="6400" width="9.140625" style="70"/>
    <col min="6401" max="6401" width="5.28515625" style="70" customWidth="1"/>
    <col min="6402" max="6402" width="70.5703125" style="70" customWidth="1"/>
    <col min="6403" max="6403" width="13.42578125" style="70" customWidth="1"/>
    <col min="6404" max="6404" width="6.7109375" style="70" customWidth="1"/>
    <col min="6405" max="6405" width="10.7109375" style="70" customWidth="1"/>
    <col min="6406" max="6406" width="6.42578125" style="70" customWidth="1"/>
    <col min="6407" max="6408" width="12.7109375" style="70" customWidth="1"/>
    <col min="6409" max="6409" width="18.28515625" style="70" customWidth="1"/>
    <col min="6410" max="6410" width="16.140625" style="70" customWidth="1"/>
    <col min="6411" max="6411" width="30" style="70" customWidth="1"/>
    <col min="6412" max="6412" width="11.28515625" style="70" customWidth="1"/>
    <col min="6413" max="6416" width="9.140625" style="70"/>
    <col min="6417" max="6417" width="11" style="70" bestFit="1" customWidth="1"/>
    <col min="6418" max="6656" width="9.140625" style="70"/>
    <col min="6657" max="6657" width="5.28515625" style="70" customWidth="1"/>
    <col min="6658" max="6658" width="70.5703125" style="70" customWidth="1"/>
    <col min="6659" max="6659" width="13.42578125" style="70" customWidth="1"/>
    <col min="6660" max="6660" width="6.7109375" style="70" customWidth="1"/>
    <col min="6661" max="6661" width="10.7109375" style="70" customWidth="1"/>
    <col min="6662" max="6662" width="6.42578125" style="70" customWidth="1"/>
    <col min="6663" max="6664" width="12.7109375" style="70" customWidth="1"/>
    <col min="6665" max="6665" width="18.28515625" style="70" customWidth="1"/>
    <col min="6666" max="6666" width="16.140625" style="70" customWidth="1"/>
    <col min="6667" max="6667" width="30" style="70" customWidth="1"/>
    <col min="6668" max="6668" width="11.28515625" style="70" customWidth="1"/>
    <col min="6669" max="6672" width="9.140625" style="70"/>
    <col min="6673" max="6673" width="11" style="70" bestFit="1" customWidth="1"/>
    <col min="6674" max="6912" width="9.140625" style="70"/>
    <col min="6913" max="6913" width="5.28515625" style="70" customWidth="1"/>
    <col min="6914" max="6914" width="70.5703125" style="70" customWidth="1"/>
    <col min="6915" max="6915" width="13.42578125" style="70" customWidth="1"/>
    <col min="6916" max="6916" width="6.7109375" style="70" customWidth="1"/>
    <col min="6917" max="6917" width="10.7109375" style="70" customWidth="1"/>
    <col min="6918" max="6918" width="6.42578125" style="70" customWidth="1"/>
    <col min="6919" max="6920" width="12.7109375" style="70" customWidth="1"/>
    <col min="6921" max="6921" width="18.28515625" style="70" customWidth="1"/>
    <col min="6922" max="6922" width="16.140625" style="70" customWidth="1"/>
    <col min="6923" max="6923" width="30" style="70" customWidth="1"/>
    <col min="6924" max="6924" width="11.28515625" style="70" customWidth="1"/>
    <col min="6925" max="6928" width="9.140625" style="70"/>
    <col min="6929" max="6929" width="11" style="70" bestFit="1" customWidth="1"/>
    <col min="6930" max="7168" width="9.140625" style="70"/>
    <col min="7169" max="7169" width="5.28515625" style="70" customWidth="1"/>
    <col min="7170" max="7170" width="70.5703125" style="70" customWidth="1"/>
    <col min="7171" max="7171" width="13.42578125" style="70" customWidth="1"/>
    <col min="7172" max="7172" width="6.7109375" style="70" customWidth="1"/>
    <col min="7173" max="7173" width="10.7109375" style="70" customWidth="1"/>
    <col min="7174" max="7174" width="6.42578125" style="70" customWidth="1"/>
    <col min="7175" max="7176" width="12.7109375" style="70" customWidth="1"/>
    <col min="7177" max="7177" width="18.28515625" style="70" customWidth="1"/>
    <col min="7178" max="7178" width="16.140625" style="70" customWidth="1"/>
    <col min="7179" max="7179" width="30" style="70" customWidth="1"/>
    <col min="7180" max="7180" width="11.28515625" style="70" customWidth="1"/>
    <col min="7181" max="7184" width="9.140625" style="70"/>
    <col min="7185" max="7185" width="11" style="70" bestFit="1" customWidth="1"/>
    <col min="7186" max="7424" width="9.140625" style="70"/>
    <col min="7425" max="7425" width="5.28515625" style="70" customWidth="1"/>
    <col min="7426" max="7426" width="70.5703125" style="70" customWidth="1"/>
    <col min="7427" max="7427" width="13.42578125" style="70" customWidth="1"/>
    <col min="7428" max="7428" width="6.7109375" style="70" customWidth="1"/>
    <col min="7429" max="7429" width="10.7109375" style="70" customWidth="1"/>
    <col min="7430" max="7430" width="6.42578125" style="70" customWidth="1"/>
    <col min="7431" max="7432" width="12.7109375" style="70" customWidth="1"/>
    <col min="7433" max="7433" width="18.28515625" style="70" customWidth="1"/>
    <col min="7434" max="7434" width="16.140625" style="70" customWidth="1"/>
    <col min="7435" max="7435" width="30" style="70" customWidth="1"/>
    <col min="7436" max="7436" width="11.28515625" style="70" customWidth="1"/>
    <col min="7437" max="7440" width="9.140625" style="70"/>
    <col min="7441" max="7441" width="11" style="70" bestFit="1" customWidth="1"/>
    <col min="7442" max="7680" width="9.140625" style="70"/>
    <col min="7681" max="7681" width="5.28515625" style="70" customWidth="1"/>
    <col min="7682" max="7682" width="70.5703125" style="70" customWidth="1"/>
    <col min="7683" max="7683" width="13.42578125" style="70" customWidth="1"/>
    <col min="7684" max="7684" width="6.7109375" style="70" customWidth="1"/>
    <col min="7685" max="7685" width="10.7109375" style="70" customWidth="1"/>
    <col min="7686" max="7686" width="6.42578125" style="70" customWidth="1"/>
    <col min="7687" max="7688" width="12.7109375" style="70" customWidth="1"/>
    <col min="7689" max="7689" width="18.28515625" style="70" customWidth="1"/>
    <col min="7690" max="7690" width="16.140625" style="70" customWidth="1"/>
    <col min="7691" max="7691" width="30" style="70" customWidth="1"/>
    <col min="7692" max="7692" width="11.28515625" style="70" customWidth="1"/>
    <col min="7693" max="7696" width="9.140625" style="70"/>
    <col min="7697" max="7697" width="11" style="70" bestFit="1" customWidth="1"/>
    <col min="7698" max="7936" width="9.140625" style="70"/>
    <col min="7937" max="7937" width="5.28515625" style="70" customWidth="1"/>
    <col min="7938" max="7938" width="70.5703125" style="70" customWidth="1"/>
    <col min="7939" max="7939" width="13.42578125" style="70" customWidth="1"/>
    <col min="7940" max="7940" width="6.7109375" style="70" customWidth="1"/>
    <col min="7941" max="7941" width="10.7109375" style="70" customWidth="1"/>
    <col min="7942" max="7942" width="6.42578125" style="70" customWidth="1"/>
    <col min="7943" max="7944" width="12.7109375" style="70" customWidth="1"/>
    <col min="7945" max="7945" width="18.28515625" style="70" customWidth="1"/>
    <col min="7946" max="7946" width="16.140625" style="70" customWidth="1"/>
    <col min="7947" max="7947" width="30" style="70" customWidth="1"/>
    <col min="7948" max="7948" width="11.28515625" style="70" customWidth="1"/>
    <col min="7949" max="7952" width="9.140625" style="70"/>
    <col min="7953" max="7953" width="11" style="70" bestFit="1" customWidth="1"/>
    <col min="7954" max="8192" width="9.140625" style="70"/>
    <col min="8193" max="8193" width="5.28515625" style="70" customWidth="1"/>
    <col min="8194" max="8194" width="70.5703125" style="70" customWidth="1"/>
    <col min="8195" max="8195" width="13.42578125" style="70" customWidth="1"/>
    <col min="8196" max="8196" width="6.7109375" style="70" customWidth="1"/>
    <col min="8197" max="8197" width="10.7109375" style="70" customWidth="1"/>
    <col min="8198" max="8198" width="6.42578125" style="70" customWidth="1"/>
    <col min="8199" max="8200" width="12.7109375" style="70" customWidth="1"/>
    <col min="8201" max="8201" width="18.28515625" style="70" customWidth="1"/>
    <col min="8202" max="8202" width="16.140625" style="70" customWidth="1"/>
    <col min="8203" max="8203" width="30" style="70" customWidth="1"/>
    <col min="8204" max="8204" width="11.28515625" style="70" customWidth="1"/>
    <col min="8205" max="8208" width="9.140625" style="70"/>
    <col min="8209" max="8209" width="11" style="70" bestFit="1" customWidth="1"/>
    <col min="8210" max="8448" width="9.140625" style="70"/>
    <col min="8449" max="8449" width="5.28515625" style="70" customWidth="1"/>
    <col min="8450" max="8450" width="70.5703125" style="70" customWidth="1"/>
    <col min="8451" max="8451" width="13.42578125" style="70" customWidth="1"/>
    <col min="8452" max="8452" width="6.7109375" style="70" customWidth="1"/>
    <col min="8453" max="8453" width="10.7109375" style="70" customWidth="1"/>
    <col min="8454" max="8454" width="6.42578125" style="70" customWidth="1"/>
    <col min="8455" max="8456" width="12.7109375" style="70" customWidth="1"/>
    <col min="8457" max="8457" width="18.28515625" style="70" customWidth="1"/>
    <col min="8458" max="8458" width="16.140625" style="70" customWidth="1"/>
    <col min="8459" max="8459" width="30" style="70" customWidth="1"/>
    <col min="8460" max="8460" width="11.28515625" style="70" customWidth="1"/>
    <col min="8461" max="8464" width="9.140625" style="70"/>
    <col min="8465" max="8465" width="11" style="70" bestFit="1" customWidth="1"/>
    <col min="8466" max="8704" width="9.140625" style="70"/>
    <col min="8705" max="8705" width="5.28515625" style="70" customWidth="1"/>
    <col min="8706" max="8706" width="70.5703125" style="70" customWidth="1"/>
    <col min="8707" max="8707" width="13.42578125" style="70" customWidth="1"/>
    <col min="8708" max="8708" width="6.7109375" style="70" customWidth="1"/>
    <col min="8709" max="8709" width="10.7109375" style="70" customWidth="1"/>
    <col min="8710" max="8710" width="6.42578125" style="70" customWidth="1"/>
    <col min="8711" max="8712" width="12.7109375" style="70" customWidth="1"/>
    <col min="8713" max="8713" width="18.28515625" style="70" customWidth="1"/>
    <col min="8714" max="8714" width="16.140625" style="70" customWidth="1"/>
    <col min="8715" max="8715" width="30" style="70" customWidth="1"/>
    <col min="8716" max="8716" width="11.28515625" style="70" customWidth="1"/>
    <col min="8717" max="8720" width="9.140625" style="70"/>
    <col min="8721" max="8721" width="11" style="70" bestFit="1" customWidth="1"/>
    <col min="8722" max="8960" width="9.140625" style="70"/>
    <col min="8961" max="8961" width="5.28515625" style="70" customWidth="1"/>
    <col min="8962" max="8962" width="70.5703125" style="70" customWidth="1"/>
    <col min="8963" max="8963" width="13.42578125" style="70" customWidth="1"/>
    <col min="8964" max="8964" width="6.7109375" style="70" customWidth="1"/>
    <col min="8965" max="8965" width="10.7109375" style="70" customWidth="1"/>
    <col min="8966" max="8966" width="6.42578125" style="70" customWidth="1"/>
    <col min="8967" max="8968" width="12.7109375" style="70" customWidth="1"/>
    <col min="8969" max="8969" width="18.28515625" style="70" customWidth="1"/>
    <col min="8970" max="8970" width="16.140625" style="70" customWidth="1"/>
    <col min="8971" max="8971" width="30" style="70" customWidth="1"/>
    <col min="8972" max="8972" width="11.28515625" style="70" customWidth="1"/>
    <col min="8973" max="8976" width="9.140625" style="70"/>
    <col min="8977" max="8977" width="11" style="70" bestFit="1" customWidth="1"/>
    <col min="8978" max="9216" width="9.140625" style="70"/>
    <col min="9217" max="9217" width="5.28515625" style="70" customWidth="1"/>
    <col min="9218" max="9218" width="70.5703125" style="70" customWidth="1"/>
    <col min="9219" max="9219" width="13.42578125" style="70" customWidth="1"/>
    <col min="9220" max="9220" width="6.7109375" style="70" customWidth="1"/>
    <col min="9221" max="9221" width="10.7109375" style="70" customWidth="1"/>
    <col min="9222" max="9222" width="6.42578125" style="70" customWidth="1"/>
    <col min="9223" max="9224" width="12.7109375" style="70" customWidth="1"/>
    <col min="9225" max="9225" width="18.28515625" style="70" customWidth="1"/>
    <col min="9226" max="9226" width="16.140625" style="70" customWidth="1"/>
    <col min="9227" max="9227" width="30" style="70" customWidth="1"/>
    <col min="9228" max="9228" width="11.28515625" style="70" customWidth="1"/>
    <col min="9229" max="9232" width="9.140625" style="70"/>
    <col min="9233" max="9233" width="11" style="70" bestFit="1" customWidth="1"/>
    <col min="9234" max="9472" width="9.140625" style="70"/>
    <col min="9473" max="9473" width="5.28515625" style="70" customWidth="1"/>
    <col min="9474" max="9474" width="70.5703125" style="70" customWidth="1"/>
    <col min="9475" max="9475" width="13.42578125" style="70" customWidth="1"/>
    <col min="9476" max="9476" width="6.7109375" style="70" customWidth="1"/>
    <col min="9477" max="9477" width="10.7109375" style="70" customWidth="1"/>
    <col min="9478" max="9478" width="6.42578125" style="70" customWidth="1"/>
    <col min="9479" max="9480" width="12.7109375" style="70" customWidth="1"/>
    <col min="9481" max="9481" width="18.28515625" style="70" customWidth="1"/>
    <col min="9482" max="9482" width="16.140625" style="70" customWidth="1"/>
    <col min="9483" max="9483" width="30" style="70" customWidth="1"/>
    <col min="9484" max="9484" width="11.28515625" style="70" customWidth="1"/>
    <col min="9485" max="9488" width="9.140625" style="70"/>
    <col min="9489" max="9489" width="11" style="70" bestFit="1" customWidth="1"/>
    <col min="9490" max="9728" width="9.140625" style="70"/>
    <col min="9729" max="9729" width="5.28515625" style="70" customWidth="1"/>
    <col min="9730" max="9730" width="70.5703125" style="70" customWidth="1"/>
    <col min="9731" max="9731" width="13.42578125" style="70" customWidth="1"/>
    <col min="9732" max="9732" width="6.7109375" style="70" customWidth="1"/>
    <col min="9733" max="9733" width="10.7109375" style="70" customWidth="1"/>
    <col min="9734" max="9734" width="6.42578125" style="70" customWidth="1"/>
    <col min="9735" max="9736" width="12.7109375" style="70" customWidth="1"/>
    <col min="9737" max="9737" width="18.28515625" style="70" customWidth="1"/>
    <col min="9738" max="9738" width="16.140625" style="70" customWidth="1"/>
    <col min="9739" max="9739" width="30" style="70" customWidth="1"/>
    <col min="9740" max="9740" width="11.28515625" style="70" customWidth="1"/>
    <col min="9741" max="9744" width="9.140625" style="70"/>
    <col min="9745" max="9745" width="11" style="70" bestFit="1" customWidth="1"/>
    <col min="9746" max="9984" width="9.140625" style="70"/>
    <col min="9985" max="9985" width="5.28515625" style="70" customWidth="1"/>
    <col min="9986" max="9986" width="70.5703125" style="70" customWidth="1"/>
    <col min="9987" max="9987" width="13.42578125" style="70" customWidth="1"/>
    <col min="9988" max="9988" width="6.7109375" style="70" customWidth="1"/>
    <col min="9989" max="9989" width="10.7109375" style="70" customWidth="1"/>
    <col min="9990" max="9990" width="6.42578125" style="70" customWidth="1"/>
    <col min="9991" max="9992" width="12.7109375" style="70" customWidth="1"/>
    <col min="9993" max="9993" width="18.28515625" style="70" customWidth="1"/>
    <col min="9994" max="9994" width="16.140625" style="70" customWidth="1"/>
    <col min="9995" max="9995" width="30" style="70" customWidth="1"/>
    <col min="9996" max="9996" width="11.28515625" style="70" customWidth="1"/>
    <col min="9997" max="10000" width="9.140625" style="70"/>
    <col min="10001" max="10001" width="11" style="70" bestFit="1" customWidth="1"/>
    <col min="10002" max="10240" width="9.140625" style="70"/>
    <col min="10241" max="10241" width="5.28515625" style="70" customWidth="1"/>
    <col min="10242" max="10242" width="70.5703125" style="70" customWidth="1"/>
    <col min="10243" max="10243" width="13.42578125" style="70" customWidth="1"/>
    <col min="10244" max="10244" width="6.7109375" style="70" customWidth="1"/>
    <col min="10245" max="10245" width="10.7109375" style="70" customWidth="1"/>
    <col min="10246" max="10246" width="6.42578125" style="70" customWidth="1"/>
    <col min="10247" max="10248" width="12.7109375" style="70" customWidth="1"/>
    <col min="10249" max="10249" width="18.28515625" style="70" customWidth="1"/>
    <col min="10250" max="10250" width="16.140625" style="70" customWidth="1"/>
    <col min="10251" max="10251" width="30" style="70" customWidth="1"/>
    <col min="10252" max="10252" width="11.28515625" style="70" customWidth="1"/>
    <col min="10253" max="10256" width="9.140625" style="70"/>
    <col min="10257" max="10257" width="11" style="70" bestFit="1" customWidth="1"/>
    <col min="10258" max="10496" width="9.140625" style="70"/>
    <col min="10497" max="10497" width="5.28515625" style="70" customWidth="1"/>
    <col min="10498" max="10498" width="70.5703125" style="70" customWidth="1"/>
    <col min="10499" max="10499" width="13.42578125" style="70" customWidth="1"/>
    <col min="10500" max="10500" width="6.7109375" style="70" customWidth="1"/>
    <col min="10501" max="10501" width="10.7109375" style="70" customWidth="1"/>
    <col min="10502" max="10502" width="6.42578125" style="70" customWidth="1"/>
    <col min="10503" max="10504" width="12.7109375" style="70" customWidth="1"/>
    <col min="10505" max="10505" width="18.28515625" style="70" customWidth="1"/>
    <col min="10506" max="10506" width="16.140625" style="70" customWidth="1"/>
    <col min="10507" max="10507" width="30" style="70" customWidth="1"/>
    <col min="10508" max="10508" width="11.28515625" style="70" customWidth="1"/>
    <col min="10509" max="10512" width="9.140625" style="70"/>
    <col min="10513" max="10513" width="11" style="70" bestFit="1" customWidth="1"/>
    <col min="10514" max="10752" width="9.140625" style="70"/>
    <col min="10753" max="10753" width="5.28515625" style="70" customWidth="1"/>
    <col min="10754" max="10754" width="70.5703125" style="70" customWidth="1"/>
    <col min="10755" max="10755" width="13.42578125" style="70" customWidth="1"/>
    <col min="10756" max="10756" width="6.7109375" style="70" customWidth="1"/>
    <col min="10757" max="10757" width="10.7109375" style="70" customWidth="1"/>
    <col min="10758" max="10758" width="6.42578125" style="70" customWidth="1"/>
    <col min="10759" max="10760" width="12.7109375" style="70" customWidth="1"/>
    <col min="10761" max="10761" width="18.28515625" style="70" customWidth="1"/>
    <col min="10762" max="10762" width="16.140625" style="70" customWidth="1"/>
    <col min="10763" max="10763" width="30" style="70" customWidth="1"/>
    <col min="10764" max="10764" width="11.28515625" style="70" customWidth="1"/>
    <col min="10765" max="10768" width="9.140625" style="70"/>
    <col min="10769" max="10769" width="11" style="70" bestFit="1" customWidth="1"/>
    <col min="10770" max="11008" width="9.140625" style="70"/>
    <col min="11009" max="11009" width="5.28515625" style="70" customWidth="1"/>
    <col min="11010" max="11010" width="70.5703125" style="70" customWidth="1"/>
    <col min="11011" max="11011" width="13.42578125" style="70" customWidth="1"/>
    <col min="11012" max="11012" width="6.7109375" style="70" customWidth="1"/>
    <col min="11013" max="11013" width="10.7109375" style="70" customWidth="1"/>
    <col min="11014" max="11014" width="6.42578125" style="70" customWidth="1"/>
    <col min="11015" max="11016" width="12.7109375" style="70" customWidth="1"/>
    <col min="11017" max="11017" width="18.28515625" style="70" customWidth="1"/>
    <col min="11018" max="11018" width="16.140625" style="70" customWidth="1"/>
    <col min="11019" max="11019" width="30" style="70" customWidth="1"/>
    <col min="11020" max="11020" width="11.28515625" style="70" customWidth="1"/>
    <col min="11021" max="11024" width="9.140625" style="70"/>
    <col min="11025" max="11025" width="11" style="70" bestFit="1" customWidth="1"/>
    <col min="11026" max="11264" width="9.140625" style="70"/>
    <col min="11265" max="11265" width="5.28515625" style="70" customWidth="1"/>
    <col min="11266" max="11266" width="70.5703125" style="70" customWidth="1"/>
    <col min="11267" max="11267" width="13.42578125" style="70" customWidth="1"/>
    <col min="11268" max="11268" width="6.7109375" style="70" customWidth="1"/>
    <col min="11269" max="11269" width="10.7109375" style="70" customWidth="1"/>
    <col min="11270" max="11270" width="6.42578125" style="70" customWidth="1"/>
    <col min="11271" max="11272" width="12.7109375" style="70" customWidth="1"/>
    <col min="11273" max="11273" width="18.28515625" style="70" customWidth="1"/>
    <col min="11274" max="11274" width="16.140625" style="70" customWidth="1"/>
    <col min="11275" max="11275" width="30" style="70" customWidth="1"/>
    <col min="11276" max="11276" width="11.28515625" style="70" customWidth="1"/>
    <col min="11277" max="11280" width="9.140625" style="70"/>
    <col min="11281" max="11281" width="11" style="70" bestFit="1" customWidth="1"/>
    <col min="11282" max="11520" width="9.140625" style="70"/>
    <col min="11521" max="11521" width="5.28515625" style="70" customWidth="1"/>
    <col min="11522" max="11522" width="70.5703125" style="70" customWidth="1"/>
    <col min="11523" max="11523" width="13.42578125" style="70" customWidth="1"/>
    <col min="11524" max="11524" width="6.7109375" style="70" customWidth="1"/>
    <col min="11525" max="11525" width="10.7109375" style="70" customWidth="1"/>
    <col min="11526" max="11526" width="6.42578125" style="70" customWidth="1"/>
    <col min="11527" max="11528" width="12.7109375" style="70" customWidth="1"/>
    <col min="11529" max="11529" width="18.28515625" style="70" customWidth="1"/>
    <col min="11530" max="11530" width="16.140625" style="70" customWidth="1"/>
    <col min="11531" max="11531" width="30" style="70" customWidth="1"/>
    <col min="11532" max="11532" width="11.28515625" style="70" customWidth="1"/>
    <col min="11533" max="11536" width="9.140625" style="70"/>
    <col min="11537" max="11537" width="11" style="70" bestFit="1" customWidth="1"/>
    <col min="11538" max="11776" width="9.140625" style="70"/>
    <col min="11777" max="11777" width="5.28515625" style="70" customWidth="1"/>
    <col min="11778" max="11778" width="70.5703125" style="70" customWidth="1"/>
    <col min="11779" max="11779" width="13.42578125" style="70" customWidth="1"/>
    <col min="11780" max="11780" width="6.7109375" style="70" customWidth="1"/>
    <col min="11781" max="11781" width="10.7109375" style="70" customWidth="1"/>
    <col min="11782" max="11782" width="6.42578125" style="70" customWidth="1"/>
    <col min="11783" max="11784" width="12.7109375" style="70" customWidth="1"/>
    <col min="11785" max="11785" width="18.28515625" style="70" customWidth="1"/>
    <col min="11786" max="11786" width="16.140625" style="70" customWidth="1"/>
    <col min="11787" max="11787" width="30" style="70" customWidth="1"/>
    <col min="11788" max="11788" width="11.28515625" style="70" customWidth="1"/>
    <col min="11789" max="11792" width="9.140625" style="70"/>
    <col min="11793" max="11793" width="11" style="70" bestFit="1" customWidth="1"/>
    <col min="11794" max="12032" width="9.140625" style="70"/>
    <col min="12033" max="12033" width="5.28515625" style="70" customWidth="1"/>
    <col min="12034" max="12034" width="70.5703125" style="70" customWidth="1"/>
    <col min="12035" max="12035" width="13.42578125" style="70" customWidth="1"/>
    <col min="12036" max="12036" width="6.7109375" style="70" customWidth="1"/>
    <col min="12037" max="12037" width="10.7109375" style="70" customWidth="1"/>
    <col min="12038" max="12038" width="6.42578125" style="70" customWidth="1"/>
    <col min="12039" max="12040" width="12.7109375" style="70" customWidth="1"/>
    <col min="12041" max="12041" width="18.28515625" style="70" customWidth="1"/>
    <col min="12042" max="12042" width="16.140625" style="70" customWidth="1"/>
    <col min="12043" max="12043" width="30" style="70" customWidth="1"/>
    <col min="12044" max="12044" width="11.28515625" style="70" customWidth="1"/>
    <col min="12045" max="12048" width="9.140625" style="70"/>
    <col min="12049" max="12049" width="11" style="70" bestFit="1" customWidth="1"/>
    <col min="12050" max="12288" width="9.140625" style="70"/>
    <col min="12289" max="12289" width="5.28515625" style="70" customWidth="1"/>
    <col min="12290" max="12290" width="70.5703125" style="70" customWidth="1"/>
    <col min="12291" max="12291" width="13.42578125" style="70" customWidth="1"/>
    <col min="12292" max="12292" width="6.7109375" style="70" customWidth="1"/>
    <col min="12293" max="12293" width="10.7109375" style="70" customWidth="1"/>
    <col min="12294" max="12294" width="6.42578125" style="70" customWidth="1"/>
    <col min="12295" max="12296" width="12.7109375" style="70" customWidth="1"/>
    <col min="12297" max="12297" width="18.28515625" style="70" customWidth="1"/>
    <col min="12298" max="12298" width="16.140625" style="70" customWidth="1"/>
    <col min="12299" max="12299" width="30" style="70" customWidth="1"/>
    <col min="12300" max="12300" width="11.28515625" style="70" customWidth="1"/>
    <col min="12301" max="12304" width="9.140625" style="70"/>
    <col min="12305" max="12305" width="11" style="70" bestFit="1" customWidth="1"/>
    <col min="12306" max="12544" width="9.140625" style="70"/>
    <col min="12545" max="12545" width="5.28515625" style="70" customWidth="1"/>
    <col min="12546" max="12546" width="70.5703125" style="70" customWidth="1"/>
    <col min="12547" max="12547" width="13.42578125" style="70" customWidth="1"/>
    <col min="12548" max="12548" width="6.7109375" style="70" customWidth="1"/>
    <col min="12549" max="12549" width="10.7109375" style="70" customWidth="1"/>
    <col min="12550" max="12550" width="6.42578125" style="70" customWidth="1"/>
    <col min="12551" max="12552" width="12.7109375" style="70" customWidth="1"/>
    <col min="12553" max="12553" width="18.28515625" style="70" customWidth="1"/>
    <col min="12554" max="12554" width="16.140625" style="70" customWidth="1"/>
    <col min="12555" max="12555" width="30" style="70" customWidth="1"/>
    <col min="12556" max="12556" width="11.28515625" style="70" customWidth="1"/>
    <col min="12557" max="12560" width="9.140625" style="70"/>
    <col min="12561" max="12561" width="11" style="70" bestFit="1" customWidth="1"/>
    <col min="12562" max="12800" width="9.140625" style="70"/>
    <col min="12801" max="12801" width="5.28515625" style="70" customWidth="1"/>
    <col min="12802" max="12802" width="70.5703125" style="70" customWidth="1"/>
    <col min="12803" max="12803" width="13.42578125" style="70" customWidth="1"/>
    <col min="12804" max="12804" width="6.7109375" style="70" customWidth="1"/>
    <col min="12805" max="12805" width="10.7109375" style="70" customWidth="1"/>
    <col min="12806" max="12806" width="6.42578125" style="70" customWidth="1"/>
    <col min="12807" max="12808" width="12.7109375" style="70" customWidth="1"/>
    <col min="12809" max="12809" width="18.28515625" style="70" customWidth="1"/>
    <col min="12810" max="12810" width="16.140625" style="70" customWidth="1"/>
    <col min="12811" max="12811" width="30" style="70" customWidth="1"/>
    <col min="12812" max="12812" width="11.28515625" style="70" customWidth="1"/>
    <col min="12813" max="12816" width="9.140625" style="70"/>
    <col min="12817" max="12817" width="11" style="70" bestFit="1" customWidth="1"/>
    <col min="12818" max="13056" width="9.140625" style="70"/>
    <col min="13057" max="13057" width="5.28515625" style="70" customWidth="1"/>
    <col min="13058" max="13058" width="70.5703125" style="70" customWidth="1"/>
    <col min="13059" max="13059" width="13.42578125" style="70" customWidth="1"/>
    <col min="13060" max="13060" width="6.7109375" style="70" customWidth="1"/>
    <col min="13061" max="13061" width="10.7109375" style="70" customWidth="1"/>
    <col min="13062" max="13062" width="6.42578125" style="70" customWidth="1"/>
    <col min="13063" max="13064" width="12.7109375" style="70" customWidth="1"/>
    <col min="13065" max="13065" width="18.28515625" style="70" customWidth="1"/>
    <col min="13066" max="13066" width="16.140625" style="70" customWidth="1"/>
    <col min="13067" max="13067" width="30" style="70" customWidth="1"/>
    <col min="13068" max="13068" width="11.28515625" style="70" customWidth="1"/>
    <col min="13069" max="13072" width="9.140625" style="70"/>
    <col min="13073" max="13073" width="11" style="70" bestFit="1" customWidth="1"/>
    <col min="13074" max="13312" width="9.140625" style="70"/>
    <col min="13313" max="13313" width="5.28515625" style="70" customWidth="1"/>
    <col min="13314" max="13314" width="70.5703125" style="70" customWidth="1"/>
    <col min="13315" max="13315" width="13.42578125" style="70" customWidth="1"/>
    <col min="13316" max="13316" width="6.7109375" style="70" customWidth="1"/>
    <col min="13317" max="13317" width="10.7109375" style="70" customWidth="1"/>
    <col min="13318" max="13318" width="6.42578125" style="70" customWidth="1"/>
    <col min="13319" max="13320" width="12.7109375" style="70" customWidth="1"/>
    <col min="13321" max="13321" width="18.28515625" style="70" customWidth="1"/>
    <col min="13322" max="13322" width="16.140625" style="70" customWidth="1"/>
    <col min="13323" max="13323" width="30" style="70" customWidth="1"/>
    <col min="13324" max="13324" width="11.28515625" style="70" customWidth="1"/>
    <col min="13325" max="13328" width="9.140625" style="70"/>
    <col min="13329" max="13329" width="11" style="70" bestFit="1" customWidth="1"/>
    <col min="13330" max="13568" width="9.140625" style="70"/>
    <col min="13569" max="13569" width="5.28515625" style="70" customWidth="1"/>
    <col min="13570" max="13570" width="70.5703125" style="70" customWidth="1"/>
    <col min="13571" max="13571" width="13.42578125" style="70" customWidth="1"/>
    <col min="13572" max="13572" width="6.7109375" style="70" customWidth="1"/>
    <col min="13573" max="13573" width="10.7109375" style="70" customWidth="1"/>
    <col min="13574" max="13574" width="6.42578125" style="70" customWidth="1"/>
    <col min="13575" max="13576" width="12.7109375" style="70" customWidth="1"/>
    <col min="13577" max="13577" width="18.28515625" style="70" customWidth="1"/>
    <col min="13578" max="13578" width="16.140625" style="70" customWidth="1"/>
    <col min="13579" max="13579" width="30" style="70" customWidth="1"/>
    <col min="13580" max="13580" width="11.28515625" style="70" customWidth="1"/>
    <col min="13581" max="13584" width="9.140625" style="70"/>
    <col min="13585" max="13585" width="11" style="70" bestFit="1" customWidth="1"/>
    <col min="13586" max="13824" width="9.140625" style="70"/>
    <col min="13825" max="13825" width="5.28515625" style="70" customWidth="1"/>
    <col min="13826" max="13826" width="70.5703125" style="70" customWidth="1"/>
    <col min="13827" max="13827" width="13.42578125" style="70" customWidth="1"/>
    <col min="13828" max="13828" width="6.7109375" style="70" customWidth="1"/>
    <col min="13829" max="13829" width="10.7109375" style="70" customWidth="1"/>
    <col min="13830" max="13830" width="6.42578125" style="70" customWidth="1"/>
    <col min="13831" max="13832" width="12.7109375" style="70" customWidth="1"/>
    <col min="13833" max="13833" width="18.28515625" style="70" customWidth="1"/>
    <col min="13834" max="13834" width="16.140625" style="70" customWidth="1"/>
    <col min="13835" max="13835" width="30" style="70" customWidth="1"/>
    <col min="13836" max="13836" width="11.28515625" style="70" customWidth="1"/>
    <col min="13837" max="13840" width="9.140625" style="70"/>
    <col min="13841" max="13841" width="11" style="70" bestFit="1" customWidth="1"/>
    <col min="13842" max="14080" width="9.140625" style="70"/>
    <col min="14081" max="14081" width="5.28515625" style="70" customWidth="1"/>
    <col min="14082" max="14082" width="70.5703125" style="70" customWidth="1"/>
    <col min="14083" max="14083" width="13.42578125" style="70" customWidth="1"/>
    <col min="14084" max="14084" width="6.7109375" style="70" customWidth="1"/>
    <col min="14085" max="14085" width="10.7109375" style="70" customWidth="1"/>
    <col min="14086" max="14086" width="6.42578125" style="70" customWidth="1"/>
    <col min="14087" max="14088" width="12.7109375" style="70" customWidth="1"/>
    <col min="14089" max="14089" width="18.28515625" style="70" customWidth="1"/>
    <col min="14090" max="14090" width="16.140625" style="70" customWidth="1"/>
    <col min="14091" max="14091" width="30" style="70" customWidth="1"/>
    <col min="14092" max="14092" width="11.28515625" style="70" customWidth="1"/>
    <col min="14093" max="14096" width="9.140625" style="70"/>
    <col min="14097" max="14097" width="11" style="70" bestFit="1" customWidth="1"/>
    <col min="14098" max="14336" width="9.140625" style="70"/>
    <col min="14337" max="14337" width="5.28515625" style="70" customWidth="1"/>
    <col min="14338" max="14338" width="70.5703125" style="70" customWidth="1"/>
    <col min="14339" max="14339" width="13.42578125" style="70" customWidth="1"/>
    <col min="14340" max="14340" width="6.7109375" style="70" customWidth="1"/>
    <col min="14341" max="14341" width="10.7109375" style="70" customWidth="1"/>
    <col min="14342" max="14342" width="6.42578125" style="70" customWidth="1"/>
    <col min="14343" max="14344" width="12.7109375" style="70" customWidth="1"/>
    <col min="14345" max="14345" width="18.28515625" style="70" customWidth="1"/>
    <col min="14346" max="14346" width="16.140625" style="70" customWidth="1"/>
    <col min="14347" max="14347" width="30" style="70" customWidth="1"/>
    <col min="14348" max="14348" width="11.28515625" style="70" customWidth="1"/>
    <col min="14349" max="14352" width="9.140625" style="70"/>
    <col min="14353" max="14353" width="11" style="70" bestFit="1" customWidth="1"/>
    <col min="14354" max="14592" width="9.140625" style="70"/>
    <col min="14593" max="14593" width="5.28515625" style="70" customWidth="1"/>
    <col min="14594" max="14594" width="70.5703125" style="70" customWidth="1"/>
    <col min="14595" max="14595" width="13.42578125" style="70" customWidth="1"/>
    <col min="14596" max="14596" width="6.7109375" style="70" customWidth="1"/>
    <col min="14597" max="14597" width="10.7109375" style="70" customWidth="1"/>
    <col min="14598" max="14598" width="6.42578125" style="70" customWidth="1"/>
    <col min="14599" max="14600" width="12.7109375" style="70" customWidth="1"/>
    <col min="14601" max="14601" width="18.28515625" style="70" customWidth="1"/>
    <col min="14602" max="14602" width="16.140625" style="70" customWidth="1"/>
    <col min="14603" max="14603" width="30" style="70" customWidth="1"/>
    <col min="14604" max="14604" width="11.28515625" style="70" customWidth="1"/>
    <col min="14605" max="14608" width="9.140625" style="70"/>
    <col min="14609" max="14609" width="11" style="70" bestFit="1" customWidth="1"/>
    <col min="14610" max="14848" width="9.140625" style="70"/>
    <col min="14849" max="14849" width="5.28515625" style="70" customWidth="1"/>
    <col min="14850" max="14850" width="70.5703125" style="70" customWidth="1"/>
    <col min="14851" max="14851" width="13.42578125" style="70" customWidth="1"/>
    <col min="14852" max="14852" width="6.7109375" style="70" customWidth="1"/>
    <col min="14853" max="14853" width="10.7109375" style="70" customWidth="1"/>
    <col min="14854" max="14854" width="6.42578125" style="70" customWidth="1"/>
    <col min="14855" max="14856" width="12.7109375" style="70" customWidth="1"/>
    <col min="14857" max="14857" width="18.28515625" style="70" customWidth="1"/>
    <col min="14858" max="14858" width="16.140625" style="70" customWidth="1"/>
    <col min="14859" max="14859" width="30" style="70" customWidth="1"/>
    <col min="14860" max="14860" width="11.28515625" style="70" customWidth="1"/>
    <col min="14861" max="14864" width="9.140625" style="70"/>
    <col min="14865" max="14865" width="11" style="70" bestFit="1" customWidth="1"/>
    <col min="14866" max="15104" width="9.140625" style="70"/>
    <col min="15105" max="15105" width="5.28515625" style="70" customWidth="1"/>
    <col min="15106" max="15106" width="70.5703125" style="70" customWidth="1"/>
    <col min="15107" max="15107" width="13.42578125" style="70" customWidth="1"/>
    <col min="15108" max="15108" width="6.7109375" style="70" customWidth="1"/>
    <col min="15109" max="15109" width="10.7109375" style="70" customWidth="1"/>
    <col min="15110" max="15110" width="6.42578125" style="70" customWidth="1"/>
    <col min="15111" max="15112" width="12.7109375" style="70" customWidth="1"/>
    <col min="15113" max="15113" width="18.28515625" style="70" customWidth="1"/>
    <col min="15114" max="15114" width="16.140625" style="70" customWidth="1"/>
    <col min="15115" max="15115" width="30" style="70" customWidth="1"/>
    <col min="15116" max="15116" width="11.28515625" style="70" customWidth="1"/>
    <col min="15117" max="15120" width="9.140625" style="70"/>
    <col min="15121" max="15121" width="11" style="70" bestFit="1" customWidth="1"/>
    <col min="15122" max="15360" width="9.140625" style="70"/>
    <col min="15361" max="15361" width="5.28515625" style="70" customWidth="1"/>
    <col min="15362" max="15362" width="70.5703125" style="70" customWidth="1"/>
    <col min="15363" max="15363" width="13.42578125" style="70" customWidth="1"/>
    <col min="15364" max="15364" width="6.7109375" style="70" customWidth="1"/>
    <col min="15365" max="15365" width="10.7109375" style="70" customWidth="1"/>
    <col min="15366" max="15366" width="6.42578125" style="70" customWidth="1"/>
    <col min="15367" max="15368" width="12.7109375" style="70" customWidth="1"/>
    <col min="15369" max="15369" width="18.28515625" style="70" customWidth="1"/>
    <col min="15370" max="15370" width="16.140625" style="70" customWidth="1"/>
    <col min="15371" max="15371" width="30" style="70" customWidth="1"/>
    <col min="15372" max="15372" width="11.28515625" style="70" customWidth="1"/>
    <col min="15373" max="15376" width="9.140625" style="70"/>
    <col min="15377" max="15377" width="11" style="70" bestFit="1" customWidth="1"/>
    <col min="15378" max="15616" width="9.140625" style="70"/>
    <col min="15617" max="15617" width="5.28515625" style="70" customWidth="1"/>
    <col min="15618" max="15618" width="70.5703125" style="70" customWidth="1"/>
    <col min="15619" max="15619" width="13.42578125" style="70" customWidth="1"/>
    <col min="15620" max="15620" width="6.7109375" style="70" customWidth="1"/>
    <col min="15621" max="15621" width="10.7109375" style="70" customWidth="1"/>
    <col min="15622" max="15622" width="6.42578125" style="70" customWidth="1"/>
    <col min="15623" max="15624" width="12.7109375" style="70" customWidth="1"/>
    <col min="15625" max="15625" width="18.28515625" style="70" customWidth="1"/>
    <col min="15626" max="15626" width="16.140625" style="70" customWidth="1"/>
    <col min="15627" max="15627" width="30" style="70" customWidth="1"/>
    <col min="15628" max="15628" width="11.28515625" style="70" customWidth="1"/>
    <col min="15629" max="15632" width="9.140625" style="70"/>
    <col min="15633" max="15633" width="11" style="70" bestFit="1" customWidth="1"/>
    <col min="15634" max="15872" width="9.140625" style="70"/>
    <col min="15873" max="15873" width="5.28515625" style="70" customWidth="1"/>
    <col min="15874" max="15874" width="70.5703125" style="70" customWidth="1"/>
    <col min="15875" max="15875" width="13.42578125" style="70" customWidth="1"/>
    <col min="15876" max="15876" width="6.7109375" style="70" customWidth="1"/>
    <col min="15877" max="15877" width="10.7109375" style="70" customWidth="1"/>
    <col min="15878" max="15878" width="6.42578125" style="70" customWidth="1"/>
    <col min="15879" max="15880" width="12.7109375" style="70" customWidth="1"/>
    <col min="15881" max="15881" width="18.28515625" style="70" customWidth="1"/>
    <col min="15882" max="15882" width="16.140625" style="70" customWidth="1"/>
    <col min="15883" max="15883" width="30" style="70" customWidth="1"/>
    <col min="15884" max="15884" width="11.28515625" style="70" customWidth="1"/>
    <col min="15885" max="15888" width="9.140625" style="70"/>
    <col min="15889" max="15889" width="11" style="70" bestFit="1" customWidth="1"/>
    <col min="15890" max="16128" width="9.140625" style="70"/>
    <col min="16129" max="16129" width="5.28515625" style="70" customWidth="1"/>
    <col min="16130" max="16130" width="70.5703125" style="70" customWidth="1"/>
    <col min="16131" max="16131" width="13.42578125" style="70" customWidth="1"/>
    <col min="16132" max="16132" width="6.7109375" style="70" customWidth="1"/>
    <col min="16133" max="16133" width="10.7109375" style="70" customWidth="1"/>
    <col min="16134" max="16134" width="6.42578125" style="70" customWidth="1"/>
    <col min="16135" max="16136" width="12.7109375" style="70" customWidth="1"/>
    <col min="16137" max="16137" width="18.28515625" style="70" customWidth="1"/>
    <col min="16138" max="16138" width="16.140625" style="70" customWidth="1"/>
    <col min="16139" max="16139" width="30" style="70" customWidth="1"/>
    <col min="16140" max="16140" width="11.28515625" style="70" customWidth="1"/>
    <col min="16141" max="16144" width="9.140625" style="70"/>
    <col min="16145" max="16145" width="11" style="70" bestFit="1" customWidth="1"/>
    <col min="16146" max="16384" width="9.140625" style="70"/>
  </cols>
  <sheetData>
    <row r="1" spans="1:12" ht="18">
      <c r="A1" s="605"/>
      <c r="B1" s="3109" t="s">
        <v>2547</v>
      </c>
      <c r="C1" s="3109"/>
      <c r="D1" s="3109"/>
      <c r="E1" s="3109"/>
      <c r="F1" s="2046"/>
      <c r="G1" s="71"/>
      <c r="H1" s="71"/>
      <c r="I1" s="71"/>
      <c r="J1" s="71"/>
    </row>
    <row r="2" spans="1:12" ht="11.25" customHeight="1">
      <c r="A2" s="2047"/>
      <c r="B2" s="2047"/>
      <c r="C2" s="2047"/>
      <c r="D2" s="2047"/>
      <c r="E2" s="2047"/>
      <c r="F2" s="2047"/>
      <c r="G2" s="2047"/>
      <c r="H2" s="2047"/>
    </row>
    <row r="3" spans="1:12" ht="47.25" customHeight="1">
      <c r="A3" s="2021"/>
      <c r="B3" s="3095" t="s">
        <v>2548</v>
      </c>
      <c r="C3" s="3095"/>
      <c r="D3" s="3095"/>
      <c r="E3" s="3095"/>
      <c r="F3" s="3095"/>
      <c r="G3" s="3095"/>
      <c r="H3" s="2021"/>
      <c r="I3" s="580"/>
      <c r="J3" s="580"/>
    </row>
    <row r="4" spans="1:12" ht="10.5" customHeight="1">
      <c r="A4" s="2040"/>
      <c r="B4" s="2040"/>
      <c r="C4" s="2040"/>
      <c r="D4" s="2040"/>
      <c r="E4" s="2040"/>
      <c r="F4" s="2040"/>
      <c r="G4" s="2040"/>
      <c r="H4" s="2040"/>
      <c r="I4" s="580"/>
      <c r="J4" s="2049"/>
      <c r="K4" s="804"/>
      <c r="L4" s="804"/>
    </row>
    <row r="5" spans="1:12" ht="17.25" customHeight="1">
      <c r="A5" s="1997"/>
      <c r="B5" s="1997"/>
      <c r="C5" s="1997"/>
      <c r="D5" s="1997"/>
      <c r="F5" s="1997"/>
      <c r="G5" s="1581" t="s">
        <v>89</v>
      </c>
      <c r="H5" s="805"/>
      <c r="I5" s="2050"/>
      <c r="J5" s="2050"/>
    </row>
    <row r="6" spans="1:12" ht="9.75" customHeight="1">
      <c r="A6" s="1997"/>
      <c r="B6" s="1997"/>
      <c r="C6" s="1997"/>
      <c r="D6" s="1997"/>
      <c r="E6" s="1997"/>
      <c r="F6" s="1997"/>
      <c r="G6" s="2051"/>
      <c r="H6" s="2051"/>
      <c r="I6" s="2050"/>
      <c r="J6" s="2050"/>
    </row>
    <row r="7" spans="1:12" ht="45.75" customHeight="1">
      <c r="A7" s="3097" t="s">
        <v>2</v>
      </c>
      <c r="B7" s="3110" t="s">
        <v>3</v>
      </c>
      <c r="C7" s="3112" t="s">
        <v>1421</v>
      </c>
      <c r="D7" s="3110" t="s">
        <v>5</v>
      </c>
      <c r="E7" s="3110" t="s">
        <v>9</v>
      </c>
      <c r="F7" s="3110" t="s">
        <v>143</v>
      </c>
      <c r="G7" s="1899" t="s">
        <v>2549</v>
      </c>
      <c r="H7" s="1899" t="s">
        <v>2550</v>
      </c>
    </row>
    <row r="8" spans="1:12" ht="16.5" customHeight="1">
      <c r="A8" s="3098"/>
      <c r="B8" s="3111"/>
      <c r="C8" s="3113"/>
      <c r="D8" s="3111"/>
      <c r="E8" s="3111"/>
      <c r="F8" s="3111"/>
      <c r="G8" s="1900" t="s">
        <v>1668</v>
      </c>
      <c r="H8" s="1900" t="s">
        <v>1668</v>
      </c>
    </row>
    <row r="9" spans="1:12" ht="15">
      <c r="A9" s="1613">
        <v>1</v>
      </c>
      <c r="B9" s="1613">
        <v>2</v>
      </c>
      <c r="C9" s="1613">
        <v>3</v>
      </c>
      <c r="D9" s="1613">
        <v>4</v>
      </c>
      <c r="E9" s="1613">
        <v>5</v>
      </c>
      <c r="F9" s="1613">
        <v>6</v>
      </c>
      <c r="G9" s="1613">
        <v>7</v>
      </c>
      <c r="H9" s="1613">
        <v>8</v>
      </c>
    </row>
    <row r="10" spans="1:12" ht="15" customHeight="1">
      <c r="A10" s="1291">
        <v>1</v>
      </c>
      <c r="B10" s="1615" t="s">
        <v>2518</v>
      </c>
      <c r="C10" s="1625">
        <v>7132461004</v>
      </c>
      <c r="D10" s="1291" t="s">
        <v>21</v>
      </c>
      <c r="E10" s="1202">
        <f>VLOOKUP(C10,'[25]SOR RATE'!A:D,4,0)</f>
        <v>1449.18</v>
      </c>
      <c r="F10" s="1291">
        <v>120</v>
      </c>
      <c r="G10" s="1202">
        <f>E10*F10</f>
        <v>173901.6</v>
      </c>
      <c r="H10" s="1202">
        <f>E10*F10</f>
        <v>173901.6</v>
      </c>
      <c r="I10" s="2053"/>
      <c r="J10" s="2053"/>
    </row>
    <row r="11" spans="1:12" ht="15" customHeight="1">
      <c r="A11" s="2163">
        <v>2</v>
      </c>
      <c r="B11" s="2165" t="s">
        <v>2519</v>
      </c>
      <c r="C11" s="1625">
        <v>7132461005</v>
      </c>
      <c r="D11" s="1291" t="s">
        <v>12</v>
      </c>
      <c r="E11" s="1202">
        <f>VLOOKUP(C11,'[25]SOR RATE'!A:D,4,0)</f>
        <v>535.1</v>
      </c>
      <c r="F11" s="1291">
        <v>20</v>
      </c>
      <c r="G11" s="1202">
        <f>E11*F11</f>
        <v>10702</v>
      </c>
      <c r="H11" s="1202">
        <f>E11*F11</f>
        <v>10702</v>
      </c>
      <c r="I11" s="132"/>
      <c r="J11" s="2054"/>
    </row>
    <row r="12" spans="1:12" ht="15" customHeight="1">
      <c r="A12" s="2163">
        <v>3</v>
      </c>
      <c r="B12" s="1626" t="s">
        <v>2551</v>
      </c>
      <c r="C12" s="1625">
        <v>7130310075</v>
      </c>
      <c r="D12" s="1291" t="s">
        <v>21</v>
      </c>
      <c r="E12" s="1202">
        <f>VLOOKUP(C12,'[25]SOR RATE'!A:D,4,0)/1000</f>
        <v>2560.06988</v>
      </c>
      <c r="F12" s="1291">
        <v>180</v>
      </c>
      <c r="G12" s="1202">
        <f>E12*F12</f>
        <v>460812.5784</v>
      </c>
      <c r="H12" s="1202"/>
      <c r="I12" s="132"/>
      <c r="J12" s="605"/>
    </row>
    <row r="13" spans="1:12" ht="15" customHeight="1">
      <c r="A13" s="2163">
        <v>4</v>
      </c>
      <c r="B13" s="1626" t="s">
        <v>2520</v>
      </c>
      <c r="C13" s="1625">
        <v>7130310020</v>
      </c>
      <c r="D13" s="1291" t="s">
        <v>21</v>
      </c>
      <c r="E13" s="1202">
        <f>VLOOKUP(C13,'[25]SOR RATE'!A:D,4,0)/1000</f>
        <v>2797.6800499999999</v>
      </c>
      <c r="F13" s="1291">
        <v>190</v>
      </c>
      <c r="G13" s="1202"/>
      <c r="H13" s="1202">
        <f>E13*F13</f>
        <v>531559.2095</v>
      </c>
      <c r="I13" s="132"/>
      <c r="J13" s="105"/>
    </row>
    <row r="14" spans="1:12" ht="15.75" customHeight="1">
      <c r="A14" s="1291">
        <v>5</v>
      </c>
      <c r="B14" s="1615" t="s">
        <v>415</v>
      </c>
      <c r="C14" s="2164">
        <v>7130352037</v>
      </c>
      <c r="D14" s="1291" t="s">
        <v>40</v>
      </c>
      <c r="E14" s="1202">
        <f>VLOOKUP(C14,'[25]SOR RATE'!A:D,4,0)</f>
        <v>29525.38</v>
      </c>
      <c r="F14" s="1291">
        <v>4</v>
      </c>
      <c r="G14" s="1202">
        <f>E14*F14</f>
        <v>118101.52</v>
      </c>
      <c r="H14" s="1202"/>
      <c r="J14" s="605"/>
    </row>
    <row r="15" spans="1:12" ht="15.75" customHeight="1">
      <c r="A15" s="1291">
        <v>6</v>
      </c>
      <c r="B15" s="1615" t="s">
        <v>405</v>
      </c>
      <c r="C15" s="2164">
        <v>7130352010</v>
      </c>
      <c r="D15" s="1291" t="s">
        <v>40</v>
      </c>
      <c r="E15" s="1202">
        <f>VLOOKUP(C15,'[25]SOR RATE'!A:D,4,0)</f>
        <v>43795.05</v>
      </c>
      <c r="F15" s="1291">
        <v>4</v>
      </c>
      <c r="G15" s="1202"/>
      <c r="H15" s="1202">
        <f t="shared" ref="H15:H24" si="0">E15*F15</f>
        <v>175180.2</v>
      </c>
      <c r="I15" s="624"/>
      <c r="J15" s="105"/>
    </row>
    <row r="16" spans="1:12" ht="16.5" customHeight="1">
      <c r="A16" s="1291">
        <v>7</v>
      </c>
      <c r="B16" s="1615" t="s">
        <v>2521</v>
      </c>
      <c r="C16" s="2164">
        <v>7130640027</v>
      </c>
      <c r="D16" s="1291" t="s">
        <v>536</v>
      </c>
      <c r="E16" s="1202">
        <f>VLOOKUP(C16,'[25]SOR RATE'!A:D,4,0)</f>
        <v>1269.1500000000001</v>
      </c>
      <c r="F16" s="1291">
        <v>24</v>
      </c>
      <c r="G16" s="1202">
        <f t="shared" ref="G16:G24" si="1">E16*F16</f>
        <v>30459.600000000002</v>
      </c>
      <c r="H16" s="1202">
        <f t="shared" si="0"/>
        <v>30459.600000000002</v>
      </c>
      <c r="I16" s="624"/>
      <c r="J16" s="806"/>
    </row>
    <row r="17" spans="1:11" ht="48.75" customHeight="1">
      <c r="A17" s="1291">
        <v>8</v>
      </c>
      <c r="B17" s="1615" t="s">
        <v>2522</v>
      </c>
      <c r="C17" s="1291"/>
      <c r="D17" s="1291" t="s">
        <v>68</v>
      </c>
      <c r="E17" s="1202">
        <v>1500</v>
      </c>
      <c r="F17" s="1291">
        <v>4</v>
      </c>
      <c r="G17" s="1202">
        <f t="shared" si="1"/>
        <v>6000</v>
      </c>
      <c r="H17" s="1202">
        <f t="shared" si="0"/>
        <v>6000</v>
      </c>
      <c r="I17" s="2070"/>
      <c r="J17" s="570"/>
      <c r="K17" s="807"/>
    </row>
    <row r="18" spans="1:11" ht="15.75" customHeight="1">
      <c r="A18" s="2163">
        <v>9</v>
      </c>
      <c r="B18" s="2165" t="s">
        <v>2523</v>
      </c>
      <c r="C18" s="1291">
        <v>7130600173</v>
      </c>
      <c r="D18" s="1291" t="s">
        <v>1705</v>
      </c>
      <c r="E18" s="1202">
        <f>VLOOKUP(C18,'[25]SOR RATE'!A:D,4,0)/1000</f>
        <v>57.763910000000003</v>
      </c>
      <c r="F18" s="1291">
        <v>100</v>
      </c>
      <c r="G18" s="1202">
        <f t="shared" si="1"/>
        <v>5776.3910000000005</v>
      </c>
      <c r="H18" s="1202">
        <f t="shared" si="0"/>
        <v>5776.3910000000005</v>
      </c>
      <c r="I18" s="808"/>
      <c r="J18" s="570"/>
      <c r="K18" s="570"/>
    </row>
    <row r="19" spans="1:11" ht="44.25" customHeight="1">
      <c r="A19" s="2163">
        <v>10</v>
      </c>
      <c r="B19" s="1615" t="s">
        <v>2524</v>
      </c>
      <c r="C19" s="2164"/>
      <c r="D19" s="1291" t="s">
        <v>12</v>
      </c>
      <c r="E19" s="1202">
        <v>556</v>
      </c>
      <c r="F19" s="1291">
        <v>4</v>
      </c>
      <c r="G19" s="1202">
        <f t="shared" si="1"/>
        <v>2224</v>
      </c>
      <c r="H19" s="1202">
        <f t="shared" si="0"/>
        <v>2224</v>
      </c>
      <c r="I19" s="2055"/>
      <c r="J19" s="2070"/>
      <c r="K19" s="570"/>
    </row>
    <row r="20" spans="1:11" ht="15" customHeight="1">
      <c r="A20" s="2163">
        <v>11</v>
      </c>
      <c r="B20" s="1290" t="s">
        <v>2525</v>
      </c>
      <c r="C20" s="1291">
        <v>7130201343</v>
      </c>
      <c r="D20" s="1291" t="s">
        <v>12</v>
      </c>
      <c r="E20" s="1202">
        <f>VLOOKUP(C20,'[25]SOR RATE'!A:D,4,0)</f>
        <v>33</v>
      </c>
      <c r="F20" s="1291">
        <f>4*20</f>
        <v>80</v>
      </c>
      <c r="G20" s="1202">
        <f t="shared" si="1"/>
        <v>2640</v>
      </c>
      <c r="H20" s="1202">
        <f t="shared" si="0"/>
        <v>2640</v>
      </c>
      <c r="I20" s="808"/>
      <c r="J20" s="570"/>
      <c r="K20" s="570"/>
    </row>
    <row r="21" spans="1:11" ht="15.75" customHeight="1">
      <c r="A21" s="1291">
        <v>12</v>
      </c>
      <c r="B21" s="1290" t="s">
        <v>2526</v>
      </c>
      <c r="C21" s="1291">
        <v>7132498006</v>
      </c>
      <c r="D21" s="1291" t="s">
        <v>76</v>
      </c>
      <c r="E21" s="1202">
        <f>VLOOKUP(C21,'[25]SOR RATE'!A:D,4,0)</f>
        <v>714</v>
      </c>
      <c r="F21" s="1291">
        <f>0.06*20</f>
        <v>1.2</v>
      </c>
      <c r="G21" s="1202">
        <f t="shared" si="1"/>
        <v>856.8</v>
      </c>
      <c r="H21" s="1202">
        <f t="shared" si="0"/>
        <v>856.8</v>
      </c>
      <c r="I21" s="808"/>
      <c r="J21" s="570"/>
      <c r="K21" s="570"/>
    </row>
    <row r="22" spans="1:11" ht="15.75" customHeight="1">
      <c r="A22" s="1291">
        <v>13</v>
      </c>
      <c r="B22" s="1290" t="s">
        <v>2062</v>
      </c>
      <c r="C22" s="2167">
        <v>7130840021</v>
      </c>
      <c r="D22" s="1914" t="s">
        <v>33</v>
      </c>
      <c r="E22" s="1202">
        <f>VLOOKUP(C22,'[25]SOR RATE'!A:D,4,0)</f>
        <v>4094.6</v>
      </c>
      <c r="F22" s="1291">
        <v>6</v>
      </c>
      <c r="G22" s="1202">
        <f t="shared" si="1"/>
        <v>24567.599999999999</v>
      </c>
      <c r="H22" s="1202">
        <f t="shared" si="0"/>
        <v>24567.599999999999</v>
      </c>
      <c r="I22" s="2071" t="s">
        <v>1827</v>
      </c>
      <c r="J22" s="570"/>
      <c r="K22" s="570"/>
    </row>
    <row r="23" spans="1:11" ht="17.25" customHeight="1">
      <c r="A23" s="1291">
        <v>14</v>
      </c>
      <c r="B23" s="1290" t="s">
        <v>2527</v>
      </c>
      <c r="C23" s="2167">
        <v>7130830060</v>
      </c>
      <c r="D23" s="1914" t="s">
        <v>21</v>
      </c>
      <c r="E23" s="1202">
        <f>VLOOKUP(C23,'[25]SOR RATE'!A:D,4,0)/1000</f>
        <v>70.920659999999998</v>
      </c>
      <c r="F23" s="1291">
        <v>18</v>
      </c>
      <c r="G23" s="1202">
        <f t="shared" si="1"/>
        <v>1276.57188</v>
      </c>
      <c r="H23" s="1202">
        <f t="shared" si="0"/>
        <v>1276.57188</v>
      </c>
      <c r="I23" s="808"/>
      <c r="J23" s="570"/>
      <c r="K23" s="570"/>
    </row>
    <row r="24" spans="1:11" ht="20.25" customHeight="1">
      <c r="A24" s="1291">
        <v>15</v>
      </c>
      <c r="B24" s="1290" t="s">
        <v>2528</v>
      </c>
      <c r="C24" s="2167">
        <v>7130830585</v>
      </c>
      <c r="D24" s="1914" t="s">
        <v>68</v>
      </c>
      <c r="E24" s="1202">
        <f>VLOOKUP(C24,'[25]SOR RATE'!A:D,4,0)</f>
        <v>346.08</v>
      </c>
      <c r="F24" s="1291">
        <v>6</v>
      </c>
      <c r="G24" s="1202">
        <f t="shared" si="1"/>
        <v>2076.48</v>
      </c>
      <c r="H24" s="1202">
        <f t="shared" si="0"/>
        <v>2076.48</v>
      </c>
      <c r="I24" s="808"/>
      <c r="J24" s="570"/>
      <c r="K24" s="570"/>
    </row>
    <row r="25" spans="1:11" ht="16.5" customHeight="1">
      <c r="A25" s="1291">
        <v>16</v>
      </c>
      <c r="B25" s="1615" t="s">
        <v>2530</v>
      </c>
      <c r="C25" s="1291">
        <v>7130830586</v>
      </c>
      <c r="D25" s="1914" t="s">
        <v>68</v>
      </c>
      <c r="E25" s="1202">
        <f>VLOOKUP(C25,'[25]SOR RATE'!A:D,4,0)</f>
        <v>276.55</v>
      </c>
      <c r="F25" s="1291">
        <v>6</v>
      </c>
      <c r="G25" s="1202">
        <f>F25*E25</f>
        <v>1659.3000000000002</v>
      </c>
      <c r="H25" s="1202">
        <f>F25*E25</f>
        <v>1659.3000000000002</v>
      </c>
      <c r="I25" s="1944" t="s">
        <v>119</v>
      </c>
      <c r="J25" s="570"/>
      <c r="K25" s="570"/>
    </row>
    <row r="26" spans="1:11" ht="16.5" customHeight="1">
      <c r="A26" s="1291">
        <v>17</v>
      </c>
      <c r="B26" s="1615" t="s">
        <v>2531</v>
      </c>
      <c r="C26" s="1913">
        <v>7130830603</v>
      </c>
      <c r="D26" s="1914" t="s">
        <v>68</v>
      </c>
      <c r="E26" s="1202">
        <f>VLOOKUP(C26,'[25]SOR RATE'!A:D,4,0)</f>
        <v>386.39</v>
      </c>
      <c r="F26" s="1291">
        <v>4</v>
      </c>
      <c r="G26" s="1202">
        <f>F26*E26</f>
        <v>1545.56</v>
      </c>
      <c r="H26" s="1202">
        <f>F26*E26</f>
        <v>1545.56</v>
      </c>
      <c r="I26" s="1944" t="s">
        <v>119</v>
      </c>
      <c r="J26" s="570"/>
      <c r="K26" s="570"/>
    </row>
    <row r="27" spans="1:11" ht="16.5" customHeight="1">
      <c r="A27" s="1291">
        <v>18</v>
      </c>
      <c r="B27" s="1615" t="s">
        <v>2532</v>
      </c>
      <c r="C27" s="1913">
        <v>7132498054</v>
      </c>
      <c r="D27" s="1914" t="s">
        <v>68</v>
      </c>
      <c r="E27" s="1202">
        <f>VLOOKUP(C27,'[25]SOR RATE'!A:D,4,0)</f>
        <v>6</v>
      </c>
      <c r="F27" s="1291">
        <v>128</v>
      </c>
      <c r="G27" s="1202">
        <f>F27*E27</f>
        <v>768</v>
      </c>
      <c r="H27" s="1202">
        <f>F27*E27</f>
        <v>768</v>
      </c>
      <c r="I27" s="1944" t="s">
        <v>119</v>
      </c>
      <c r="J27" s="570"/>
      <c r="K27" s="570"/>
    </row>
    <row r="28" spans="1:11" ht="15.75" customHeight="1">
      <c r="A28" s="1291">
        <v>19</v>
      </c>
      <c r="B28" s="1615" t="s">
        <v>259</v>
      </c>
      <c r="C28" s="1291">
        <v>7130200401</v>
      </c>
      <c r="D28" s="1291" t="s">
        <v>258</v>
      </c>
      <c r="E28" s="1202">
        <f>VLOOKUP(C28,'[25]SOR RATE'!A:D,4,0)</f>
        <v>320</v>
      </c>
      <c r="F28" s="1291">
        <v>2</v>
      </c>
      <c r="G28" s="1202">
        <f>F28*E28</f>
        <v>640</v>
      </c>
      <c r="H28" s="1202">
        <f>F28*E28</f>
        <v>640</v>
      </c>
      <c r="I28" s="1944" t="s">
        <v>119</v>
      </c>
      <c r="J28" s="570"/>
      <c r="K28" s="570"/>
    </row>
    <row r="29" spans="1:11" ht="33.75" customHeight="1">
      <c r="A29" s="2163">
        <v>20</v>
      </c>
      <c r="B29" s="2165" t="s">
        <v>2529</v>
      </c>
      <c r="C29" s="1291">
        <v>7130642039</v>
      </c>
      <c r="D29" s="1291" t="s">
        <v>12</v>
      </c>
      <c r="E29" s="1202">
        <f>VLOOKUP(C29,'[25]SOR RATE'!A:D,4,0)</f>
        <v>998.57</v>
      </c>
      <c r="F29" s="1291">
        <f>4+6</f>
        <v>10</v>
      </c>
      <c r="G29" s="1202">
        <f>E29*F29</f>
        <v>9985.7000000000007</v>
      </c>
      <c r="H29" s="1202">
        <f>E29*F29</f>
        <v>9985.7000000000007</v>
      </c>
      <c r="I29" s="2055"/>
      <c r="J29" s="807"/>
      <c r="K29" s="570"/>
    </row>
    <row r="30" spans="1:11" ht="45.75" customHeight="1">
      <c r="A30" s="2163">
        <v>21</v>
      </c>
      <c r="B30" s="2165" t="s">
        <v>2552</v>
      </c>
      <c r="C30" s="2169"/>
      <c r="D30" s="2163" t="s">
        <v>114</v>
      </c>
      <c r="E30" s="2170" t="s">
        <v>114</v>
      </c>
      <c r="F30" s="2163" t="s">
        <v>114</v>
      </c>
      <c r="G30" s="2170">
        <v>25000</v>
      </c>
      <c r="H30" s="2170">
        <v>25000</v>
      </c>
      <c r="I30" s="605"/>
      <c r="J30" s="570"/>
      <c r="K30" s="570"/>
    </row>
    <row r="31" spans="1:11" ht="16.5" customHeight="1">
      <c r="A31" s="1915">
        <v>22</v>
      </c>
      <c r="B31" s="1639" t="s">
        <v>48</v>
      </c>
      <c r="C31" s="2171"/>
      <c r="D31" s="2172"/>
      <c r="E31" s="913"/>
      <c r="F31" s="913"/>
      <c r="G31" s="2173">
        <f>SUM(G10:G30)</f>
        <v>878993.70127999992</v>
      </c>
      <c r="H31" s="2173">
        <f>SUM(H10:H30)</f>
        <v>1006819.0123799999</v>
      </c>
      <c r="I31" s="85"/>
      <c r="J31" s="85"/>
      <c r="K31" s="2059"/>
    </row>
    <row r="32" spans="1:11" ht="16.5" customHeight="1">
      <c r="A32" s="1915">
        <v>23</v>
      </c>
      <c r="B32" s="1639" t="s">
        <v>49</v>
      </c>
      <c r="C32" s="2171"/>
      <c r="D32" s="2174"/>
      <c r="E32" s="913"/>
      <c r="F32" s="2175"/>
      <c r="G32" s="2173">
        <f>G31/1.18</f>
        <v>744909.91633898299</v>
      </c>
      <c r="H32" s="2173">
        <f>H31/1.18</f>
        <v>853236.4511694914</v>
      </c>
      <c r="I32" s="85"/>
      <c r="J32" s="85"/>
      <c r="K32" s="2059"/>
    </row>
    <row r="33" spans="1:13" ht="17.25" customHeight="1">
      <c r="A33" s="1291">
        <v>24</v>
      </c>
      <c r="B33" s="1619" t="s">
        <v>50</v>
      </c>
      <c r="C33" s="2176"/>
      <c r="D33" s="2177"/>
      <c r="E33" s="1914">
        <v>7.4999999999999997E-2</v>
      </c>
      <c r="F33" s="2178"/>
      <c r="G33" s="1132">
        <f>G31*E33</f>
        <v>65924.527595999985</v>
      </c>
      <c r="H33" s="1132">
        <f>H31*E33</f>
        <v>75511.425928499986</v>
      </c>
      <c r="I33" s="89"/>
      <c r="J33" s="85"/>
      <c r="K33" s="85"/>
    </row>
    <row r="34" spans="1:13" ht="18.75" customHeight="1">
      <c r="A34" s="1291">
        <v>25</v>
      </c>
      <c r="B34" s="1615" t="s">
        <v>2534</v>
      </c>
      <c r="C34" s="2179"/>
      <c r="D34" s="1291" t="s">
        <v>12</v>
      </c>
      <c r="E34" s="2180">
        <f>3020.13589298559*1.043</f>
        <v>3150.0017363839702</v>
      </c>
      <c r="F34" s="1914">
        <v>10</v>
      </c>
      <c r="G34" s="1202">
        <f>E34*F34</f>
        <v>31500.017363839703</v>
      </c>
      <c r="H34" s="1202">
        <f>E34*F34</f>
        <v>31500.017363839703</v>
      </c>
      <c r="I34" s="1957"/>
      <c r="J34" s="633"/>
      <c r="K34" s="633"/>
      <c r="L34" s="605"/>
    </row>
    <row r="35" spans="1:13" ht="28.5" customHeight="1">
      <c r="A35" s="1291">
        <v>26</v>
      </c>
      <c r="B35" s="1615" t="s">
        <v>2553</v>
      </c>
      <c r="C35" s="1615"/>
      <c r="D35" s="1914" t="s">
        <v>21</v>
      </c>
      <c r="E35" s="1202"/>
      <c r="F35" s="2183">
        <f>60+0.43</f>
        <v>60.43</v>
      </c>
      <c r="G35" s="1771">
        <v>159546</v>
      </c>
      <c r="H35" s="1132">
        <v>164811</v>
      </c>
      <c r="I35" s="85"/>
      <c r="J35" s="2058"/>
      <c r="K35" s="2061"/>
    </row>
    <row r="36" spans="1:13" ht="18" customHeight="1">
      <c r="A36" s="1291">
        <v>27</v>
      </c>
      <c r="B36" s="1290" t="s">
        <v>1418</v>
      </c>
      <c r="C36" s="2181"/>
      <c r="D36" s="2181"/>
      <c r="E36" s="1291">
        <v>0.04</v>
      </c>
      <c r="F36" s="2182"/>
      <c r="G36" s="1132">
        <f>G32*E36</f>
        <v>29796.396653559321</v>
      </c>
      <c r="H36" s="1132">
        <f>H32*E36</f>
        <v>34129.458046779655</v>
      </c>
      <c r="I36" s="2060" t="s">
        <v>1827</v>
      </c>
      <c r="J36" s="82"/>
      <c r="K36" s="605"/>
    </row>
    <row r="37" spans="1:13" ht="32.25" customHeight="1">
      <c r="A37" s="1291">
        <v>28</v>
      </c>
      <c r="B37" s="1619" t="s">
        <v>2554</v>
      </c>
      <c r="C37" s="2181"/>
      <c r="D37" s="2181"/>
      <c r="E37" s="2182"/>
      <c r="F37" s="2182"/>
      <c r="G37" s="1132">
        <f>(G31+G33+G34+G35+G36)*0.125</f>
        <v>145720.08036167486</v>
      </c>
      <c r="H37" s="1132">
        <f>(H31+H33+H34+H35+H36)*0.125</f>
        <v>164096.36421488991</v>
      </c>
      <c r="I37" s="810"/>
      <c r="J37" s="82"/>
      <c r="K37" s="605"/>
    </row>
    <row r="38" spans="1:13" ht="18" customHeight="1">
      <c r="A38" s="1915">
        <v>29</v>
      </c>
      <c r="B38" s="1647" t="s">
        <v>2555</v>
      </c>
      <c r="C38" s="2181"/>
      <c r="D38" s="2181"/>
      <c r="E38" s="2182"/>
      <c r="F38" s="2182"/>
      <c r="G38" s="1642">
        <f>SUM(G32:G37)</f>
        <v>1177396.9383140567</v>
      </c>
      <c r="H38" s="1642">
        <f>SUM(H32:H37)</f>
        <v>1323284.7167235008</v>
      </c>
      <c r="I38" s="85"/>
      <c r="J38" s="624"/>
      <c r="K38" s="605"/>
    </row>
    <row r="39" spans="1:13" ht="18" customHeight="1">
      <c r="A39" s="1291">
        <v>30</v>
      </c>
      <c r="B39" s="1619" t="s">
        <v>1611</v>
      </c>
      <c r="C39" s="2181"/>
      <c r="D39" s="2181"/>
      <c r="E39" s="1291">
        <v>0.09</v>
      </c>
      <c r="F39" s="2182"/>
      <c r="G39" s="1132">
        <f>G38*E39</f>
        <v>105965.7244482651</v>
      </c>
      <c r="H39" s="1132">
        <f>H38*E39</f>
        <v>119095.62450511506</v>
      </c>
      <c r="I39" s="85"/>
      <c r="J39" s="624"/>
      <c r="K39" s="605"/>
    </row>
    <row r="40" spans="1:13" ht="18" customHeight="1">
      <c r="A40" s="1291">
        <v>31</v>
      </c>
      <c r="B40" s="1619" t="s">
        <v>1612</v>
      </c>
      <c r="C40" s="2181"/>
      <c r="D40" s="2181"/>
      <c r="E40" s="1291">
        <v>0.09</v>
      </c>
      <c r="F40" s="2182"/>
      <c r="G40" s="1132">
        <f>G38*E40</f>
        <v>105965.7244482651</v>
      </c>
      <c r="H40" s="1132">
        <f>H38*E40</f>
        <v>119095.62450511506</v>
      </c>
      <c r="I40" s="578"/>
      <c r="J40" s="806"/>
      <c r="K40" s="605"/>
    </row>
    <row r="41" spans="1:13" ht="19.5" customHeight="1">
      <c r="A41" s="1291">
        <v>32</v>
      </c>
      <c r="B41" s="1615" t="s">
        <v>2556</v>
      </c>
      <c r="C41" s="2185">
        <v>0.15</v>
      </c>
      <c r="D41" s="1615"/>
      <c r="E41" s="1291"/>
      <c r="F41" s="1291"/>
      <c r="G41" s="1132">
        <f>G38*0.15</f>
        <v>176609.54074710849</v>
      </c>
      <c r="H41" s="1132">
        <f>H38*0.15</f>
        <v>198492.70750852511</v>
      </c>
      <c r="I41" s="85"/>
      <c r="J41" s="806"/>
      <c r="L41" s="2064"/>
      <c r="M41" s="2064"/>
    </row>
    <row r="42" spans="1:13" ht="20.25" customHeight="1">
      <c r="A42" s="1291">
        <v>33</v>
      </c>
      <c r="B42" s="1619" t="s">
        <v>2557</v>
      </c>
      <c r="C42" s="2181"/>
      <c r="D42" s="2181"/>
      <c r="E42" s="2182"/>
      <c r="F42" s="2182"/>
      <c r="G42" s="1132">
        <f>G38+G39+G40+G41</f>
        <v>1565937.9279576952</v>
      </c>
      <c r="H42" s="1132">
        <f>H38+H39+H40+H41</f>
        <v>1759968.6732422558</v>
      </c>
      <c r="I42" s="85"/>
    </row>
    <row r="43" spans="1:13" ht="19.5" customHeight="1">
      <c r="A43" s="1915">
        <v>34</v>
      </c>
      <c r="B43" s="1647" t="s">
        <v>59</v>
      </c>
      <c r="C43" s="2181"/>
      <c r="D43" s="2181"/>
      <c r="E43" s="2182"/>
      <c r="F43" s="2182"/>
      <c r="G43" s="1642">
        <f>ROUND(G42,0)</f>
        <v>1565938</v>
      </c>
      <c r="H43" s="1642">
        <f>ROUND(H42,0)</f>
        <v>1759969</v>
      </c>
      <c r="I43" s="85"/>
    </row>
    <row r="44" spans="1:13" ht="12" customHeight="1">
      <c r="A44" s="102"/>
      <c r="B44" s="102"/>
      <c r="C44" s="102"/>
      <c r="D44" s="102"/>
      <c r="E44" s="102"/>
      <c r="F44" s="102"/>
      <c r="G44" s="102"/>
      <c r="H44" s="102"/>
    </row>
    <row r="45" spans="1:13" ht="17.25" customHeight="1">
      <c r="A45" s="2065" t="s">
        <v>62</v>
      </c>
      <c r="B45" s="105" t="s">
        <v>2541</v>
      </c>
      <c r="C45" s="105"/>
      <c r="I45" s="2072"/>
      <c r="J45" s="2072"/>
    </row>
    <row r="46" spans="1:13" ht="32.25" customHeight="1">
      <c r="B46" s="3107" t="s">
        <v>2558</v>
      </c>
      <c r="C46" s="3107"/>
      <c r="D46" s="3107"/>
      <c r="E46" s="3107"/>
      <c r="F46" s="3107"/>
      <c r="G46" s="2008"/>
      <c r="H46" s="2008"/>
      <c r="I46" s="2072"/>
      <c r="J46" s="2072"/>
    </row>
    <row r="47" spans="1:13" ht="32.25" customHeight="1">
      <c r="A47" s="2066" t="s">
        <v>2542</v>
      </c>
      <c r="B47" s="3107" t="s">
        <v>2559</v>
      </c>
      <c r="C47" s="3107"/>
      <c r="D47" s="3107"/>
      <c r="E47" s="3107"/>
      <c r="F47" s="3107"/>
      <c r="G47" s="2073"/>
      <c r="H47" s="2073"/>
    </row>
    <row r="48" spans="1:13" ht="15">
      <c r="B48" s="624"/>
      <c r="G48" s="2072"/>
      <c r="H48" s="2072"/>
    </row>
    <row r="49" spans="2:8" ht="16.5" customHeight="1">
      <c r="B49" s="624"/>
    </row>
    <row r="50" spans="2:8" ht="14.25">
      <c r="B50" s="624"/>
      <c r="G50" s="579"/>
      <c r="H50" s="579"/>
    </row>
    <row r="51" spans="2:8" ht="14.25">
      <c r="B51" s="624"/>
    </row>
    <row r="52" spans="2:8" ht="14.25">
      <c r="B52" s="624"/>
    </row>
    <row r="53" spans="2:8" ht="14.25">
      <c r="B53" s="624"/>
    </row>
    <row r="54" spans="2:8" ht="14.25">
      <c r="B54" s="624"/>
    </row>
    <row r="55" spans="2:8" ht="14.25">
      <c r="B55" s="624"/>
    </row>
    <row r="56" spans="2:8" ht="14.25">
      <c r="B56" s="624"/>
    </row>
    <row r="57" spans="2:8" ht="14.25">
      <c r="B57" s="624"/>
    </row>
    <row r="58" spans="2:8" ht="14.25">
      <c r="B58" s="624"/>
    </row>
    <row r="59" spans="2:8" ht="14.25">
      <c r="B59" s="624"/>
    </row>
    <row r="60" spans="2:8" ht="14.25">
      <c r="B60" s="624"/>
    </row>
    <row r="61" spans="2:8" ht="14.25">
      <c r="B61" s="624"/>
    </row>
    <row r="62" spans="2:8" ht="14.25">
      <c r="B62" s="624"/>
    </row>
    <row r="63" spans="2:8" ht="14.25">
      <c r="B63" s="624"/>
    </row>
    <row r="66" spans="1:10">
      <c r="B66" s="570"/>
      <c r="C66" s="570"/>
      <c r="D66" s="570"/>
      <c r="E66" s="570"/>
      <c r="F66" s="570"/>
      <c r="G66" s="570"/>
      <c r="H66" s="570"/>
      <c r="I66" s="570"/>
    </row>
    <row r="67" spans="1:10">
      <c r="B67" s="570"/>
      <c r="C67" s="570"/>
      <c r="D67" s="570"/>
      <c r="E67" s="570"/>
      <c r="F67" s="570"/>
      <c r="G67" s="570"/>
      <c r="H67" s="570"/>
      <c r="I67" s="570"/>
    </row>
    <row r="68" spans="1:10" ht="15">
      <c r="B68" s="809"/>
      <c r="C68" s="809"/>
      <c r="D68" s="809"/>
      <c r="E68" s="809"/>
      <c r="F68" s="809"/>
    </row>
    <row r="69" spans="1:10" ht="13.5" customHeight="1">
      <c r="B69" s="570"/>
      <c r="C69" s="570"/>
      <c r="D69" s="570"/>
      <c r="E69" s="570"/>
      <c r="F69" s="570"/>
      <c r="G69" s="570"/>
      <c r="H69" s="570"/>
      <c r="I69" s="570"/>
    </row>
    <row r="70" spans="1:10" s="576" customFormat="1">
      <c r="B70" s="570"/>
      <c r="C70" s="570"/>
      <c r="D70" s="570"/>
      <c r="E70" s="570"/>
      <c r="F70" s="570"/>
      <c r="G70" s="570"/>
      <c r="H70" s="570"/>
      <c r="I70" s="570"/>
    </row>
    <row r="71" spans="1:10" ht="15.75">
      <c r="A71" s="572"/>
      <c r="B71" s="570"/>
      <c r="C71" s="570"/>
      <c r="D71" s="570"/>
      <c r="E71" s="570"/>
      <c r="F71" s="570"/>
      <c r="G71" s="570"/>
      <c r="H71" s="570"/>
      <c r="I71" s="570"/>
    </row>
    <row r="72" spans="1:10" ht="15.75">
      <c r="A72" s="573"/>
      <c r="B72" s="570"/>
      <c r="C72" s="570"/>
      <c r="D72" s="570"/>
      <c r="E72" s="570"/>
      <c r="F72" s="570"/>
      <c r="G72" s="570"/>
      <c r="H72" s="570"/>
      <c r="I72" s="570"/>
    </row>
    <row r="73" spans="1:10" ht="15.75">
      <c r="A73" s="573"/>
      <c r="B73" s="570"/>
      <c r="C73" s="570"/>
      <c r="D73" s="570"/>
      <c r="E73" s="570"/>
      <c r="F73" s="570"/>
      <c r="G73" s="570"/>
      <c r="H73" s="570"/>
      <c r="I73" s="570"/>
    </row>
    <row r="74" spans="1:10" ht="15.75" customHeight="1">
      <c r="A74" s="2021"/>
      <c r="B74" s="570"/>
      <c r="C74" s="570"/>
      <c r="D74" s="570"/>
      <c r="E74" s="570"/>
      <c r="F74" s="570"/>
      <c r="G74" s="570"/>
      <c r="H74" s="570"/>
      <c r="I74" s="570"/>
      <c r="J74" s="605"/>
    </row>
    <row r="75" spans="1:10" ht="16.5" customHeight="1">
      <c r="A75" s="2021"/>
      <c r="B75" s="570"/>
      <c r="C75" s="570"/>
      <c r="D75" s="570"/>
      <c r="E75" s="570"/>
      <c r="F75" s="570"/>
      <c r="G75" s="570"/>
      <c r="H75" s="570"/>
      <c r="I75" s="570"/>
    </row>
    <row r="76" spans="1:10" ht="15.75">
      <c r="A76" s="573"/>
      <c r="B76" s="570"/>
      <c r="C76" s="570"/>
      <c r="D76" s="570"/>
      <c r="E76" s="570"/>
      <c r="F76" s="570"/>
      <c r="G76" s="570"/>
      <c r="H76" s="570"/>
      <c r="I76" s="570"/>
    </row>
    <row r="77" spans="1:10" ht="15">
      <c r="A77" s="2068"/>
      <c r="B77" s="570"/>
      <c r="C77" s="570"/>
      <c r="D77" s="570"/>
      <c r="E77" s="570"/>
      <c r="F77" s="570"/>
      <c r="G77" s="570"/>
      <c r="H77" s="570"/>
      <c r="I77" s="570"/>
    </row>
    <row r="78" spans="1:10" ht="15">
      <c r="A78" s="2068"/>
      <c r="B78" s="570"/>
      <c r="C78" s="570"/>
      <c r="D78" s="570"/>
      <c r="E78" s="570"/>
      <c r="F78" s="570"/>
      <c r="G78" s="570"/>
      <c r="H78" s="570"/>
      <c r="I78" s="570"/>
    </row>
    <row r="79" spans="1:10" ht="15">
      <c r="A79" s="2068"/>
      <c r="B79" s="570"/>
      <c r="C79" s="570"/>
      <c r="D79" s="570"/>
      <c r="E79" s="570"/>
      <c r="F79" s="570"/>
      <c r="G79" s="570"/>
      <c r="H79" s="570"/>
      <c r="I79" s="570"/>
    </row>
    <row r="80" spans="1:10" ht="15">
      <c r="A80" s="2068"/>
      <c r="B80" s="570"/>
      <c r="C80" s="570"/>
      <c r="D80" s="570"/>
      <c r="E80" s="570"/>
      <c r="F80" s="570"/>
      <c r="G80" s="570"/>
      <c r="H80" s="570"/>
      <c r="I80" s="570"/>
    </row>
    <row r="81" spans="1:9" ht="15.75" customHeight="1">
      <c r="A81" s="2068"/>
      <c r="B81" s="570"/>
      <c r="C81" s="570"/>
      <c r="D81" s="570"/>
      <c r="E81" s="570"/>
      <c r="F81" s="570"/>
      <c r="G81" s="570"/>
      <c r="H81" s="570"/>
      <c r="I81" s="570"/>
    </row>
    <row r="82" spans="1:9" ht="15">
      <c r="A82" s="2068"/>
      <c r="B82" s="570"/>
      <c r="C82" s="570"/>
      <c r="D82" s="570"/>
      <c r="E82" s="570"/>
      <c r="F82" s="570"/>
      <c r="G82" s="570"/>
      <c r="H82" s="570"/>
      <c r="I82" s="570"/>
    </row>
    <row r="83" spans="1:9" ht="15">
      <c r="A83" s="2068"/>
      <c r="B83" s="570"/>
      <c r="C83" s="570"/>
      <c r="D83" s="570"/>
      <c r="E83" s="570"/>
      <c r="F83" s="570"/>
      <c r="G83" s="570"/>
      <c r="H83" s="570"/>
      <c r="I83" s="570"/>
    </row>
    <row r="84" spans="1:9" ht="15">
      <c r="A84" s="2068"/>
      <c r="B84" s="570"/>
      <c r="C84" s="570"/>
      <c r="D84" s="570"/>
      <c r="E84" s="570"/>
      <c r="F84" s="570"/>
      <c r="G84" s="570"/>
      <c r="H84" s="570"/>
      <c r="I84" s="570"/>
    </row>
    <row r="85" spans="1:9" ht="15">
      <c r="A85" s="2068"/>
      <c r="B85" s="570"/>
      <c r="C85" s="570"/>
      <c r="D85" s="570"/>
      <c r="E85" s="570"/>
      <c r="F85" s="570"/>
      <c r="G85" s="570"/>
      <c r="H85" s="570"/>
      <c r="I85" s="570"/>
    </row>
    <row r="86" spans="1:9" ht="15">
      <c r="A86" s="2036"/>
      <c r="B86" s="570"/>
      <c r="C86" s="570"/>
      <c r="D86" s="570"/>
      <c r="E86" s="570"/>
      <c r="F86" s="570"/>
      <c r="G86" s="570"/>
      <c r="H86" s="570"/>
      <c r="I86" s="570"/>
    </row>
    <row r="87" spans="1:9" ht="15">
      <c r="A87" s="2036"/>
      <c r="B87" s="570"/>
      <c r="C87" s="570"/>
      <c r="D87" s="570"/>
      <c r="E87" s="570"/>
      <c r="F87" s="570"/>
      <c r="G87" s="570"/>
      <c r="H87" s="570"/>
      <c r="I87" s="570"/>
    </row>
    <row r="88" spans="1:9" ht="15">
      <c r="A88" s="2069"/>
      <c r="B88" s="570"/>
      <c r="C88" s="570"/>
      <c r="D88" s="570"/>
      <c r="E88" s="570"/>
      <c r="F88" s="570"/>
      <c r="G88" s="570"/>
      <c r="H88" s="570"/>
      <c r="I88" s="570"/>
    </row>
    <row r="89" spans="1:9" ht="15">
      <c r="A89" s="2069"/>
      <c r="B89" s="570"/>
      <c r="C89" s="570"/>
      <c r="D89" s="570"/>
      <c r="E89" s="570"/>
      <c r="F89" s="570"/>
      <c r="G89" s="570"/>
      <c r="H89" s="570"/>
      <c r="I89" s="570"/>
    </row>
    <row r="90" spans="1:9" ht="15">
      <c r="A90" s="2069"/>
      <c r="B90" s="570"/>
      <c r="C90" s="570"/>
      <c r="D90" s="570"/>
      <c r="E90" s="570"/>
      <c r="F90" s="570"/>
      <c r="G90" s="570"/>
      <c r="H90" s="570"/>
      <c r="I90" s="570"/>
    </row>
    <row r="91" spans="1:9" ht="15">
      <c r="A91" s="2069"/>
      <c r="B91" s="570"/>
      <c r="C91" s="570"/>
      <c r="D91" s="570"/>
      <c r="E91" s="570"/>
      <c r="F91" s="570"/>
      <c r="G91" s="570"/>
      <c r="H91" s="570"/>
      <c r="I91" s="570"/>
    </row>
    <row r="92" spans="1:9" ht="15.75" customHeight="1">
      <c r="A92" s="1978"/>
      <c r="B92" s="570"/>
      <c r="C92" s="570"/>
      <c r="D92" s="570"/>
      <c r="E92" s="570"/>
      <c r="F92" s="570"/>
      <c r="G92" s="570"/>
      <c r="H92" s="570"/>
      <c r="I92" s="570"/>
    </row>
    <row r="93" spans="1:9" ht="15" customHeight="1">
      <c r="A93" s="3108"/>
      <c r="B93" s="570"/>
      <c r="C93" s="570"/>
      <c r="D93" s="570"/>
      <c r="E93" s="570"/>
      <c r="F93" s="570"/>
      <c r="G93" s="570"/>
      <c r="H93" s="570"/>
      <c r="I93" s="570"/>
    </row>
    <row r="94" spans="1:9" ht="15" customHeight="1">
      <c r="A94" s="3108"/>
      <c r="B94" s="570"/>
      <c r="C94" s="570"/>
      <c r="D94" s="570"/>
      <c r="E94" s="570"/>
      <c r="F94" s="570"/>
      <c r="G94" s="570"/>
      <c r="H94" s="570"/>
      <c r="I94" s="570"/>
    </row>
    <row r="95" spans="1:9" ht="15" customHeight="1">
      <c r="A95" s="3108"/>
      <c r="B95" s="570"/>
      <c r="C95" s="570"/>
      <c r="D95" s="570"/>
      <c r="E95" s="570"/>
      <c r="F95" s="570"/>
      <c r="G95" s="570"/>
      <c r="H95" s="570"/>
      <c r="I95" s="570"/>
    </row>
    <row r="96" spans="1:9" ht="15" customHeight="1">
      <c r="A96" s="3108"/>
      <c r="B96" s="570"/>
      <c r="C96" s="570"/>
      <c r="D96" s="570"/>
      <c r="E96" s="570"/>
      <c r="F96" s="570"/>
      <c r="G96" s="570"/>
      <c r="H96" s="570"/>
      <c r="I96" s="570"/>
    </row>
    <row r="97" spans="1:9" ht="15" customHeight="1">
      <c r="A97" s="3108"/>
      <c r="B97" s="570"/>
      <c r="C97" s="570"/>
      <c r="D97" s="570"/>
      <c r="E97" s="570"/>
      <c r="F97" s="570"/>
      <c r="G97" s="570"/>
      <c r="H97" s="570"/>
      <c r="I97" s="570"/>
    </row>
    <row r="98" spans="1:9" ht="15">
      <c r="A98" s="1965"/>
      <c r="B98" s="570"/>
      <c r="C98" s="570"/>
      <c r="D98" s="570"/>
      <c r="E98" s="570"/>
      <c r="F98" s="570"/>
      <c r="G98" s="570"/>
      <c r="H98" s="570"/>
      <c r="I98" s="570"/>
    </row>
    <row r="99" spans="1:9" ht="15">
      <c r="A99" s="1965"/>
      <c r="B99" s="570"/>
      <c r="C99" s="570"/>
      <c r="D99" s="570"/>
      <c r="E99" s="570"/>
      <c r="F99" s="570"/>
      <c r="G99" s="570"/>
      <c r="H99" s="570"/>
      <c r="I99" s="570"/>
    </row>
    <row r="100" spans="1:9" ht="15.75" customHeight="1">
      <c r="A100" s="1965"/>
      <c r="B100" s="570"/>
      <c r="C100" s="570"/>
      <c r="D100" s="570"/>
      <c r="E100" s="570"/>
      <c r="F100" s="570"/>
      <c r="G100" s="570"/>
      <c r="H100" s="570"/>
      <c r="I100" s="570"/>
    </row>
    <row r="101" spans="1:9" ht="15">
      <c r="A101" s="1965"/>
      <c r="B101" s="570"/>
      <c r="C101" s="570"/>
      <c r="D101" s="570"/>
      <c r="E101" s="570"/>
      <c r="F101" s="570"/>
      <c r="G101" s="570"/>
      <c r="H101" s="570"/>
      <c r="I101" s="570"/>
    </row>
    <row r="102" spans="1:9" ht="15.75" customHeight="1">
      <c r="A102" s="1965"/>
      <c r="B102" s="570"/>
      <c r="C102" s="570"/>
      <c r="D102" s="570"/>
      <c r="E102" s="570"/>
      <c r="F102" s="570"/>
      <c r="G102" s="570"/>
      <c r="H102" s="570"/>
      <c r="I102" s="570"/>
    </row>
    <row r="103" spans="1:9" ht="30.75" customHeight="1">
      <c r="A103" s="2020"/>
      <c r="B103" s="570"/>
      <c r="C103" s="570"/>
      <c r="D103" s="570"/>
      <c r="E103" s="570"/>
      <c r="F103" s="570"/>
      <c r="G103" s="570"/>
      <c r="H103" s="570"/>
      <c r="I103" s="570"/>
    </row>
    <row r="104" spans="1:9" ht="15">
      <c r="A104" s="627"/>
      <c r="B104" s="570"/>
      <c r="C104" s="570"/>
      <c r="D104" s="570"/>
      <c r="E104" s="570"/>
      <c r="F104" s="570"/>
      <c r="G104" s="570"/>
      <c r="H104" s="570"/>
      <c r="I104" s="570"/>
    </row>
    <row r="105" spans="1:9" ht="15">
      <c r="A105" s="627"/>
      <c r="B105" s="570"/>
      <c r="C105" s="570"/>
      <c r="D105" s="570"/>
      <c r="E105" s="570"/>
      <c r="F105" s="570"/>
      <c r="G105" s="570"/>
      <c r="H105" s="570"/>
      <c r="I105" s="570"/>
    </row>
  </sheetData>
  <mergeCells count="11">
    <mergeCell ref="B46:F46"/>
    <mergeCell ref="B47:F47"/>
    <mergeCell ref="A93:A97"/>
    <mergeCell ref="B1:E1"/>
    <mergeCell ref="B3:G3"/>
    <mergeCell ref="A7:A8"/>
    <mergeCell ref="B7:B8"/>
    <mergeCell ref="C7:C8"/>
    <mergeCell ref="D7:D8"/>
    <mergeCell ref="E7:E8"/>
    <mergeCell ref="F7:F8"/>
  </mergeCells>
  <conditionalFormatting sqref="B31">
    <cfRule type="cellIs" dxfId="128" priority="2" stopIfTrue="1" operator="equal">
      <formula>"?"</formula>
    </cfRule>
  </conditionalFormatting>
  <conditionalFormatting sqref="B32">
    <cfRule type="cellIs" dxfId="127" priority="1" stopIfTrue="1" operator="equal">
      <formula>"?"</formula>
    </cfRule>
  </conditionalFormatting>
  <printOptions horizontalCentered="1"/>
  <pageMargins left="0.98" right="0.15" top="0.66" bottom="0.24" header="0.5" footer="0.16"/>
  <pageSetup paperSize="9" scale="98"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K46"/>
  <sheetViews>
    <sheetView zoomScale="90" zoomScaleNormal="90" workbookViewId="0">
      <pane xSplit="2" ySplit="9" topLeftCell="C39" activePane="bottomRight" state="frozen"/>
      <selection pane="topRight" activeCell="C1" sqref="C1"/>
      <selection pane="bottomLeft" activeCell="A10" sqref="A10"/>
      <selection pane="bottomRight" activeCell="M31" sqref="M31"/>
    </sheetView>
  </sheetViews>
  <sheetFormatPr defaultRowHeight="15"/>
  <cols>
    <col min="1" max="1" width="4.85546875" style="2077" customWidth="1"/>
    <col min="2" max="2" width="72.42578125" style="2077" customWidth="1"/>
    <col min="3" max="3" width="13.85546875" style="2077" customWidth="1"/>
    <col min="4" max="4" width="6.7109375" style="2077" customWidth="1"/>
    <col min="5" max="5" width="10.7109375" style="2077" customWidth="1"/>
    <col min="6" max="6" width="7.140625" style="2077" customWidth="1"/>
    <col min="7" max="7" width="13.7109375" style="2077" customWidth="1"/>
    <col min="8" max="8" width="13.85546875" style="2077" customWidth="1"/>
    <col min="9" max="9" width="20.7109375" style="2077" customWidth="1"/>
    <col min="10" max="10" width="9.140625" style="2077"/>
    <col min="11" max="11" width="15.5703125" style="2077" customWidth="1"/>
    <col min="12" max="256" width="9.140625" style="2077"/>
    <col min="257" max="257" width="4.85546875" style="2077" customWidth="1"/>
    <col min="258" max="258" width="72.42578125" style="2077" customWidth="1"/>
    <col min="259" max="259" width="13.85546875" style="2077" customWidth="1"/>
    <col min="260" max="260" width="6.7109375" style="2077" customWidth="1"/>
    <col min="261" max="261" width="10.7109375" style="2077" customWidth="1"/>
    <col min="262" max="262" width="7.140625" style="2077" customWidth="1"/>
    <col min="263" max="263" width="13.7109375" style="2077" customWidth="1"/>
    <col min="264" max="264" width="13.85546875" style="2077" customWidth="1"/>
    <col min="265" max="265" width="20.7109375" style="2077" customWidth="1"/>
    <col min="266" max="266" width="9.140625" style="2077"/>
    <col min="267" max="267" width="15.5703125" style="2077" customWidth="1"/>
    <col min="268" max="512" width="9.140625" style="2077"/>
    <col min="513" max="513" width="4.85546875" style="2077" customWidth="1"/>
    <col min="514" max="514" width="72.42578125" style="2077" customWidth="1"/>
    <col min="515" max="515" width="13.85546875" style="2077" customWidth="1"/>
    <col min="516" max="516" width="6.7109375" style="2077" customWidth="1"/>
    <col min="517" max="517" width="10.7109375" style="2077" customWidth="1"/>
    <col min="518" max="518" width="7.140625" style="2077" customWidth="1"/>
    <col min="519" max="519" width="13.7109375" style="2077" customWidth="1"/>
    <col min="520" max="520" width="13.85546875" style="2077" customWidth="1"/>
    <col min="521" max="521" width="20.7109375" style="2077" customWidth="1"/>
    <col min="522" max="522" width="9.140625" style="2077"/>
    <col min="523" max="523" width="15.5703125" style="2077" customWidth="1"/>
    <col min="524" max="768" width="9.140625" style="2077"/>
    <col min="769" max="769" width="4.85546875" style="2077" customWidth="1"/>
    <col min="770" max="770" width="72.42578125" style="2077" customWidth="1"/>
    <col min="771" max="771" width="13.85546875" style="2077" customWidth="1"/>
    <col min="772" max="772" width="6.7109375" style="2077" customWidth="1"/>
    <col min="773" max="773" width="10.7109375" style="2077" customWidth="1"/>
    <col min="774" max="774" width="7.140625" style="2077" customWidth="1"/>
    <col min="775" max="775" width="13.7109375" style="2077" customWidth="1"/>
    <col min="776" max="776" width="13.85546875" style="2077" customWidth="1"/>
    <col min="777" max="777" width="20.7109375" style="2077" customWidth="1"/>
    <col min="778" max="778" width="9.140625" style="2077"/>
    <col min="779" max="779" width="15.5703125" style="2077" customWidth="1"/>
    <col min="780" max="1024" width="9.140625" style="2077"/>
    <col min="1025" max="1025" width="4.85546875" style="2077" customWidth="1"/>
    <col min="1026" max="1026" width="72.42578125" style="2077" customWidth="1"/>
    <col min="1027" max="1027" width="13.85546875" style="2077" customWidth="1"/>
    <col min="1028" max="1028" width="6.7109375" style="2077" customWidth="1"/>
    <col min="1029" max="1029" width="10.7109375" style="2077" customWidth="1"/>
    <col min="1030" max="1030" width="7.140625" style="2077" customWidth="1"/>
    <col min="1031" max="1031" width="13.7109375" style="2077" customWidth="1"/>
    <col min="1032" max="1032" width="13.85546875" style="2077" customWidth="1"/>
    <col min="1033" max="1033" width="20.7109375" style="2077" customWidth="1"/>
    <col min="1034" max="1034" width="9.140625" style="2077"/>
    <col min="1035" max="1035" width="15.5703125" style="2077" customWidth="1"/>
    <col min="1036" max="1280" width="9.140625" style="2077"/>
    <col min="1281" max="1281" width="4.85546875" style="2077" customWidth="1"/>
    <col min="1282" max="1282" width="72.42578125" style="2077" customWidth="1"/>
    <col min="1283" max="1283" width="13.85546875" style="2077" customWidth="1"/>
    <col min="1284" max="1284" width="6.7109375" style="2077" customWidth="1"/>
    <col min="1285" max="1285" width="10.7109375" style="2077" customWidth="1"/>
    <col min="1286" max="1286" width="7.140625" style="2077" customWidth="1"/>
    <col min="1287" max="1287" width="13.7109375" style="2077" customWidth="1"/>
    <col min="1288" max="1288" width="13.85546875" style="2077" customWidth="1"/>
    <col min="1289" max="1289" width="20.7109375" style="2077" customWidth="1"/>
    <col min="1290" max="1290" width="9.140625" style="2077"/>
    <col min="1291" max="1291" width="15.5703125" style="2077" customWidth="1"/>
    <col min="1292" max="1536" width="9.140625" style="2077"/>
    <col min="1537" max="1537" width="4.85546875" style="2077" customWidth="1"/>
    <col min="1538" max="1538" width="72.42578125" style="2077" customWidth="1"/>
    <col min="1539" max="1539" width="13.85546875" style="2077" customWidth="1"/>
    <col min="1540" max="1540" width="6.7109375" style="2077" customWidth="1"/>
    <col min="1541" max="1541" width="10.7109375" style="2077" customWidth="1"/>
    <col min="1542" max="1542" width="7.140625" style="2077" customWidth="1"/>
    <col min="1543" max="1543" width="13.7109375" style="2077" customWidth="1"/>
    <col min="1544" max="1544" width="13.85546875" style="2077" customWidth="1"/>
    <col min="1545" max="1545" width="20.7109375" style="2077" customWidth="1"/>
    <col min="1546" max="1546" width="9.140625" style="2077"/>
    <col min="1547" max="1547" width="15.5703125" style="2077" customWidth="1"/>
    <col min="1548" max="1792" width="9.140625" style="2077"/>
    <col min="1793" max="1793" width="4.85546875" style="2077" customWidth="1"/>
    <col min="1794" max="1794" width="72.42578125" style="2077" customWidth="1"/>
    <col min="1795" max="1795" width="13.85546875" style="2077" customWidth="1"/>
    <col min="1796" max="1796" width="6.7109375" style="2077" customWidth="1"/>
    <col min="1797" max="1797" width="10.7109375" style="2077" customWidth="1"/>
    <col min="1798" max="1798" width="7.140625" style="2077" customWidth="1"/>
    <col min="1799" max="1799" width="13.7109375" style="2077" customWidth="1"/>
    <col min="1800" max="1800" width="13.85546875" style="2077" customWidth="1"/>
    <col min="1801" max="1801" width="20.7109375" style="2077" customWidth="1"/>
    <col min="1802" max="1802" width="9.140625" style="2077"/>
    <col min="1803" max="1803" width="15.5703125" style="2077" customWidth="1"/>
    <col min="1804" max="2048" width="9.140625" style="2077"/>
    <col min="2049" max="2049" width="4.85546875" style="2077" customWidth="1"/>
    <col min="2050" max="2050" width="72.42578125" style="2077" customWidth="1"/>
    <col min="2051" max="2051" width="13.85546875" style="2077" customWidth="1"/>
    <col min="2052" max="2052" width="6.7109375" style="2077" customWidth="1"/>
    <col min="2053" max="2053" width="10.7109375" style="2077" customWidth="1"/>
    <col min="2054" max="2054" width="7.140625" style="2077" customWidth="1"/>
    <col min="2055" max="2055" width="13.7109375" style="2077" customWidth="1"/>
    <col min="2056" max="2056" width="13.85546875" style="2077" customWidth="1"/>
    <col min="2057" max="2057" width="20.7109375" style="2077" customWidth="1"/>
    <col min="2058" max="2058" width="9.140625" style="2077"/>
    <col min="2059" max="2059" width="15.5703125" style="2077" customWidth="1"/>
    <col min="2060" max="2304" width="9.140625" style="2077"/>
    <col min="2305" max="2305" width="4.85546875" style="2077" customWidth="1"/>
    <col min="2306" max="2306" width="72.42578125" style="2077" customWidth="1"/>
    <col min="2307" max="2307" width="13.85546875" style="2077" customWidth="1"/>
    <col min="2308" max="2308" width="6.7109375" style="2077" customWidth="1"/>
    <col min="2309" max="2309" width="10.7109375" style="2077" customWidth="1"/>
    <col min="2310" max="2310" width="7.140625" style="2077" customWidth="1"/>
    <col min="2311" max="2311" width="13.7109375" style="2077" customWidth="1"/>
    <col min="2312" max="2312" width="13.85546875" style="2077" customWidth="1"/>
    <col min="2313" max="2313" width="20.7109375" style="2077" customWidth="1"/>
    <col min="2314" max="2314" width="9.140625" style="2077"/>
    <col min="2315" max="2315" width="15.5703125" style="2077" customWidth="1"/>
    <col min="2316" max="2560" width="9.140625" style="2077"/>
    <col min="2561" max="2561" width="4.85546875" style="2077" customWidth="1"/>
    <col min="2562" max="2562" width="72.42578125" style="2077" customWidth="1"/>
    <col min="2563" max="2563" width="13.85546875" style="2077" customWidth="1"/>
    <col min="2564" max="2564" width="6.7109375" style="2077" customWidth="1"/>
    <col min="2565" max="2565" width="10.7109375" style="2077" customWidth="1"/>
    <col min="2566" max="2566" width="7.140625" style="2077" customWidth="1"/>
    <col min="2567" max="2567" width="13.7109375" style="2077" customWidth="1"/>
    <col min="2568" max="2568" width="13.85546875" style="2077" customWidth="1"/>
    <col min="2569" max="2569" width="20.7109375" style="2077" customWidth="1"/>
    <col min="2570" max="2570" width="9.140625" style="2077"/>
    <col min="2571" max="2571" width="15.5703125" style="2077" customWidth="1"/>
    <col min="2572" max="2816" width="9.140625" style="2077"/>
    <col min="2817" max="2817" width="4.85546875" style="2077" customWidth="1"/>
    <col min="2818" max="2818" width="72.42578125" style="2077" customWidth="1"/>
    <col min="2819" max="2819" width="13.85546875" style="2077" customWidth="1"/>
    <col min="2820" max="2820" width="6.7109375" style="2077" customWidth="1"/>
    <col min="2821" max="2821" width="10.7109375" style="2077" customWidth="1"/>
    <col min="2822" max="2822" width="7.140625" style="2077" customWidth="1"/>
    <col min="2823" max="2823" width="13.7109375" style="2077" customWidth="1"/>
    <col min="2824" max="2824" width="13.85546875" style="2077" customWidth="1"/>
    <col min="2825" max="2825" width="20.7109375" style="2077" customWidth="1"/>
    <col min="2826" max="2826" width="9.140625" style="2077"/>
    <col min="2827" max="2827" width="15.5703125" style="2077" customWidth="1"/>
    <col min="2828" max="3072" width="9.140625" style="2077"/>
    <col min="3073" max="3073" width="4.85546875" style="2077" customWidth="1"/>
    <col min="3074" max="3074" width="72.42578125" style="2077" customWidth="1"/>
    <col min="3075" max="3075" width="13.85546875" style="2077" customWidth="1"/>
    <col min="3076" max="3076" width="6.7109375" style="2077" customWidth="1"/>
    <col min="3077" max="3077" width="10.7109375" style="2077" customWidth="1"/>
    <col min="3078" max="3078" width="7.140625" style="2077" customWidth="1"/>
    <col min="3079" max="3079" width="13.7109375" style="2077" customWidth="1"/>
    <col min="3080" max="3080" width="13.85546875" style="2077" customWidth="1"/>
    <col min="3081" max="3081" width="20.7109375" style="2077" customWidth="1"/>
    <col min="3082" max="3082" width="9.140625" style="2077"/>
    <col min="3083" max="3083" width="15.5703125" style="2077" customWidth="1"/>
    <col min="3084" max="3328" width="9.140625" style="2077"/>
    <col min="3329" max="3329" width="4.85546875" style="2077" customWidth="1"/>
    <col min="3330" max="3330" width="72.42578125" style="2077" customWidth="1"/>
    <col min="3331" max="3331" width="13.85546875" style="2077" customWidth="1"/>
    <col min="3332" max="3332" width="6.7109375" style="2077" customWidth="1"/>
    <col min="3333" max="3333" width="10.7109375" style="2077" customWidth="1"/>
    <col min="3334" max="3334" width="7.140625" style="2077" customWidth="1"/>
    <col min="3335" max="3335" width="13.7109375" style="2077" customWidth="1"/>
    <col min="3336" max="3336" width="13.85546875" style="2077" customWidth="1"/>
    <col min="3337" max="3337" width="20.7109375" style="2077" customWidth="1"/>
    <col min="3338" max="3338" width="9.140625" style="2077"/>
    <col min="3339" max="3339" width="15.5703125" style="2077" customWidth="1"/>
    <col min="3340" max="3584" width="9.140625" style="2077"/>
    <col min="3585" max="3585" width="4.85546875" style="2077" customWidth="1"/>
    <col min="3586" max="3586" width="72.42578125" style="2077" customWidth="1"/>
    <col min="3587" max="3587" width="13.85546875" style="2077" customWidth="1"/>
    <col min="3588" max="3588" width="6.7109375" style="2077" customWidth="1"/>
    <col min="3589" max="3589" width="10.7109375" style="2077" customWidth="1"/>
    <col min="3590" max="3590" width="7.140625" style="2077" customWidth="1"/>
    <col min="3591" max="3591" width="13.7109375" style="2077" customWidth="1"/>
    <col min="3592" max="3592" width="13.85546875" style="2077" customWidth="1"/>
    <col min="3593" max="3593" width="20.7109375" style="2077" customWidth="1"/>
    <col min="3594" max="3594" width="9.140625" style="2077"/>
    <col min="3595" max="3595" width="15.5703125" style="2077" customWidth="1"/>
    <col min="3596" max="3840" width="9.140625" style="2077"/>
    <col min="3841" max="3841" width="4.85546875" style="2077" customWidth="1"/>
    <col min="3842" max="3842" width="72.42578125" style="2077" customWidth="1"/>
    <col min="3843" max="3843" width="13.85546875" style="2077" customWidth="1"/>
    <col min="3844" max="3844" width="6.7109375" style="2077" customWidth="1"/>
    <col min="3845" max="3845" width="10.7109375" style="2077" customWidth="1"/>
    <col min="3846" max="3846" width="7.140625" style="2077" customWidth="1"/>
    <col min="3847" max="3847" width="13.7109375" style="2077" customWidth="1"/>
    <col min="3848" max="3848" width="13.85546875" style="2077" customWidth="1"/>
    <col min="3849" max="3849" width="20.7109375" style="2077" customWidth="1"/>
    <col min="3850" max="3850" width="9.140625" style="2077"/>
    <col min="3851" max="3851" width="15.5703125" style="2077" customWidth="1"/>
    <col min="3852" max="4096" width="9.140625" style="2077"/>
    <col min="4097" max="4097" width="4.85546875" style="2077" customWidth="1"/>
    <col min="4098" max="4098" width="72.42578125" style="2077" customWidth="1"/>
    <col min="4099" max="4099" width="13.85546875" style="2077" customWidth="1"/>
    <col min="4100" max="4100" width="6.7109375" style="2077" customWidth="1"/>
    <col min="4101" max="4101" width="10.7109375" style="2077" customWidth="1"/>
    <col min="4102" max="4102" width="7.140625" style="2077" customWidth="1"/>
    <col min="4103" max="4103" width="13.7109375" style="2077" customWidth="1"/>
    <col min="4104" max="4104" width="13.85546875" style="2077" customWidth="1"/>
    <col min="4105" max="4105" width="20.7109375" style="2077" customWidth="1"/>
    <col min="4106" max="4106" width="9.140625" style="2077"/>
    <col min="4107" max="4107" width="15.5703125" style="2077" customWidth="1"/>
    <col min="4108" max="4352" width="9.140625" style="2077"/>
    <col min="4353" max="4353" width="4.85546875" style="2077" customWidth="1"/>
    <col min="4354" max="4354" width="72.42578125" style="2077" customWidth="1"/>
    <col min="4355" max="4355" width="13.85546875" style="2077" customWidth="1"/>
    <col min="4356" max="4356" width="6.7109375" style="2077" customWidth="1"/>
    <col min="4357" max="4357" width="10.7109375" style="2077" customWidth="1"/>
    <col min="4358" max="4358" width="7.140625" style="2077" customWidth="1"/>
    <col min="4359" max="4359" width="13.7109375" style="2077" customWidth="1"/>
    <col min="4360" max="4360" width="13.85546875" style="2077" customWidth="1"/>
    <col min="4361" max="4361" width="20.7109375" style="2077" customWidth="1"/>
    <col min="4362" max="4362" width="9.140625" style="2077"/>
    <col min="4363" max="4363" width="15.5703125" style="2077" customWidth="1"/>
    <col min="4364" max="4608" width="9.140625" style="2077"/>
    <col min="4609" max="4609" width="4.85546875" style="2077" customWidth="1"/>
    <col min="4610" max="4610" width="72.42578125" style="2077" customWidth="1"/>
    <col min="4611" max="4611" width="13.85546875" style="2077" customWidth="1"/>
    <col min="4612" max="4612" width="6.7109375" style="2077" customWidth="1"/>
    <col min="4613" max="4613" width="10.7109375" style="2077" customWidth="1"/>
    <col min="4614" max="4614" width="7.140625" style="2077" customWidth="1"/>
    <col min="4615" max="4615" width="13.7109375" style="2077" customWidth="1"/>
    <col min="4616" max="4616" width="13.85546875" style="2077" customWidth="1"/>
    <col min="4617" max="4617" width="20.7109375" style="2077" customWidth="1"/>
    <col min="4618" max="4618" width="9.140625" style="2077"/>
    <col min="4619" max="4619" width="15.5703125" style="2077" customWidth="1"/>
    <col min="4620" max="4864" width="9.140625" style="2077"/>
    <col min="4865" max="4865" width="4.85546875" style="2077" customWidth="1"/>
    <col min="4866" max="4866" width="72.42578125" style="2077" customWidth="1"/>
    <col min="4867" max="4867" width="13.85546875" style="2077" customWidth="1"/>
    <col min="4868" max="4868" width="6.7109375" style="2077" customWidth="1"/>
    <col min="4869" max="4869" width="10.7109375" style="2077" customWidth="1"/>
    <col min="4870" max="4870" width="7.140625" style="2077" customWidth="1"/>
    <col min="4871" max="4871" width="13.7109375" style="2077" customWidth="1"/>
    <col min="4872" max="4872" width="13.85546875" style="2077" customWidth="1"/>
    <col min="4873" max="4873" width="20.7109375" style="2077" customWidth="1"/>
    <col min="4874" max="4874" width="9.140625" style="2077"/>
    <col min="4875" max="4875" width="15.5703125" style="2077" customWidth="1"/>
    <col min="4876" max="5120" width="9.140625" style="2077"/>
    <col min="5121" max="5121" width="4.85546875" style="2077" customWidth="1"/>
    <col min="5122" max="5122" width="72.42578125" style="2077" customWidth="1"/>
    <col min="5123" max="5123" width="13.85546875" style="2077" customWidth="1"/>
    <col min="5124" max="5124" width="6.7109375" style="2077" customWidth="1"/>
    <col min="5125" max="5125" width="10.7109375" style="2077" customWidth="1"/>
    <col min="5126" max="5126" width="7.140625" style="2077" customWidth="1"/>
    <col min="5127" max="5127" width="13.7109375" style="2077" customWidth="1"/>
    <col min="5128" max="5128" width="13.85546875" style="2077" customWidth="1"/>
    <col min="5129" max="5129" width="20.7109375" style="2077" customWidth="1"/>
    <col min="5130" max="5130" width="9.140625" style="2077"/>
    <col min="5131" max="5131" width="15.5703125" style="2077" customWidth="1"/>
    <col min="5132" max="5376" width="9.140625" style="2077"/>
    <col min="5377" max="5377" width="4.85546875" style="2077" customWidth="1"/>
    <col min="5378" max="5378" width="72.42578125" style="2077" customWidth="1"/>
    <col min="5379" max="5379" width="13.85546875" style="2077" customWidth="1"/>
    <col min="5380" max="5380" width="6.7109375" style="2077" customWidth="1"/>
    <col min="5381" max="5381" width="10.7109375" style="2077" customWidth="1"/>
    <col min="5382" max="5382" width="7.140625" style="2077" customWidth="1"/>
    <col min="5383" max="5383" width="13.7109375" style="2077" customWidth="1"/>
    <col min="5384" max="5384" width="13.85546875" style="2077" customWidth="1"/>
    <col min="5385" max="5385" width="20.7109375" style="2077" customWidth="1"/>
    <col min="5386" max="5386" width="9.140625" style="2077"/>
    <col min="5387" max="5387" width="15.5703125" style="2077" customWidth="1"/>
    <col min="5388" max="5632" width="9.140625" style="2077"/>
    <col min="5633" max="5633" width="4.85546875" style="2077" customWidth="1"/>
    <col min="5634" max="5634" width="72.42578125" style="2077" customWidth="1"/>
    <col min="5635" max="5635" width="13.85546875" style="2077" customWidth="1"/>
    <col min="5636" max="5636" width="6.7109375" style="2077" customWidth="1"/>
    <col min="5637" max="5637" width="10.7109375" style="2077" customWidth="1"/>
    <col min="5638" max="5638" width="7.140625" style="2077" customWidth="1"/>
    <col min="5639" max="5639" width="13.7109375" style="2077" customWidth="1"/>
    <col min="5640" max="5640" width="13.85546875" style="2077" customWidth="1"/>
    <col min="5641" max="5641" width="20.7109375" style="2077" customWidth="1"/>
    <col min="5642" max="5642" width="9.140625" style="2077"/>
    <col min="5643" max="5643" width="15.5703125" style="2077" customWidth="1"/>
    <col min="5644" max="5888" width="9.140625" style="2077"/>
    <col min="5889" max="5889" width="4.85546875" style="2077" customWidth="1"/>
    <col min="5890" max="5890" width="72.42578125" style="2077" customWidth="1"/>
    <col min="5891" max="5891" width="13.85546875" style="2077" customWidth="1"/>
    <col min="5892" max="5892" width="6.7109375" style="2077" customWidth="1"/>
    <col min="5893" max="5893" width="10.7109375" style="2077" customWidth="1"/>
    <col min="5894" max="5894" width="7.140625" style="2077" customWidth="1"/>
    <col min="5895" max="5895" width="13.7109375" style="2077" customWidth="1"/>
    <col min="5896" max="5896" width="13.85546875" style="2077" customWidth="1"/>
    <col min="5897" max="5897" width="20.7109375" style="2077" customWidth="1"/>
    <col min="5898" max="5898" width="9.140625" style="2077"/>
    <col min="5899" max="5899" width="15.5703125" style="2077" customWidth="1"/>
    <col min="5900" max="6144" width="9.140625" style="2077"/>
    <col min="6145" max="6145" width="4.85546875" style="2077" customWidth="1"/>
    <col min="6146" max="6146" width="72.42578125" style="2077" customWidth="1"/>
    <col min="6147" max="6147" width="13.85546875" style="2077" customWidth="1"/>
    <col min="6148" max="6148" width="6.7109375" style="2077" customWidth="1"/>
    <col min="6149" max="6149" width="10.7109375" style="2077" customWidth="1"/>
    <col min="6150" max="6150" width="7.140625" style="2077" customWidth="1"/>
    <col min="6151" max="6151" width="13.7109375" style="2077" customWidth="1"/>
    <col min="6152" max="6152" width="13.85546875" style="2077" customWidth="1"/>
    <col min="6153" max="6153" width="20.7109375" style="2077" customWidth="1"/>
    <col min="6154" max="6154" width="9.140625" style="2077"/>
    <col min="6155" max="6155" width="15.5703125" style="2077" customWidth="1"/>
    <col min="6156" max="6400" width="9.140625" style="2077"/>
    <col min="6401" max="6401" width="4.85546875" style="2077" customWidth="1"/>
    <col min="6402" max="6402" width="72.42578125" style="2077" customWidth="1"/>
    <col min="6403" max="6403" width="13.85546875" style="2077" customWidth="1"/>
    <col min="6404" max="6404" width="6.7109375" style="2077" customWidth="1"/>
    <col min="6405" max="6405" width="10.7109375" style="2077" customWidth="1"/>
    <col min="6406" max="6406" width="7.140625" style="2077" customWidth="1"/>
    <col min="6407" max="6407" width="13.7109375" style="2077" customWidth="1"/>
    <col min="6408" max="6408" width="13.85546875" style="2077" customWidth="1"/>
    <col min="6409" max="6409" width="20.7109375" style="2077" customWidth="1"/>
    <col min="6410" max="6410" width="9.140625" style="2077"/>
    <col min="6411" max="6411" width="15.5703125" style="2077" customWidth="1"/>
    <col min="6412" max="6656" width="9.140625" style="2077"/>
    <col min="6657" max="6657" width="4.85546875" style="2077" customWidth="1"/>
    <col min="6658" max="6658" width="72.42578125" style="2077" customWidth="1"/>
    <col min="6659" max="6659" width="13.85546875" style="2077" customWidth="1"/>
    <col min="6660" max="6660" width="6.7109375" style="2077" customWidth="1"/>
    <col min="6661" max="6661" width="10.7109375" style="2077" customWidth="1"/>
    <col min="6662" max="6662" width="7.140625" style="2077" customWidth="1"/>
    <col min="6663" max="6663" width="13.7109375" style="2077" customWidth="1"/>
    <col min="6664" max="6664" width="13.85546875" style="2077" customWidth="1"/>
    <col min="6665" max="6665" width="20.7109375" style="2077" customWidth="1"/>
    <col min="6666" max="6666" width="9.140625" style="2077"/>
    <col min="6667" max="6667" width="15.5703125" style="2077" customWidth="1"/>
    <col min="6668" max="6912" width="9.140625" style="2077"/>
    <col min="6913" max="6913" width="4.85546875" style="2077" customWidth="1"/>
    <col min="6914" max="6914" width="72.42578125" style="2077" customWidth="1"/>
    <col min="6915" max="6915" width="13.85546875" style="2077" customWidth="1"/>
    <col min="6916" max="6916" width="6.7109375" style="2077" customWidth="1"/>
    <col min="6917" max="6917" width="10.7109375" style="2077" customWidth="1"/>
    <col min="6918" max="6918" width="7.140625" style="2077" customWidth="1"/>
    <col min="6919" max="6919" width="13.7109375" style="2077" customWidth="1"/>
    <col min="6920" max="6920" width="13.85546875" style="2077" customWidth="1"/>
    <col min="6921" max="6921" width="20.7109375" style="2077" customWidth="1"/>
    <col min="6922" max="6922" width="9.140625" style="2077"/>
    <col min="6923" max="6923" width="15.5703125" style="2077" customWidth="1"/>
    <col min="6924" max="7168" width="9.140625" style="2077"/>
    <col min="7169" max="7169" width="4.85546875" style="2077" customWidth="1"/>
    <col min="7170" max="7170" width="72.42578125" style="2077" customWidth="1"/>
    <col min="7171" max="7171" width="13.85546875" style="2077" customWidth="1"/>
    <col min="7172" max="7172" width="6.7109375" style="2077" customWidth="1"/>
    <col min="7173" max="7173" width="10.7109375" style="2077" customWidth="1"/>
    <col min="7174" max="7174" width="7.140625" style="2077" customWidth="1"/>
    <col min="7175" max="7175" width="13.7109375" style="2077" customWidth="1"/>
    <col min="7176" max="7176" width="13.85546875" style="2077" customWidth="1"/>
    <col min="7177" max="7177" width="20.7109375" style="2077" customWidth="1"/>
    <col min="7178" max="7178" width="9.140625" style="2077"/>
    <col min="7179" max="7179" width="15.5703125" style="2077" customWidth="1"/>
    <col min="7180" max="7424" width="9.140625" style="2077"/>
    <col min="7425" max="7425" width="4.85546875" style="2077" customWidth="1"/>
    <col min="7426" max="7426" width="72.42578125" style="2077" customWidth="1"/>
    <col min="7427" max="7427" width="13.85546875" style="2077" customWidth="1"/>
    <col min="7428" max="7428" width="6.7109375" style="2077" customWidth="1"/>
    <col min="7429" max="7429" width="10.7109375" style="2077" customWidth="1"/>
    <col min="7430" max="7430" width="7.140625" style="2077" customWidth="1"/>
    <col min="7431" max="7431" width="13.7109375" style="2077" customWidth="1"/>
    <col min="7432" max="7432" width="13.85546875" style="2077" customWidth="1"/>
    <col min="7433" max="7433" width="20.7109375" style="2077" customWidth="1"/>
    <col min="7434" max="7434" width="9.140625" style="2077"/>
    <col min="7435" max="7435" width="15.5703125" style="2077" customWidth="1"/>
    <col min="7436" max="7680" width="9.140625" style="2077"/>
    <col min="7681" max="7681" width="4.85546875" style="2077" customWidth="1"/>
    <col min="7682" max="7682" width="72.42578125" style="2077" customWidth="1"/>
    <col min="7683" max="7683" width="13.85546875" style="2077" customWidth="1"/>
    <col min="7684" max="7684" width="6.7109375" style="2077" customWidth="1"/>
    <col min="7685" max="7685" width="10.7109375" style="2077" customWidth="1"/>
    <col min="7686" max="7686" width="7.140625" style="2077" customWidth="1"/>
    <col min="7687" max="7687" width="13.7109375" style="2077" customWidth="1"/>
    <col min="7688" max="7688" width="13.85546875" style="2077" customWidth="1"/>
    <col min="7689" max="7689" width="20.7109375" style="2077" customWidth="1"/>
    <col min="7690" max="7690" width="9.140625" style="2077"/>
    <col min="7691" max="7691" width="15.5703125" style="2077" customWidth="1"/>
    <col min="7692" max="7936" width="9.140625" style="2077"/>
    <col min="7937" max="7937" width="4.85546875" style="2077" customWidth="1"/>
    <col min="7938" max="7938" width="72.42578125" style="2077" customWidth="1"/>
    <col min="7939" max="7939" width="13.85546875" style="2077" customWidth="1"/>
    <col min="7940" max="7940" width="6.7109375" style="2077" customWidth="1"/>
    <col min="7941" max="7941" width="10.7109375" style="2077" customWidth="1"/>
    <col min="7942" max="7942" width="7.140625" style="2077" customWidth="1"/>
    <col min="7943" max="7943" width="13.7109375" style="2077" customWidth="1"/>
    <col min="7944" max="7944" width="13.85546875" style="2077" customWidth="1"/>
    <col min="7945" max="7945" width="20.7109375" style="2077" customWidth="1"/>
    <col min="7946" max="7946" width="9.140625" style="2077"/>
    <col min="7947" max="7947" width="15.5703125" style="2077" customWidth="1"/>
    <col min="7948" max="8192" width="9.140625" style="2077"/>
    <col min="8193" max="8193" width="4.85546875" style="2077" customWidth="1"/>
    <col min="8194" max="8194" width="72.42578125" style="2077" customWidth="1"/>
    <col min="8195" max="8195" width="13.85546875" style="2077" customWidth="1"/>
    <col min="8196" max="8196" width="6.7109375" style="2077" customWidth="1"/>
    <col min="8197" max="8197" width="10.7109375" style="2077" customWidth="1"/>
    <col min="8198" max="8198" width="7.140625" style="2077" customWidth="1"/>
    <col min="8199" max="8199" width="13.7109375" style="2077" customWidth="1"/>
    <col min="8200" max="8200" width="13.85546875" style="2077" customWidth="1"/>
    <col min="8201" max="8201" width="20.7109375" style="2077" customWidth="1"/>
    <col min="8202" max="8202" width="9.140625" style="2077"/>
    <col min="8203" max="8203" width="15.5703125" style="2077" customWidth="1"/>
    <col min="8204" max="8448" width="9.140625" style="2077"/>
    <col min="8449" max="8449" width="4.85546875" style="2077" customWidth="1"/>
    <col min="8450" max="8450" width="72.42578125" style="2077" customWidth="1"/>
    <col min="8451" max="8451" width="13.85546875" style="2077" customWidth="1"/>
    <col min="8452" max="8452" width="6.7109375" style="2077" customWidth="1"/>
    <col min="8453" max="8453" width="10.7109375" style="2077" customWidth="1"/>
    <col min="8454" max="8454" width="7.140625" style="2077" customWidth="1"/>
    <col min="8455" max="8455" width="13.7109375" style="2077" customWidth="1"/>
    <col min="8456" max="8456" width="13.85546875" style="2077" customWidth="1"/>
    <col min="8457" max="8457" width="20.7109375" style="2077" customWidth="1"/>
    <col min="8458" max="8458" width="9.140625" style="2077"/>
    <col min="8459" max="8459" width="15.5703125" style="2077" customWidth="1"/>
    <col min="8460" max="8704" width="9.140625" style="2077"/>
    <col min="8705" max="8705" width="4.85546875" style="2077" customWidth="1"/>
    <col min="8706" max="8706" width="72.42578125" style="2077" customWidth="1"/>
    <col min="8707" max="8707" width="13.85546875" style="2077" customWidth="1"/>
    <col min="8708" max="8708" width="6.7109375" style="2077" customWidth="1"/>
    <col min="8709" max="8709" width="10.7109375" style="2077" customWidth="1"/>
    <col min="8710" max="8710" width="7.140625" style="2077" customWidth="1"/>
    <col min="8711" max="8711" width="13.7109375" style="2077" customWidth="1"/>
    <col min="8712" max="8712" width="13.85546875" style="2077" customWidth="1"/>
    <col min="8713" max="8713" width="20.7109375" style="2077" customWidth="1"/>
    <col min="8714" max="8714" width="9.140625" style="2077"/>
    <col min="8715" max="8715" width="15.5703125" style="2077" customWidth="1"/>
    <col min="8716" max="8960" width="9.140625" style="2077"/>
    <col min="8961" max="8961" width="4.85546875" style="2077" customWidth="1"/>
    <col min="8962" max="8962" width="72.42578125" style="2077" customWidth="1"/>
    <col min="8963" max="8963" width="13.85546875" style="2077" customWidth="1"/>
    <col min="8964" max="8964" width="6.7109375" style="2077" customWidth="1"/>
    <col min="8965" max="8965" width="10.7109375" style="2077" customWidth="1"/>
    <col min="8966" max="8966" width="7.140625" style="2077" customWidth="1"/>
    <col min="8967" max="8967" width="13.7109375" style="2077" customWidth="1"/>
    <col min="8968" max="8968" width="13.85546875" style="2077" customWidth="1"/>
    <col min="8969" max="8969" width="20.7109375" style="2077" customWidth="1"/>
    <col min="8970" max="8970" width="9.140625" style="2077"/>
    <col min="8971" max="8971" width="15.5703125" style="2077" customWidth="1"/>
    <col min="8972" max="9216" width="9.140625" style="2077"/>
    <col min="9217" max="9217" width="4.85546875" style="2077" customWidth="1"/>
    <col min="9218" max="9218" width="72.42578125" style="2077" customWidth="1"/>
    <col min="9219" max="9219" width="13.85546875" style="2077" customWidth="1"/>
    <col min="9220" max="9220" width="6.7109375" style="2077" customWidth="1"/>
    <col min="9221" max="9221" width="10.7109375" style="2077" customWidth="1"/>
    <col min="9222" max="9222" width="7.140625" style="2077" customWidth="1"/>
    <col min="9223" max="9223" width="13.7109375" style="2077" customWidth="1"/>
    <col min="9224" max="9224" width="13.85546875" style="2077" customWidth="1"/>
    <col min="9225" max="9225" width="20.7109375" style="2077" customWidth="1"/>
    <col min="9226" max="9226" width="9.140625" style="2077"/>
    <col min="9227" max="9227" width="15.5703125" style="2077" customWidth="1"/>
    <col min="9228" max="9472" width="9.140625" style="2077"/>
    <col min="9473" max="9473" width="4.85546875" style="2077" customWidth="1"/>
    <col min="9474" max="9474" width="72.42578125" style="2077" customWidth="1"/>
    <col min="9475" max="9475" width="13.85546875" style="2077" customWidth="1"/>
    <col min="9476" max="9476" width="6.7109375" style="2077" customWidth="1"/>
    <col min="9477" max="9477" width="10.7109375" style="2077" customWidth="1"/>
    <col min="9478" max="9478" width="7.140625" style="2077" customWidth="1"/>
    <col min="9479" max="9479" width="13.7109375" style="2077" customWidth="1"/>
    <col min="9480" max="9480" width="13.85546875" style="2077" customWidth="1"/>
    <col min="9481" max="9481" width="20.7109375" style="2077" customWidth="1"/>
    <col min="9482" max="9482" width="9.140625" style="2077"/>
    <col min="9483" max="9483" width="15.5703125" style="2077" customWidth="1"/>
    <col min="9484" max="9728" width="9.140625" style="2077"/>
    <col min="9729" max="9729" width="4.85546875" style="2077" customWidth="1"/>
    <col min="9730" max="9730" width="72.42578125" style="2077" customWidth="1"/>
    <col min="9731" max="9731" width="13.85546875" style="2077" customWidth="1"/>
    <col min="9732" max="9732" width="6.7109375" style="2077" customWidth="1"/>
    <col min="9733" max="9733" width="10.7109375" style="2077" customWidth="1"/>
    <col min="9734" max="9734" width="7.140625" style="2077" customWidth="1"/>
    <col min="9735" max="9735" width="13.7109375" style="2077" customWidth="1"/>
    <col min="9736" max="9736" width="13.85546875" style="2077" customWidth="1"/>
    <col min="9737" max="9737" width="20.7109375" style="2077" customWidth="1"/>
    <col min="9738" max="9738" width="9.140625" style="2077"/>
    <col min="9739" max="9739" width="15.5703125" style="2077" customWidth="1"/>
    <col min="9740" max="9984" width="9.140625" style="2077"/>
    <col min="9985" max="9985" width="4.85546875" style="2077" customWidth="1"/>
    <col min="9986" max="9986" width="72.42578125" style="2077" customWidth="1"/>
    <col min="9987" max="9987" width="13.85546875" style="2077" customWidth="1"/>
    <col min="9988" max="9988" width="6.7109375" style="2077" customWidth="1"/>
    <col min="9989" max="9989" width="10.7109375" style="2077" customWidth="1"/>
    <col min="9990" max="9990" width="7.140625" style="2077" customWidth="1"/>
    <col min="9991" max="9991" width="13.7109375" style="2077" customWidth="1"/>
    <col min="9992" max="9992" width="13.85546875" style="2077" customWidth="1"/>
    <col min="9993" max="9993" width="20.7109375" style="2077" customWidth="1"/>
    <col min="9994" max="9994" width="9.140625" style="2077"/>
    <col min="9995" max="9995" width="15.5703125" style="2077" customWidth="1"/>
    <col min="9996" max="10240" width="9.140625" style="2077"/>
    <col min="10241" max="10241" width="4.85546875" style="2077" customWidth="1"/>
    <col min="10242" max="10242" width="72.42578125" style="2077" customWidth="1"/>
    <col min="10243" max="10243" width="13.85546875" style="2077" customWidth="1"/>
    <col min="10244" max="10244" width="6.7109375" style="2077" customWidth="1"/>
    <col min="10245" max="10245" width="10.7109375" style="2077" customWidth="1"/>
    <col min="10246" max="10246" width="7.140625" style="2077" customWidth="1"/>
    <col min="10247" max="10247" width="13.7109375" style="2077" customWidth="1"/>
    <col min="10248" max="10248" width="13.85546875" style="2077" customWidth="1"/>
    <col min="10249" max="10249" width="20.7109375" style="2077" customWidth="1"/>
    <col min="10250" max="10250" width="9.140625" style="2077"/>
    <col min="10251" max="10251" width="15.5703125" style="2077" customWidth="1"/>
    <col min="10252" max="10496" width="9.140625" style="2077"/>
    <col min="10497" max="10497" width="4.85546875" style="2077" customWidth="1"/>
    <col min="10498" max="10498" width="72.42578125" style="2077" customWidth="1"/>
    <col min="10499" max="10499" width="13.85546875" style="2077" customWidth="1"/>
    <col min="10500" max="10500" width="6.7109375" style="2077" customWidth="1"/>
    <col min="10501" max="10501" width="10.7109375" style="2077" customWidth="1"/>
    <col min="10502" max="10502" width="7.140625" style="2077" customWidth="1"/>
    <col min="10503" max="10503" width="13.7109375" style="2077" customWidth="1"/>
    <col min="10504" max="10504" width="13.85546875" style="2077" customWidth="1"/>
    <col min="10505" max="10505" width="20.7109375" style="2077" customWidth="1"/>
    <col min="10506" max="10506" width="9.140625" style="2077"/>
    <col min="10507" max="10507" width="15.5703125" style="2077" customWidth="1"/>
    <col min="10508" max="10752" width="9.140625" style="2077"/>
    <col min="10753" max="10753" width="4.85546875" style="2077" customWidth="1"/>
    <col min="10754" max="10754" width="72.42578125" style="2077" customWidth="1"/>
    <col min="10755" max="10755" width="13.85546875" style="2077" customWidth="1"/>
    <col min="10756" max="10756" width="6.7109375" style="2077" customWidth="1"/>
    <col min="10757" max="10757" width="10.7109375" style="2077" customWidth="1"/>
    <col min="10758" max="10758" width="7.140625" style="2077" customWidth="1"/>
    <col min="10759" max="10759" width="13.7109375" style="2077" customWidth="1"/>
    <col min="10760" max="10760" width="13.85546875" style="2077" customWidth="1"/>
    <col min="10761" max="10761" width="20.7109375" style="2077" customWidth="1"/>
    <col min="10762" max="10762" width="9.140625" style="2077"/>
    <col min="10763" max="10763" width="15.5703125" style="2077" customWidth="1"/>
    <col min="10764" max="11008" width="9.140625" style="2077"/>
    <col min="11009" max="11009" width="4.85546875" style="2077" customWidth="1"/>
    <col min="11010" max="11010" width="72.42578125" style="2077" customWidth="1"/>
    <col min="11011" max="11011" width="13.85546875" style="2077" customWidth="1"/>
    <col min="11012" max="11012" width="6.7109375" style="2077" customWidth="1"/>
    <col min="11013" max="11013" width="10.7109375" style="2077" customWidth="1"/>
    <col min="11014" max="11014" width="7.140625" style="2077" customWidth="1"/>
    <col min="11015" max="11015" width="13.7109375" style="2077" customWidth="1"/>
    <col min="11016" max="11016" width="13.85546875" style="2077" customWidth="1"/>
    <col min="11017" max="11017" width="20.7109375" style="2077" customWidth="1"/>
    <col min="11018" max="11018" width="9.140625" style="2077"/>
    <col min="11019" max="11019" width="15.5703125" style="2077" customWidth="1"/>
    <col min="11020" max="11264" width="9.140625" style="2077"/>
    <col min="11265" max="11265" width="4.85546875" style="2077" customWidth="1"/>
    <col min="11266" max="11266" width="72.42578125" style="2077" customWidth="1"/>
    <col min="11267" max="11267" width="13.85546875" style="2077" customWidth="1"/>
    <col min="11268" max="11268" width="6.7109375" style="2077" customWidth="1"/>
    <col min="11269" max="11269" width="10.7109375" style="2077" customWidth="1"/>
    <col min="11270" max="11270" width="7.140625" style="2077" customWidth="1"/>
    <col min="11271" max="11271" width="13.7109375" style="2077" customWidth="1"/>
    <col min="11272" max="11272" width="13.85546875" style="2077" customWidth="1"/>
    <col min="11273" max="11273" width="20.7109375" style="2077" customWidth="1"/>
    <col min="11274" max="11274" width="9.140625" style="2077"/>
    <col min="11275" max="11275" width="15.5703125" style="2077" customWidth="1"/>
    <col min="11276" max="11520" width="9.140625" style="2077"/>
    <col min="11521" max="11521" width="4.85546875" style="2077" customWidth="1"/>
    <col min="11522" max="11522" width="72.42578125" style="2077" customWidth="1"/>
    <col min="11523" max="11523" width="13.85546875" style="2077" customWidth="1"/>
    <col min="11524" max="11524" width="6.7109375" style="2077" customWidth="1"/>
    <col min="11525" max="11525" width="10.7109375" style="2077" customWidth="1"/>
    <col min="11526" max="11526" width="7.140625" style="2077" customWidth="1"/>
    <col min="11527" max="11527" width="13.7109375" style="2077" customWidth="1"/>
    <col min="11528" max="11528" width="13.85546875" style="2077" customWidth="1"/>
    <col min="11529" max="11529" width="20.7109375" style="2077" customWidth="1"/>
    <col min="11530" max="11530" width="9.140625" style="2077"/>
    <col min="11531" max="11531" width="15.5703125" style="2077" customWidth="1"/>
    <col min="11532" max="11776" width="9.140625" style="2077"/>
    <col min="11777" max="11777" width="4.85546875" style="2077" customWidth="1"/>
    <col min="11778" max="11778" width="72.42578125" style="2077" customWidth="1"/>
    <col min="11779" max="11779" width="13.85546875" style="2077" customWidth="1"/>
    <col min="11780" max="11780" width="6.7109375" style="2077" customWidth="1"/>
    <col min="11781" max="11781" width="10.7109375" style="2077" customWidth="1"/>
    <col min="11782" max="11782" width="7.140625" style="2077" customWidth="1"/>
    <col min="11783" max="11783" width="13.7109375" style="2077" customWidth="1"/>
    <col min="11784" max="11784" width="13.85546875" style="2077" customWidth="1"/>
    <col min="11785" max="11785" width="20.7109375" style="2077" customWidth="1"/>
    <col min="11786" max="11786" width="9.140625" style="2077"/>
    <col min="11787" max="11787" width="15.5703125" style="2077" customWidth="1"/>
    <col min="11788" max="12032" width="9.140625" style="2077"/>
    <col min="12033" max="12033" width="4.85546875" style="2077" customWidth="1"/>
    <col min="12034" max="12034" width="72.42578125" style="2077" customWidth="1"/>
    <col min="12035" max="12035" width="13.85546875" style="2077" customWidth="1"/>
    <col min="12036" max="12036" width="6.7109375" style="2077" customWidth="1"/>
    <col min="12037" max="12037" width="10.7109375" style="2077" customWidth="1"/>
    <col min="12038" max="12038" width="7.140625" style="2077" customWidth="1"/>
    <col min="12039" max="12039" width="13.7109375" style="2077" customWidth="1"/>
    <col min="12040" max="12040" width="13.85546875" style="2077" customWidth="1"/>
    <col min="12041" max="12041" width="20.7109375" style="2077" customWidth="1"/>
    <col min="12042" max="12042" width="9.140625" style="2077"/>
    <col min="12043" max="12043" width="15.5703125" style="2077" customWidth="1"/>
    <col min="12044" max="12288" width="9.140625" style="2077"/>
    <col min="12289" max="12289" width="4.85546875" style="2077" customWidth="1"/>
    <col min="12290" max="12290" width="72.42578125" style="2077" customWidth="1"/>
    <col min="12291" max="12291" width="13.85546875" style="2077" customWidth="1"/>
    <col min="12292" max="12292" width="6.7109375" style="2077" customWidth="1"/>
    <col min="12293" max="12293" width="10.7109375" style="2077" customWidth="1"/>
    <col min="12294" max="12294" width="7.140625" style="2077" customWidth="1"/>
    <col min="12295" max="12295" width="13.7109375" style="2077" customWidth="1"/>
    <col min="12296" max="12296" width="13.85546875" style="2077" customWidth="1"/>
    <col min="12297" max="12297" width="20.7109375" style="2077" customWidth="1"/>
    <col min="12298" max="12298" width="9.140625" style="2077"/>
    <col min="12299" max="12299" width="15.5703125" style="2077" customWidth="1"/>
    <col min="12300" max="12544" width="9.140625" style="2077"/>
    <col min="12545" max="12545" width="4.85546875" style="2077" customWidth="1"/>
    <col min="12546" max="12546" width="72.42578125" style="2077" customWidth="1"/>
    <col min="12547" max="12547" width="13.85546875" style="2077" customWidth="1"/>
    <col min="12548" max="12548" width="6.7109375" style="2077" customWidth="1"/>
    <col min="12549" max="12549" width="10.7109375" style="2077" customWidth="1"/>
    <col min="12550" max="12550" width="7.140625" style="2077" customWidth="1"/>
    <col min="12551" max="12551" width="13.7109375" style="2077" customWidth="1"/>
    <col min="12552" max="12552" width="13.85546875" style="2077" customWidth="1"/>
    <col min="12553" max="12553" width="20.7109375" style="2077" customWidth="1"/>
    <col min="12554" max="12554" width="9.140625" style="2077"/>
    <col min="12555" max="12555" width="15.5703125" style="2077" customWidth="1"/>
    <col min="12556" max="12800" width="9.140625" style="2077"/>
    <col min="12801" max="12801" width="4.85546875" style="2077" customWidth="1"/>
    <col min="12802" max="12802" width="72.42578125" style="2077" customWidth="1"/>
    <col min="12803" max="12803" width="13.85546875" style="2077" customWidth="1"/>
    <col min="12804" max="12804" width="6.7109375" style="2077" customWidth="1"/>
    <col min="12805" max="12805" width="10.7109375" style="2077" customWidth="1"/>
    <col min="12806" max="12806" width="7.140625" style="2077" customWidth="1"/>
    <col min="12807" max="12807" width="13.7109375" style="2077" customWidth="1"/>
    <col min="12808" max="12808" width="13.85546875" style="2077" customWidth="1"/>
    <col min="12809" max="12809" width="20.7109375" style="2077" customWidth="1"/>
    <col min="12810" max="12810" width="9.140625" style="2077"/>
    <col min="12811" max="12811" width="15.5703125" style="2077" customWidth="1"/>
    <col min="12812" max="13056" width="9.140625" style="2077"/>
    <col min="13057" max="13057" width="4.85546875" style="2077" customWidth="1"/>
    <col min="13058" max="13058" width="72.42578125" style="2077" customWidth="1"/>
    <col min="13059" max="13059" width="13.85546875" style="2077" customWidth="1"/>
    <col min="13060" max="13060" width="6.7109375" style="2077" customWidth="1"/>
    <col min="13061" max="13061" width="10.7109375" style="2077" customWidth="1"/>
    <col min="13062" max="13062" width="7.140625" style="2077" customWidth="1"/>
    <col min="13063" max="13063" width="13.7109375" style="2077" customWidth="1"/>
    <col min="13064" max="13064" width="13.85546875" style="2077" customWidth="1"/>
    <col min="13065" max="13065" width="20.7109375" style="2077" customWidth="1"/>
    <col min="13066" max="13066" width="9.140625" style="2077"/>
    <col min="13067" max="13067" width="15.5703125" style="2077" customWidth="1"/>
    <col min="13068" max="13312" width="9.140625" style="2077"/>
    <col min="13313" max="13313" width="4.85546875" style="2077" customWidth="1"/>
    <col min="13314" max="13314" width="72.42578125" style="2077" customWidth="1"/>
    <col min="13315" max="13315" width="13.85546875" style="2077" customWidth="1"/>
    <col min="13316" max="13316" width="6.7109375" style="2077" customWidth="1"/>
    <col min="13317" max="13317" width="10.7109375" style="2077" customWidth="1"/>
    <col min="13318" max="13318" width="7.140625" style="2077" customWidth="1"/>
    <col min="13319" max="13319" width="13.7109375" style="2077" customWidth="1"/>
    <col min="13320" max="13320" width="13.85546875" style="2077" customWidth="1"/>
    <col min="13321" max="13321" width="20.7109375" style="2077" customWidth="1"/>
    <col min="13322" max="13322" width="9.140625" style="2077"/>
    <col min="13323" max="13323" width="15.5703125" style="2077" customWidth="1"/>
    <col min="13324" max="13568" width="9.140625" style="2077"/>
    <col min="13569" max="13569" width="4.85546875" style="2077" customWidth="1"/>
    <col min="13570" max="13570" width="72.42578125" style="2077" customWidth="1"/>
    <col min="13571" max="13571" width="13.85546875" style="2077" customWidth="1"/>
    <col min="13572" max="13572" width="6.7109375" style="2077" customWidth="1"/>
    <col min="13573" max="13573" width="10.7109375" style="2077" customWidth="1"/>
    <col min="13574" max="13574" width="7.140625" style="2077" customWidth="1"/>
    <col min="13575" max="13575" width="13.7109375" style="2077" customWidth="1"/>
    <col min="13576" max="13576" width="13.85546875" style="2077" customWidth="1"/>
    <col min="13577" max="13577" width="20.7109375" style="2077" customWidth="1"/>
    <col min="13578" max="13578" width="9.140625" style="2077"/>
    <col min="13579" max="13579" width="15.5703125" style="2077" customWidth="1"/>
    <col min="13580" max="13824" width="9.140625" style="2077"/>
    <col min="13825" max="13825" width="4.85546875" style="2077" customWidth="1"/>
    <col min="13826" max="13826" width="72.42578125" style="2077" customWidth="1"/>
    <col min="13827" max="13827" width="13.85546875" style="2077" customWidth="1"/>
    <col min="13828" max="13828" width="6.7109375" style="2077" customWidth="1"/>
    <col min="13829" max="13829" width="10.7109375" style="2077" customWidth="1"/>
    <col min="13830" max="13830" width="7.140625" style="2077" customWidth="1"/>
    <col min="13831" max="13831" width="13.7109375" style="2077" customWidth="1"/>
    <col min="13832" max="13832" width="13.85546875" style="2077" customWidth="1"/>
    <col min="13833" max="13833" width="20.7109375" style="2077" customWidth="1"/>
    <col min="13834" max="13834" width="9.140625" style="2077"/>
    <col min="13835" max="13835" width="15.5703125" style="2077" customWidth="1"/>
    <col min="13836" max="14080" width="9.140625" style="2077"/>
    <col min="14081" max="14081" width="4.85546875" style="2077" customWidth="1"/>
    <col min="14082" max="14082" width="72.42578125" style="2077" customWidth="1"/>
    <col min="14083" max="14083" width="13.85546875" style="2077" customWidth="1"/>
    <col min="14084" max="14084" width="6.7109375" style="2077" customWidth="1"/>
    <col min="14085" max="14085" width="10.7109375" style="2077" customWidth="1"/>
    <col min="14086" max="14086" width="7.140625" style="2077" customWidth="1"/>
    <col min="14087" max="14087" width="13.7109375" style="2077" customWidth="1"/>
    <col min="14088" max="14088" width="13.85546875" style="2077" customWidth="1"/>
    <col min="14089" max="14089" width="20.7109375" style="2077" customWidth="1"/>
    <col min="14090" max="14090" width="9.140625" style="2077"/>
    <col min="14091" max="14091" width="15.5703125" style="2077" customWidth="1"/>
    <col min="14092" max="14336" width="9.140625" style="2077"/>
    <col min="14337" max="14337" width="4.85546875" style="2077" customWidth="1"/>
    <col min="14338" max="14338" width="72.42578125" style="2077" customWidth="1"/>
    <col min="14339" max="14339" width="13.85546875" style="2077" customWidth="1"/>
    <col min="14340" max="14340" width="6.7109375" style="2077" customWidth="1"/>
    <col min="14341" max="14341" width="10.7109375" style="2077" customWidth="1"/>
    <col min="14342" max="14342" width="7.140625" style="2077" customWidth="1"/>
    <col min="14343" max="14343" width="13.7109375" style="2077" customWidth="1"/>
    <col min="14344" max="14344" width="13.85546875" style="2077" customWidth="1"/>
    <col min="14345" max="14345" width="20.7109375" style="2077" customWidth="1"/>
    <col min="14346" max="14346" width="9.140625" style="2077"/>
    <col min="14347" max="14347" width="15.5703125" style="2077" customWidth="1"/>
    <col min="14348" max="14592" width="9.140625" style="2077"/>
    <col min="14593" max="14593" width="4.85546875" style="2077" customWidth="1"/>
    <col min="14594" max="14594" width="72.42578125" style="2077" customWidth="1"/>
    <col min="14595" max="14595" width="13.85546875" style="2077" customWidth="1"/>
    <col min="14596" max="14596" width="6.7109375" style="2077" customWidth="1"/>
    <col min="14597" max="14597" width="10.7109375" style="2077" customWidth="1"/>
    <col min="14598" max="14598" width="7.140625" style="2077" customWidth="1"/>
    <col min="14599" max="14599" width="13.7109375" style="2077" customWidth="1"/>
    <col min="14600" max="14600" width="13.85546875" style="2077" customWidth="1"/>
    <col min="14601" max="14601" width="20.7109375" style="2077" customWidth="1"/>
    <col min="14602" max="14602" width="9.140625" style="2077"/>
    <col min="14603" max="14603" width="15.5703125" style="2077" customWidth="1"/>
    <col min="14604" max="14848" width="9.140625" style="2077"/>
    <col min="14849" max="14849" width="4.85546875" style="2077" customWidth="1"/>
    <col min="14850" max="14850" width="72.42578125" style="2077" customWidth="1"/>
    <col min="14851" max="14851" width="13.85546875" style="2077" customWidth="1"/>
    <col min="14852" max="14852" width="6.7109375" style="2077" customWidth="1"/>
    <col min="14853" max="14853" width="10.7109375" style="2077" customWidth="1"/>
    <col min="14854" max="14854" width="7.140625" style="2077" customWidth="1"/>
    <col min="14855" max="14855" width="13.7109375" style="2077" customWidth="1"/>
    <col min="14856" max="14856" width="13.85546875" style="2077" customWidth="1"/>
    <col min="14857" max="14857" width="20.7109375" style="2077" customWidth="1"/>
    <col min="14858" max="14858" width="9.140625" style="2077"/>
    <col min="14859" max="14859" width="15.5703125" style="2077" customWidth="1"/>
    <col min="14860" max="15104" width="9.140625" style="2077"/>
    <col min="15105" max="15105" width="4.85546875" style="2077" customWidth="1"/>
    <col min="15106" max="15106" width="72.42578125" style="2077" customWidth="1"/>
    <col min="15107" max="15107" width="13.85546875" style="2077" customWidth="1"/>
    <col min="15108" max="15108" width="6.7109375" style="2077" customWidth="1"/>
    <col min="15109" max="15109" width="10.7109375" style="2077" customWidth="1"/>
    <col min="15110" max="15110" width="7.140625" style="2077" customWidth="1"/>
    <col min="15111" max="15111" width="13.7109375" style="2077" customWidth="1"/>
    <col min="15112" max="15112" width="13.85546875" style="2077" customWidth="1"/>
    <col min="15113" max="15113" width="20.7109375" style="2077" customWidth="1"/>
    <col min="15114" max="15114" width="9.140625" style="2077"/>
    <col min="15115" max="15115" width="15.5703125" style="2077" customWidth="1"/>
    <col min="15116" max="15360" width="9.140625" style="2077"/>
    <col min="15361" max="15361" width="4.85546875" style="2077" customWidth="1"/>
    <col min="15362" max="15362" width="72.42578125" style="2077" customWidth="1"/>
    <col min="15363" max="15363" width="13.85546875" style="2077" customWidth="1"/>
    <col min="15364" max="15364" width="6.7109375" style="2077" customWidth="1"/>
    <col min="15365" max="15365" width="10.7109375" style="2077" customWidth="1"/>
    <col min="15366" max="15366" width="7.140625" style="2077" customWidth="1"/>
    <col min="15367" max="15367" width="13.7109375" style="2077" customWidth="1"/>
    <col min="15368" max="15368" width="13.85546875" style="2077" customWidth="1"/>
    <col min="15369" max="15369" width="20.7109375" style="2077" customWidth="1"/>
    <col min="15370" max="15370" width="9.140625" style="2077"/>
    <col min="15371" max="15371" width="15.5703125" style="2077" customWidth="1"/>
    <col min="15372" max="15616" width="9.140625" style="2077"/>
    <col min="15617" max="15617" width="4.85546875" style="2077" customWidth="1"/>
    <col min="15618" max="15618" width="72.42578125" style="2077" customWidth="1"/>
    <col min="15619" max="15619" width="13.85546875" style="2077" customWidth="1"/>
    <col min="15620" max="15620" width="6.7109375" style="2077" customWidth="1"/>
    <col min="15621" max="15621" width="10.7109375" style="2077" customWidth="1"/>
    <col min="15622" max="15622" width="7.140625" style="2077" customWidth="1"/>
    <col min="15623" max="15623" width="13.7109375" style="2077" customWidth="1"/>
    <col min="15624" max="15624" width="13.85546875" style="2077" customWidth="1"/>
    <col min="15625" max="15625" width="20.7109375" style="2077" customWidth="1"/>
    <col min="15626" max="15626" width="9.140625" style="2077"/>
    <col min="15627" max="15627" width="15.5703125" style="2077" customWidth="1"/>
    <col min="15628" max="15872" width="9.140625" style="2077"/>
    <col min="15873" max="15873" width="4.85546875" style="2077" customWidth="1"/>
    <col min="15874" max="15874" width="72.42578125" style="2077" customWidth="1"/>
    <col min="15875" max="15875" width="13.85546875" style="2077" customWidth="1"/>
    <col min="15876" max="15876" width="6.7109375" style="2077" customWidth="1"/>
    <col min="15877" max="15877" width="10.7109375" style="2077" customWidth="1"/>
    <col min="15878" max="15878" width="7.140625" style="2077" customWidth="1"/>
    <col min="15879" max="15879" width="13.7109375" style="2077" customWidth="1"/>
    <col min="15880" max="15880" width="13.85546875" style="2077" customWidth="1"/>
    <col min="15881" max="15881" width="20.7109375" style="2077" customWidth="1"/>
    <col min="15882" max="15882" width="9.140625" style="2077"/>
    <col min="15883" max="15883" width="15.5703125" style="2077" customWidth="1"/>
    <col min="15884" max="16128" width="9.140625" style="2077"/>
    <col min="16129" max="16129" width="4.85546875" style="2077" customWidth="1"/>
    <col min="16130" max="16130" width="72.42578125" style="2077" customWidth="1"/>
    <col min="16131" max="16131" width="13.85546875" style="2077" customWidth="1"/>
    <col min="16132" max="16132" width="6.7109375" style="2077" customWidth="1"/>
    <col min="16133" max="16133" width="10.7109375" style="2077" customWidth="1"/>
    <col min="16134" max="16134" width="7.140625" style="2077" customWidth="1"/>
    <col min="16135" max="16135" width="13.7109375" style="2077" customWidth="1"/>
    <col min="16136" max="16136" width="13.85546875" style="2077" customWidth="1"/>
    <col min="16137" max="16137" width="20.7109375" style="2077" customWidth="1"/>
    <col min="16138" max="16138" width="9.140625" style="2077"/>
    <col min="16139" max="16139" width="15.5703125" style="2077" customWidth="1"/>
    <col min="16140" max="16384" width="9.140625" style="2077"/>
  </cols>
  <sheetData>
    <row r="1" spans="1:9" ht="18">
      <c r="A1" s="2074"/>
      <c r="B1" s="3135" t="s">
        <v>2560</v>
      </c>
      <c r="C1" s="3135"/>
      <c r="D1" s="3135"/>
      <c r="E1" s="3135"/>
      <c r="F1" s="2075"/>
      <c r="G1" s="2076"/>
      <c r="H1" s="2076"/>
    </row>
    <row r="2" spans="1:9" ht="9" customHeight="1">
      <c r="A2" s="2078"/>
      <c r="B2" s="2078"/>
      <c r="C2" s="2078"/>
      <c r="D2" s="2078"/>
      <c r="E2" s="2078"/>
      <c r="F2" s="2078"/>
      <c r="G2" s="2078"/>
      <c r="H2" s="2078"/>
    </row>
    <row r="3" spans="1:9" ht="36.75" customHeight="1">
      <c r="A3" s="2079"/>
      <c r="B3" s="3136" t="s">
        <v>2561</v>
      </c>
      <c r="C3" s="3136"/>
      <c r="D3" s="3136"/>
      <c r="E3" s="3136"/>
      <c r="F3" s="3136"/>
      <c r="G3" s="3136"/>
      <c r="H3" s="2079"/>
    </row>
    <row r="4" spans="1:9" ht="12" customHeight="1">
      <c r="A4" s="2080"/>
      <c r="B4" s="2080"/>
      <c r="C4" s="2080"/>
      <c r="D4" s="2080"/>
      <c r="E4" s="2080"/>
      <c r="F4" s="2080"/>
      <c r="G4" s="2080"/>
      <c r="H4" s="2080"/>
    </row>
    <row r="5" spans="1:9" ht="15.75">
      <c r="A5" s="2081"/>
      <c r="B5" s="2081"/>
      <c r="C5" s="2081"/>
      <c r="D5" s="2081"/>
      <c r="F5" s="2081"/>
      <c r="G5" s="2187" t="s">
        <v>89</v>
      </c>
      <c r="H5" s="2082"/>
    </row>
    <row r="6" spans="1:9" ht="9" customHeight="1">
      <c r="A6" s="2081"/>
      <c r="B6" s="2081"/>
      <c r="C6" s="2081"/>
      <c r="D6" s="2081"/>
      <c r="E6" s="2081"/>
      <c r="F6" s="2081"/>
      <c r="G6" s="2083"/>
      <c r="H6" s="2083"/>
    </row>
    <row r="7" spans="1:9" ht="46.5" customHeight="1">
      <c r="A7" s="3126" t="s">
        <v>2</v>
      </c>
      <c r="B7" s="3128" t="s">
        <v>3</v>
      </c>
      <c r="C7" s="3130" t="s">
        <v>1421</v>
      </c>
      <c r="D7" s="3128" t="s">
        <v>5</v>
      </c>
      <c r="E7" s="3128" t="s">
        <v>9</v>
      </c>
      <c r="F7" s="3128" t="s">
        <v>143</v>
      </c>
      <c r="G7" s="2084" t="s">
        <v>2549</v>
      </c>
      <c r="H7" s="2084" t="s">
        <v>2550</v>
      </c>
    </row>
    <row r="8" spans="1:9">
      <c r="A8" s="3127"/>
      <c r="B8" s="3129"/>
      <c r="C8" s="3131"/>
      <c r="D8" s="3129"/>
      <c r="E8" s="3129"/>
      <c r="F8" s="3129"/>
      <c r="G8" s="2085" t="s">
        <v>1668</v>
      </c>
      <c r="H8" s="2085" t="s">
        <v>1668</v>
      </c>
    </row>
    <row r="9" spans="1:9">
      <c r="A9" s="2086">
        <v>1</v>
      </c>
      <c r="B9" s="2086">
        <v>2</v>
      </c>
      <c r="C9" s="2086">
        <v>3</v>
      </c>
      <c r="D9" s="2086">
        <v>4</v>
      </c>
      <c r="E9" s="2086">
        <v>5</v>
      </c>
      <c r="F9" s="2086">
        <v>6</v>
      </c>
      <c r="G9" s="2086">
        <v>7</v>
      </c>
      <c r="H9" s="2086">
        <v>8</v>
      </c>
    </row>
    <row r="10" spans="1:9" ht="17.25" customHeight="1">
      <c r="A10" s="2134">
        <v>1</v>
      </c>
      <c r="B10" s="2188" t="s">
        <v>2551</v>
      </c>
      <c r="C10" s="2189">
        <v>7130310075</v>
      </c>
      <c r="D10" s="2134" t="s">
        <v>21</v>
      </c>
      <c r="E10" s="2190">
        <f>VLOOKUP(C10,'[25]SOR RATE'!A:D,4,0)/1000</f>
        <v>2560.06988</v>
      </c>
      <c r="F10" s="2134">
        <v>1040</v>
      </c>
      <c r="G10" s="2190">
        <f>E10*F10</f>
        <v>2662472.6751999999</v>
      </c>
      <c r="H10" s="2190"/>
    </row>
    <row r="11" spans="1:9" ht="17.25" customHeight="1">
      <c r="A11" s="2134">
        <v>2</v>
      </c>
      <c r="B11" s="2188" t="s">
        <v>2520</v>
      </c>
      <c r="C11" s="2189">
        <v>7130310020</v>
      </c>
      <c r="D11" s="2134" t="s">
        <v>21</v>
      </c>
      <c r="E11" s="2190">
        <f>VLOOKUP(C11,'[25]SOR RATE'!A:D,4,0)/1000</f>
        <v>2797.6800499999999</v>
      </c>
      <c r="F11" s="2134">
        <v>1040</v>
      </c>
      <c r="G11" s="2190"/>
      <c r="H11" s="2190">
        <f>E11*F11</f>
        <v>2909587.2519999999</v>
      </c>
    </row>
    <row r="12" spans="1:9" ht="31.5" customHeight="1">
      <c r="A12" s="2134">
        <v>3</v>
      </c>
      <c r="B12" s="2191" t="s">
        <v>2562</v>
      </c>
      <c r="C12" s="2189">
        <v>7130310089</v>
      </c>
      <c r="D12" s="2134" t="s">
        <v>40</v>
      </c>
      <c r="E12" s="2190">
        <f>VLOOKUP(C12,'[25]SOR RATE'!A:D,4,0)</f>
        <v>73272.58</v>
      </c>
      <c r="F12" s="2134">
        <v>2</v>
      </c>
      <c r="G12" s="2190">
        <f>E12*F12</f>
        <v>146545.16</v>
      </c>
      <c r="H12" s="2190"/>
      <c r="I12" s="2087"/>
    </row>
    <row r="13" spans="1:9" ht="30.75" customHeight="1">
      <c r="A13" s="2134">
        <v>4</v>
      </c>
      <c r="B13" s="2191" t="s">
        <v>2563</v>
      </c>
      <c r="C13" s="2192">
        <v>7130310090</v>
      </c>
      <c r="D13" s="2134" t="s">
        <v>12</v>
      </c>
      <c r="E13" s="2190">
        <f>VLOOKUP(C13,'[25]SOR RATE'!A:D,4,0)</f>
        <v>82052.42</v>
      </c>
      <c r="F13" s="2134">
        <v>2</v>
      </c>
      <c r="G13" s="2190"/>
      <c r="H13" s="2190">
        <f>E13*F13</f>
        <v>164104.84</v>
      </c>
      <c r="I13" s="2087"/>
    </row>
    <row r="14" spans="1:9" ht="17.25" customHeight="1">
      <c r="A14" s="2134">
        <v>5</v>
      </c>
      <c r="B14" s="2135" t="s">
        <v>415</v>
      </c>
      <c r="C14" s="2193">
        <v>7130352037</v>
      </c>
      <c r="D14" s="2134" t="s">
        <v>40</v>
      </c>
      <c r="E14" s="2190">
        <f>VLOOKUP(C14,'[25]SOR RATE'!A:D,4,0)</f>
        <v>29525.38</v>
      </c>
      <c r="F14" s="2134">
        <v>2</v>
      </c>
      <c r="G14" s="2190">
        <f>E14*F14</f>
        <v>59050.76</v>
      </c>
      <c r="H14" s="2190"/>
      <c r="I14" s="2088"/>
    </row>
    <row r="15" spans="1:9" ht="17.25" customHeight="1">
      <c r="A15" s="2134">
        <v>6</v>
      </c>
      <c r="B15" s="2135" t="s">
        <v>405</v>
      </c>
      <c r="C15" s="2193">
        <v>7130352010</v>
      </c>
      <c r="D15" s="2134" t="s">
        <v>40</v>
      </c>
      <c r="E15" s="2190">
        <f>VLOOKUP(C15,'[25]SOR RATE'!A:D,4,0)</f>
        <v>43795.05</v>
      </c>
      <c r="F15" s="2134">
        <v>2</v>
      </c>
      <c r="G15" s="2190"/>
      <c r="H15" s="2190">
        <f t="shared" ref="H15:H23" si="0">E15*F15</f>
        <v>87590.1</v>
      </c>
      <c r="I15" s="2088"/>
    </row>
    <row r="16" spans="1:9" ht="17.25" customHeight="1">
      <c r="A16" s="2134">
        <v>7</v>
      </c>
      <c r="B16" s="2191" t="s">
        <v>535</v>
      </c>
      <c r="C16" s="2193">
        <v>7130640027</v>
      </c>
      <c r="D16" s="2134" t="s">
        <v>536</v>
      </c>
      <c r="E16" s="2190">
        <f>VLOOKUP(C16,'[25]SOR RATE'!A:D,4,0)</f>
        <v>1269.1500000000001</v>
      </c>
      <c r="F16" s="2134">
        <v>10</v>
      </c>
      <c r="G16" s="2190">
        <f t="shared" ref="G16:G23" si="1">E16*F16</f>
        <v>12691.5</v>
      </c>
      <c r="H16" s="2190">
        <f t="shared" si="0"/>
        <v>12691.5</v>
      </c>
      <c r="I16" s="2088"/>
    </row>
    <row r="17" spans="1:11" ht="17.25" customHeight="1">
      <c r="A17" s="2134">
        <v>8</v>
      </c>
      <c r="B17" s="2191" t="s">
        <v>2564</v>
      </c>
      <c r="C17" s="2194">
        <v>7130870043</v>
      </c>
      <c r="D17" s="2134" t="s">
        <v>26</v>
      </c>
      <c r="E17" s="2190">
        <f>VLOOKUP(C17,'[25]SOR RATE'!A:D,4,0)/1000</f>
        <v>80.521839999999997</v>
      </c>
      <c r="F17" s="2134">
        <v>5</v>
      </c>
      <c r="G17" s="2190">
        <f t="shared" si="1"/>
        <v>402.60919999999999</v>
      </c>
      <c r="H17" s="2190">
        <f t="shared" si="0"/>
        <v>402.60919999999999</v>
      </c>
      <c r="I17" s="2088"/>
    </row>
    <row r="18" spans="1:11" ht="45" customHeight="1">
      <c r="A18" s="2134">
        <v>9</v>
      </c>
      <c r="B18" s="2135" t="s">
        <v>2524</v>
      </c>
      <c r="C18" s="2193"/>
      <c r="D18" s="2134" t="s">
        <v>12</v>
      </c>
      <c r="E18" s="2190">
        <v>556</v>
      </c>
      <c r="F18" s="2134">
        <v>20</v>
      </c>
      <c r="G18" s="2190">
        <f t="shared" si="1"/>
        <v>11120</v>
      </c>
      <c r="H18" s="2190">
        <f t="shared" si="0"/>
        <v>11120</v>
      </c>
      <c r="I18" s="2088"/>
    </row>
    <row r="19" spans="1:11" ht="18.75" customHeight="1">
      <c r="A19" s="2134">
        <v>10</v>
      </c>
      <c r="B19" s="2195" t="s">
        <v>2525</v>
      </c>
      <c r="C19" s="2134">
        <v>7130201343</v>
      </c>
      <c r="D19" s="2134" t="s">
        <v>12</v>
      </c>
      <c r="E19" s="2190">
        <f>VLOOKUP(C19,'[25]SOR RATE'!A:D,4,0)</f>
        <v>33</v>
      </c>
      <c r="F19" s="2134">
        <v>4000</v>
      </c>
      <c r="G19" s="2190">
        <f t="shared" si="1"/>
        <v>132000</v>
      </c>
      <c r="H19" s="2190">
        <f t="shared" si="0"/>
        <v>132000</v>
      </c>
      <c r="I19" s="2088"/>
    </row>
    <row r="20" spans="1:11" ht="32.25" customHeight="1">
      <c r="A20" s="2134">
        <v>11</v>
      </c>
      <c r="B20" s="2196" t="s">
        <v>2565</v>
      </c>
      <c r="C20" s="2134">
        <v>7132498006</v>
      </c>
      <c r="D20" s="2134" t="s">
        <v>76</v>
      </c>
      <c r="E20" s="2190">
        <f>VLOOKUP(C20,'[25]SOR RATE'!A:D,4,0)</f>
        <v>714</v>
      </c>
      <c r="F20" s="2134">
        <v>150</v>
      </c>
      <c r="G20" s="2190">
        <f t="shared" si="1"/>
        <v>107100</v>
      </c>
      <c r="H20" s="2190">
        <f t="shared" si="0"/>
        <v>107100</v>
      </c>
      <c r="I20" s="2088"/>
    </row>
    <row r="21" spans="1:11" ht="17.25" customHeight="1">
      <c r="A21" s="2134">
        <v>12</v>
      </c>
      <c r="B21" s="2195" t="s">
        <v>2566</v>
      </c>
      <c r="C21" s="2197">
        <v>7130840021</v>
      </c>
      <c r="D21" s="2198" t="s">
        <v>33</v>
      </c>
      <c r="E21" s="2190">
        <f>VLOOKUP(C21,'[25]SOR RATE'!A:D,4,0)</f>
        <v>4094.6</v>
      </c>
      <c r="F21" s="2134">
        <v>6</v>
      </c>
      <c r="G21" s="2190">
        <f t="shared" si="1"/>
        <v>24567.599999999999</v>
      </c>
      <c r="H21" s="2190">
        <f t="shared" si="0"/>
        <v>24567.599999999999</v>
      </c>
      <c r="I21" s="2088"/>
    </row>
    <row r="22" spans="1:11" ht="18" customHeight="1">
      <c r="A22" s="2134">
        <v>13</v>
      </c>
      <c r="B22" s="2195" t="s">
        <v>2527</v>
      </c>
      <c r="C22" s="2197">
        <v>7130830060</v>
      </c>
      <c r="D22" s="2198" t="s">
        <v>21</v>
      </c>
      <c r="E22" s="2190">
        <f>VLOOKUP(C22,'[25]SOR RATE'!A:D,4,0)/1000</f>
        <v>70.920659999999998</v>
      </c>
      <c r="F22" s="2134">
        <v>18</v>
      </c>
      <c r="G22" s="2190">
        <f t="shared" si="1"/>
        <v>1276.57188</v>
      </c>
      <c r="H22" s="2190">
        <f t="shared" si="0"/>
        <v>1276.57188</v>
      </c>
      <c r="I22" s="2088"/>
    </row>
    <row r="23" spans="1:11" ht="17.25" customHeight="1">
      <c r="A23" s="2134">
        <v>14</v>
      </c>
      <c r="B23" s="2195" t="s">
        <v>2567</v>
      </c>
      <c r="C23" s="2197">
        <v>7130830585</v>
      </c>
      <c r="D23" s="2198" t="s">
        <v>68</v>
      </c>
      <c r="E23" s="2190">
        <f>VLOOKUP(C23,'[25]SOR RATE'!A:D,4,0)</f>
        <v>346.08</v>
      </c>
      <c r="F23" s="2134">
        <v>6</v>
      </c>
      <c r="G23" s="2190">
        <f t="shared" si="1"/>
        <v>2076.48</v>
      </c>
      <c r="H23" s="2190">
        <f t="shared" si="0"/>
        <v>2076.48</v>
      </c>
      <c r="I23" s="2088"/>
    </row>
    <row r="24" spans="1:11" ht="17.25" customHeight="1">
      <c r="A24" s="2134">
        <v>15</v>
      </c>
      <c r="B24" s="1615" t="s">
        <v>2531</v>
      </c>
      <c r="C24" s="1913">
        <v>7130830603</v>
      </c>
      <c r="D24" s="1914" t="s">
        <v>68</v>
      </c>
      <c r="E24" s="2190">
        <f>VLOOKUP(C24,'[25]SOR RATE'!A:D,4,0)</f>
        <v>386.39</v>
      </c>
      <c r="F24" s="2134">
        <v>4</v>
      </c>
      <c r="G24" s="2190">
        <f>F24*E24</f>
        <v>1545.56</v>
      </c>
      <c r="H24" s="2190">
        <f>F24*E24</f>
        <v>1545.56</v>
      </c>
      <c r="I24" s="1944" t="s">
        <v>119</v>
      </c>
    </row>
    <row r="25" spans="1:11" ht="35.25" customHeight="1">
      <c r="A25" s="2134">
        <v>16</v>
      </c>
      <c r="B25" s="2135" t="s">
        <v>2568</v>
      </c>
      <c r="C25" s="2134">
        <v>7130642039</v>
      </c>
      <c r="D25" s="2134" t="s">
        <v>12</v>
      </c>
      <c r="E25" s="2190">
        <f>VLOOKUP(C25,'[25]SOR RATE'!A:D,4,0)</f>
        <v>998.57</v>
      </c>
      <c r="F25" s="2134">
        <v>10</v>
      </c>
      <c r="G25" s="2190">
        <f>E25*F25</f>
        <v>9985.7000000000007</v>
      </c>
      <c r="H25" s="2190">
        <f>E25*F25</f>
        <v>9985.7000000000007</v>
      </c>
      <c r="I25" s="2088"/>
    </row>
    <row r="26" spans="1:11" ht="23.25" customHeight="1">
      <c r="A26" s="2134">
        <v>17</v>
      </c>
      <c r="B26" s="2135" t="s">
        <v>2569</v>
      </c>
      <c r="C26" s="2199" t="s">
        <v>2570</v>
      </c>
      <c r="D26" s="2134" t="s">
        <v>26</v>
      </c>
      <c r="E26" s="2190">
        <v>84.32</v>
      </c>
      <c r="F26" s="2134">
        <v>3</v>
      </c>
      <c r="G26" s="2190">
        <f>E26*F26</f>
        <v>252.95999999999998</v>
      </c>
      <c r="H26" s="2190">
        <f>E26*F26</f>
        <v>252.95999999999998</v>
      </c>
    </row>
    <row r="27" spans="1:11" ht="18.75" customHeight="1">
      <c r="A27" s="2134">
        <v>18</v>
      </c>
      <c r="B27" s="2135" t="s">
        <v>1340</v>
      </c>
      <c r="C27" s="2134">
        <v>7132498054</v>
      </c>
      <c r="D27" s="2134" t="s">
        <v>12</v>
      </c>
      <c r="E27" s="2190">
        <f>VLOOKUP(C27,'[25]SOR RATE'!A:D,4,0)</f>
        <v>6</v>
      </c>
      <c r="F27" s="2134">
        <v>4400</v>
      </c>
      <c r="G27" s="2190">
        <f>E27*F27</f>
        <v>26400</v>
      </c>
      <c r="H27" s="2190">
        <f>E27*F27</f>
        <v>26400</v>
      </c>
      <c r="I27" s="2087"/>
    </row>
    <row r="28" spans="1:11" ht="59.25" customHeight="1">
      <c r="A28" s="2200">
        <v>19</v>
      </c>
      <c r="B28" s="2191" t="s">
        <v>2571</v>
      </c>
      <c r="C28" s="2201"/>
      <c r="D28" s="2200" t="s">
        <v>114</v>
      </c>
      <c r="E28" s="2202" t="s">
        <v>114</v>
      </c>
      <c r="F28" s="2200" t="s">
        <v>114</v>
      </c>
      <c r="G28" s="2202">
        <v>25000</v>
      </c>
      <c r="H28" s="2202">
        <v>25000</v>
      </c>
    </row>
    <row r="29" spans="1:11" ht="18" customHeight="1">
      <c r="A29" s="2084">
        <v>20</v>
      </c>
      <c r="B29" s="1639" t="s">
        <v>48</v>
      </c>
      <c r="C29" s="2203"/>
      <c r="D29" s="2204"/>
      <c r="E29" s="2205"/>
      <c r="F29" s="2205"/>
      <c r="G29" s="2206">
        <f>SUM(G10:G28)</f>
        <v>3222487.5762800002</v>
      </c>
      <c r="H29" s="2206">
        <f>SUM(H10:H28)</f>
        <v>3515701.1730800001</v>
      </c>
    </row>
    <row r="30" spans="1:11" ht="18" customHeight="1">
      <c r="A30" s="2084">
        <v>21</v>
      </c>
      <c r="B30" s="1639" t="s">
        <v>49</v>
      </c>
      <c r="C30" s="2203"/>
      <c r="D30" s="2207"/>
      <c r="E30" s="2205"/>
      <c r="F30" s="2208"/>
      <c r="G30" s="2206">
        <f>G29/1.18</f>
        <v>2730921.6748135597</v>
      </c>
      <c r="H30" s="2206">
        <f>H29/1.18</f>
        <v>2979407.7737966105</v>
      </c>
      <c r="I30" s="85"/>
    </row>
    <row r="31" spans="1:11" ht="18" customHeight="1">
      <c r="A31" s="2134">
        <v>22</v>
      </c>
      <c r="B31" s="1619" t="s">
        <v>50</v>
      </c>
      <c r="C31" s="2209"/>
      <c r="D31" s="2210"/>
      <c r="E31" s="2198">
        <v>7.4999999999999997E-2</v>
      </c>
      <c r="F31" s="2211"/>
      <c r="G31" s="2180">
        <f>G29*E31</f>
        <v>241686.56822099999</v>
      </c>
      <c r="H31" s="2180">
        <f>H29*E31</f>
        <v>263677.58798100002</v>
      </c>
      <c r="I31" s="803"/>
      <c r="K31" s="2058"/>
    </row>
    <row r="32" spans="1:11" ht="18" customHeight="1">
      <c r="A32" s="2134">
        <v>23</v>
      </c>
      <c r="B32" s="2135" t="s">
        <v>2534</v>
      </c>
      <c r="C32" s="2212"/>
      <c r="D32" s="2134" t="s">
        <v>12</v>
      </c>
      <c r="E32" s="2180">
        <f>3020.13589298559*1.043</f>
        <v>3150.0017363839702</v>
      </c>
      <c r="F32" s="2198">
        <v>10</v>
      </c>
      <c r="G32" s="2190">
        <f>E32*F32</f>
        <v>31500.017363839703</v>
      </c>
      <c r="H32" s="2190">
        <f>E32*F32</f>
        <v>31500.017363839703</v>
      </c>
      <c r="K32" s="2058"/>
    </row>
    <row r="33" spans="1:11" ht="18" customHeight="1">
      <c r="A33" s="2134">
        <v>24</v>
      </c>
      <c r="B33" s="1290" t="s">
        <v>2572</v>
      </c>
      <c r="C33" s="2135"/>
      <c r="D33" s="2198"/>
      <c r="E33" s="2190"/>
      <c r="F33" s="2134"/>
      <c r="G33" s="2213">
        <v>742363.61</v>
      </c>
      <c r="H33" s="2213">
        <v>742363.61</v>
      </c>
    </row>
    <row r="34" spans="1:11" ht="19.5" customHeight="1">
      <c r="A34" s="2134">
        <v>25</v>
      </c>
      <c r="B34" s="1290" t="s">
        <v>1604</v>
      </c>
      <c r="C34" s="2214"/>
      <c r="D34" s="2214"/>
      <c r="E34" s="2134">
        <v>0.04</v>
      </c>
      <c r="F34" s="2215"/>
      <c r="G34" s="1132">
        <f>G30*E34</f>
        <v>109236.86699254239</v>
      </c>
      <c r="H34" s="1132">
        <f>H30*E34</f>
        <v>119176.31095186442</v>
      </c>
      <c r="I34" s="2060" t="s">
        <v>1827</v>
      </c>
      <c r="K34" s="82"/>
    </row>
    <row r="35" spans="1:11" ht="32.25" customHeight="1">
      <c r="A35" s="2134">
        <v>26</v>
      </c>
      <c r="B35" s="1619" t="s">
        <v>2573</v>
      </c>
      <c r="C35" s="2214"/>
      <c r="D35" s="2214"/>
      <c r="E35" s="2215"/>
      <c r="F35" s="2215"/>
      <c r="G35" s="1132">
        <f>(G29+G31+G32+G33+G34)*0.125</f>
        <v>543409.32985717279</v>
      </c>
      <c r="H35" s="1132">
        <f>(H29+H31+H32+H33+H34)*0.125</f>
        <v>584052.33742208802</v>
      </c>
      <c r="I35" s="2089"/>
      <c r="K35" s="82"/>
    </row>
    <row r="36" spans="1:11" ht="18.75" customHeight="1">
      <c r="A36" s="2084">
        <v>27</v>
      </c>
      <c r="B36" s="1647" t="s">
        <v>2574</v>
      </c>
      <c r="C36" s="2214"/>
      <c r="D36" s="2214"/>
      <c r="E36" s="2215"/>
      <c r="F36" s="2215"/>
      <c r="G36" s="2213">
        <f>G30+G31+G32+G33+G34+G35</f>
        <v>4399118.0672481144</v>
      </c>
      <c r="H36" s="2213">
        <f>H30+H31+H32+H33+H34+H35</f>
        <v>4720177.6375154024</v>
      </c>
      <c r="K36" s="2090"/>
    </row>
    <row r="37" spans="1:11" ht="20.25" customHeight="1">
      <c r="A37" s="2134">
        <v>28</v>
      </c>
      <c r="B37" s="1619" t="s">
        <v>2208</v>
      </c>
      <c r="C37" s="2214"/>
      <c r="D37" s="2214"/>
      <c r="E37" s="2134">
        <v>0.09</v>
      </c>
      <c r="F37" s="2215"/>
      <c r="G37" s="2180">
        <f>G36*E37</f>
        <v>395920.62605233031</v>
      </c>
      <c r="H37" s="2180">
        <f>H36*E37</f>
        <v>424815.98737638618</v>
      </c>
      <c r="K37" s="2090"/>
    </row>
    <row r="38" spans="1:11" ht="18" customHeight="1">
      <c r="A38" s="2134">
        <v>29</v>
      </c>
      <c r="B38" s="1619" t="s">
        <v>2209</v>
      </c>
      <c r="C38" s="2214"/>
      <c r="D38" s="2214"/>
      <c r="E38" s="2134">
        <v>0.09</v>
      </c>
      <c r="F38" s="2215"/>
      <c r="G38" s="2180">
        <f>G36*E38</f>
        <v>395920.62605233031</v>
      </c>
      <c r="H38" s="2180">
        <f>H36*E38</f>
        <v>424815.98737638618</v>
      </c>
      <c r="J38" s="2091"/>
      <c r="K38" s="2090"/>
    </row>
    <row r="39" spans="1:11" ht="42.75" customHeight="1">
      <c r="A39" s="2134">
        <v>30</v>
      </c>
      <c r="B39" s="2135" t="s">
        <v>2575</v>
      </c>
      <c r="C39" s="2216"/>
      <c r="D39" s="2135"/>
      <c r="E39" s="2134"/>
      <c r="F39" s="2134"/>
      <c r="G39" s="2180"/>
      <c r="H39" s="2180"/>
    </row>
    <row r="40" spans="1:11" ht="18" customHeight="1">
      <c r="A40" s="2134">
        <v>31</v>
      </c>
      <c r="B40" s="1619" t="s">
        <v>2576</v>
      </c>
      <c r="C40" s="2214"/>
      <c r="D40" s="2214"/>
      <c r="E40" s="2215"/>
      <c r="F40" s="2215"/>
      <c r="G40" s="2180">
        <f>G36+G37+G38+G39</f>
        <v>5190959.3193527749</v>
      </c>
      <c r="H40" s="2180">
        <f>H36+H37+H38+H39</f>
        <v>5569809.612268175</v>
      </c>
    </row>
    <row r="41" spans="1:11" ht="18" customHeight="1">
      <c r="A41" s="2084">
        <v>32</v>
      </c>
      <c r="B41" s="1647" t="s">
        <v>59</v>
      </c>
      <c r="C41" s="2214"/>
      <c r="D41" s="2214"/>
      <c r="E41" s="2215"/>
      <c r="F41" s="2215"/>
      <c r="G41" s="2213">
        <f>ROUND(G40,0)</f>
        <v>5190959</v>
      </c>
      <c r="H41" s="2213">
        <f>ROUND(H40,0)</f>
        <v>5569810</v>
      </c>
    </row>
    <row r="42" spans="1:11">
      <c r="A42" s="2092"/>
      <c r="B42" s="2092"/>
      <c r="C42" s="2092"/>
      <c r="D42" s="2092"/>
      <c r="E42" s="2092"/>
      <c r="F42" s="2092"/>
      <c r="G42" s="2092"/>
      <c r="H42" s="2092"/>
    </row>
    <row r="43" spans="1:11" ht="17.25" customHeight="1">
      <c r="A43" s="2093" t="s">
        <v>2577</v>
      </c>
      <c r="B43" s="3132" t="s">
        <v>2578</v>
      </c>
      <c r="C43" s="3132"/>
      <c r="D43" s="2094"/>
      <c r="E43" s="2094"/>
      <c r="F43" s="2094"/>
      <c r="G43" s="2094"/>
      <c r="H43" s="2094"/>
    </row>
    <row r="44" spans="1:11" ht="57" customHeight="1">
      <c r="A44" s="2095" t="s">
        <v>2579</v>
      </c>
      <c r="B44" s="3132" t="s">
        <v>2580</v>
      </c>
      <c r="C44" s="3132"/>
      <c r="D44" s="2094"/>
      <c r="E44" s="2094"/>
      <c r="F44" s="2094"/>
      <c r="G44" s="2096"/>
      <c r="H44" s="2096"/>
    </row>
    <row r="45" spans="1:11">
      <c r="A45" s="2093" t="s">
        <v>2581</v>
      </c>
      <c r="B45" s="3133" t="s">
        <v>2582</v>
      </c>
      <c r="C45" s="3133"/>
      <c r="G45" s="2097"/>
      <c r="H45" s="2097"/>
    </row>
    <row r="46" spans="1:11" ht="19.5" customHeight="1">
      <c r="A46" s="2093" t="s">
        <v>2583</v>
      </c>
      <c r="B46" s="3134" t="s">
        <v>2584</v>
      </c>
      <c r="C46" s="3134"/>
    </row>
  </sheetData>
  <mergeCells count="12">
    <mergeCell ref="B43:C43"/>
    <mergeCell ref="B44:C44"/>
    <mergeCell ref="B45:C45"/>
    <mergeCell ref="B46:C46"/>
    <mergeCell ref="B1:E1"/>
    <mergeCell ref="B3:G3"/>
    <mergeCell ref="F7:F8"/>
    <mergeCell ref="A7:A8"/>
    <mergeCell ref="B7:B8"/>
    <mergeCell ref="C7:C8"/>
    <mergeCell ref="D7:D8"/>
    <mergeCell ref="E7:E8"/>
  </mergeCells>
  <conditionalFormatting sqref="B29">
    <cfRule type="cellIs" dxfId="126" priority="2" stopIfTrue="1" operator="equal">
      <formula>"?"</formula>
    </cfRule>
  </conditionalFormatting>
  <conditionalFormatting sqref="B30">
    <cfRule type="cellIs" dxfId="125" priority="1" stopIfTrue="1" operator="equal">
      <formula>"?"</formula>
    </cfRule>
  </conditionalFormatting>
  <pageMargins left="0.70866141732283472" right="0.19685039370078741" top="0.70866141732283472" bottom="0.47244094488188981" header="0.55118110236220474" footer="0.15748031496062992"/>
  <pageSetup paperSize="9" scale="94" orientation="landscape" verticalDpi="30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Q184"/>
  <sheetViews>
    <sheetView zoomScaleNormal="100" workbookViewId="0">
      <pane xSplit="3" ySplit="9" topLeftCell="D149" activePane="bottomRight" state="frozen"/>
      <selection pane="topRight" activeCell="D1" sqref="D1"/>
      <selection pane="bottomLeft" activeCell="A10" sqref="A10"/>
      <selection pane="bottomRight" activeCell="H170" sqref="H170"/>
    </sheetView>
  </sheetViews>
  <sheetFormatPr defaultRowHeight="12.75"/>
  <cols>
    <col min="1" max="1" width="4.7109375" style="4" customWidth="1"/>
    <col min="2" max="2" width="5.140625" style="636" customWidth="1"/>
    <col min="3" max="3" width="39.28515625" style="4" customWidth="1"/>
    <col min="4" max="4" width="15" style="636" customWidth="1"/>
    <col min="5" max="5" width="6.42578125" style="4" bestFit="1" customWidth="1"/>
    <col min="6" max="6" width="12.5703125" style="4" customWidth="1"/>
    <col min="7" max="7" width="8.28515625" style="4" customWidth="1"/>
    <col min="8" max="8" width="15" style="4" customWidth="1"/>
    <col min="9" max="9" width="8.5703125" style="4" bestFit="1" customWidth="1"/>
    <col min="10" max="10" width="14.85546875" style="4" customWidth="1"/>
    <col min="11" max="11" width="8.42578125" style="4" bestFit="1" customWidth="1"/>
    <col min="12" max="12" width="15" style="4" customWidth="1"/>
    <col min="13" max="13" width="49.140625" style="4" customWidth="1"/>
    <col min="14" max="14" width="12.42578125" style="4" bestFit="1" customWidth="1"/>
    <col min="15" max="15" width="13.5703125" style="4" bestFit="1" customWidth="1"/>
    <col min="16" max="16" width="9.140625" style="4"/>
    <col min="17" max="17" width="14.85546875" style="4" bestFit="1" customWidth="1"/>
    <col min="18" max="256" width="9.140625" style="4"/>
    <col min="257" max="257" width="4.7109375" style="4" customWidth="1"/>
    <col min="258" max="258" width="5.140625" style="4" customWidth="1"/>
    <col min="259" max="259" width="39.28515625" style="4" customWidth="1"/>
    <col min="260" max="260" width="15" style="4" customWidth="1"/>
    <col min="261" max="261" width="6.42578125" style="4" bestFit="1" customWidth="1"/>
    <col min="262" max="262" width="14.140625" style="4" bestFit="1" customWidth="1"/>
    <col min="263" max="263" width="8.28515625" style="4" customWidth="1"/>
    <col min="264" max="264" width="15" style="4" customWidth="1"/>
    <col min="265" max="265" width="8.5703125" style="4" bestFit="1" customWidth="1"/>
    <col min="266" max="266" width="14.85546875" style="4" customWidth="1"/>
    <col min="267" max="267" width="8.42578125" style="4" bestFit="1" customWidth="1"/>
    <col min="268" max="268" width="15" style="4" customWidth="1"/>
    <col min="269" max="269" width="49.140625" style="4" customWidth="1"/>
    <col min="270" max="270" width="12.42578125" style="4" bestFit="1" customWidth="1"/>
    <col min="271" max="271" width="13.5703125" style="4" bestFit="1" customWidth="1"/>
    <col min="272" max="272" width="9.140625" style="4"/>
    <col min="273" max="273" width="14.85546875" style="4" bestFit="1" customWidth="1"/>
    <col min="274" max="512" width="9.140625" style="4"/>
    <col min="513" max="513" width="4.7109375" style="4" customWidth="1"/>
    <col min="514" max="514" width="5.140625" style="4" customWidth="1"/>
    <col min="515" max="515" width="39.28515625" style="4" customWidth="1"/>
    <col min="516" max="516" width="15" style="4" customWidth="1"/>
    <col min="517" max="517" width="6.42578125" style="4" bestFit="1" customWidth="1"/>
    <col min="518" max="518" width="14.140625" style="4" bestFit="1" customWidth="1"/>
    <col min="519" max="519" width="8.28515625" style="4" customWidth="1"/>
    <col min="520" max="520" width="15" style="4" customWidth="1"/>
    <col min="521" max="521" width="8.5703125" style="4" bestFit="1" customWidth="1"/>
    <col min="522" max="522" width="14.85546875" style="4" customWidth="1"/>
    <col min="523" max="523" width="8.42578125" style="4" bestFit="1" customWidth="1"/>
    <col min="524" max="524" width="15" style="4" customWidth="1"/>
    <col min="525" max="525" width="49.140625" style="4" customWidth="1"/>
    <col min="526" max="526" width="12.42578125" style="4" bestFit="1" customWidth="1"/>
    <col min="527" max="527" width="13.5703125" style="4" bestFit="1" customWidth="1"/>
    <col min="528" max="528" width="9.140625" style="4"/>
    <col min="529" max="529" width="14.85546875" style="4" bestFit="1" customWidth="1"/>
    <col min="530" max="768" width="9.140625" style="4"/>
    <col min="769" max="769" width="4.7109375" style="4" customWidth="1"/>
    <col min="770" max="770" width="5.140625" style="4" customWidth="1"/>
    <col min="771" max="771" width="39.28515625" style="4" customWidth="1"/>
    <col min="772" max="772" width="15" style="4" customWidth="1"/>
    <col min="773" max="773" width="6.42578125" style="4" bestFit="1" customWidth="1"/>
    <col min="774" max="774" width="14.140625" style="4" bestFit="1" customWidth="1"/>
    <col min="775" max="775" width="8.28515625" style="4" customWidth="1"/>
    <col min="776" max="776" width="15" style="4" customWidth="1"/>
    <col min="777" max="777" width="8.5703125" style="4" bestFit="1" customWidth="1"/>
    <col min="778" max="778" width="14.85546875" style="4" customWidth="1"/>
    <col min="779" max="779" width="8.42578125" style="4" bestFit="1" customWidth="1"/>
    <col min="780" max="780" width="15" style="4" customWidth="1"/>
    <col min="781" max="781" width="49.140625" style="4" customWidth="1"/>
    <col min="782" max="782" width="12.42578125" style="4" bestFit="1" customWidth="1"/>
    <col min="783" max="783" width="13.5703125" style="4" bestFit="1" customWidth="1"/>
    <col min="784" max="784" width="9.140625" style="4"/>
    <col min="785" max="785" width="14.85546875" style="4" bestFit="1" customWidth="1"/>
    <col min="786" max="1024" width="9.140625" style="4"/>
    <col min="1025" max="1025" width="4.7109375" style="4" customWidth="1"/>
    <col min="1026" max="1026" width="5.140625" style="4" customWidth="1"/>
    <col min="1027" max="1027" width="39.28515625" style="4" customWidth="1"/>
    <col min="1028" max="1028" width="15" style="4" customWidth="1"/>
    <col min="1029" max="1029" width="6.42578125" style="4" bestFit="1" customWidth="1"/>
    <col min="1030" max="1030" width="14.140625" style="4" bestFit="1" customWidth="1"/>
    <col min="1031" max="1031" width="8.28515625" style="4" customWidth="1"/>
    <col min="1032" max="1032" width="15" style="4" customWidth="1"/>
    <col min="1033" max="1033" width="8.5703125" style="4" bestFit="1" customWidth="1"/>
    <col min="1034" max="1034" width="14.85546875" style="4" customWidth="1"/>
    <col min="1035" max="1035" width="8.42578125" style="4" bestFit="1" customWidth="1"/>
    <col min="1036" max="1036" width="15" style="4" customWidth="1"/>
    <col min="1037" max="1037" width="49.140625" style="4" customWidth="1"/>
    <col min="1038" max="1038" width="12.42578125" style="4" bestFit="1" customWidth="1"/>
    <col min="1039" max="1039" width="13.5703125" style="4" bestFit="1" customWidth="1"/>
    <col min="1040" max="1040" width="9.140625" style="4"/>
    <col min="1041" max="1041" width="14.85546875" style="4" bestFit="1" customWidth="1"/>
    <col min="1042" max="1280" width="9.140625" style="4"/>
    <col min="1281" max="1281" width="4.7109375" style="4" customWidth="1"/>
    <col min="1282" max="1282" width="5.140625" style="4" customWidth="1"/>
    <col min="1283" max="1283" width="39.28515625" style="4" customWidth="1"/>
    <col min="1284" max="1284" width="15" style="4" customWidth="1"/>
    <col min="1285" max="1285" width="6.42578125" style="4" bestFit="1" customWidth="1"/>
    <col min="1286" max="1286" width="14.140625" style="4" bestFit="1" customWidth="1"/>
    <col min="1287" max="1287" width="8.28515625" style="4" customWidth="1"/>
    <col min="1288" max="1288" width="15" style="4" customWidth="1"/>
    <col min="1289" max="1289" width="8.5703125" style="4" bestFit="1" customWidth="1"/>
    <col min="1290" max="1290" width="14.85546875" style="4" customWidth="1"/>
    <col min="1291" max="1291" width="8.42578125" style="4" bestFit="1" customWidth="1"/>
    <col min="1292" max="1292" width="15" style="4" customWidth="1"/>
    <col min="1293" max="1293" width="49.140625" style="4" customWidth="1"/>
    <col min="1294" max="1294" width="12.42578125" style="4" bestFit="1" customWidth="1"/>
    <col min="1295" max="1295" width="13.5703125" style="4" bestFit="1" customWidth="1"/>
    <col min="1296" max="1296" width="9.140625" style="4"/>
    <col min="1297" max="1297" width="14.85546875" style="4" bestFit="1" customWidth="1"/>
    <col min="1298" max="1536" width="9.140625" style="4"/>
    <col min="1537" max="1537" width="4.7109375" style="4" customWidth="1"/>
    <col min="1538" max="1538" width="5.140625" style="4" customWidth="1"/>
    <col min="1539" max="1539" width="39.28515625" style="4" customWidth="1"/>
    <col min="1540" max="1540" width="15" style="4" customWidth="1"/>
    <col min="1541" max="1541" width="6.42578125" style="4" bestFit="1" customWidth="1"/>
    <col min="1542" max="1542" width="14.140625" style="4" bestFit="1" customWidth="1"/>
    <col min="1543" max="1543" width="8.28515625" style="4" customWidth="1"/>
    <col min="1544" max="1544" width="15" style="4" customWidth="1"/>
    <col min="1545" max="1545" width="8.5703125" style="4" bestFit="1" customWidth="1"/>
    <col min="1546" max="1546" width="14.85546875" style="4" customWidth="1"/>
    <col min="1547" max="1547" width="8.42578125" style="4" bestFit="1" customWidth="1"/>
    <col min="1548" max="1548" width="15" style="4" customWidth="1"/>
    <col min="1549" max="1549" width="49.140625" style="4" customWidth="1"/>
    <col min="1550" max="1550" width="12.42578125" style="4" bestFit="1" customWidth="1"/>
    <col min="1551" max="1551" width="13.5703125" style="4" bestFit="1" customWidth="1"/>
    <col min="1552" max="1552" width="9.140625" style="4"/>
    <col min="1553" max="1553" width="14.85546875" style="4" bestFit="1" customWidth="1"/>
    <col min="1554" max="1792" width="9.140625" style="4"/>
    <col min="1793" max="1793" width="4.7109375" style="4" customWidth="1"/>
    <col min="1794" max="1794" width="5.140625" style="4" customWidth="1"/>
    <col min="1795" max="1795" width="39.28515625" style="4" customWidth="1"/>
    <col min="1796" max="1796" width="15" style="4" customWidth="1"/>
    <col min="1797" max="1797" width="6.42578125" style="4" bestFit="1" customWidth="1"/>
    <col min="1798" max="1798" width="14.140625" style="4" bestFit="1" customWidth="1"/>
    <col min="1799" max="1799" width="8.28515625" style="4" customWidth="1"/>
    <col min="1800" max="1800" width="15" style="4" customWidth="1"/>
    <col min="1801" max="1801" width="8.5703125" style="4" bestFit="1" customWidth="1"/>
    <col min="1802" max="1802" width="14.85546875" style="4" customWidth="1"/>
    <col min="1803" max="1803" width="8.42578125" style="4" bestFit="1" customWidth="1"/>
    <col min="1804" max="1804" width="15" style="4" customWidth="1"/>
    <col min="1805" max="1805" width="49.140625" style="4" customWidth="1"/>
    <col min="1806" max="1806" width="12.42578125" style="4" bestFit="1" customWidth="1"/>
    <col min="1807" max="1807" width="13.5703125" style="4" bestFit="1" customWidth="1"/>
    <col min="1808" max="1808" width="9.140625" style="4"/>
    <col min="1809" max="1809" width="14.85546875" style="4" bestFit="1" customWidth="1"/>
    <col min="1810" max="2048" width="9.140625" style="4"/>
    <col min="2049" max="2049" width="4.7109375" style="4" customWidth="1"/>
    <col min="2050" max="2050" width="5.140625" style="4" customWidth="1"/>
    <col min="2051" max="2051" width="39.28515625" style="4" customWidth="1"/>
    <col min="2052" max="2052" width="15" style="4" customWidth="1"/>
    <col min="2053" max="2053" width="6.42578125" style="4" bestFit="1" customWidth="1"/>
    <col min="2054" max="2054" width="14.140625" style="4" bestFit="1" customWidth="1"/>
    <col min="2055" max="2055" width="8.28515625" style="4" customWidth="1"/>
    <col min="2056" max="2056" width="15" style="4" customWidth="1"/>
    <col min="2057" max="2057" width="8.5703125" style="4" bestFit="1" customWidth="1"/>
    <col min="2058" max="2058" width="14.85546875" style="4" customWidth="1"/>
    <col min="2059" max="2059" width="8.42578125" style="4" bestFit="1" customWidth="1"/>
    <col min="2060" max="2060" width="15" style="4" customWidth="1"/>
    <col min="2061" max="2061" width="49.140625" style="4" customWidth="1"/>
    <col min="2062" max="2062" width="12.42578125" style="4" bestFit="1" customWidth="1"/>
    <col min="2063" max="2063" width="13.5703125" style="4" bestFit="1" customWidth="1"/>
    <col min="2064" max="2064" width="9.140625" style="4"/>
    <col min="2065" max="2065" width="14.85546875" style="4" bestFit="1" customWidth="1"/>
    <col min="2066" max="2304" width="9.140625" style="4"/>
    <col min="2305" max="2305" width="4.7109375" style="4" customWidth="1"/>
    <col min="2306" max="2306" width="5.140625" style="4" customWidth="1"/>
    <col min="2307" max="2307" width="39.28515625" style="4" customWidth="1"/>
    <col min="2308" max="2308" width="15" style="4" customWidth="1"/>
    <col min="2309" max="2309" width="6.42578125" style="4" bestFit="1" customWidth="1"/>
    <col min="2310" max="2310" width="14.140625" style="4" bestFit="1" customWidth="1"/>
    <col min="2311" max="2311" width="8.28515625" style="4" customWidth="1"/>
    <col min="2312" max="2312" width="15" style="4" customWidth="1"/>
    <col min="2313" max="2313" width="8.5703125" style="4" bestFit="1" customWidth="1"/>
    <col min="2314" max="2314" width="14.85546875" style="4" customWidth="1"/>
    <col min="2315" max="2315" width="8.42578125" style="4" bestFit="1" customWidth="1"/>
    <col min="2316" max="2316" width="15" style="4" customWidth="1"/>
    <col min="2317" max="2317" width="49.140625" style="4" customWidth="1"/>
    <col min="2318" max="2318" width="12.42578125" style="4" bestFit="1" customWidth="1"/>
    <col min="2319" max="2319" width="13.5703125" style="4" bestFit="1" customWidth="1"/>
    <col min="2320" max="2320" width="9.140625" style="4"/>
    <col min="2321" max="2321" width="14.85546875" style="4" bestFit="1" customWidth="1"/>
    <col min="2322" max="2560" width="9.140625" style="4"/>
    <col min="2561" max="2561" width="4.7109375" style="4" customWidth="1"/>
    <col min="2562" max="2562" width="5.140625" style="4" customWidth="1"/>
    <col min="2563" max="2563" width="39.28515625" style="4" customWidth="1"/>
    <col min="2564" max="2564" width="15" style="4" customWidth="1"/>
    <col min="2565" max="2565" width="6.42578125" style="4" bestFit="1" customWidth="1"/>
    <col min="2566" max="2566" width="14.140625" style="4" bestFit="1" customWidth="1"/>
    <col min="2567" max="2567" width="8.28515625" style="4" customWidth="1"/>
    <col min="2568" max="2568" width="15" style="4" customWidth="1"/>
    <col min="2569" max="2569" width="8.5703125" style="4" bestFit="1" customWidth="1"/>
    <col min="2570" max="2570" width="14.85546875" style="4" customWidth="1"/>
    <col min="2571" max="2571" width="8.42578125" style="4" bestFit="1" customWidth="1"/>
    <col min="2572" max="2572" width="15" style="4" customWidth="1"/>
    <col min="2573" max="2573" width="49.140625" style="4" customWidth="1"/>
    <col min="2574" max="2574" width="12.42578125" style="4" bestFit="1" customWidth="1"/>
    <col min="2575" max="2575" width="13.5703125" style="4" bestFit="1" customWidth="1"/>
    <col min="2576" max="2576" width="9.140625" style="4"/>
    <col min="2577" max="2577" width="14.85546875" style="4" bestFit="1" customWidth="1"/>
    <col min="2578" max="2816" width="9.140625" style="4"/>
    <col min="2817" max="2817" width="4.7109375" style="4" customWidth="1"/>
    <col min="2818" max="2818" width="5.140625" style="4" customWidth="1"/>
    <col min="2819" max="2819" width="39.28515625" style="4" customWidth="1"/>
    <col min="2820" max="2820" width="15" style="4" customWidth="1"/>
    <col min="2821" max="2821" width="6.42578125" style="4" bestFit="1" customWidth="1"/>
    <col min="2822" max="2822" width="14.140625" style="4" bestFit="1" customWidth="1"/>
    <col min="2823" max="2823" width="8.28515625" style="4" customWidth="1"/>
    <col min="2824" max="2824" width="15" style="4" customWidth="1"/>
    <col min="2825" max="2825" width="8.5703125" style="4" bestFit="1" customWidth="1"/>
    <col min="2826" max="2826" width="14.85546875" style="4" customWidth="1"/>
    <col min="2827" max="2827" width="8.42578125" style="4" bestFit="1" customWidth="1"/>
    <col min="2828" max="2828" width="15" style="4" customWidth="1"/>
    <col min="2829" max="2829" width="49.140625" style="4" customWidth="1"/>
    <col min="2830" max="2830" width="12.42578125" style="4" bestFit="1" customWidth="1"/>
    <col min="2831" max="2831" width="13.5703125" style="4" bestFit="1" customWidth="1"/>
    <col min="2832" max="2832" width="9.140625" style="4"/>
    <col min="2833" max="2833" width="14.85546875" style="4" bestFit="1" customWidth="1"/>
    <col min="2834" max="3072" width="9.140625" style="4"/>
    <col min="3073" max="3073" width="4.7109375" style="4" customWidth="1"/>
    <col min="3074" max="3074" width="5.140625" style="4" customWidth="1"/>
    <col min="3075" max="3075" width="39.28515625" style="4" customWidth="1"/>
    <col min="3076" max="3076" width="15" style="4" customWidth="1"/>
    <col min="3077" max="3077" width="6.42578125" style="4" bestFit="1" customWidth="1"/>
    <col min="3078" max="3078" width="14.140625" style="4" bestFit="1" customWidth="1"/>
    <col min="3079" max="3079" width="8.28515625" style="4" customWidth="1"/>
    <col min="3080" max="3080" width="15" style="4" customWidth="1"/>
    <col min="3081" max="3081" width="8.5703125" style="4" bestFit="1" customWidth="1"/>
    <col min="3082" max="3082" width="14.85546875" style="4" customWidth="1"/>
    <col min="3083" max="3083" width="8.42578125" style="4" bestFit="1" customWidth="1"/>
    <col min="3084" max="3084" width="15" style="4" customWidth="1"/>
    <col min="3085" max="3085" width="49.140625" style="4" customWidth="1"/>
    <col min="3086" max="3086" width="12.42578125" style="4" bestFit="1" customWidth="1"/>
    <col min="3087" max="3087" width="13.5703125" style="4" bestFit="1" customWidth="1"/>
    <col min="3088" max="3088" width="9.140625" style="4"/>
    <col min="3089" max="3089" width="14.85546875" style="4" bestFit="1" customWidth="1"/>
    <col min="3090" max="3328" width="9.140625" style="4"/>
    <col min="3329" max="3329" width="4.7109375" style="4" customWidth="1"/>
    <col min="3330" max="3330" width="5.140625" style="4" customWidth="1"/>
    <col min="3331" max="3331" width="39.28515625" style="4" customWidth="1"/>
    <col min="3332" max="3332" width="15" style="4" customWidth="1"/>
    <col min="3333" max="3333" width="6.42578125" style="4" bestFit="1" customWidth="1"/>
    <col min="3334" max="3334" width="14.140625" style="4" bestFit="1" customWidth="1"/>
    <col min="3335" max="3335" width="8.28515625" style="4" customWidth="1"/>
    <col min="3336" max="3336" width="15" style="4" customWidth="1"/>
    <col min="3337" max="3337" width="8.5703125" style="4" bestFit="1" customWidth="1"/>
    <col min="3338" max="3338" width="14.85546875" style="4" customWidth="1"/>
    <col min="3339" max="3339" width="8.42578125" style="4" bestFit="1" customWidth="1"/>
    <col min="3340" max="3340" width="15" style="4" customWidth="1"/>
    <col min="3341" max="3341" width="49.140625" style="4" customWidth="1"/>
    <col min="3342" max="3342" width="12.42578125" style="4" bestFit="1" customWidth="1"/>
    <col min="3343" max="3343" width="13.5703125" style="4" bestFit="1" customWidth="1"/>
    <col min="3344" max="3344" width="9.140625" style="4"/>
    <col min="3345" max="3345" width="14.85546875" style="4" bestFit="1" customWidth="1"/>
    <col min="3346" max="3584" width="9.140625" style="4"/>
    <col min="3585" max="3585" width="4.7109375" style="4" customWidth="1"/>
    <col min="3586" max="3586" width="5.140625" style="4" customWidth="1"/>
    <col min="3587" max="3587" width="39.28515625" style="4" customWidth="1"/>
    <col min="3588" max="3588" width="15" style="4" customWidth="1"/>
    <col min="3589" max="3589" width="6.42578125" style="4" bestFit="1" customWidth="1"/>
    <col min="3590" max="3590" width="14.140625" style="4" bestFit="1" customWidth="1"/>
    <col min="3591" max="3591" width="8.28515625" style="4" customWidth="1"/>
    <col min="3592" max="3592" width="15" style="4" customWidth="1"/>
    <col min="3593" max="3593" width="8.5703125" style="4" bestFit="1" customWidth="1"/>
    <col min="3594" max="3594" width="14.85546875" style="4" customWidth="1"/>
    <col min="3595" max="3595" width="8.42578125" style="4" bestFit="1" customWidth="1"/>
    <col min="3596" max="3596" width="15" style="4" customWidth="1"/>
    <col min="3597" max="3597" width="49.140625" style="4" customWidth="1"/>
    <col min="3598" max="3598" width="12.42578125" style="4" bestFit="1" customWidth="1"/>
    <col min="3599" max="3599" width="13.5703125" style="4" bestFit="1" customWidth="1"/>
    <col min="3600" max="3600" width="9.140625" style="4"/>
    <col min="3601" max="3601" width="14.85546875" style="4" bestFit="1" customWidth="1"/>
    <col min="3602" max="3840" width="9.140625" style="4"/>
    <col min="3841" max="3841" width="4.7109375" style="4" customWidth="1"/>
    <col min="3842" max="3842" width="5.140625" style="4" customWidth="1"/>
    <col min="3843" max="3843" width="39.28515625" style="4" customWidth="1"/>
    <col min="3844" max="3844" width="15" style="4" customWidth="1"/>
    <col min="3845" max="3845" width="6.42578125" style="4" bestFit="1" customWidth="1"/>
    <col min="3846" max="3846" width="14.140625" style="4" bestFit="1" customWidth="1"/>
    <col min="3847" max="3847" width="8.28515625" style="4" customWidth="1"/>
    <col min="3848" max="3848" width="15" style="4" customWidth="1"/>
    <col min="3849" max="3849" width="8.5703125" style="4" bestFit="1" customWidth="1"/>
    <col min="3850" max="3850" width="14.85546875" style="4" customWidth="1"/>
    <col min="3851" max="3851" width="8.42578125" style="4" bestFit="1" customWidth="1"/>
    <col min="3852" max="3852" width="15" style="4" customWidth="1"/>
    <col min="3853" max="3853" width="49.140625" style="4" customWidth="1"/>
    <col min="3854" max="3854" width="12.42578125" style="4" bestFit="1" customWidth="1"/>
    <col min="3855" max="3855" width="13.5703125" style="4" bestFit="1" customWidth="1"/>
    <col min="3856" max="3856" width="9.140625" style="4"/>
    <col min="3857" max="3857" width="14.85546875" style="4" bestFit="1" customWidth="1"/>
    <col min="3858" max="4096" width="9.140625" style="4"/>
    <col min="4097" max="4097" width="4.7109375" style="4" customWidth="1"/>
    <col min="4098" max="4098" width="5.140625" style="4" customWidth="1"/>
    <col min="4099" max="4099" width="39.28515625" style="4" customWidth="1"/>
    <col min="4100" max="4100" width="15" style="4" customWidth="1"/>
    <col min="4101" max="4101" width="6.42578125" style="4" bestFit="1" customWidth="1"/>
    <col min="4102" max="4102" width="14.140625" style="4" bestFit="1" customWidth="1"/>
    <col min="4103" max="4103" width="8.28515625" style="4" customWidth="1"/>
    <col min="4104" max="4104" width="15" style="4" customWidth="1"/>
    <col min="4105" max="4105" width="8.5703125" style="4" bestFit="1" customWidth="1"/>
    <col min="4106" max="4106" width="14.85546875" style="4" customWidth="1"/>
    <col min="4107" max="4107" width="8.42578125" style="4" bestFit="1" customWidth="1"/>
    <col min="4108" max="4108" width="15" style="4" customWidth="1"/>
    <col min="4109" max="4109" width="49.140625" style="4" customWidth="1"/>
    <col min="4110" max="4110" width="12.42578125" style="4" bestFit="1" customWidth="1"/>
    <col min="4111" max="4111" width="13.5703125" style="4" bestFit="1" customWidth="1"/>
    <col min="4112" max="4112" width="9.140625" style="4"/>
    <col min="4113" max="4113" width="14.85546875" style="4" bestFit="1" customWidth="1"/>
    <col min="4114" max="4352" width="9.140625" style="4"/>
    <col min="4353" max="4353" width="4.7109375" style="4" customWidth="1"/>
    <col min="4354" max="4354" width="5.140625" style="4" customWidth="1"/>
    <col min="4355" max="4355" width="39.28515625" style="4" customWidth="1"/>
    <col min="4356" max="4356" width="15" style="4" customWidth="1"/>
    <col min="4357" max="4357" width="6.42578125" style="4" bestFit="1" customWidth="1"/>
    <col min="4358" max="4358" width="14.140625" style="4" bestFit="1" customWidth="1"/>
    <col min="4359" max="4359" width="8.28515625" style="4" customWidth="1"/>
    <col min="4360" max="4360" width="15" style="4" customWidth="1"/>
    <col min="4361" max="4361" width="8.5703125" style="4" bestFit="1" customWidth="1"/>
    <col min="4362" max="4362" width="14.85546875" style="4" customWidth="1"/>
    <col min="4363" max="4363" width="8.42578125" style="4" bestFit="1" customWidth="1"/>
    <col min="4364" max="4364" width="15" style="4" customWidth="1"/>
    <col min="4365" max="4365" width="49.140625" style="4" customWidth="1"/>
    <col min="4366" max="4366" width="12.42578125" style="4" bestFit="1" customWidth="1"/>
    <col min="4367" max="4367" width="13.5703125" style="4" bestFit="1" customWidth="1"/>
    <col min="4368" max="4368" width="9.140625" style="4"/>
    <col min="4369" max="4369" width="14.85546875" style="4" bestFit="1" customWidth="1"/>
    <col min="4370" max="4608" width="9.140625" style="4"/>
    <col min="4609" max="4609" width="4.7109375" style="4" customWidth="1"/>
    <col min="4610" max="4610" width="5.140625" style="4" customWidth="1"/>
    <col min="4611" max="4611" width="39.28515625" style="4" customWidth="1"/>
    <col min="4612" max="4612" width="15" style="4" customWidth="1"/>
    <col min="4613" max="4613" width="6.42578125" style="4" bestFit="1" customWidth="1"/>
    <col min="4614" max="4614" width="14.140625" style="4" bestFit="1" customWidth="1"/>
    <col min="4615" max="4615" width="8.28515625" style="4" customWidth="1"/>
    <col min="4616" max="4616" width="15" style="4" customWidth="1"/>
    <col min="4617" max="4617" width="8.5703125" style="4" bestFit="1" customWidth="1"/>
    <col min="4618" max="4618" width="14.85546875" style="4" customWidth="1"/>
    <col min="4619" max="4619" width="8.42578125" style="4" bestFit="1" customWidth="1"/>
    <col min="4620" max="4620" width="15" style="4" customWidth="1"/>
    <col min="4621" max="4621" width="49.140625" style="4" customWidth="1"/>
    <col min="4622" max="4622" width="12.42578125" style="4" bestFit="1" customWidth="1"/>
    <col min="4623" max="4623" width="13.5703125" style="4" bestFit="1" customWidth="1"/>
    <col min="4624" max="4624" width="9.140625" style="4"/>
    <col min="4625" max="4625" width="14.85546875" style="4" bestFit="1" customWidth="1"/>
    <col min="4626" max="4864" width="9.140625" style="4"/>
    <col min="4865" max="4865" width="4.7109375" style="4" customWidth="1"/>
    <col min="4866" max="4866" width="5.140625" style="4" customWidth="1"/>
    <col min="4867" max="4867" width="39.28515625" style="4" customWidth="1"/>
    <col min="4868" max="4868" width="15" style="4" customWidth="1"/>
    <col min="4869" max="4869" width="6.42578125" style="4" bestFit="1" customWidth="1"/>
    <col min="4870" max="4870" width="14.140625" style="4" bestFit="1" customWidth="1"/>
    <col min="4871" max="4871" width="8.28515625" style="4" customWidth="1"/>
    <col min="4872" max="4872" width="15" style="4" customWidth="1"/>
    <col min="4873" max="4873" width="8.5703125" style="4" bestFit="1" customWidth="1"/>
    <col min="4874" max="4874" width="14.85546875" style="4" customWidth="1"/>
    <col min="4875" max="4875" width="8.42578125" style="4" bestFit="1" customWidth="1"/>
    <col min="4876" max="4876" width="15" style="4" customWidth="1"/>
    <col min="4877" max="4877" width="49.140625" style="4" customWidth="1"/>
    <col min="4878" max="4878" width="12.42578125" style="4" bestFit="1" customWidth="1"/>
    <col min="4879" max="4879" width="13.5703125" style="4" bestFit="1" customWidth="1"/>
    <col min="4880" max="4880" width="9.140625" style="4"/>
    <col min="4881" max="4881" width="14.85546875" style="4" bestFit="1" customWidth="1"/>
    <col min="4882" max="5120" width="9.140625" style="4"/>
    <col min="5121" max="5121" width="4.7109375" style="4" customWidth="1"/>
    <col min="5122" max="5122" width="5.140625" style="4" customWidth="1"/>
    <col min="5123" max="5123" width="39.28515625" style="4" customWidth="1"/>
    <col min="5124" max="5124" width="15" style="4" customWidth="1"/>
    <col min="5125" max="5125" width="6.42578125" style="4" bestFit="1" customWidth="1"/>
    <col min="5126" max="5126" width="14.140625" style="4" bestFit="1" customWidth="1"/>
    <col min="5127" max="5127" width="8.28515625" style="4" customWidth="1"/>
    <col min="5128" max="5128" width="15" style="4" customWidth="1"/>
    <col min="5129" max="5129" width="8.5703125" style="4" bestFit="1" customWidth="1"/>
    <col min="5130" max="5130" width="14.85546875" style="4" customWidth="1"/>
    <col min="5131" max="5131" width="8.42578125" style="4" bestFit="1" customWidth="1"/>
    <col min="5132" max="5132" width="15" style="4" customWidth="1"/>
    <col min="5133" max="5133" width="49.140625" style="4" customWidth="1"/>
    <col min="5134" max="5134" width="12.42578125" style="4" bestFit="1" customWidth="1"/>
    <col min="5135" max="5135" width="13.5703125" style="4" bestFit="1" customWidth="1"/>
    <col min="5136" max="5136" width="9.140625" style="4"/>
    <col min="5137" max="5137" width="14.85546875" style="4" bestFit="1" customWidth="1"/>
    <col min="5138" max="5376" width="9.140625" style="4"/>
    <col min="5377" max="5377" width="4.7109375" style="4" customWidth="1"/>
    <col min="5378" max="5378" width="5.140625" style="4" customWidth="1"/>
    <col min="5379" max="5379" width="39.28515625" style="4" customWidth="1"/>
    <col min="5380" max="5380" width="15" style="4" customWidth="1"/>
    <col min="5381" max="5381" width="6.42578125" style="4" bestFit="1" customWidth="1"/>
    <col min="5382" max="5382" width="14.140625" style="4" bestFit="1" customWidth="1"/>
    <col min="5383" max="5383" width="8.28515625" style="4" customWidth="1"/>
    <col min="5384" max="5384" width="15" style="4" customWidth="1"/>
    <col min="5385" max="5385" width="8.5703125" style="4" bestFit="1" customWidth="1"/>
    <col min="5386" max="5386" width="14.85546875" style="4" customWidth="1"/>
    <col min="5387" max="5387" width="8.42578125" style="4" bestFit="1" customWidth="1"/>
    <col min="5388" max="5388" width="15" style="4" customWidth="1"/>
    <col min="5389" max="5389" width="49.140625" style="4" customWidth="1"/>
    <col min="5390" max="5390" width="12.42578125" style="4" bestFit="1" customWidth="1"/>
    <col min="5391" max="5391" width="13.5703125" style="4" bestFit="1" customWidth="1"/>
    <col min="5392" max="5392" width="9.140625" style="4"/>
    <col min="5393" max="5393" width="14.85546875" style="4" bestFit="1" customWidth="1"/>
    <col min="5394" max="5632" width="9.140625" style="4"/>
    <col min="5633" max="5633" width="4.7109375" style="4" customWidth="1"/>
    <col min="5634" max="5634" width="5.140625" style="4" customWidth="1"/>
    <col min="5635" max="5635" width="39.28515625" style="4" customWidth="1"/>
    <col min="5636" max="5636" width="15" style="4" customWidth="1"/>
    <col min="5637" max="5637" width="6.42578125" style="4" bestFit="1" customWidth="1"/>
    <col min="5638" max="5638" width="14.140625" style="4" bestFit="1" customWidth="1"/>
    <col min="5639" max="5639" width="8.28515625" style="4" customWidth="1"/>
    <col min="5640" max="5640" width="15" style="4" customWidth="1"/>
    <col min="5641" max="5641" width="8.5703125" style="4" bestFit="1" customWidth="1"/>
    <col min="5642" max="5642" width="14.85546875" style="4" customWidth="1"/>
    <col min="5643" max="5643" width="8.42578125" style="4" bestFit="1" customWidth="1"/>
    <col min="5644" max="5644" width="15" style="4" customWidth="1"/>
    <col min="5645" max="5645" width="49.140625" style="4" customWidth="1"/>
    <col min="5646" max="5646" width="12.42578125" style="4" bestFit="1" customWidth="1"/>
    <col min="5647" max="5647" width="13.5703125" style="4" bestFit="1" customWidth="1"/>
    <col min="5648" max="5648" width="9.140625" style="4"/>
    <col min="5649" max="5649" width="14.85546875" style="4" bestFit="1" customWidth="1"/>
    <col min="5650" max="5888" width="9.140625" style="4"/>
    <col min="5889" max="5889" width="4.7109375" style="4" customWidth="1"/>
    <col min="5890" max="5890" width="5.140625" style="4" customWidth="1"/>
    <col min="5891" max="5891" width="39.28515625" style="4" customWidth="1"/>
    <col min="5892" max="5892" width="15" style="4" customWidth="1"/>
    <col min="5893" max="5893" width="6.42578125" style="4" bestFit="1" customWidth="1"/>
    <col min="5894" max="5894" width="14.140625" style="4" bestFit="1" customWidth="1"/>
    <col min="5895" max="5895" width="8.28515625" style="4" customWidth="1"/>
    <col min="5896" max="5896" width="15" style="4" customWidth="1"/>
    <col min="5897" max="5897" width="8.5703125" style="4" bestFit="1" customWidth="1"/>
    <col min="5898" max="5898" width="14.85546875" style="4" customWidth="1"/>
    <col min="5899" max="5899" width="8.42578125" style="4" bestFit="1" customWidth="1"/>
    <col min="5900" max="5900" width="15" style="4" customWidth="1"/>
    <col min="5901" max="5901" width="49.140625" style="4" customWidth="1"/>
    <col min="5902" max="5902" width="12.42578125" style="4" bestFit="1" customWidth="1"/>
    <col min="5903" max="5903" width="13.5703125" style="4" bestFit="1" customWidth="1"/>
    <col min="5904" max="5904" width="9.140625" style="4"/>
    <col min="5905" max="5905" width="14.85546875" style="4" bestFit="1" customWidth="1"/>
    <col min="5906" max="6144" width="9.140625" style="4"/>
    <col min="6145" max="6145" width="4.7109375" style="4" customWidth="1"/>
    <col min="6146" max="6146" width="5.140625" style="4" customWidth="1"/>
    <col min="6147" max="6147" width="39.28515625" style="4" customWidth="1"/>
    <col min="6148" max="6148" width="15" style="4" customWidth="1"/>
    <col min="6149" max="6149" width="6.42578125" style="4" bestFit="1" customWidth="1"/>
    <col min="6150" max="6150" width="14.140625" style="4" bestFit="1" customWidth="1"/>
    <col min="6151" max="6151" width="8.28515625" style="4" customWidth="1"/>
    <col min="6152" max="6152" width="15" style="4" customWidth="1"/>
    <col min="6153" max="6153" width="8.5703125" style="4" bestFit="1" customWidth="1"/>
    <col min="6154" max="6154" width="14.85546875" style="4" customWidth="1"/>
    <col min="6155" max="6155" width="8.42578125" style="4" bestFit="1" customWidth="1"/>
    <col min="6156" max="6156" width="15" style="4" customWidth="1"/>
    <col min="6157" max="6157" width="49.140625" style="4" customWidth="1"/>
    <col min="6158" max="6158" width="12.42578125" style="4" bestFit="1" customWidth="1"/>
    <col min="6159" max="6159" width="13.5703125" style="4" bestFit="1" customWidth="1"/>
    <col min="6160" max="6160" width="9.140625" style="4"/>
    <col min="6161" max="6161" width="14.85546875" style="4" bestFit="1" customWidth="1"/>
    <col min="6162" max="6400" width="9.140625" style="4"/>
    <col min="6401" max="6401" width="4.7109375" style="4" customWidth="1"/>
    <col min="6402" max="6402" width="5.140625" style="4" customWidth="1"/>
    <col min="6403" max="6403" width="39.28515625" style="4" customWidth="1"/>
    <col min="6404" max="6404" width="15" style="4" customWidth="1"/>
    <col min="6405" max="6405" width="6.42578125" style="4" bestFit="1" customWidth="1"/>
    <col min="6406" max="6406" width="14.140625" style="4" bestFit="1" customWidth="1"/>
    <col min="6407" max="6407" width="8.28515625" style="4" customWidth="1"/>
    <col min="6408" max="6408" width="15" style="4" customWidth="1"/>
    <col min="6409" max="6409" width="8.5703125" style="4" bestFit="1" customWidth="1"/>
    <col min="6410" max="6410" width="14.85546875" style="4" customWidth="1"/>
    <col min="6411" max="6411" width="8.42578125" style="4" bestFit="1" customWidth="1"/>
    <col min="6412" max="6412" width="15" style="4" customWidth="1"/>
    <col min="6413" max="6413" width="49.140625" style="4" customWidth="1"/>
    <col min="6414" max="6414" width="12.42578125" style="4" bestFit="1" customWidth="1"/>
    <col min="6415" max="6415" width="13.5703125" style="4" bestFit="1" customWidth="1"/>
    <col min="6416" max="6416" width="9.140625" style="4"/>
    <col min="6417" max="6417" width="14.85546875" style="4" bestFit="1" customWidth="1"/>
    <col min="6418" max="6656" width="9.140625" style="4"/>
    <col min="6657" max="6657" width="4.7109375" style="4" customWidth="1"/>
    <col min="6658" max="6658" width="5.140625" style="4" customWidth="1"/>
    <col min="6659" max="6659" width="39.28515625" style="4" customWidth="1"/>
    <col min="6660" max="6660" width="15" style="4" customWidth="1"/>
    <col min="6661" max="6661" width="6.42578125" style="4" bestFit="1" customWidth="1"/>
    <col min="6662" max="6662" width="14.140625" style="4" bestFit="1" customWidth="1"/>
    <col min="6663" max="6663" width="8.28515625" style="4" customWidth="1"/>
    <col min="6664" max="6664" width="15" style="4" customWidth="1"/>
    <col min="6665" max="6665" width="8.5703125" style="4" bestFit="1" customWidth="1"/>
    <col min="6666" max="6666" width="14.85546875" style="4" customWidth="1"/>
    <col min="6667" max="6667" width="8.42578125" style="4" bestFit="1" customWidth="1"/>
    <col min="6668" max="6668" width="15" style="4" customWidth="1"/>
    <col min="6669" max="6669" width="49.140625" style="4" customWidth="1"/>
    <col min="6670" max="6670" width="12.42578125" style="4" bestFit="1" customWidth="1"/>
    <col min="6671" max="6671" width="13.5703125" style="4" bestFit="1" customWidth="1"/>
    <col min="6672" max="6672" width="9.140625" style="4"/>
    <col min="6673" max="6673" width="14.85546875" style="4" bestFit="1" customWidth="1"/>
    <col min="6674" max="6912" width="9.140625" style="4"/>
    <col min="6913" max="6913" width="4.7109375" style="4" customWidth="1"/>
    <col min="6914" max="6914" width="5.140625" style="4" customWidth="1"/>
    <col min="6915" max="6915" width="39.28515625" style="4" customWidth="1"/>
    <col min="6916" max="6916" width="15" style="4" customWidth="1"/>
    <col min="6917" max="6917" width="6.42578125" style="4" bestFit="1" customWidth="1"/>
    <col min="6918" max="6918" width="14.140625" style="4" bestFit="1" customWidth="1"/>
    <col min="6919" max="6919" width="8.28515625" style="4" customWidth="1"/>
    <col min="6920" max="6920" width="15" style="4" customWidth="1"/>
    <col min="6921" max="6921" width="8.5703125" style="4" bestFit="1" customWidth="1"/>
    <col min="6922" max="6922" width="14.85546875" style="4" customWidth="1"/>
    <col min="6923" max="6923" width="8.42578125" style="4" bestFit="1" customWidth="1"/>
    <col min="6924" max="6924" width="15" style="4" customWidth="1"/>
    <col min="6925" max="6925" width="49.140625" style="4" customWidth="1"/>
    <col min="6926" max="6926" width="12.42578125" style="4" bestFit="1" customWidth="1"/>
    <col min="6927" max="6927" width="13.5703125" style="4" bestFit="1" customWidth="1"/>
    <col min="6928" max="6928" width="9.140625" style="4"/>
    <col min="6929" max="6929" width="14.85546875" style="4" bestFit="1" customWidth="1"/>
    <col min="6930" max="7168" width="9.140625" style="4"/>
    <col min="7169" max="7169" width="4.7109375" style="4" customWidth="1"/>
    <col min="7170" max="7170" width="5.140625" style="4" customWidth="1"/>
    <col min="7171" max="7171" width="39.28515625" style="4" customWidth="1"/>
    <col min="7172" max="7172" width="15" style="4" customWidth="1"/>
    <col min="7173" max="7173" width="6.42578125" style="4" bestFit="1" customWidth="1"/>
    <col min="7174" max="7174" width="14.140625" style="4" bestFit="1" customWidth="1"/>
    <col min="7175" max="7175" width="8.28515625" style="4" customWidth="1"/>
    <col min="7176" max="7176" width="15" style="4" customWidth="1"/>
    <col min="7177" max="7177" width="8.5703125" style="4" bestFit="1" customWidth="1"/>
    <col min="7178" max="7178" width="14.85546875" style="4" customWidth="1"/>
    <col min="7179" max="7179" width="8.42578125" style="4" bestFit="1" customWidth="1"/>
    <col min="7180" max="7180" width="15" style="4" customWidth="1"/>
    <col min="7181" max="7181" width="49.140625" style="4" customWidth="1"/>
    <col min="7182" max="7182" width="12.42578125" style="4" bestFit="1" customWidth="1"/>
    <col min="7183" max="7183" width="13.5703125" style="4" bestFit="1" customWidth="1"/>
    <col min="7184" max="7184" width="9.140625" style="4"/>
    <col min="7185" max="7185" width="14.85546875" style="4" bestFit="1" customWidth="1"/>
    <col min="7186" max="7424" width="9.140625" style="4"/>
    <col min="7425" max="7425" width="4.7109375" style="4" customWidth="1"/>
    <col min="7426" max="7426" width="5.140625" style="4" customWidth="1"/>
    <col min="7427" max="7427" width="39.28515625" style="4" customWidth="1"/>
    <col min="7428" max="7428" width="15" style="4" customWidth="1"/>
    <col min="7429" max="7429" width="6.42578125" style="4" bestFit="1" customWidth="1"/>
    <col min="7430" max="7430" width="14.140625" style="4" bestFit="1" customWidth="1"/>
    <col min="7431" max="7431" width="8.28515625" style="4" customWidth="1"/>
    <col min="7432" max="7432" width="15" style="4" customWidth="1"/>
    <col min="7433" max="7433" width="8.5703125" style="4" bestFit="1" customWidth="1"/>
    <col min="7434" max="7434" width="14.85546875" style="4" customWidth="1"/>
    <col min="7435" max="7435" width="8.42578125" style="4" bestFit="1" customWidth="1"/>
    <col min="7436" max="7436" width="15" style="4" customWidth="1"/>
    <col min="7437" max="7437" width="49.140625" style="4" customWidth="1"/>
    <col min="7438" max="7438" width="12.42578125" style="4" bestFit="1" customWidth="1"/>
    <col min="7439" max="7439" width="13.5703125" style="4" bestFit="1" customWidth="1"/>
    <col min="7440" max="7440" width="9.140625" style="4"/>
    <col min="7441" max="7441" width="14.85546875" style="4" bestFit="1" customWidth="1"/>
    <col min="7442" max="7680" width="9.140625" style="4"/>
    <col min="7681" max="7681" width="4.7109375" style="4" customWidth="1"/>
    <col min="7682" max="7682" width="5.140625" style="4" customWidth="1"/>
    <col min="7683" max="7683" width="39.28515625" style="4" customWidth="1"/>
    <col min="7684" max="7684" width="15" style="4" customWidth="1"/>
    <col min="7685" max="7685" width="6.42578125" style="4" bestFit="1" customWidth="1"/>
    <col min="7686" max="7686" width="14.140625" style="4" bestFit="1" customWidth="1"/>
    <col min="7687" max="7687" width="8.28515625" style="4" customWidth="1"/>
    <col min="7688" max="7688" width="15" style="4" customWidth="1"/>
    <col min="7689" max="7689" width="8.5703125" style="4" bestFit="1" customWidth="1"/>
    <col min="7690" max="7690" width="14.85546875" style="4" customWidth="1"/>
    <col min="7691" max="7691" width="8.42578125" style="4" bestFit="1" customWidth="1"/>
    <col min="7692" max="7692" width="15" style="4" customWidth="1"/>
    <col min="7693" max="7693" width="49.140625" style="4" customWidth="1"/>
    <col min="7694" max="7694" width="12.42578125" style="4" bestFit="1" customWidth="1"/>
    <col min="7695" max="7695" width="13.5703125" style="4" bestFit="1" customWidth="1"/>
    <col min="7696" max="7696" width="9.140625" style="4"/>
    <col min="7697" max="7697" width="14.85546875" style="4" bestFit="1" customWidth="1"/>
    <col min="7698" max="7936" width="9.140625" style="4"/>
    <col min="7937" max="7937" width="4.7109375" style="4" customWidth="1"/>
    <col min="7938" max="7938" width="5.140625" style="4" customWidth="1"/>
    <col min="7939" max="7939" width="39.28515625" style="4" customWidth="1"/>
    <col min="7940" max="7940" width="15" style="4" customWidth="1"/>
    <col min="7941" max="7941" width="6.42578125" style="4" bestFit="1" customWidth="1"/>
    <col min="7942" max="7942" width="14.140625" style="4" bestFit="1" customWidth="1"/>
    <col min="7943" max="7943" width="8.28515625" style="4" customWidth="1"/>
    <col min="7944" max="7944" width="15" style="4" customWidth="1"/>
    <col min="7945" max="7945" width="8.5703125" style="4" bestFit="1" customWidth="1"/>
    <col min="7946" max="7946" width="14.85546875" style="4" customWidth="1"/>
    <col min="7947" max="7947" width="8.42578125" style="4" bestFit="1" customWidth="1"/>
    <col min="7948" max="7948" width="15" style="4" customWidth="1"/>
    <col min="7949" max="7949" width="49.140625" style="4" customWidth="1"/>
    <col min="7950" max="7950" width="12.42578125" style="4" bestFit="1" customWidth="1"/>
    <col min="7951" max="7951" width="13.5703125" style="4" bestFit="1" customWidth="1"/>
    <col min="7952" max="7952" width="9.140625" style="4"/>
    <col min="7953" max="7953" width="14.85546875" style="4" bestFit="1" customWidth="1"/>
    <col min="7954" max="8192" width="9.140625" style="4"/>
    <col min="8193" max="8193" width="4.7109375" style="4" customWidth="1"/>
    <col min="8194" max="8194" width="5.140625" style="4" customWidth="1"/>
    <col min="8195" max="8195" width="39.28515625" style="4" customWidth="1"/>
    <col min="8196" max="8196" width="15" style="4" customWidth="1"/>
    <col min="8197" max="8197" width="6.42578125" style="4" bestFit="1" customWidth="1"/>
    <col min="8198" max="8198" width="14.140625" style="4" bestFit="1" customWidth="1"/>
    <col min="8199" max="8199" width="8.28515625" style="4" customWidth="1"/>
    <col min="8200" max="8200" width="15" style="4" customWidth="1"/>
    <col min="8201" max="8201" width="8.5703125" style="4" bestFit="1" customWidth="1"/>
    <col min="8202" max="8202" width="14.85546875" style="4" customWidth="1"/>
    <col min="8203" max="8203" width="8.42578125" style="4" bestFit="1" customWidth="1"/>
    <col min="8204" max="8204" width="15" style="4" customWidth="1"/>
    <col min="8205" max="8205" width="49.140625" style="4" customWidth="1"/>
    <col min="8206" max="8206" width="12.42578125" style="4" bestFit="1" customWidth="1"/>
    <col min="8207" max="8207" width="13.5703125" style="4" bestFit="1" customWidth="1"/>
    <col min="8208" max="8208" width="9.140625" style="4"/>
    <col min="8209" max="8209" width="14.85546875" style="4" bestFit="1" customWidth="1"/>
    <col min="8210" max="8448" width="9.140625" style="4"/>
    <col min="8449" max="8449" width="4.7109375" style="4" customWidth="1"/>
    <col min="8450" max="8450" width="5.140625" style="4" customWidth="1"/>
    <col min="8451" max="8451" width="39.28515625" style="4" customWidth="1"/>
    <col min="8452" max="8452" width="15" style="4" customWidth="1"/>
    <col min="8453" max="8453" width="6.42578125" style="4" bestFit="1" customWidth="1"/>
    <col min="8454" max="8454" width="14.140625" style="4" bestFit="1" customWidth="1"/>
    <col min="8455" max="8455" width="8.28515625" style="4" customWidth="1"/>
    <col min="8456" max="8456" width="15" style="4" customWidth="1"/>
    <col min="8457" max="8457" width="8.5703125" style="4" bestFit="1" customWidth="1"/>
    <col min="8458" max="8458" width="14.85546875" style="4" customWidth="1"/>
    <col min="8459" max="8459" width="8.42578125" style="4" bestFit="1" customWidth="1"/>
    <col min="8460" max="8460" width="15" style="4" customWidth="1"/>
    <col min="8461" max="8461" width="49.140625" style="4" customWidth="1"/>
    <col min="8462" max="8462" width="12.42578125" style="4" bestFit="1" customWidth="1"/>
    <col min="8463" max="8463" width="13.5703125" style="4" bestFit="1" customWidth="1"/>
    <col min="8464" max="8464" width="9.140625" style="4"/>
    <col min="8465" max="8465" width="14.85546875" style="4" bestFit="1" customWidth="1"/>
    <col min="8466" max="8704" width="9.140625" style="4"/>
    <col min="8705" max="8705" width="4.7109375" style="4" customWidth="1"/>
    <col min="8706" max="8706" width="5.140625" style="4" customWidth="1"/>
    <col min="8707" max="8707" width="39.28515625" style="4" customWidth="1"/>
    <col min="8708" max="8708" width="15" style="4" customWidth="1"/>
    <col min="8709" max="8709" width="6.42578125" style="4" bestFit="1" customWidth="1"/>
    <col min="8710" max="8710" width="14.140625" style="4" bestFit="1" customWidth="1"/>
    <col min="8711" max="8711" width="8.28515625" style="4" customWidth="1"/>
    <col min="8712" max="8712" width="15" style="4" customWidth="1"/>
    <col min="8713" max="8713" width="8.5703125" style="4" bestFit="1" customWidth="1"/>
    <col min="8714" max="8714" width="14.85546875" style="4" customWidth="1"/>
    <col min="8715" max="8715" width="8.42578125" style="4" bestFit="1" customWidth="1"/>
    <col min="8716" max="8716" width="15" style="4" customWidth="1"/>
    <col min="8717" max="8717" width="49.140625" style="4" customWidth="1"/>
    <col min="8718" max="8718" width="12.42578125" style="4" bestFit="1" customWidth="1"/>
    <col min="8719" max="8719" width="13.5703125" style="4" bestFit="1" customWidth="1"/>
    <col min="8720" max="8720" width="9.140625" style="4"/>
    <col min="8721" max="8721" width="14.85546875" style="4" bestFit="1" customWidth="1"/>
    <col min="8722" max="8960" width="9.140625" style="4"/>
    <col min="8961" max="8961" width="4.7109375" style="4" customWidth="1"/>
    <col min="8962" max="8962" width="5.140625" style="4" customWidth="1"/>
    <col min="8963" max="8963" width="39.28515625" style="4" customWidth="1"/>
    <col min="8964" max="8964" width="15" style="4" customWidth="1"/>
    <col min="8965" max="8965" width="6.42578125" style="4" bestFit="1" customWidth="1"/>
    <col min="8966" max="8966" width="14.140625" style="4" bestFit="1" customWidth="1"/>
    <col min="8967" max="8967" width="8.28515625" style="4" customWidth="1"/>
    <col min="8968" max="8968" width="15" style="4" customWidth="1"/>
    <col min="8969" max="8969" width="8.5703125" style="4" bestFit="1" customWidth="1"/>
    <col min="8970" max="8970" width="14.85546875" style="4" customWidth="1"/>
    <col min="8971" max="8971" width="8.42578125" style="4" bestFit="1" customWidth="1"/>
    <col min="8972" max="8972" width="15" style="4" customWidth="1"/>
    <col min="8973" max="8973" width="49.140625" style="4" customWidth="1"/>
    <col min="8974" max="8974" width="12.42578125" style="4" bestFit="1" customWidth="1"/>
    <col min="8975" max="8975" width="13.5703125" style="4" bestFit="1" customWidth="1"/>
    <col min="8976" max="8976" width="9.140625" style="4"/>
    <col min="8977" max="8977" width="14.85546875" style="4" bestFit="1" customWidth="1"/>
    <col min="8978" max="9216" width="9.140625" style="4"/>
    <col min="9217" max="9217" width="4.7109375" style="4" customWidth="1"/>
    <col min="9218" max="9218" width="5.140625" style="4" customWidth="1"/>
    <col min="9219" max="9219" width="39.28515625" style="4" customWidth="1"/>
    <col min="9220" max="9220" width="15" style="4" customWidth="1"/>
    <col min="9221" max="9221" width="6.42578125" style="4" bestFit="1" customWidth="1"/>
    <col min="9222" max="9222" width="14.140625" style="4" bestFit="1" customWidth="1"/>
    <col min="9223" max="9223" width="8.28515625" style="4" customWidth="1"/>
    <col min="9224" max="9224" width="15" style="4" customWidth="1"/>
    <col min="9225" max="9225" width="8.5703125" style="4" bestFit="1" customWidth="1"/>
    <col min="9226" max="9226" width="14.85546875" style="4" customWidth="1"/>
    <col min="9227" max="9227" width="8.42578125" style="4" bestFit="1" customWidth="1"/>
    <col min="9228" max="9228" width="15" style="4" customWidth="1"/>
    <col min="9229" max="9229" width="49.140625" style="4" customWidth="1"/>
    <col min="9230" max="9230" width="12.42578125" style="4" bestFit="1" customWidth="1"/>
    <col min="9231" max="9231" width="13.5703125" style="4" bestFit="1" customWidth="1"/>
    <col min="9232" max="9232" width="9.140625" style="4"/>
    <col min="9233" max="9233" width="14.85546875" style="4" bestFit="1" customWidth="1"/>
    <col min="9234" max="9472" width="9.140625" style="4"/>
    <col min="9473" max="9473" width="4.7109375" style="4" customWidth="1"/>
    <col min="9474" max="9474" width="5.140625" style="4" customWidth="1"/>
    <col min="9475" max="9475" width="39.28515625" style="4" customWidth="1"/>
    <col min="9476" max="9476" width="15" style="4" customWidth="1"/>
    <col min="9477" max="9477" width="6.42578125" style="4" bestFit="1" customWidth="1"/>
    <col min="9478" max="9478" width="14.140625" style="4" bestFit="1" customWidth="1"/>
    <col min="9479" max="9479" width="8.28515625" style="4" customWidth="1"/>
    <col min="9480" max="9480" width="15" style="4" customWidth="1"/>
    <col min="9481" max="9481" width="8.5703125" style="4" bestFit="1" customWidth="1"/>
    <col min="9482" max="9482" width="14.85546875" style="4" customWidth="1"/>
    <col min="9483" max="9483" width="8.42578125" style="4" bestFit="1" customWidth="1"/>
    <col min="9484" max="9484" width="15" style="4" customWidth="1"/>
    <col min="9485" max="9485" width="49.140625" style="4" customWidth="1"/>
    <col min="9486" max="9486" width="12.42578125" style="4" bestFit="1" customWidth="1"/>
    <col min="9487" max="9487" width="13.5703125" style="4" bestFit="1" customWidth="1"/>
    <col min="9488" max="9488" width="9.140625" style="4"/>
    <col min="9489" max="9489" width="14.85546875" style="4" bestFit="1" customWidth="1"/>
    <col min="9490" max="9728" width="9.140625" style="4"/>
    <col min="9729" max="9729" width="4.7109375" style="4" customWidth="1"/>
    <col min="9730" max="9730" width="5.140625" style="4" customWidth="1"/>
    <col min="9731" max="9731" width="39.28515625" style="4" customWidth="1"/>
    <col min="9732" max="9732" width="15" style="4" customWidth="1"/>
    <col min="9733" max="9733" width="6.42578125" style="4" bestFit="1" customWidth="1"/>
    <col min="9734" max="9734" width="14.140625" style="4" bestFit="1" customWidth="1"/>
    <col min="9735" max="9735" width="8.28515625" style="4" customWidth="1"/>
    <col min="9736" max="9736" width="15" style="4" customWidth="1"/>
    <col min="9737" max="9737" width="8.5703125" style="4" bestFit="1" customWidth="1"/>
    <col min="9738" max="9738" width="14.85546875" style="4" customWidth="1"/>
    <col min="9739" max="9739" width="8.42578125" style="4" bestFit="1" customWidth="1"/>
    <col min="9740" max="9740" width="15" style="4" customWidth="1"/>
    <col min="9741" max="9741" width="49.140625" style="4" customWidth="1"/>
    <col min="9742" max="9742" width="12.42578125" style="4" bestFit="1" customWidth="1"/>
    <col min="9743" max="9743" width="13.5703125" style="4" bestFit="1" customWidth="1"/>
    <col min="9744" max="9744" width="9.140625" style="4"/>
    <col min="9745" max="9745" width="14.85546875" style="4" bestFit="1" customWidth="1"/>
    <col min="9746" max="9984" width="9.140625" style="4"/>
    <col min="9985" max="9985" width="4.7109375" style="4" customWidth="1"/>
    <col min="9986" max="9986" width="5.140625" style="4" customWidth="1"/>
    <col min="9987" max="9987" width="39.28515625" style="4" customWidth="1"/>
    <col min="9988" max="9988" width="15" style="4" customWidth="1"/>
    <col min="9989" max="9989" width="6.42578125" style="4" bestFit="1" customWidth="1"/>
    <col min="9990" max="9990" width="14.140625" style="4" bestFit="1" customWidth="1"/>
    <col min="9991" max="9991" width="8.28515625" style="4" customWidth="1"/>
    <col min="9992" max="9992" width="15" style="4" customWidth="1"/>
    <col min="9993" max="9993" width="8.5703125" style="4" bestFit="1" customWidth="1"/>
    <col min="9994" max="9994" width="14.85546875" style="4" customWidth="1"/>
    <col min="9995" max="9995" width="8.42578125" style="4" bestFit="1" customWidth="1"/>
    <col min="9996" max="9996" width="15" style="4" customWidth="1"/>
    <col min="9997" max="9997" width="49.140625" style="4" customWidth="1"/>
    <col min="9998" max="9998" width="12.42578125" style="4" bestFit="1" customWidth="1"/>
    <col min="9999" max="9999" width="13.5703125" style="4" bestFit="1" customWidth="1"/>
    <col min="10000" max="10000" width="9.140625" style="4"/>
    <col min="10001" max="10001" width="14.85546875" style="4" bestFit="1" customWidth="1"/>
    <col min="10002" max="10240" width="9.140625" style="4"/>
    <col min="10241" max="10241" width="4.7109375" style="4" customWidth="1"/>
    <col min="10242" max="10242" width="5.140625" style="4" customWidth="1"/>
    <col min="10243" max="10243" width="39.28515625" style="4" customWidth="1"/>
    <col min="10244" max="10244" width="15" style="4" customWidth="1"/>
    <col min="10245" max="10245" width="6.42578125" style="4" bestFit="1" customWidth="1"/>
    <col min="10246" max="10246" width="14.140625" style="4" bestFit="1" customWidth="1"/>
    <col min="10247" max="10247" width="8.28515625" style="4" customWidth="1"/>
    <col min="10248" max="10248" width="15" style="4" customWidth="1"/>
    <col min="10249" max="10249" width="8.5703125" style="4" bestFit="1" customWidth="1"/>
    <col min="10250" max="10250" width="14.85546875" style="4" customWidth="1"/>
    <col min="10251" max="10251" width="8.42578125" style="4" bestFit="1" customWidth="1"/>
    <col min="10252" max="10252" width="15" style="4" customWidth="1"/>
    <col min="10253" max="10253" width="49.140625" style="4" customWidth="1"/>
    <col min="10254" max="10254" width="12.42578125" style="4" bestFit="1" customWidth="1"/>
    <col min="10255" max="10255" width="13.5703125" style="4" bestFit="1" customWidth="1"/>
    <col min="10256" max="10256" width="9.140625" style="4"/>
    <col min="10257" max="10257" width="14.85546875" style="4" bestFit="1" customWidth="1"/>
    <col min="10258" max="10496" width="9.140625" style="4"/>
    <col min="10497" max="10497" width="4.7109375" style="4" customWidth="1"/>
    <col min="10498" max="10498" width="5.140625" style="4" customWidth="1"/>
    <col min="10499" max="10499" width="39.28515625" style="4" customWidth="1"/>
    <col min="10500" max="10500" width="15" style="4" customWidth="1"/>
    <col min="10501" max="10501" width="6.42578125" style="4" bestFit="1" customWidth="1"/>
    <col min="10502" max="10502" width="14.140625" style="4" bestFit="1" customWidth="1"/>
    <col min="10503" max="10503" width="8.28515625" style="4" customWidth="1"/>
    <col min="10504" max="10504" width="15" style="4" customWidth="1"/>
    <col min="10505" max="10505" width="8.5703125" style="4" bestFit="1" customWidth="1"/>
    <col min="10506" max="10506" width="14.85546875" style="4" customWidth="1"/>
    <col min="10507" max="10507" width="8.42578125" style="4" bestFit="1" customWidth="1"/>
    <col min="10508" max="10508" width="15" style="4" customWidth="1"/>
    <col min="10509" max="10509" width="49.140625" style="4" customWidth="1"/>
    <col min="10510" max="10510" width="12.42578125" style="4" bestFit="1" customWidth="1"/>
    <col min="10511" max="10511" width="13.5703125" style="4" bestFit="1" customWidth="1"/>
    <col min="10512" max="10512" width="9.140625" style="4"/>
    <col min="10513" max="10513" width="14.85546875" style="4" bestFit="1" customWidth="1"/>
    <col min="10514" max="10752" width="9.140625" style="4"/>
    <col min="10753" max="10753" width="4.7109375" style="4" customWidth="1"/>
    <col min="10754" max="10754" width="5.140625" style="4" customWidth="1"/>
    <col min="10755" max="10755" width="39.28515625" style="4" customWidth="1"/>
    <col min="10756" max="10756" width="15" style="4" customWidth="1"/>
    <col min="10757" max="10757" width="6.42578125" style="4" bestFit="1" customWidth="1"/>
    <col min="10758" max="10758" width="14.140625" style="4" bestFit="1" customWidth="1"/>
    <col min="10759" max="10759" width="8.28515625" style="4" customWidth="1"/>
    <col min="10760" max="10760" width="15" style="4" customWidth="1"/>
    <col min="10761" max="10761" width="8.5703125" style="4" bestFit="1" customWidth="1"/>
    <col min="10762" max="10762" width="14.85546875" style="4" customWidth="1"/>
    <col min="10763" max="10763" width="8.42578125" style="4" bestFit="1" customWidth="1"/>
    <col min="10764" max="10764" width="15" style="4" customWidth="1"/>
    <col min="10765" max="10765" width="49.140625" style="4" customWidth="1"/>
    <col min="10766" max="10766" width="12.42578125" style="4" bestFit="1" customWidth="1"/>
    <col min="10767" max="10767" width="13.5703125" style="4" bestFit="1" customWidth="1"/>
    <col min="10768" max="10768" width="9.140625" style="4"/>
    <col min="10769" max="10769" width="14.85546875" style="4" bestFit="1" customWidth="1"/>
    <col min="10770" max="11008" width="9.140625" style="4"/>
    <col min="11009" max="11009" width="4.7109375" style="4" customWidth="1"/>
    <col min="11010" max="11010" width="5.140625" style="4" customWidth="1"/>
    <col min="11011" max="11011" width="39.28515625" style="4" customWidth="1"/>
    <col min="11012" max="11012" width="15" style="4" customWidth="1"/>
    <col min="11013" max="11013" width="6.42578125" style="4" bestFit="1" customWidth="1"/>
    <col min="11014" max="11014" width="14.140625" style="4" bestFit="1" customWidth="1"/>
    <col min="11015" max="11015" width="8.28515625" style="4" customWidth="1"/>
    <col min="11016" max="11016" width="15" style="4" customWidth="1"/>
    <col min="11017" max="11017" width="8.5703125" style="4" bestFit="1" customWidth="1"/>
    <col min="11018" max="11018" width="14.85546875" style="4" customWidth="1"/>
    <col min="11019" max="11019" width="8.42578125" style="4" bestFit="1" customWidth="1"/>
    <col min="11020" max="11020" width="15" style="4" customWidth="1"/>
    <col min="11021" max="11021" width="49.140625" style="4" customWidth="1"/>
    <col min="11022" max="11022" width="12.42578125" style="4" bestFit="1" customWidth="1"/>
    <col min="11023" max="11023" width="13.5703125" style="4" bestFit="1" customWidth="1"/>
    <col min="11024" max="11024" width="9.140625" style="4"/>
    <col min="11025" max="11025" width="14.85546875" style="4" bestFit="1" customWidth="1"/>
    <col min="11026" max="11264" width="9.140625" style="4"/>
    <col min="11265" max="11265" width="4.7109375" style="4" customWidth="1"/>
    <col min="11266" max="11266" width="5.140625" style="4" customWidth="1"/>
    <col min="11267" max="11267" width="39.28515625" style="4" customWidth="1"/>
    <col min="11268" max="11268" width="15" style="4" customWidth="1"/>
    <col min="11269" max="11269" width="6.42578125" style="4" bestFit="1" customWidth="1"/>
    <col min="11270" max="11270" width="14.140625" style="4" bestFit="1" customWidth="1"/>
    <col min="11271" max="11271" width="8.28515625" style="4" customWidth="1"/>
    <col min="11272" max="11272" width="15" style="4" customWidth="1"/>
    <col min="11273" max="11273" width="8.5703125" style="4" bestFit="1" customWidth="1"/>
    <col min="11274" max="11274" width="14.85546875" style="4" customWidth="1"/>
    <col min="11275" max="11275" width="8.42578125" style="4" bestFit="1" customWidth="1"/>
    <col min="11276" max="11276" width="15" style="4" customWidth="1"/>
    <col min="11277" max="11277" width="49.140625" style="4" customWidth="1"/>
    <col min="11278" max="11278" width="12.42578125" style="4" bestFit="1" customWidth="1"/>
    <col min="11279" max="11279" width="13.5703125" style="4" bestFit="1" customWidth="1"/>
    <col min="11280" max="11280" width="9.140625" style="4"/>
    <col min="11281" max="11281" width="14.85546875" style="4" bestFit="1" customWidth="1"/>
    <col min="11282" max="11520" width="9.140625" style="4"/>
    <col min="11521" max="11521" width="4.7109375" style="4" customWidth="1"/>
    <col min="11522" max="11522" width="5.140625" style="4" customWidth="1"/>
    <col min="11523" max="11523" width="39.28515625" style="4" customWidth="1"/>
    <col min="11524" max="11524" width="15" style="4" customWidth="1"/>
    <col min="11525" max="11525" width="6.42578125" style="4" bestFit="1" customWidth="1"/>
    <col min="11526" max="11526" width="14.140625" style="4" bestFit="1" customWidth="1"/>
    <col min="11527" max="11527" width="8.28515625" style="4" customWidth="1"/>
    <col min="11528" max="11528" width="15" style="4" customWidth="1"/>
    <col min="11529" max="11529" width="8.5703125" style="4" bestFit="1" customWidth="1"/>
    <col min="11530" max="11530" width="14.85546875" style="4" customWidth="1"/>
    <col min="11531" max="11531" width="8.42578125" style="4" bestFit="1" customWidth="1"/>
    <col min="11532" max="11532" width="15" style="4" customWidth="1"/>
    <col min="11533" max="11533" width="49.140625" style="4" customWidth="1"/>
    <col min="11534" max="11534" width="12.42578125" style="4" bestFit="1" customWidth="1"/>
    <col min="11535" max="11535" width="13.5703125" style="4" bestFit="1" customWidth="1"/>
    <col min="11536" max="11536" width="9.140625" style="4"/>
    <col min="11537" max="11537" width="14.85546875" style="4" bestFit="1" customWidth="1"/>
    <col min="11538" max="11776" width="9.140625" style="4"/>
    <col min="11777" max="11777" width="4.7109375" style="4" customWidth="1"/>
    <col min="11778" max="11778" width="5.140625" style="4" customWidth="1"/>
    <col min="11779" max="11779" width="39.28515625" style="4" customWidth="1"/>
    <col min="11780" max="11780" width="15" style="4" customWidth="1"/>
    <col min="11781" max="11781" width="6.42578125" style="4" bestFit="1" customWidth="1"/>
    <col min="11782" max="11782" width="14.140625" style="4" bestFit="1" customWidth="1"/>
    <col min="11783" max="11783" width="8.28515625" style="4" customWidth="1"/>
    <col min="11784" max="11784" width="15" style="4" customWidth="1"/>
    <col min="11785" max="11785" width="8.5703125" style="4" bestFit="1" customWidth="1"/>
    <col min="11786" max="11786" width="14.85546875" style="4" customWidth="1"/>
    <col min="11787" max="11787" width="8.42578125" style="4" bestFit="1" customWidth="1"/>
    <col min="11788" max="11788" width="15" style="4" customWidth="1"/>
    <col min="11789" max="11789" width="49.140625" style="4" customWidth="1"/>
    <col min="11790" max="11790" width="12.42578125" style="4" bestFit="1" customWidth="1"/>
    <col min="11791" max="11791" width="13.5703125" style="4" bestFit="1" customWidth="1"/>
    <col min="11792" max="11792" width="9.140625" style="4"/>
    <col min="11793" max="11793" width="14.85546875" style="4" bestFit="1" customWidth="1"/>
    <col min="11794" max="12032" width="9.140625" style="4"/>
    <col min="12033" max="12033" width="4.7109375" style="4" customWidth="1"/>
    <col min="12034" max="12034" width="5.140625" style="4" customWidth="1"/>
    <col min="12035" max="12035" width="39.28515625" style="4" customWidth="1"/>
    <col min="12036" max="12036" width="15" style="4" customWidth="1"/>
    <col min="12037" max="12037" width="6.42578125" style="4" bestFit="1" customWidth="1"/>
    <col min="12038" max="12038" width="14.140625" style="4" bestFit="1" customWidth="1"/>
    <col min="12039" max="12039" width="8.28515625" style="4" customWidth="1"/>
    <col min="12040" max="12040" width="15" style="4" customWidth="1"/>
    <col min="12041" max="12041" width="8.5703125" style="4" bestFit="1" customWidth="1"/>
    <col min="12042" max="12042" width="14.85546875" style="4" customWidth="1"/>
    <col min="12043" max="12043" width="8.42578125" style="4" bestFit="1" customWidth="1"/>
    <col min="12044" max="12044" width="15" style="4" customWidth="1"/>
    <col min="12045" max="12045" width="49.140625" style="4" customWidth="1"/>
    <col min="12046" max="12046" width="12.42578125" style="4" bestFit="1" customWidth="1"/>
    <col min="12047" max="12047" width="13.5703125" style="4" bestFit="1" customWidth="1"/>
    <col min="12048" max="12048" width="9.140625" style="4"/>
    <col min="12049" max="12049" width="14.85546875" style="4" bestFit="1" customWidth="1"/>
    <col min="12050" max="12288" width="9.140625" style="4"/>
    <col min="12289" max="12289" width="4.7109375" style="4" customWidth="1"/>
    <col min="12290" max="12290" width="5.140625" style="4" customWidth="1"/>
    <col min="12291" max="12291" width="39.28515625" style="4" customWidth="1"/>
    <col min="12292" max="12292" width="15" style="4" customWidth="1"/>
    <col min="12293" max="12293" width="6.42578125" style="4" bestFit="1" customWidth="1"/>
    <col min="12294" max="12294" width="14.140625" style="4" bestFit="1" customWidth="1"/>
    <col min="12295" max="12295" width="8.28515625" style="4" customWidth="1"/>
    <col min="12296" max="12296" width="15" style="4" customWidth="1"/>
    <col min="12297" max="12297" width="8.5703125" style="4" bestFit="1" customWidth="1"/>
    <col min="12298" max="12298" width="14.85546875" style="4" customWidth="1"/>
    <col min="12299" max="12299" width="8.42578125" style="4" bestFit="1" customWidth="1"/>
    <col min="12300" max="12300" width="15" style="4" customWidth="1"/>
    <col min="12301" max="12301" width="49.140625" style="4" customWidth="1"/>
    <col min="12302" max="12302" width="12.42578125" style="4" bestFit="1" customWidth="1"/>
    <col min="12303" max="12303" width="13.5703125" style="4" bestFit="1" customWidth="1"/>
    <col min="12304" max="12304" width="9.140625" style="4"/>
    <col min="12305" max="12305" width="14.85546875" style="4" bestFit="1" customWidth="1"/>
    <col min="12306" max="12544" width="9.140625" style="4"/>
    <col min="12545" max="12545" width="4.7109375" style="4" customWidth="1"/>
    <col min="12546" max="12546" width="5.140625" style="4" customWidth="1"/>
    <col min="12547" max="12547" width="39.28515625" style="4" customWidth="1"/>
    <col min="12548" max="12548" width="15" style="4" customWidth="1"/>
    <col min="12549" max="12549" width="6.42578125" style="4" bestFit="1" customWidth="1"/>
    <col min="12550" max="12550" width="14.140625" style="4" bestFit="1" customWidth="1"/>
    <col min="12551" max="12551" width="8.28515625" style="4" customWidth="1"/>
    <col min="12552" max="12552" width="15" style="4" customWidth="1"/>
    <col min="12553" max="12553" width="8.5703125" style="4" bestFit="1" customWidth="1"/>
    <col min="12554" max="12554" width="14.85546875" style="4" customWidth="1"/>
    <col min="12555" max="12555" width="8.42578125" style="4" bestFit="1" customWidth="1"/>
    <col min="12556" max="12556" width="15" style="4" customWidth="1"/>
    <col min="12557" max="12557" width="49.140625" style="4" customWidth="1"/>
    <col min="12558" max="12558" width="12.42578125" style="4" bestFit="1" customWidth="1"/>
    <col min="12559" max="12559" width="13.5703125" style="4" bestFit="1" customWidth="1"/>
    <col min="12560" max="12560" width="9.140625" style="4"/>
    <col min="12561" max="12561" width="14.85546875" style="4" bestFit="1" customWidth="1"/>
    <col min="12562" max="12800" width="9.140625" style="4"/>
    <col min="12801" max="12801" width="4.7109375" style="4" customWidth="1"/>
    <col min="12802" max="12802" width="5.140625" style="4" customWidth="1"/>
    <col min="12803" max="12803" width="39.28515625" style="4" customWidth="1"/>
    <col min="12804" max="12804" width="15" style="4" customWidth="1"/>
    <col min="12805" max="12805" width="6.42578125" style="4" bestFit="1" customWidth="1"/>
    <col min="12806" max="12806" width="14.140625" style="4" bestFit="1" customWidth="1"/>
    <col min="12807" max="12807" width="8.28515625" style="4" customWidth="1"/>
    <col min="12808" max="12808" width="15" style="4" customWidth="1"/>
    <col min="12809" max="12809" width="8.5703125" style="4" bestFit="1" customWidth="1"/>
    <col min="12810" max="12810" width="14.85546875" style="4" customWidth="1"/>
    <col min="12811" max="12811" width="8.42578125" style="4" bestFit="1" customWidth="1"/>
    <col min="12812" max="12812" width="15" style="4" customWidth="1"/>
    <col min="12813" max="12813" width="49.140625" style="4" customWidth="1"/>
    <col min="12814" max="12814" width="12.42578125" style="4" bestFit="1" customWidth="1"/>
    <col min="12815" max="12815" width="13.5703125" style="4" bestFit="1" customWidth="1"/>
    <col min="12816" max="12816" width="9.140625" style="4"/>
    <col min="12817" max="12817" width="14.85546875" style="4" bestFit="1" customWidth="1"/>
    <col min="12818" max="13056" width="9.140625" style="4"/>
    <col min="13057" max="13057" width="4.7109375" style="4" customWidth="1"/>
    <col min="13058" max="13058" width="5.140625" style="4" customWidth="1"/>
    <col min="13059" max="13059" width="39.28515625" style="4" customWidth="1"/>
    <col min="13060" max="13060" width="15" style="4" customWidth="1"/>
    <col min="13061" max="13061" width="6.42578125" style="4" bestFit="1" customWidth="1"/>
    <col min="13062" max="13062" width="14.140625" style="4" bestFit="1" customWidth="1"/>
    <col min="13063" max="13063" width="8.28515625" style="4" customWidth="1"/>
    <col min="13064" max="13064" width="15" style="4" customWidth="1"/>
    <col min="13065" max="13065" width="8.5703125" style="4" bestFit="1" customWidth="1"/>
    <col min="13066" max="13066" width="14.85546875" style="4" customWidth="1"/>
    <col min="13067" max="13067" width="8.42578125" style="4" bestFit="1" customWidth="1"/>
    <col min="13068" max="13068" width="15" style="4" customWidth="1"/>
    <col min="13069" max="13069" width="49.140625" style="4" customWidth="1"/>
    <col min="13070" max="13070" width="12.42578125" style="4" bestFit="1" customWidth="1"/>
    <col min="13071" max="13071" width="13.5703125" style="4" bestFit="1" customWidth="1"/>
    <col min="13072" max="13072" width="9.140625" style="4"/>
    <col min="13073" max="13073" width="14.85546875" style="4" bestFit="1" customWidth="1"/>
    <col min="13074" max="13312" width="9.140625" style="4"/>
    <col min="13313" max="13313" width="4.7109375" style="4" customWidth="1"/>
    <col min="13314" max="13314" width="5.140625" style="4" customWidth="1"/>
    <col min="13315" max="13315" width="39.28515625" style="4" customWidth="1"/>
    <col min="13316" max="13316" width="15" style="4" customWidth="1"/>
    <col min="13317" max="13317" width="6.42578125" style="4" bestFit="1" customWidth="1"/>
    <col min="13318" max="13318" width="14.140625" style="4" bestFit="1" customWidth="1"/>
    <col min="13319" max="13319" width="8.28515625" style="4" customWidth="1"/>
    <col min="13320" max="13320" width="15" style="4" customWidth="1"/>
    <col min="13321" max="13321" width="8.5703125" style="4" bestFit="1" customWidth="1"/>
    <col min="13322" max="13322" width="14.85546875" style="4" customWidth="1"/>
    <col min="13323" max="13323" width="8.42578125" style="4" bestFit="1" customWidth="1"/>
    <col min="13324" max="13324" width="15" style="4" customWidth="1"/>
    <col min="13325" max="13325" width="49.140625" style="4" customWidth="1"/>
    <col min="13326" max="13326" width="12.42578125" style="4" bestFit="1" customWidth="1"/>
    <col min="13327" max="13327" width="13.5703125" style="4" bestFit="1" customWidth="1"/>
    <col min="13328" max="13328" width="9.140625" style="4"/>
    <col min="13329" max="13329" width="14.85546875" style="4" bestFit="1" customWidth="1"/>
    <col min="13330" max="13568" width="9.140625" style="4"/>
    <col min="13569" max="13569" width="4.7109375" style="4" customWidth="1"/>
    <col min="13570" max="13570" width="5.140625" style="4" customWidth="1"/>
    <col min="13571" max="13571" width="39.28515625" style="4" customWidth="1"/>
    <col min="13572" max="13572" width="15" style="4" customWidth="1"/>
    <col min="13573" max="13573" width="6.42578125" style="4" bestFit="1" customWidth="1"/>
    <col min="13574" max="13574" width="14.140625" style="4" bestFit="1" customWidth="1"/>
    <col min="13575" max="13575" width="8.28515625" style="4" customWidth="1"/>
    <col min="13576" max="13576" width="15" style="4" customWidth="1"/>
    <col min="13577" max="13577" width="8.5703125" style="4" bestFit="1" customWidth="1"/>
    <col min="13578" max="13578" width="14.85546875" style="4" customWidth="1"/>
    <col min="13579" max="13579" width="8.42578125" style="4" bestFit="1" customWidth="1"/>
    <col min="13580" max="13580" width="15" style="4" customWidth="1"/>
    <col min="13581" max="13581" width="49.140625" style="4" customWidth="1"/>
    <col min="13582" max="13582" width="12.42578125" style="4" bestFit="1" customWidth="1"/>
    <col min="13583" max="13583" width="13.5703125" style="4" bestFit="1" customWidth="1"/>
    <col min="13584" max="13584" width="9.140625" style="4"/>
    <col min="13585" max="13585" width="14.85546875" style="4" bestFit="1" customWidth="1"/>
    <col min="13586" max="13824" width="9.140625" style="4"/>
    <col min="13825" max="13825" width="4.7109375" style="4" customWidth="1"/>
    <col min="13826" max="13826" width="5.140625" style="4" customWidth="1"/>
    <col min="13827" max="13827" width="39.28515625" style="4" customWidth="1"/>
    <col min="13828" max="13828" width="15" style="4" customWidth="1"/>
    <col min="13829" max="13829" width="6.42578125" style="4" bestFit="1" customWidth="1"/>
    <col min="13830" max="13830" width="14.140625" style="4" bestFit="1" customWidth="1"/>
    <col min="13831" max="13831" width="8.28515625" style="4" customWidth="1"/>
    <col min="13832" max="13832" width="15" style="4" customWidth="1"/>
    <col min="13833" max="13833" width="8.5703125" style="4" bestFit="1" customWidth="1"/>
    <col min="13834" max="13834" width="14.85546875" style="4" customWidth="1"/>
    <col min="13835" max="13835" width="8.42578125" style="4" bestFit="1" customWidth="1"/>
    <col min="13836" max="13836" width="15" style="4" customWidth="1"/>
    <col min="13837" max="13837" width="49.140625" style="4" customWidth="1"/>
    <col min="13838" max="13838" width="12.42578125" style="4" bestFit="1" customWidth="1"/>
    <col min="13839" max="13839" width="13.5703125" style="4" bestFit="1" customWidth="1"/>
    <col min="13840" max="13840" width="9.140625" style="4"/>
    <col min="13841" max="13841" width="14.85546875" style="4" bestFit="1" customWidth="1"/>
    <col min="13842" max="14080" width="9.140625" style="4"/>
    <col min="14081" max="14081" width="4.7109375" style="4" customWidth="1"/>
    <col min="14082" max="14082" width="5.140625" style="4" customWidth="1"/>
    <col min="14083" max="14083" width="39.28515625" style="4" customWidth="1"/>
    <col min="14084" max="14084" width="15" style="4" customWidth="1"/>
    <col min="14085" max="14085" width="6.42578125" style="4" bestFit="1" customWidth="1"/>
    <col min="14086" max="14086" width="14.140625" style="4" bestFit="1" customWidth="1"/>
    <col min="14087" max="14087" width="8.28515625" style="4" customWidth="1"/>
    <col min="14088" max="14088" width="15" style="4" customWidth="1"/>
    <col min="14089" max="14089" width="8.5703125" style="4" bestFit="1" customWidth="1"/>
    <col min="14090" max="14090" width="14.85546875" style="4" customWidth="1"/>
    <col min="14091" max="14091" width="8.42578125" style="4" bestFit="1" customWidth="1"/>
    <col min="14092" max="14092" width="15" style="4" customWidth="1"/>
    <col min="14093" max="14093" width="49.140625" style="4" customWidth="1"/>
    <col min="14094" max="14094" width="12.42578125" style="4" bestFit="1" customWidth="1"/>
    <col min="14095" max="14095" width="13.5703125" style="4" bestFit="1" customWidth="1"/>
    <col min="14096" max="14096" width="9.140625" style="4"/>
    <col min="14097" max="14097" width="14.85546875" style="4" bestFit="1" customWidth="1"/>
    <col min="14098" max="14336" width="9.140625" style="4"/>
    <col min="14337" max="14337" width="4.7109375" style="4" customWidth="1"/>
    <col min="14338" max="14338" width="5.140625" style="4" customWidth="1"/>
    <col min="14339" max="14339" width="39.28515625" style="4" customWidth="1"/>
    <col min="14340" max="14340" width="15" style="4" customWidth="1"/>
    <col min="14341" max="14341" width="6.42578125" style="4" bestFit="1" customWidth="1"/>
    <col min="14342" max="14342" width="14.140625" style="4" bestFit="1" customWidth="1"/>
    <col min="14343" max="14343" width="8.28515625" style="4" customWidth="1"/>
    <col min="14344" max="14344" width="15" style="4" customWidth="1"/>
    <col min="14345" max="14345" width="8.5703125" style="4" bestFit="1" customWidth="1"/>
    <col min="14346" max="14346" width="14.85546875" style="4" customWidth="1"/>
    <col min="14347" max="14347" width="8.42578125" style="4" bestFit="1" customWidth="1"/>
    <col min="14348" max="14348" width="15" style="4" customWidth="1"/>
    <col min="14349" max="14349" width="49.140625" style="4" customWidth="1"/>
    <col min="14350" max="14350" width="12.42578125" style="4" bestFit="1" customWidth="1"/>
    <col min="14351" max="14351" width="13.5703125" style="4" bestFit="1" customWidth="1"/>
    <col min="14352" max="14352" width="9.140625" style="4"/>
    <col min="14353" max="14353" width="14.85546875" style="4" bestFit="1" customWidth="1"/>
    <col min="14354" max="14592" width="9.140625" style="4"/>
    <col min="14593" max="14593" width="4.7109375" style="4" customWidth="1"/>
    <col min="14594" max="14594" width="5.140625" style="4" customWidth="1"/>
    <col min="14595" max="14595" width="39.28515625" style="4" customWidth="1"/>
    <col min="14596" max="14596" width="15" style="4" customWidth="1"/>
    <col min="14597" max="14597" width="6.42578125" style="4" bestFit="1" customWidth="1"/>
    <col min="14598" max="14598" width="14.140625" style="4" bestFit="1" customWidth="1"/>
    <col min="14599" max="14599" width="8.28515625" style="4" customWidth="1"/>
    <col min="14600" max="14600" width="15" style="4" customWidth="1"/>
    <col min="14601" max="14601" width="8.5703125" style="4" bestFit="1" customWidth="1"/>
    <col min="14602" max="14602" width="14.85546875" style="4" customWidth="1"/>
    <col min="14603" max="14603" width="8.42578125" style="4" bestFit="1" customWidth="1"/>
    <col min="14604" max="14604" width="15" style="4" customWidth="1"/>
    <col min="14605" max="14605" width="49.140625" style="4" customWidth="1"/>
    <col min="14606" max="14606" width="12.42578125" style="4" bestFit="1" customWidth="1"/>
    <col min="14607" max="14607" width="13.5703125" style="4" bestFit="1" customWidth="1"/>
    <col min="14608" max="14608" width="9.140625" style="4"/>
    <col min="14609" max="14609" width="14.85546875" style="4" bestFit="1" customWidth="1"/>
    <col min="14610" max="14848" width="9.140625" style="4"/>
    <col min="14849" max="14849" width="4.7109375" style="4" customWidth="1"/>
    <col min="14850" max="14850" width="5.140625" style="4" customWidth="1"/>
    <col min="14851" max="14851" width="39.28515625" style="4" customWidth="1"/>
    <col min="14852" max="14852" width="15" style="4" customWidth="1"/>
    <col min="14853" max="14853" width="6.42578125" style="4" bestFit="1" customWidth="1"/>
    <col min="14854" max="14854" width="14.140625" style="4" bestFit="1" customWidth="1"/>
    <col min="14855" max="14855" width="8.28515625" style="4" customWidth="1"/>
    <col min="14856" max="14856" width="15" style="4" customWidth="1"/>
    <col min="14857" max="14857" width="8.5703125" style="4" bestFit="1" customWidth="1"/>
    <col min="14858" max="14858" width="14.85546875" style="4" customWidth="1"/>
    <col min="14859" max="14859" width="8.42578125" style="4" bestFit="1" customWidth="1"/>
    <col min="14860" max="14860" width="15" style="4" customWidth="1"/>
    <col min="14861" max="14861" width="49.140625" style="4" customWidth="1"/>
    <col min="14862" max="14862" width="12.42578125" style="4" bestFit="1" customWidth="1"/>
    <col min="14863" max="14863" width="13.5703125" style="4" bestFit="1" customWidth="1"/>
    <col min="14864" max="14864" width="9.140625" style="4"/>
    <col min="14865" max="14865" width="14.85546875" style="4" bestFit="1" customWidth="1"/>
    <col min="14866" max="15104" width="9.140625" style="4"/>
    <col min="15105" max="15105" width="4.7109375" style="4" customWidth="1"/>
    <col min="15106" max="15106" width="5.140625" style="4" customWidth="1"/>
    <col min="15107" max="15107" width="39.28515625" style="4" customWidth="1"/>
    <col min="15108" max="15108" width="15" style="4" customWidth="1"/>
    <col min="15109" max="15109" width="6.42578125" style="4" bestFit="1" customWidth="1"/>
    <col min="15110" max="15110" width="14.140625" style="4" bestFit="1" customWidth="1"/>
    <col min="15111" max="15111" width="8.28515625" style="4" customWidth="1"/>
    <col min="15112" max="15112" width="15" style="4" customWidth="1"/>
    <col min="15113" max="15113" width="8.5703125" style="4" bestFit="1" customWidth="1"/>
    <col min="15114" max="15114" width="14.85546875" style="4" customWidth="1"/>
    <col min="15115" max="15115" width="8.42578125" style="4" bestFit="1" customWidth="1"/>
    <col min="15116" max="15116" width="15" style="4" customWidth="1"/>
    <col min="15117" max="15117" width="49.140625" style="4" customWidth="1"/>
    <col min="15118" max="15118" width="12.42578125" style="4" bestFit="1" customWidth="1"/>
    <col min="15119" max="15119" width="13.5703125" style="4" bestFit="1" customWidth="1"/>
    <col min="15120" max="15120" width="9.140625" style="4"/>
    <col min="15121" max="15121" width="14.85546875" style="4" bestFit="1" customWidth="1"/>
    <col min="15122" max="15360" width="9.140625" style="4"/>
    <col min="15361" max="15361" width="4.7109375" style="4" customWidth="1"/>
    <col min="15362" max="15362" width="5.140625" style="4" customWidth="1"/>
    <col min="15363" max="15363" width="39.28515625" style="4" customWidth="1"/>
    <col min="15364" max="15364" width="15" style="4" customWidth="1"/>
    <col min="15365" max="15365" width="6.42578125" style="4" bestFit="1" customWidth="1"/>
    <col min="15366" max="15366" width="14.140625" style="4" bestFit="1" customWidth="1"/>
    <col min="15367" max="15367" width="8.28515625" style="4" customWidth="1"/>
    <col min="15368" max="15368" width="15" style="4" customWidth="1"/>
    <col min="15369" max="15369" width="8.5703125" style="4" bestFit="1" customWidth="1"/>
    <col min="15370" max="15370" width="14.85546875" style="4" customWidth="1"/>
    <col min="15371" max="15371" width="8.42578125" style="4" bestFit="1" customWidth="1"/>
    <col min="15372" max="15372" width="15" style="4" customWidth="1"/>
    <col min="15373" max="15373" width="49.140625" style="4" customWidth="1"/>
    <col min="15374" max="15374" width="12.42578125" style="4" bestFit="1" customWidth="1"/>
    <col min="15375" max="15375" width="13.5703125" style="4" bestFit="1" customWidth="1"/>
    <col min="15376" max="15376" width="9.140625" style="4"/>
    <col min="15377" max="15377" width="14.85546875" style="4" bestFit="1" customWidth="1"/>
    <col min="15378" max="15616" width="9.140625" style="4"/>
    <col min="15617" max="15617" width="4.7109375" style="4" customWidth="1"/>
    <col min="15618" max="15618" width="5.140625" style="4" customWidth="1"/>
    <col min="15619" max="15619" width="39.28515625" style="4" customWidth="1"/>
    <col min="15620" max="15620" width="15" style="4" customWidth="1"/>
    <col min="15621" max="15621" width="6.42578125" style="4" bestFit="1" customWidth="1"/>
    <col min="15622" max="15622" width="14.140625" style="4" bestFit="1" customWidth="1"/>
    <col min="15623" max="15623" width="8.28515625" style="4" customWidth="1"/>
    <col min="15624" max="15624" width="15" style="4" customWidth="1"/>
    <col min="15625" max="15625" width="8.5703125" style="4" bestFit="1" customWidth="1"/>
    <col min="15626" max="15626" width="14.85546875" style="4" customWidth="1"/>
    <col min="15627" max="15627" width="8.42578125" style="4" bestFit="1" customWidth="1"/>
    <col min="15628" max="15628" width="15" style="4" customWidth="1"/>
    <col min="15629" max="15629" width="49.140625" style="4" customWidth="1"/>
    <col min="15630" max="15630" width="12.42578125" style="4" bestFit="1" customWidth="1"/>
    <col min="15631" max="15631" width="13.5703125" style="4" bestFit="1" customWidth="1"/>
    <col min="15632" max="15632" width="9.140625" style="4"/>
    <col min="15633" max="15633" width="14.85546875" style="4" bestFit="1" customWidth="1"/>
    <col min="15634" max="15872" width="9.140625" style="4"/>
    <col min="15873" max="15873" width="4.7109375" style="4" customWidth="1"/>
    <col min="15874" max="15874" width="5.140625" style="4" customWidth="1"/>
    <col min="15875" max="15875" width="39.28515625" style="4" customWidth="1"/>
    <col min="15876" max="15876" width="15" style="4" customWidth="1"/>
    <col min="15877" max="15877" width="6.42578125" style="4" bestFit="1" customWidth="1"/>
    <col min="15878" max="15878" width="14.140625" style="4" bestFit="1" customWidth="1"/>
    <col min="15879" max="15879" width="8.28515625" style="4" customWidth="1"/>
    <col min="15880" max="15880" width="15" style="4" customWidth="1"/>
    <col min="15881" max="15881" width="8.5703125" style="4" bestFit="1" customWidth="1"/>
    <col min="15882" max="15882" width="14.85546875" style="4" customWidth="1"/>
    <col min="15883" max="15883" width="8.42578125" style="4" bestFit="1" customWidth="1"/>
    <col min="15884" max="15884" width="15" style="4" customWidth="1"/>
    <col min="15885" max="15885" width="49.140625" style="4" customWidth="1"/>
    <col min="15886" max="15886" width="12.42578125" style="4" bestFit="1" customWidth="1"/>
    <col min="15887" max="15887" width="13.5703125" style="4" bestFit="1" customWidth="1"/>
    <col min="15888" max="15888" width="9.140625" style="4"/>
    <col min="15889" max="15889" width="14.85546875" style="4" bestFit="1" customWidth="1"/>
    <col min="15890" max="16128" width="9.140625" style="4"/>
    <col min="16129" max="16129" width="4.7109375" style="4" customWidth="1"/>
    <col min="16130" max="16130" width="5.140625" style="4" customWidth="1"/>
    <col min="16131" max="16131" width="39.28515625" style="4" customWidth="1"/>
    <col min="16132" max="16132" width="15" style="4" customWidth="1"/>
    <col min="16133" max="16133" width="6.42578125" style="4" bestFit="1" customWidth="1"/>
    <col min="16134" max="16134" width="14.140625" style="4" bestFit="1" customWidth="1"/>
    <col min="16135" max="16135" width="8.28515625" style="4" customWidth="1"/>
    <col min="16136" max="16136" width="15" style="4" customWidth="1"/>
    <col min="16137" max="16137" width="8.5703125" style="4" bestFit="1" customWidth="1"/>
    <col min="16138" max="16138" width="14.85546875" style="4" customWidth="1"/>
    <col min="16139" max="16139" width="8.42578125" style="4" bestFit="1" customWidth="1"/>
    <col min="16140" max="16140" width="15" style="4" customWidth="1"/>
    <col min="16141" max="16141" width="49.140625" style="4" customWidth="1"/>
    <col min="16142" max="16142" width="12.42578125" style="4" bestFit="1" customWidth="1"/>
    <col min="16143" max="16143" width="13.5703125" style="4" bestFit="1" customWidth="1"/>
    <col min="16144" max="16144" width="9.140625" style="4"/>
    <col min="16145" max="16145" width="14.85546875" style="4" bestFit="1" customWidth="1"/>
    <col min="16146" max="16384" width="9.140625" style="4"/>
  </cols>
  <sheetData>
    <row r="1" spans="1:14" ht="18">
      <c r="B1" s="639"/>
      <c r="C1" s="3"/>
      <c r="D1" s="639"/>
      <c r="E1" s="3047" t="s">
        <v>1814</v>
      </c>
      <c r="F1" s="3047"/>
      <c r="G1" s="3047"/>
      <c r="H1" s="3047"/>
      <c r="I1" s="3"/>
      <c r="J1" s="3"/>
      <c r="L1" s="3"/>
    </row>
    <row r="2" spans="1:14" ht="18.75" customHeight="1">
      <c r="A2" s="639"/>
      <c r="B2" s="639"/>
      <c r="C2" s="639"/>
      <c r="D2" s="639"/>
      <c r="E2" s="639"/>
      <c r="F2" s="639"/>
      <c r="G2" s="639"/>
      <c r="H2" s="639"/>
      <c r="I2" s="639"/>
      <c r="J2" s="639"/>
      <c r="K2" s="639"/>
      <c r="L2" s="726" t="s">
        <v>89</v>
      </c>
    </row>
    <row r="3" spans="1:14" ht="36" customHeight="1">
      <c r="B3" s="19"/>
      <c r="C3" s="3061" t="s">
        <v>1815</v>
      </c>
      <c r="D3" s="3061"/>
      <c r="E3" s="3061"/>
      <c r="F3" s="3061"/>
      <c r="G3" s="3061"/>
      <c r="H3" s="3061"/>
      <c r="I3" s="3061"/>
      <c r="J3" s="3061"/>
      <c r="K3" s="49"/>
      <c r="L3" s="49"/>
    </row>
    <row r="4" spans="1:14" ht="8.25" customHeight="1">
      <c r="A4" s="49"/>
      <c r="B4" s="19"/>
      <c r="C4" s="295"/>
      <c r="D4" s="19"/>
      <c r="E4" s="49"/>
      <c r="F4" s="49"/>
      <c r="G4" s="49"/>
      <c r="H4" s="49"/>
      <c r="I4" s="49"/>
      <c r="J4" s="49"/>
      <c r="K4" s="49"/>
      <c r="L4" s="49"/>
    </row>
    <row r="5" spans="1:14" ht="17.25" customHeight="1">
      <c r="A5" s="3137" t="s">
        <v>2</v>
      </c>
      <c r="B5" s="3140" t="s">
        <v>3</v>
      </c>
      <c r="C5" s="3141"/>
      <c r="D5" s="3146" t="s">
        <v>1421</v>
      </c>
      <c r="E5" s="3147" t="s">
        <v>5</v>
      </c>
      <c r="F5" s="3147" t="s">
        <v>1816</v>
      </c>
      <c r="G5" s="3148" t="s">
        <v>1817</v>
      </c>
      <c r="H5" s="3148"/>
      <c r="I5" s="3148" t="s">
        <v>1818</v>
      </c>
      <c r="J5" s="3148"/>
      <c r="K5" s="3148" t="s">
        <v>1819</v>
      </c>
      <c r="L5" s="3148"/>
    </row>
    <row r="6" spans="1:14" ht="17.25" customHeight="1">
      <c r="A6" s="3138"/>
      <c r="B6" s="3142"/>
      <c r="C6" s="3143"/>
      <c r="D6" s="3146"/>
      <c r="E6" s="3147"/>
      <c r="F6" s="3147"/>
      <c r="G6" s="3148"/>
      <c r="H6" s="3148"/>
      <c r="I6" s="3148"/>
      <c r="J6" s="3148"/>
      <c r="K6" s="3148"/>
      <c r="L6" s="3148"/>
    </row>
    <row r="7" spans="1:14" ht="24" customHeight="1">
      <c r="A7" s="3138"/>
      <c r="B7" s="3142"/>
      <c r="C7" s="3143"/>
      <c r="D7" s="3146"/>
      <c r="E7" s="3147"/>
      <c r="F7" s="3147"/>
      <c r="G7" s="3148"/>
      <c r="H7" s="3148"/>
      <c r="I7" s="3148"/>
      <c r="J7" s="3148"/>
      <c r="K7" s="3148"/>
      <c r="L7" s="3148"/>
    </row>
    <row r="8" spans="1:14" ht="19.5" customHeight="1">
      <c r="A8" s="3139"/>
      <c r="B8" s="3144"/>
      <c r="C8" s="3145"/>
      <c r="D8" s="3146"/>
      <c r="E8" s="3147"/>
      <c r="F8" s="3147"/>
      <c r="G8" s="640" t="s">
        <v>143</v>
      </c>
      <c r="H8" s="640" t="s">
        <v>10</v>
      </c>
      <c r="I8" s="640" t="s">
        <v>143</v>
      </c>
      <c r="J8" s="640" t="s">
        <v>10</v>
      </c>
      <c r="K8" s="640" t="s">
        <v>143</v>
      </c>
      <c r="L8" s="640" t="s">
        <v>10</v>
      </c>
    </row>
    <row r="9" spans="1:14" ht="15">
      <c r="A9" s="641">
        <v>1</v>
      </c>
      <c r="B9" s="3149">
        <v>2</v>
      </c>
      <c r="C9" s="3150"/>
      <c r="D9" s="642">
        <v>3</v>
      </c>
      <c r="E9" s="642">
        <v>4</v>
      </c>
      <c r="F9" s="641">
        <v>5</v>
      </c>
      <c r="G9" s="641">
        <v>6</v>
      </c>
      <c r="H9" s="641">
        <v>7</v>
      </c>
      <c r="I9" s="641">
        <v>8</v>
      </c>
      <c r="J9" s="641">
        <v>9</v>
      </c>
      <c r="K9" s="641">
        <v>10</v>
      </c>
      <c r="L9" s="642">
        <v>11</v>
      </c>
    </row>
    <row r="10" spans="1:14" ht="32.25" customHeight="1">
      <c r="A10" s="3151">
        <v>1</v>
      </c>
      <c r="B10" s="864"/>
      <c r="C10" s="1253" t="s">
        <v>1820</v>
      </c>
      <c r="D10" s="1254"/>
      <c r="E10" s="1255"/>
      <c r="F10" s="1255"/>
      <c r="G10" s="1255"/>
      <c r="H10" s="1255"/>
      <c r="I10" s="1255"/>
      <c r="J10" s="1255"/>
      <c r="K10" s="1255"/>
      <c r="L10" s="1256"/>
    </row>
    <row r="11" spans="1:14" ht="76.5" customHeight="1">
      <c r="A11" s="3152"/>
      <c r="B11" s="1181" t="s">
        <v>2093</v>
      </c>
      <c r="C11" s="1257" t="s">
        <v>2075</v>
      </c>
      <c r="D11" s="1258"/>
      <c r="E11" s="1181" t="s">
        <v>21</v>
      </c>
      <c r="F11" s="734">
        <v>406</v>
      </c>
      <c r="G11" s="1181">
        <v>400</v>
      </c>
      <c r="H11" s="734">
        <f t="shared" ref="H11:H30" si="0">G11*F11</f>
        <v>162400</v>
      </c>
      <c r="I11" s="1181">
        <v>400</v>
      </c>
      <c r="J11" s="734">
        <f t="shared" ref="J11:J30" si="1">I11*F11</f>
        <v>162400</v>
      </c>
      <c r="K11" s="1181">
        <v>400</v>
      </c>
      <c r="L11" s="734">
        <f t="shared" ref="L11:L30" si="2">K11*F11</f>
        <v>162400</v>
      </c>
      <c r="M11" s="728" t="s">
        <v>1827</v>
      </c>
    </row>
    <row r="12" spans="1:14" ht="89.25" customHeight="1">
      <c r="A12" s="3152"/>
      <c r="B12" s="1181" t="s">
        <v>2092</v>
      </c>
      <c r="C12" s="1259" t="s">
        <v>2085</v>
      </c>
      <c r="D12" s="1258"/>
      <c r="E12" s="1181" t="s">
        <v>21</v>
      </c>
      <c r="F12" s="734">
        <v>2855</v>
      </c>
      <c r="G12" s="1181">
        <v>400</v>
      </c>
      <c r="H12" s="734">
        <f>F12*G12</f>
        <v>1142000</v>
      </c>
      <c r="I12" s="1181">
        <v>400</v>
      </c>
      <c r="J12" s="734">
        <f>F12*I12</f>
        <v>1142000</v>
      </c>
      <c r="K12" s="1181">
        <v>400</v>
      </c>
      <c r="L12" s="734">
        <f>F12*K12</f>
        <v>1142000</v>
      </c>
      <c r="M12" s="645" t="s">
        <v>2102</v>
      </c>
      <c r="N12" s="728"/>
    </row>
    <row r="13" spans="1:14" ht="89.25" customHeight="1">
      <c r="A13" s="3152"/>
      <c r="B13" s="1181" t="s">
        <v>2094</v>
      </c>
      <c r="C13" s="1259" t="s">
        <v>2086</v>
      </c>
      <c r="D13" s="1258"/>
      <c r="E13" s="1181" t="s">
        <v>21</v>
      </c>
      <c r="F13" s="734">
        <v>2994</v>
      </c>
      <c r="G13" s="1181">
        <v>400</v>
      </c>
      <c r="H13" s="734">
        <f>F13*G13</f>
        <v>1197600</v>
      </c>
      <c r="I13" s="1181">
        <v>400</v>
      </c>
      <c r="J13" s="734">
        <f>F13*I13</f>
        <v>1197600</v>
      </c>
      <c r="K13" s="1181">
        <v>400</v>
      </c>
      <c r="L13" s="734">
        <f>F13*K13</f>
        <v>1197600</v>
      </c>
      <c r="M13" s="728" t="s">
        <v>119</v>
      </c>
    </row>
    <row r="14" spans="1:14" ht="138" customHeight="1">
      <c r="A14" s="3152"/>
      <c r="B14" s="1183" t="s">
        <v>1681</v>
      </c>
      <c r="C14" s="1257" t="s">
        <v>2070</v>
      </c>
      <c r="D14" s="1186"/>
      <c r="E14" s="1183" t="s">
        <v>1320</v>
      </c>
      <c r="F14" s="735">
        <v>158773</v>
      </c>
      <c r="G14" s="1183">
        <v>1</v>
      </c>
      <c r="H14" s="734">
        <f t="shared" si="0"/>
        <v>158773</v>
      </c>
      <c r="I14" s="1183">
        <v>1</v>
      </c>
      <c r="J14" s="734">
        <f t="shared" si="1"/>
        <v>158773</v>
      </c>
      <c r="K14" s="1183">
        <v>1</v>
      </c>
      <c r="L14" s="734">
        <f t="shared" si="2"/>
        <v>158773</v>
      </c>
      <c r="M14" s="728" t="s">
        <v>1827</v>
      </c>
    </row>
    <row r="15" spans="1:14" ht="61.5" customHeight="1">
      <c r="A15" s="3152"/>
      <c r="B15" s="1183" t="s">
        <v>1682</v>
      </c>
      <c r="C15" s="1257" t="s">
        <v>2071</v>
      </c>
      <c r="D15" s="1186"/>
      <c r="E15" s="1181" t="s">
        <v>1320</v>
      </c>
      <c r="F15" s="734">
        <v>913142</v>
      </c>
      <c r="G15" s="1181">
        <v>1</v>
      </c>
      <c r="H15" s="734">
        <f t="shared" si="0"/>
        <v>913142</v>
      </c>
      <c r="I15" s="1181">
        <v>1</v>
      </c>
      <c r="J15" s="734">
        <f t="shared" si="1"/>
        <v>913142</v>
      </c>
      <c r="K15" s="1181">
        <v>1</v>
      </c>
      <c r="L15" s="734">
        <f t="shared" si="2"/>
        <v>913142</v>
      </c>
      <c r="M15" s="728" t="s">
        <v>1827</v>
      </c>
    </row>
    <row r="16" spans="1:14" ht="104.25" customHeight="1">
      <c r="A16" s="3152"/>
      <c r="B16" s="1183" t="s">
        <v>1822</v>
      </c>
      <c r="C16" s="1257" t="s">
        <v>2072</v>
      </c>
      <c r="D16" s="1258"/>
      <c r="E16" s="1181" t="s">
        <v>1823</v>
      </c>
      <c r="F16" s="734">
        <v>2494</v>
      </c>
      <c r="G16" s="1181">
        <v>125</v>
      </c>
      <c r="H16" s="734">
        <f t="shared" si="0"/>
        <v>311750</v>
      </c>
      <c r="I16" s="1181">
        <v>125</v>
      </c>
      <c r="J16" s="734">
        <f t="shared" si="1"/>
        <v>311750</v>
      </c>
      <c r="K16" s="1181">
        <v>125</v>
      </c>
      <c r="L16" s="734">
        <f t="shared" si="2"/>
        <v>311750</v>
      </c>
      <c r="M16" s="728" t="s">
        <v>1827</v>
      </c>
    </row>
    <row r="17" spans="1:14" ht="90.75" customHeight="1">
      <c r="A17" s="3152"/>
      <c r="B17" s="1183" t="s">
        <v>1824</v>
      </c>
      <c r="C17" s="1257" t="s">
        <v>2073</v>
      </c>
      <c r="D17" s="1258"/>
      <c r="E17" s="1181" t="s">
        <v>1823</v>
      </c>
      <c r="F17" s="734">
        <v>2860</v>
      </c>
      <c r="G17" s="1181">
        <v>125</v>
      </c>
      <c r="H17" s="734">
        <f t="shared" si="0"/>
        <v>357500</v>
      </c>
      <c r="I17" s="1181">
        <v>125</v>
      </c>
      <c r="J17" s="734">
        <f t="shared" si="1"/>
        <v>357500</v>
      </c>
      <c r="K17" s="1181">
        <v>125</v>
      </c>
      <c r="L17" s="734">
        <f t="shared" si="2"/>
        <v>357500</v>
      </c>
      <c r="M17" s="645" t="s">
        <v>2103</v>
      </c>
      <c r="N17" s="728"/>
    </row>
    <row r="18" spans="1:14" ht="75" customHeight="1">
      <c r="A18" s="3152"/>
      <c r="B18" s="1181" t="s">
        <v>1689</v>
      </c>
      <c r="C18" s="1257" t="s">
        <v>2074</v>
      </c>
      <c r="D18" s="1258"/>
      <c r="E18" s="1181" t="s">
        <v>33</v>
      </c>
      <c r="F18" s="734">
        <v>35276</v>
      </c>
      <c r="G18" s="1181">
        <v>2</v>
      </c>
      <c r="H18" s="734">
        <f t="shared" si="0"/>
        <v>70552</v>
      </c>
      <c r="I18" s="1181">
        <v>2</v>
      </c>
      <c r="J18" s="734">
        <f t="shared" si="1"/>
        <v>70552</v>
      </c>
      <c r="K18" s="1181">
        <v>2</v>
      </c>
      <c r="L18" s="734">
        <f t="shared" si="2"/>
        <v>70552</v>
      </c>
      <c r="M18" s="728" t="s">
        <v>1827</v>
      </c>
    </row>
    <row r="19" spans="1:14" ht="118.5" customHeight="1">
      <c r="A19" s="3152"/>
      <c r="B19" s="1181" t="s">
        <v>1825</v>
      </c>
      <c r="C19" s="1257" t="s">
        <v>1826</v>
      </c>
      <c r="D19" s="1258"/>
      <c r="E19" s="1181" t="s">
        <v>76</v>
      </c>
      <c r="F19" s="734">
        <v>371</v>
      </c>
      <c r="G19" s="1260">
        <v>300</v>
      </c>
      <c r="H19" s="734">
        <f t="shared" si="0"/>
        <v>111300</v>
      </c>
      <c r="I19" s="1260">
        <f>+G19</f>
        <v>300</v>
      </c>
      <c r="J19" s="734">
        <f t="shared" si="1"/>
        <v>111300</v>
      </c>
      <c r="K19" s="1260">
        <f>+G19</f>
        <v>300</v>
      </c>
      <c r="L19" s="734">
        <f t="shared" si="2"/>
        <v>111300</v>
      </c>
      <c r="M19" s="728"/>
    </row>
    <row r="20" spans="1:14" ht="90" customHeight="1">
      <c r="A20" s="3152"/>
      <c r="B20" s="1181" t="s">
        <v>1828</v>
      </c>
      <c r="C20" s="1257" t="s">
        <v>2076</v>
      </c>
      <c r="D20" s="1258"/>
      <c r="E20" s="1181" t="s">
        <v>1829</v>
      </c>
      <c r="F20" s="734">
        <v>1200</v>
      </c>
      <c r="G20" s="1260">
        <v>180</v>
      </c>
      <c r="H20" s="734">
        <f t="shared" si="0"/>
        <v>216000</v>
      </c>
      <c r="I20" s="1181">
        <v>180</v>
      </c>
      <c r="J20" s="734">
        <f t="shared" si="1"/>
        <v>216000</v>
      </c>
      <c r="K20" s="1181">
        <v>180</v>
      </c>
      <c r="L20" s="734">
        <f t="shared" si="2"/>
        <v>216000</v>
      </c>
      <c r="M20" s="728" t="s">
        <v>1827</v>
      </c>
    </row>
    <row r="21" spans="1:14" ht="108" customHeight="1">
      <c r="A21" s="3152"/>
      <c r="B21" s="1183" t="s">
        <v>1830</v>
      </c>
      <c r="C21" s="1257" t="s">
        <v>2077</v>
      </c>
      <c r="D21" s="1258"/>
      <c r="E21" s="1181" t="s">
        <v>21</v>
      </c>
      <c r="F21" s="734">
        <v>3464</v>
      </c>
      <c r="G21" s="1260">
        <v>120</v>
      </c>
      <c r="H21" s="734">
        <f t="shared" si="0"/>
        <v>415680</v>
      </c>
      <c r="I21" s="1181">
        <v>120</v>
      </c>
      <c r="J21" s="734">
        <f t="shared" si="1"/>
        <v>415680</v>
      </c>
      <c r="K21" s="1181">
        <v>120</v>
      </c>
      <c r="L21" s="734">
        <f t="shared" si="2"/>
        <v>415680</v>
      </c>
      <c r="M21" s="728" t="s">
        <v>1827</v>
      </c>
    </row>
    <row r="22" spans="1:14" ht="96.75" customHeight="1">
      <c r="A22" s="3152"/>
      <c r="B22" s="1183" t="s">
        <v>1831</v>
      </c>
      <c r="C22" s="1257" t="s">
        <v>2078</v>
      </c>
      <c r="D22" s="1258"/>
      <c r="E22" s="1181" t="s">
        <v>21</v>
      </c>
      <c r="F22" s="734">
        <v>4124</v>
      </c>
      <c r="G22" s="1260">
        <v>120</v>
      </c>
      <c r="H22" s="734">
        <f t="shared" si="0"/>
        <v>494880</v>
      </c>
      <c r="I22" s="1181">
        <v>120</v>
      </c>
      <c r="J22" s="734">
        <f t="shared" si="1"/>
        <v>494880</v>
      </c>
      <c r="K22" s="1181">
        <v>120</v>
      </c>
      <c r="L22" s="734">
        <f t="shared" si="2"/>
        <v>494880</v>
      </c>
      <c r="M22" s="645" t="s">
        <v>2104</v>
      </c>
    </row>
    <row r="23" spans="1:14" ht="79.5" customHeight="1">
      <c r="A23" s="3152"/>
      <c r="B23" s="1181" t="s">
        <v>1832</v>
      </c>
      <c r="C23" s="1257" t="s">
        <v>2079</v>
      </c>
      <c r="D23" s="1258"/>
      <c r="E23" s="1181" t="s">
        <v>68</v>
      </c>
      <c r="F23" s="734">
        <v>33635</v>
      </c>
      <c r="G23" s="1260">
        <v>1</v>
      </c>
      <c r="H23" s="734">
        <f t="shared" si="0"/>
        <v>33635</v>
      </c>
      <c r="I23" s="1181">
        <v>1</v>
      </c>
      <c r="J23" s="734">
        <f t="shared" si="1"/>
        <v>33635</v>
      </c>
      <c r="K23" s="1181">
        <v>1</v>
      </c>
      <c r="L23" s="734">
        <f t="shared" si="2"/>
        <v>33635</v>
      </c>
      <c r="M23" s="728" t="s">
        <v>1827</v>
      </c>
    </row>
    <row r="24" spans="1:14" ht="77.25" customHeight="1">
      <c r="A24" s="3152"/>
      <c r="B24" s="1183" t="s">
        <v>2095</v>
      </c>
      <c r="C24" s="1257" t="s">
        <v>2101</v>
      </c>
      <c r="D24" s="1258"/>
      <c r="E24" s="1181" t="s">
        <v>536</v>
      </c>
      <c r="F24" s="734">
        <v>2156</v>
      </c>
      <c r="G24" s="1260">
        <v>130</v>
      </c>
      <c r="H24" s="734">
        <f t="shared" si="0"/>
        <v>280280</v>
      </c>
      <c r="I24" s="1181">
        <v>130</v>
      </c>
      <c r="J24" s="734">
        <f t="shared" si="1"/>
        <v>280280</v>
      </c>
      <c r="K24" s="1181">
        <v>130</v>
      </c>
      <c r="L24" s="734">
        <f t="shared" si="2"/>
        <v>280280</v>
      </c>
      <c r="M24" s="728" t="s">
        <v>1827</v>
      </c>
    </row>
    <row r="25" spans="1:14" ht="79.5" customHeight="1">
      <c r="A25" s="3152"/>
      <c r="B25" s="1181" t="s">
        <v>2096</v>
      </c>
      <c r="C25" s="1259" t="s">
        <v>2087</v>
      </c>
      <c r="D25" s="1258"/>
      <c r="E25" s="1181" t="s">
        <v>536</v>
      </c>
      <c r="F25" s="734">
        <v>3857</v>
      </c>
      <c r="G25" s="1260">
        <v>130</v>
      </c>
      <c r="H25" s="734">
        <f>G25*F25</f>
        <v>501410</v>
      </c>
      <c r="I25" s="1260">
        <v>130</v>
      </c>
      <c r="J25" s="734">
        <f>I25*F25</f>
        <v>501410</v>
      </c>
      <c r="K25" s="1260">
        <v>130</v>
      </c>
      <c r="L25" s="734">
        <f>K25*F25</f>
        <v>501410</v>
      </c>
      <c r="M25" s="728" t="s">
        <v>119</v>
      </c>
    </row>
    <row r="26" spans="1:14" ht="77.25" customHeight="1">
      <c r="A26" s="3152"/>
      <c r="B26" s="1181" t="s">
        <v>2097</v>
      </c>
      <c r="C26" s="1259" t="s">
        <v>2088</v>
      </c>
      <c r="D26" s="1258"/>
      <c r="E26" s="1181" t="s">
        <v>536</v>
      </c>
      <c r="F26" s="734">
        <v>5760</v>
      </c>
      <c r="G26" s="1260">
        <v>130</v>
      </c>
      <c r="H26" s="734">
        <f>G26*F26</f>
        <v>748800</v>
      </c>
      <c r="I26" s="1260">
        <v>130</v>
      </c>
      <c r="J26" s="734">
        <f>I26*F26</f>
        <v>748800</v>
      </c>
      <c r="K26" s="1260">
        <v>130</v>
      </c>
      <c r="L26" s="734">
        <f>K26*F26</f>
        <v>748800</v>
      </c>
      <c r="M26" s="728" t="s">
        <v>119</v>
      </c>
    </row>
    <row r="27" spans="1:14" ht="79.5" customHeight="1">
      <c r="A27" s="3152"/>
      <c r="B27" s="1181" t="s">
        <v>2098</v>
      </c>
      <c r="C27" s="1259" t="s">
        <v>2089</v>
      </c>
      <c r="D27" s="1258"/>
      <c r="E27" s="1181" t="s">
        <v>536</v>
      </c>
      <c r="F27" s="734">
        <v>7455</v>
      </c>
      <c r="G27" s="1260">
        <v>130</v>
      </c>
      <c r="H27" s="734">
        <f>G27*F27</f>
        <v>969150</v>
      </c>
      <c r="I27" s="1260">
        <v>130</v>
      </c>
      <c r="J27" s="734">
        <f>I27*F27</f>
        <v>969150</v>
      </c>
      <c r="K27" s="1260">
        <v>130</v>
      </c>
      <c r="L27" s="734">
        <f>K27*F27</f>
        <v>969150</v>
      </c>
      <c r="M27" s="728" t="s">
        <v>119</v>
      </c>
    </row>
    <row r="28" spans="1:14" ht="78.75" customHeight="1">
      <c r="A28" s="3152"/>
      <c r="B28" s="1181" t="s">
        <v>2099</v>
      </c>
      <c r="C28" s="1259" t="s">
        <v>2090</v>
      </c>
      <c r="D28" s="1258"/>
      <c r="E28" s="1181" t="s">
        <v>536</v>
      </c>
      <c r="F28" s="734">
        <v>9747</v>
      </c>
      <c r="G28" s="1260">
        <v>130</v>
      </c>
      <c r="H28" s="734">
        <f>G28*F28</f>
        <v>1267110</v>
      </c>
      <c r="I28" s="1260">
        <v>130</v>
      </c>
      <c r="J28" s="734">
        <f>I28*F28</f>
        <v>1267110</v>
      </c>
      <c r="K28" s="1260">
        <v>130</v>
      </c>
      <c r="L28" s="734">
        <f>K28*F28</f>
        <v>1267110</v>
      </c>
      <c r="M28" s="728" t="s">
        <v>119</v>
      </c>
    </row>
    <row r="29" spans="1:14" ht="79.5" customHeight="1">
      <c r="A29" s="3152"/>
      <c r="B29" s="1181" t="s">
        <v>2100</v>
      </c>
      <c r="C29" s="1259" t="s">
        <v>2091</v>
      </c>
      <c r="D29" s="1258"/>
      <c r="E29" s="1181" t="s">
        <v>536</v>
      </c>
      <c r="F29" s="734">
        <v>12403</v>
      </c>
      <c r="G29" s="1260">
        <v>130</v>
      </c>
      <c r="H29" s="734">
        <f>G29*F29</f>
        <v>1612390</v>
      </c>
      <c r="I29" s="1260">
        <v>130</v>
      </c>
      <c r="J29" s="734">
        <f>I29*F29</f>
        <v>1612390</v>
      </c>
      <c r="K29" s="1260">
        <v>130</v>
      </c>
      <c r="L29" s="734">
        <f>K29*F29</f>
        <v>1612390</v>
      </c>
      <c r="M29" s="736" t="s">
        <v>2105</v>
      </c>
    </row>
    <row r="30" spans="1:14" ht="83.25" customHeight="1">
      <c r="A30" s="3152"/>
      <c r="B30" s="1181" t="s">
        <v>1834</v>
      </c>
      <c r="C30" s="1257" t="s">
        <v>1835</v>
      </c>
      <c r="D30" s="1258"/>
      <c r="E30" s="1181" t="s">
        <v>1829</v>
      </c>
      <c r="F30" s="734">
        <v>242</v>
      </c>
      <c r="G30" s="1260">
        <v>600</v>
      </c>
      <c r="H30" s="734">
        <f t="shared" si="0"/>
        <v>145200</v>
      </c>
      <c r="I30" s="1181">
        <v>600</v>
      </c>
      <c r="J30" s="734">
        <f t="shared" si="1"/>
        <v>145200</v>
      </c>
      <c r="K30" s="1181">
        <v>600</v>
      </c>
      <c r="L30" s="734">
        <f t="shared" si="2"/>
        <v>145200</v>
      </c>
      <c r="M30" s="645"/>
    </row>
    <row r="31" spans="1:14" ht="89.25" customHeight="1">
      <c r="A31" s="3152"/>
      <c r="B31" s="1181" t="s">
        <v>1836</v>
      </c>
      <c r="C31" s="1261" t="s">
        <v>2107</v>
      </c>
      <c r="D31" s="1258"/>
      <c r="E31" s="1181" t="s">
        <v>536</v>
      </c>
      <c r="F31" s="734">
        <v>2155</v>
      </c>
      <c r="G31" s="1260">
        <v>80</v>
      </c>
      <c r="H31" s="734">
        <f>G31*F31</f>
        <v>172400</v>
      </c>
      <c r="I31" s="1181">
        <v>80</v>
      </c>
      <c r="J31" s="734">
        <f>I31*F31</f>
        <v>172400</v>
      </c>
      <c r="K31" s="1181">
        <v>80</v>
      </c>
      <c r="L31" s="734">
        <f>K31*F31</f>
        <v>172400</v>
      </c>
      <c r="M31" s="645"/>
    </row>
    <row r="32" spans="1:14" ht="16.5" customHeight="1">
      <c r="A32" s="3153"/>
      <c r="B32" s="931" t="s">
        <v>1858</v>
      </c>
      <c r="C32" s="1262" t="s">
        <v>1837</v>
      </c>
      <c r="D32" s="1263"/>
      <c r="E32" s="931"/>
      <c r="F32" s="931"/>
      <c r="G32" s="931"/>
      <c r="H32" s="1193">
        <f>H11+H14+H15+H16+H18+H19+H20+H21+H23+H24+H30+H31</f>
        <v>2991112</v>
      </c>
      <c r="I32" s="1193"/>
      <c r="J32" s="1193">
        <f>J11+J14+J15+J16+J18+J19+J20+J21+J23+J24+J30+J31</f>
        <v>2991112</v>
      </c>
      <c r="K32" s="1193"/>
      <c r="L32" s="1193">
        <f>L11+L14+L15+L16+L18+L19+L20+L21+L23+L24+L30+L31</f>
        <v>2991112</v>
      </c>
      <c r="M32" s="227"/>
    </row>
    <row r="33" spans="1:13" ht="15.75" customHeight="1">
      <c r="A33" s="3151">
        <v>2</v>
      </c>
      <c r="B33" s="1181"/>
      <c r="C33" s="1262" t="s">
        <v>1838</v>
      </c>
      <c r="D33" s="1264"/>
      <c r="E33" s="1265"/>
      <c r="F33" s="1265"/>
      <c r="G33" s="1265"/>
      <c r="H33" s="1265"/>
      <c r="I33" s="1265"/>
      <c r="J33" s="1265"/>
      <c r="K33" s="1265"/>
      <c r="L33" s="1266"/>
      <c r="M33" s="227"/>
    </row>
    <row r="34" spans="1:13" ht="15.75" customHeight="1">
      <c r="A34" s="3152"/>
      <c r="B34" s="3154" t="s">
        <v>1821</v>
      </c>
      <c r="C34" s="1267" t="s">
        <v>1839</v>
      </c>
      <c r="D34" s="1268">
        <v>7132220091</v>
      </c>
      <c r="E34" s="1211" t="s">
        <v>12</v>
      </c>
      <c r="F34" s="734">
        <f>VLOOKUP(D34,'SOR RATE'!A:D,4,0)</f>
        <v>1287998.3799999999</v>
      </c>
      <c r="G34" s="1211">
        <v>1</v>
      </c>
      <c r="H34" s="1269">
        <f>F34*G34</f>
        <v>1287998.3799999999</v>
      </c>
      <c r="I34" s="1270" t="s">
        <v>1534</v>
      </c>
      <c r="J34" s="1270" t="s">
        <v>1534</v>
      </c>
      <c r="K34" s="1270" t="s">
        <v>1534</v>
      </c>
      <c r="L34" s="1270" t="s">
        <v>1534</v>
      </c>
    </row>
    <row r="35" spans="1:13" ht="15.75" customHeight="1">
      <c r="A35" s="3152"/>
      <c r="B35" s="3155"/>
      <c r="C35" s="1257" t="s">
        <v>1840</v>
      </c>
      <c r="D35" s="1268">
        <v>7132220095</v>
      </c>
      <c r="E35" s="1181" t="s">
        <v>12</v>
      </c>
      <c r="F35" s="734">
        <f>VLOOKUP(D35,'SOR RATE'!A:D,4,0)</f>
        <v>3825804.57</v>
      </c>
      <c r="G35" s="1271" t="s">
        <v>1534</v>
      </c>
      <c r="H35" s="1269"/>
      <c r="I35" s="1181">
        <v>1</v>
      </c>
      <c r="J35" s="734">
        <f>I35*F35</f>
        <v>3825804.57</v>
      </c>
      <c r="K35" s="1271" t="s">
        <v>1534</v>
      </c>
      <c r="L35" s="1271" t="s">
        <v>1534</v>
      </c>
    </row>
    <row r="36" spans="1:13" ht="15.75" customHeight="1">
      <c r="A36" s="3152"/>
      <c r="B36" s="3156"/>
      <c r="C36" s="1257" t="s">
        <v>1841</v>
      </c>
      <c r="D36" s="1268">
        <v>7132220097</v>
      </c>
      <c r="E36" s="1181" t="s">
        <v>12</v>
      </c>
      <c r="F36" s="734">
        <f>VLOOKUP(D36,'SOR RATE'!A:D,4,0)</f>
        <v>5211755.76</v>
      </c>
      <c r="G36" s="1271" t="s">
        <v>1534</v>
      </c>
      <c r="H36" s="1269"/>
      <c r="I36" s="1271" t="s">
        <v>1534</v>
      </c>
      <c r="J36" s="734"/>
      <c r="K36" s="1181">
        <v>1</v>
      </c>
      <c r="L36" s="734">
        <f>K36*F36</f>
        <v>5211755.76</v>
      </c>
    </row>
    <row r="37" spans="1:13" ht="15" customHeight="1">
      <c r="A37" s="3152"/>
      <c r="B37" s="3154" t="s">
        <v>1681</v>
      </c>
      <c r="C37" s="1262" t="s">
        <v>1842</v>
      </c>
      <c r="D37" s="1268"/>
      <c r="E37" s="931" t="s">
        <v>12</v>
      </c>
      <c r="F37" s="1272">
        <f>J38+J39+J40</f>
        <v>342838.32999999996</v>
      </c>
      <c r="G37" s="1271" t="s">
        <v>1534</v>
      </c>
      <c r="H37" s="1269"/>
      <c r="I37" s="1271">
        <v>1</v>
      </c>
      <c r="J37" s="734"/>
      <c r="K37" s="1181"/>
      <c r="L37" s="734"/>
    </row>
    <row r="38" spans="1:13" ht="15.75" customHeight="1">
      <c r="A38" s="3152"/>
      <c r="B38" s="3155"/>
      <c r="C38" s="1257" t="s">
        <v>1843</v>
      </c>
      <c r="D38" s="1268">
        <v>7131943380</v>
      </c>
      <c r="E38" s="1181" t="s">
        <v>12</v>
      </c>
      <c r="F38" s="734">
        <f>VLOOKUP(D38,'SOR RATE'!A:D,4,0)</f>
        <v>250684.03</v>
      </c>
      <c r="G38" s="1271">
        <v>1</v>
      </c>
      <c r="H38" s="1269">
        <f>F38*G38</f>
        <v>250684.03</v>
      </c>
      <c r="I38" s="1271">
        <v>1</v>
      </c>
      <c r="J38" s="734">
        <f>I38*F38</f>
        <v>250684.03</v>
      </c>
      <c r="K38" s="1181">
        <v>1</v>
      </c>
      <c r="L38" s="734">
        <f>K38*F38</f>
        <v>250684.03</v>
      </c>
    </row>
    <row r="39" spans="1:13" ht="15.75" customHeight="1">
      <c r="A39" s="3152"/>
      <c r="B39" s="3155"/>
      <c r="C39" s="1257" t="s">
        <v>1844</v>
      </c>
      <c r="D39" s="1268">
        <v>7131960524</v>
      </c>
      <c r="E39" s="1181" t="s">
        <v>12</v>
      </c>
      <c r="F39" s="734">
        <f>VLOOKUP(D39,'SOR RATE'!A:D,4,0)</f>
        <v>39664.769999999997</v>
      </c>
      <c r="G39" s="1271">
        <v>1</v>
      </c>
      <c r="H39" s="1269">
        <f>F39*G39</f>
        <v>39664.769999999997</v>
      </c>
      <c r="I39" s="1271">
        <v>1</v>
      </c>
      <c r="J39" s="734">
        <f>I39*F39</f>
        <v>39664.769999999997</v>
      </c>
      <c r="K39" s="1181">
        <v>1</v>
      </c>
      <c r="L39" s="734">
        <f>K39*F39</f>
        <v>39664.769999999997</v>
      </c>
      <c r="M39" s="214"/>
    </row>
    <row r="40" spans="1:13" ht="15.75" customHeight="1">
      <c r="A40" s="3152"/>
      <c r="B40" s="3156"/>
      <c r="C40" s="1257" t="s">
        <v>1845</v>
      </c>
      <c r="D40" s="1181">
        <v>7132230265</v>
      </c>
      <c r="E40" s="1181" t="s">
        <v>12</v>
      </c>
      <c r="F40" s="734">
        <f>VLOOKUP(D40,'SOR RATE'!A:D,4,0)</f>
        <v>17496.509999999998</v>
      </c>
      <c r="G40" s="1271">
        <v>3</v>
      </c>
      <c r="H40" s="1269">
        <f>F40*G40</f>
        <v>52489.53</v>
      </c>
      <c r="I40" s="1271">
        <v>3</v>
      </c>
      <c r="J40" s="734">
        <f>I40*F40</f>
        <v>52489.53</v>
      </c>
      <c r="K40" s="1181">
        <v>3</v>
      </c>
      <c r="L40" s="734">
        <f>K40*F40</f>
        <v>52489.53</v>
      </c>
    </row>
    <row r="41" spans="1:13" ht="30">
      <c r="A41" s="3152"/>
      <c r="B41" s="3154" t="s">
        <v>1682</v>
      </c>
      <c r="C41" s="1262" t="s">
        <v>1846</v>
      </c>
      <c r="D41" s="1268"/>
      <c r="E41" s="931" t="s">
        <v>12</v>
      </c>
      <c r="F41" s="1193">
        <f>H42+H43+H44</f>
        <v>215924.16000000003</v>
      </c>
      <c r="G41" s="1181">
        <v>1</v>
      </c>
      <c r="H41" s="1269"/>
      <c r="I41" s="1181">
        <v>1</v>
      </c>
      <c r="J41" s="734"/>
      <c r="K41" s="1181">
        <v>1</v>
      </c>
      <c r="L41" s="734"/>
      <c r="M41" s="12"/>
    </row>
    <row r="42" spans="1:13" ht="15" customHeight="1">
      <c r="A42" s="3152"/>
      <c r="B42" s="3155"/>
      <c r="C42" s="1182" t="s">
        <v>1847</v>
      </c>
      <c r="D42" s="1268">
        <v>7131941762</v>
      </c>
      <c r="E42" s="1181" t="s">
        <v>12</v>
      </c>
      <c r="F42" s="734">
        <f>VLOOKUP(D42,'SOR RATE'!A:D,4,0)</f>
        <v>135748.26</v>
      </c>
      <c r="G42" s="1181">
        <v>1</v>
      </c>
      <c r="H42" s="1269">
        <f>F42*G42</f>
        <v>135748.26</v>
      </c>
      <c r="I42" s="1181">
        <v>1</v>
      </c>
      <c r="J42" s="734">
        <f>I42*F42</f>
        <v>135748.26</v>
      </c>
      <c r="K42" s="1181">
        <v>1</v>
      </c>
      <c r="L42" s="734">
        <f>K42*F42</f>
        <v>135748.26</v>
      </c>
      <c r="M42" s="12"/>
    </row>
    <row r="43" spans="1:13" ht="30" customHeight="1">
      <c r="A43" s="3152"/>
      <c r="B43" s="3155"/>
      <c r="C43" s="1257" t="s">
        <v>1848</v>
      </c>
      <c r="D43" s="1268">
        <v>7131960522</v>
      </c>
      <c r="E43" s="1181" t="s">
        <v>33</v>
      </c>
      <c r="F43" s="734">
        <f>VLOOKUP(D43,'SOR RATE'!A:D,4,0)</f>
        <v>39087.629999999997</v>
      </c>
      <c r="G43" s="1181">
        <v>1</v>
      </c>
      <c r="H43" s="1269">
        <f>F43*G43</f>
        <v>39087.629999999997</v>
      </c>
      <c r="I43" s="1181">
        <v>1</v>
      </c>
      <c r="J43" s="734">
        <f>I43*F43</f>
        <v>39087.629999999997</v>
      </c>
      <c r="K43" s="1181">
        <v>1</v>
      </c>
      <c r="L43" s="734">
        <f>K43*F43</f>
        <v>39087.629999999997</v>
      </c>
      <c r="M43" s="646"/>
    </row>
    <row r="44" spans="1:13" ht="15.75" customHeight="1">
      <c r="A44" s="3152"/>
      <c r="B44" s="3156"/>
      <c r="C44" s="1182" t="s">
        <v>1849</v>
      </c>
      <c r="D44" s="1268">
        <v>7132230188</v>
      </c>
      <c r="E44" s="1181" t="s">
        <v>12</v>
      </c>
      <c r="F44" s="734">
        <f>VLOOKUP(D44,'SOR RATE'!A:D,4,0)</f>
        <v>13696.09</v>
      </c>
      <c r="G44" s="1181">
        <v>3</v>
      </c>
      <c r="H44" s="1269">
        <f>F44*G44</f>
        <v>41088.270000000004</v>
      </c>
      <c r="I44" s="1181">
        <v>3</v>
      </c>
      <c r="J44" s="734">
        <f>I44*F44</f>
        <v>41088.270000000004</v>
      </c>
      <c r="K44" s="1181">
        <v>3</v>
      </c>
      <c r="L44" s="734">
        <f>K44*F44</f>
        <v>41088.270000000004</v>
      </c>
      <c r="M44" s="12"/>
    </row>
    <row r="45" spans="1:13" ht="30">
      <c r="A45" s="3152"/>
      <c r="B45" s="3154" t="s">
        <v>1684</v>
      </c>
      <c r="C45" s="1262" t="s">
        <v>1850</v>
      </c>
      <c r="D45" s="1268"/>
      <c r="E45" s="931" t="s">
        <v>12</v>
      </c>
      <c r="F45" s="1193">
        <f>H46+H47</f>
        <v>404812.26</v>
      </c>
      <c r="G45" s="1271">
        <v>2</v>
      </c>
      <c r="H45" s="1269"/>
      <c r="I45" s="1271">
        <v>2</v>
      </c>
      <c r="J45" s="734"/>
      <c r="K45" s="1181">
        <v>3</v>
      </c>
      <c r="L45" s="734"/>
      <c r="M45" s="637"/>
    </row>
    <row r="46" spans="1:13" ht="18.75" customHeight="1">
      <c r="A46" s="3152"/>
      <c r="B46" s="3155"/>
      <c r="C46" s="1182" t="s">
        <v>1851</v>
      </c>
      <c r="D46" s="1268">
        <v>7131960497</v>
      </c>
      <c r="E46" s="1181" t="s">
        <v>12</v>
      </c>
      <c r="F46" s="734">
        <f>F42+25931.94</f>
        <v>161680.20000000001</v>
      </c>
      <c r="G46" s="1271">
        <v>2</v>
      </c>
      <c r="H46" s="1269">
        <f t="shared" ref="H46:H59" si="3">F46*G46</f>
        <v>323360.40000000002</v>
      </c>
      <c r="I46" s="1271">
        <v>2</v>
      </c>
      <c r="J46" s="734">
        <f t="shared" ref="J46:J59" si="4">I46*F46</f>
        <v>323360.40000000002</v>
      </c>
      <c r="K46" s="1271">
        <v>3</v>
      </c>
      <c r="L46" s="734">
        <f t="shared" ref="L46:L59" si="5">K46*F46</f>
        <v>485040.60000000003</v>
      </c>
      <c r="M46" s="647" t="s">
        <v>1852</v>
      </c>
    </row>
    <row r="47" spans="1:13" ht="15.75" customHeight="1">
      <c r="A47" s="3152"/>
      <c r="B47" s="3156"/>
      <c r="C47" s="1257" t="s">
        <v>1853</v>
      </c>
      <c r="D47" s="1268">
        <v>7132230185</v>
      </c>
      <c r="E47" s="1181" t="s">
        <v>12</v>
      </c>
      <c r="F47" s="734">
        <f>VLOOKUP(D47,'SOR RATE'!A:D,4,0)</f>
        <v>13575.31</v>
      </c>
      <c r="G47" s="1271">
        <v>6</v>
      </c>
      <c r="H47" s="1269">
        <f t="shared" si="3"/>
        <v>81451.86</v>
      </c>
      <c r="I47" s="1271">
        <v>6</v>
      </c>
      <c r="J47" s="734">
        <f t="shared" si="4"/>
        <v>81451.86</v>
      </c>
      <c r="K47" s="1271">
        <v>9</v>
      </c>
      <c r="L47" s="734">
        <f t="shared" si="5"/>
        <v>122177.79</v>
      </c>
      <c r="M47" s="288"/>
    </row>
    <row r="48" spans="1:13" ht="30.75" customHeight="1">
      <c r="A48" s="3152"/>
      <c r="B48" s="1184" t="s">
        <v>1689</v>
      </c>
      <c r="C48" s="1182" t="s">
        <v>1854</v>
      </c>
      <c r="D48" s="1268">
        <v>7131930752</v>
      </c>
      <c r="E48" s="1181" t="s">
        <v>12</v>
      </c>
      <c r="F48" s="734">
        <f>VLOOKUP(D48,'SOR RATE'!A:D,4,0)</f>
        <v>43971.49</v>
      </c>
      <c r="G48" s="1181">
        <v>2</v>
      </c>
      <c r="H48" s="1269">
        <f t="shared" si="3"/>
        <v>87942.98</v>
      </c>
      <c r="I48" s="1181">
        <v>2</v>
      </c>
      <c r="J48" s="734">
        <f t="shared" si="4"/>
        <v>87942.98</v>
      </c>
      <c r="K48" s="1181">
        <v>2</v>
      </c>
      <c r="L48" s="734">
        <f t="shared" si="5"/>
        <v>87942.98</v>
      </c>
      <c r="M48" s="212"/>
    </row>
    <row r="49" spans="1:14" ht="29.25" customHeight="1">
      <c r="A49" s="3152"/>
      <c r="B49" s="1183" t="s">
        <v>1825</v>
      </c>
      <c r="C49" s="1257" t="s">
        <v>1855</v>
      </c>
      <c r="D49" s="1268">
        <v>7131930663</v>
      </c>
      <c r="E49" s="1183" t="s">
        <v>12</v>
      </c>
      <c r="F49" s="734">
        <f>VLOOKUP(D49,'SOR RATE'!A:D,4,0)</f>
        <v>25408.1</v>
      </c>
      <c r="G49" s="1183">
        <v>6</v>
      </c>
      <c r="H49" s="1269">
        <f t="shared" si="3"/>
        <v>152448.59999999998</v>
      </c>
      <c r="I49" s="1183">
        <v>6</v>
      </c>
      <c r="J49" s="734">
        <f t="shared" si="4"/>
        <v>152448.59999999998</v>
      </c>
      <c r="K49" s="1183">
        <v>8</v>
      </c>
      <c r="L49" s="734">
        <f t="shared" si="5"/>
        <v>203264.8</v>
      </c>
      <c r="M49" s="12"/>
    </row>
    <row r="50" spans="1:14" ht="15" customHeight="1">
      <c r="A50" s="3152"/>
      <c r="B50" s="1183" t="s">
        <v>1828</v>
      </c>
      <c r="C50" s="1182" t="s">
        <v>1856</v>
      </c>
      <c r="D50" s="1268">
        <v>7131930415</v>
      </c>
      <c r="E50" s="1181" t="s">
        <v>33</v>
      </c>
      <c r="F50" s="734">
        <f>VLOOKUP(D50,'SOR RATE'!A:D,4,0)</f>
        <v>3005.12</v>
      </c>
      <c r="G50" s="1181">
        <v>3</v>
      </c>
      <c r="H50" s="1269">
        <f t="shared" si="3"/>
        <v>9015.36</v>
      </c>
      <c r="I50" s="1271">
        <v>3</v>
      </c>
      <c r="J50" s="734">
        <f t="shared" si="4"/>
        <v>9015.36</v>
      </c>
      <c r="K50" s="1271">
        <v>9</v>
      </c>
      <c r="L50" s="734">
        <f t="shared" si="5"/>
        <v>27046.079999999998</v>
      </c>
      <c r="M50" s="648"/>
      <c r="N50" s="12"/>
    </row>
    <row r="51" spans="1:14" ht="15" customHeight="1">
      <c r="A51" s="3152"/>
      <c r="B51" s="1181" t="s">
        <v>1857</v>
      </c>
      <c r="C51" s="1182" t="s">
        <v>1672</v>
      </c>
      <c r="D51" s="1268">
        <v>7131930412</v>
      </c>
      <c r="E51" s="1181" t="s">
        <v>33</v>
      </c>
      <c r="F51" s="734">
        <f>VLOOKUP(D51,'SOR RATE'!A:D,4,0)</f>
        <v>1123.1500000000001</v>
      </c>
      <c r="G51" s="1271">
        <v>3</v>
      </c>
      <c r="H51" s="1269">
        <f t="shared" si="3"/>
        <v>3369.4500000000003</v>
      </c>
      <c r="I51" s="1271">
        <v>3</v>
      </c>
      <c r="J51" s="734">
        <f t="shared" si="4"/>
        <v>3369.4500000000003</v>
      </c>
      <c r="K51" s="1271">
        <v>6</v>
      </c>
      <c r="L51" s="734">
        <f t="shared" si="5"/>
        <v>6738.9000000000005</v>
      </c>
      <c r="M51" s="186"/>
    </row>
    <row r="52" spans="1:14" ht="15" customHeight="1">
      <c r="A52" s="3152"/>
      <c r="B52" s="1181" t="s">
        <v>1832</v>
      </c>
      <c r="C52" s="1257" t="s">
        <v>2062</v>
      </c>
      <c r="D52" s="1268">
        <v>7130840021</v>
      </c>
      <c r="E52" s="1181" t="s">
        <v>33</v>
      </c>
      <c r="F52" s="734">
        <f>VLOOKUP(D52,'SOR RATE'!A:D,4,0)</f>
        <v>4094.6</v>
      </c>
      <c r="G52" s="1181">
        <v>3</v>
      </c>
      <c r="H52" s="1269">
        <f t="shared" si="3"/>
        <v>12283.8</v>
      </c>
      <c r="I52" s="1181">
        <v>3</v>
      </c>
      <c r="J52" s="734">
        <f t="shared" si="4"/>
        <v>12283.8</v>
      </c>
      <c r="K52" s="1181">
        <v>3</v>
      </c>
      <c r="L52" s="734">
        <f t="shared" si="5"/>
        <v>12283.8</v>
      </c>
      <c r="M52" s="186"/>
    </row>
    <row r="53" spans="1:14" ht="15" customHeight="1">
      <c r="A53" s="3152"/>
      <c r="B53" s="1181" t="s">
        <v>1833</v>
      </c>
      <c r="C53" s="1257" t="s">
        <v>1677</v>
      </c>
      <c r="D53" s="1268">
        <v>7130840029</v>
      </c>
      <c r="E53" s="1181" t="s">
        <v>33</v>
      </c>
      <c r="F53" s="734">
        <f>VLOOKUP(D53,'SOR RATE'!A:D,4,0)</f>
        <v>368.52</v>
      </c>
      <c r="G53" s="1181">
        <v>12</v>
      </c>
      <c r="H53" s="1269">
        <f t="shared" si="3"/>
        <v>4422.24</v>
      </c>
      <c r="I53" s="1181">
        <v>12</v>
      </c>
      <c r="J53" s="734">
        <f t="shared" si="4"/>
        <v>4422.24</v>
      </c>
      <c r="K53" s="1181">
        <v>15</v>
      </c>
      <c r="L53" s="734">
        <f t="shared" si="5"/>
        <v>5527.7999999999993</v>
      </c>
      <c r="M53" s="186"/>
    </row>
    <row r="54" spans="1:14" ht="15" customHeight="1">
      <c r="A54" s="3152"/>
      <c r="B54" s="1181" t="s">
        <v>1834</v>
      </c>
      <c r="C54" s="1182" t="s">
        <v>2063</v>
      </c>
      <c r="D54" s="1268">
        <v>7131930321</v>
      </c>
      <c r="E54" s="1181" t="s">
        <v>33</v>
      </c>
      <c r="F54" s="734">
        <f>VLOOKUP(D54,'SOR RATE'!A:D,4,0)</f>
        <v>22056.66</v>
      </c>
      <c r="G54" s="1181">
        <v>1</v>
      </c>
      <c r="H54" s="1269">
        <f t="shared" si="3"/>
        <v>22056.66</v>
      </c>
      <c r="I54" s="1181">
        <v>1</v>
      </c>
      <c r="J54" s="734">
        <f t="shared" si="4"/>
        <v>22056.66</v>
      </c>
      <c r="K54" s="1181">
        <v>1</v>
      </c>
      <c r="L54" s="734">
        <f t="shared" si="5"/>
        <v>22056.66</v>
      </c>
    </row>
    <row r="55" spans="1:14" ht="15" customHeight="1">
      <c r="A55" s="3152"/>
      <c r="B55" s="1181" t="s">
        <v>1836</v>
      </c>
      <c r="C55" s="1182" t="s">
        <v>2064</v>
      </c>
      <c r="D55" s="1268">
        <v>7131930221</v>
      </c>
      <c r="E55" s="1181" t="s">
        <v>33</v>
      </c>
      <c r="F55" s="734">
        <f>VLOOKUP(D55,'SOR RATE'!A:D,4,0)</f>
        <v>9934.19</v>
      </c>
      <c r="G55" s="1181">
        <v>3</v>
      </c>
      <c r="H55" s="1269">
        <f t="shared" si="3"/>
        <v>29802.57</v>
      </c>
      <c r="I55" s="1181">
        <v>3</v>
      </c>
      <c r="J55" s="734">
        <f t="shared" si="4"/>
        <v>29802.57</v>
      </c>
      <c r="K55" s="1181">
        <v>4</v>
      </c>
      <c r="L55" s="734">
        <f t="shared" si="5"/>
        <v>39736.76</v>
      </c>
    </row>
    <row r="56" spans="1:14" ht="15.75" customHeight="1">
      <c r="A56" s="3152"/>
      <c r="B56" s="1181" t="s">
        <v>1858</v>
      </c>
      <c r="C56" s="1182" t="s">
        <v>1859</v>
      </c>
      <c r="D56" s="1268">
        <v>7132230057</v>
      </c>
      <c r="E56" s="1181" t="s">
        <v>33</v>
      </c>
      <c r="F56" s="734">
        <f>VLOOKUP(D56,'SOR RATE'!A:D,4,0)</f>
        <v>20431.150000000001</v>
      </c>
      <c r="G56" s="1181">
        <v>3</v>
      </c>
      <c r="H56" s="1269">
        <f t="shared" si="3"/>
        <v>61293.450000000004</v>
      </c>
      <c r="I56" s="1181">
        <v>3</v>
      </c>
      <c r="J56" s="734">
        <f t="shared" si="4"/>
        <v>61293.450000000004</v>
      </c>
      <c r="K56" s="1181">
        <v>3</v>
      </c>
      <c r="L56" s="734">
        <f t="shared" si="5"/>
        <v>61293.450000000004</v>
      </c>
      <c r="M56" s="186"/>
    </row>
    <row r="57" spans="1:14" ht="15.75" customHeight="1">
      <c r="A57" s="3152"/>
      <c r="B57" s="1181" t="s">
        <v>1860</v>
      </c>
      <c r="C57" s="1182" t="s">
        <v>1116</v>
      </c>
      <c r="D57" s="1268">
        <v>7132230427</v>
      </c>
      <c r="E57" s="1181" t="s">
        <v>33</v>
      </c>
      <c r="F57" s="734">
        <f>VLOOKUP(D57,'SOR RATE'!A:D,4,0)</f>
        <v>87035.71</v>
      </c>
      <c r="G57" s="1181">
        <v>1</v>
      </c>
      <c r="H57" s="1269">
        <f t="shared" si="3"/>
        <v>87035.71</v>
      </c>
      <c r="I57" s="1181">
        <v>1</v>
      </c>
      <c r="J57" s="734">
        <f t="shared" si="4"/>
        <v>87035.71</v>
      </c>
      <c r="K57" s="1181">
        <v>1</v>
      </c>
      <c r="L57" s="734">
        <f t="shared" si="5"/>
        <v>87035.71</v>
      </c>
    </row>
    <row r="58" spans="1:14" ht="15.75" customHeight="1">
      <c r="A58" s="3152"/>
      <c r="B58" s="1181" t="s">
        <v>1861</v>
      </c>
      <c r="C58" s="1182" t="s">
        <v>1107</v>
      </c>
      <c r="D58" s="1268">
        <v>7132230412</v>
      </c>
      <c r="E58" s="1181" t="s">
        <v>33</v>
      </c>
      <c r="F58" s="734">
        <f>VLOOKUP(D58,'SOR RATE'!A:D,4,0)</f>
        <v>43031.06</v>
      </c>
      <c r="G58" s="1181">
        <v>2</v>
      </c>
      <c r="H58" s="1269">
        <f t="shared" si="3"/>
        <v>86062.12</v>
      </c>
      <c r="I58" s="1181">
        <v>2</v>
      </c>
      <c r="J58" s="734">
        <f t="shared" si="4"/>
        <v>86062.12</v>
      </c>
      <c r="K58" s="1181">
        <v>3</v>
      </c>
      <c r="L58" s="734">
        <f t="shared" si="5"/>
        <v>129093.18</v>
      </c>
    </row>
    <row r="59" spans="1:14" ht="18" customHeight="1">
      <c r="A59" s="3152"/>
      <c r="B59" s="1181" t="s">
        <v>1862</v>
      </c>
      <c r="C59" s="1182" t="s">
        <v>1863</v>
      </c>
      <c r="D59" s="1268">
        <v>7132230056</v>
      </c>
      <c r="E59" s="1181" t="s">
        <v>33</v>
      </c>
      <c r="F59" s="734">
        <f>VLOOKUP(D59,'SOR RATE'!A:D,4,0)</f>
        <v>10892.11</v>
      </c>
      <c r="G59" s="1181">
        <v>3</v>
      </c>
      <c r="H59" s="1269">
        <f t="shared" si="3"/>
        <v>32676.33</v>
      </c>
      <c r="I59" s="1181">
        <v>3</v>
      </c>
      <c r="J59" s="734">
        <f t="shared" si="4"/>
        <v>32676.33</v>
      </c>
      <c r="K59" s="1181">
        <v>3</v>
      </c>
      <c r="L59" s="734">
        <f t="shared" si="5"/>
        <v>32676.33</v>
      </c>
      <c r="N59" s="186"/>
    </row>
    <row r="60" spans="1:14" ht="30">
      <c r="A60" s="3152"/>
      <c r="B60" s="3157" t="s">
        <v>1864</v>
      </c>
      <c r="C60" s="1262" t="s">
        <v>1865</v>
      </c>
      <c r="D60" s="1268"/>
      <c r="E60" s="931" t="s">
        <v>12</v>
      </c>
      <c r="F60" s="1193">
        <f>H61+H62</f>
        <v>3909.84</v>
      </c>
      <c r="G60" s="1271">
        <v>1</v>
      </c>
      <c r="H60" s="1269"/>
      <c r="I60" s="1271">
        <v>1</v>
      </c>
      <c r="J60" s="734"/>
      <c r="K60" s="1181">
        <v>1</v>
      </c>
      <c r="L60" s="734"/>
    </row>
    <row r="61" spans="1:14" ht="30.75" customHeight="1">
      <c r="A61" s="3152"/>
      <c r="B61" s="3158"/>
      <c r="C61" s="1257" t="s">
        <v>2067</v>
      </c>
      <c r="D61" s="1268">
        <v>7131310997</v>
      </c>
      <c r="E61" s="1181" t="s">
        <v>12</v>
      </c>
      <c r="F61" s="734">
        <f>VLOOKUP(D61,'SOR RATE'!A:D,4,0)</f>
        <v>1800</v>
      </c>
      <c r="G61" s="1271">
        <v>1</v>
      </c>
      <c r="H61" s="1269">
        <f>F61*G61</f>
        <v>1800</v>
      </c>
      <c r="I61" s="1271">
        <v>1</v>
      </c>
      <c r="J61" s="734">
        <f>I61*F61</f>
        <v>1800</v>
      </c>
      <c r="K61" s="1181">
        <v>1</v>
      </c>
      <c r="L61" s="734">
        <f>K61*F61</f>
        <v>1800</v>
      </c>
      <c r="M61" s="525" t="s">
        <v>1827</v>
      </c>
    </row>
    <row r="62" spans="1:14" ht="15.75" customHeight="1">
      <c r="A62" s="3152"/>
      <c r="B62" s="3159"/>
      <c r="C62" s="1257" t="s">
        <v>1866</v>
      </c>
      <c r="D62" s="1268">
        <v>7132230016</v>
      </c>
      <c r="E62" s="1181" t="s">
        <v>12</v>
      </c>
      <c r="F62" s="734">
        <f>VLOOKUP(D62,'SOR RATE'!A:D,4,0)</f>
        <v>527.46</v>
      </c>
      <c r="G62" s="1271">
        <v>4</v>
      </c>
      <c r="H62" s="1269">
        <f>F62*G62</f>
        <v>2109.84</v>
      </c>
      <c r="I62" s="1271">
        <v>4</v>
      </c>
      <c r="J62" s="734">
        <f>I62*F62</f>
        <v>2109.84</v>
      </c>
      <c r="K62" s="1181">
        <v>4</v>
      </c>
      <c r="L62" s="734">
        <f>K62*F62</f>
        <v>2109.84</v>
      </c>
    </row>
    <row r="63" spans="1:14" ht="21" customHeight="1">
      <c r="A63" s="3152"/>
      <c r="B63" s="3157" t="s">
        <v>1867</v>
      </c>
      <c r="C63" s="1273" t="s">
        <v>1868</v>
      </c>
      <c r="D63" s="1268"/>
      <c r="E63" s="1181" t="s">
        <v>12</v>
      </c>
      <c r="F63" s="1193">
        <f>+H64</f>
        <v>12455.91</v>
      </c>
      <c r="G63" s="1271">
        <v>3</v>
      </c>
      <c r="H63" s="1269"/>
      <c r="I63" s="1271">
        <v>3</v>
      </c>
      <c r="J63" s="734"/>
      <c r="K63" s="1181">
        <v>4</v>
      </c>
      <c r="L63" s="734"/>
    </row>
    <row r="64" spans="1:14" ht="31.5" customHeight="1">
      <c r="A64" s="3152"/>
      <c r="B64" s="3159"/>
      <c r="C64" s="1274" t="s">
        <v>815</v>
      </c>
      <c r="D64" s="1268">
        <v>7131310033</v>
      </c>
      <c r="E64" s="1269" t="s">
        <v>12</v>
      </c>
      <c r="F64" s="734">
        <f>VLOOKUP(D64,'SOR RATE'!A:D,4,0)</f>
        <v>4151.97</v>
      </c>
      <c r="G64" s="1275">
        <v>3</v>
      </c>
      <c r="H64" s="1269">
        <f>F64*G64</f>
        <v>12455.91</v>
      </c>
      <c r="I64" s="1181">
        <v>3</v>
      </c>
      <c r="J64" s="734">
        <f>I64*F64</f>
        <v>12455.91</v>
      </c>
      <c r="K64" s="1181">
        <v>4</v>
      </c>
      <c r="L64" s="734">
        <f>K64*F64</f>
        <v>16607.88</v>
      </c>
      <c r="M64" s="298"/>
    </row>
    <row r="65" spans="1:16" ht="30.75" customHeight="1">
      <c r="A65" s="3152"/>
      <c r="B65" s="1181" t="s">
        <v>1869</v>
      </c>
      <c r="C65" s="1262" t="s">
        <v>1870</v>
      </c>
      <c r="D65" s="1268"/>
      <c r="E65" s="1181" t="s">
        <v>12</v>
      </c>
      <c r="F65" s="1193">
        <f>H66+H67</f>
        <v>84794.209999999992</v>
      </c>
      <c r="G65" s="1181">
        <v>1</v>
      </c>
      <c r="H65" s="1269"/>
      <c r="I65" s="1181">
        <v>1</v>
      </c>
      <c r="J65" s="734"/>
      <c r="K65" s="1181">
        <v>1</v>
      </c>
      <c r="L65" s="734"/>
    </row>
    <row r="66" spans="1:16" ht="16.5" customHeight="1">
      <c r="A66" s="3152"/>
      <c r="B66" s="1209"/>
      <c r="C66" s="1274" t="s">
        <v>1871</v>
      </c>
      <c r="D66" s="1268">
        <v>7132404366</v>
      </c>
      <c r="E66" s="1181" t="s">
        <v>12</v>
      </c>
      <c r="F66" s="734">
        <f>VLOOKUP(D66,'SOR RATE'!A:D,4,0)</f>
        <v>70801.23</v>
      </c>
      <c r="G66" s="1181">
        <v>1</v>
      </c>
      <c r="H66" s="1269">
        <f>F66*G66</f>
        <v>70801.23</v>
      </c>
      <c r="I66" s="1181">
        <v>1</v>
      </c>
      <c r="J66" s="734">
        <f>I66*F66</f>
        <v>70801.23</v>
      </c>
      <c r="K66" s="1181">
        <v>1</v>
      </c>
      <c r="L66" s="734">
        <f>K66*F66</f>
        <v>70801.23</v>
      </c>
    </row>
    <row r="67" spans="1:16" ht="16.5" customHeight="1">
      <c r="A67" s="3152"/>
      <c r="B67" s="1209">
        <v>1</v>
      </c>
      <c r="C67" s="1257" t="s">
        <v>1872</v>
      </c>
      <c r="D67" s="1268">
        <v>7132468558</v>
      </c>
      <c r="E67" s="1181" t="s">
        <v>12</v>
      </c>
      <c r="F67" s="734">
        <f>VLOOKUP(D67,'SOR RATE'!A:D,4,0)</f>
        <v>13992.98</v>
      </c>
      <c r="G67" s="1181">
        <v>1</v>
      </c>
      <c r="H67" s="1269">
        <f>F67*G67</f>
        <v>13992.98</v>
      </c>
      <c r="I67" s="1181">
        <v>1</v>
      </c>
      <c r="J67" s="734">
        <f>I67*F67</f>
        <v>13992.98</v>
      </c>
      <c r="K67" s="1181">
        <v>1</v>
      </c>
      <c r="L67" s="734">
        <f>K67*F67</f>
        <v>13992.98</v>
      </c>
    </row>
    <row r="68" spans="1:16" ht="16.5" customHeight="1">
      <c r="A68" s="3152"/>
      <c r="B68" s="1181" t="s">
        <v>1873</v>
      </c>
      <c r="C68" s="1182" t="s">
        <v>1874</v>
      </c>
      <c r="D68" s="1268">
        <v>7132210215</v>
      </c>
      <c r="E68" s="1181" t="s">
        <v>33</v>
      </c>
      <c r="F68" s="734">
        <f>VLOOKUP(D68,'SOR RATE'!A:D,4,0)</f>
        <v>188732.25</v>
      </c>
      <c r="G68" s="1271">
        <v>0</v>
      </c>
      <c r="H68" s="1269">
        <f t="shared" ref="H68:H70" si="6">F68*G68</f>
        <v>0</v>
      </c>
      <c r="I68" s="1271">
        <v>0</v>
      </c>
      <c r="J68" s="734">
        <f t="shared" ref="J68:J70" si="7">I68*F68</f>
        <v>0</v>
      </c>
      <c r="K68" s="1181">
        <v>2</v>
      </c>
      <c r="L68" s="734">
        <f>K68*F68</f>
        <v>377464.5</v>
      </c>
      <c r="M68" s="418"/>
      <c r="N68" s="251"/>
      <c r="O68" s="251"/>
      <c r="P68" s="251"/>
    </row>
    <row r="69" spans="1:16" ht="45.75" customHeight="1">
      <c r="A69" s="3152"/>
      <c r="B69" s="1181" t="s">
        <v>1875</v>
      </c>
      <c r="C69" s="1182" t="s">
        <v>2068</v>
      </c>
      <c r="D69" s="1268">
        <v>7132210020</v>
      </c>
      <c r="E69" s="1181" t="s">
        <v>33</v>
      </c>
      <c r="F69" s="734">
        <f>VLOOKUP(D69,'SOR RATE'!A:D,4,0)</f>
        <v>158302.13</v>
      </c>
      <c r="G69" s="1271">
        <v>1</v>
      </c>
      <c r="H69" s="1269">
        <f>F69*G69</f>
        <v>158302.13</v>
      </c>
      <c r="I69" s="1271">
        <v>1</v>
      </c>
      <c r="J69" s="734">
        <f>I69*F69</f>
        <v>158302.13</v>
      </c>
      <c r="K69" s="1181"/>
      <c r="L69" s="734"/>
      <c r="M69" s="187" t="s">
        <v>1827</v>
      </c>
      <c r="N69" s="3161"/>
      <c r="O69" s="3161"/>
    </row>
    <row r="70" spans="1:16" ht="18.75" customHeight="1">
      <c r="A70" s="3152"/>
      <c r="B70" s="1181" t="s">
        <v>1876</v>
      </c>
      <c r="C70" s="1182" t="s">
        <v>1877</v>
      </c>
      <c r="D70" s="1268">
        <v>7131950065</v>
      </c>
      <c r="E70" s="1181" t="s">
        <v>33</v>
      </c>
      <c r="F70" s="734">
        <f>VLOOKUP(D70,'SOR RATE'!A:D,4,0)</f>
        <v>18477.650000000001</v>
      </c>
      <c r="G70" s="1271">
        <v>0</v>
      </c>
      <c r="H70" s="1269">
        <f t="shared" si="6"/>
        <v>0</v>
      </c>
      <c r="I70" s="1271">
        <v>0</v>
      </c>
      <c r="J70" s="734">
        <f t="shared" si="7"/>
        <v>0</v>
      </c>
      <c r="K70" s="1181">
        <v>2</v>
      </c>
      <c r="L70" s="734">
        <f>K70*F70</f>
        <v>36955.300000000003</v>
      </c>
    </row>
    <row r="71" spans="1:16" ht="18.75" customHeight="1">
      <c r="A71" s="3152"/>
      <c r="B71" s="1181" t="s">
        <v>1878</v>
      </c>
      <c r="C71" s="1182" t="s">
        <v>1879</v>
      </c>
      <c r="D71" s="1268">
        <v>7131950105</v>
      </c>
      <c r="E71" s="1181" t="s">
        <v>33</v>
      </c>
      <c r="F71" s="734">
        <f>VLOOKUP(D71,'SOR RATE'!A:D,4,0)</f>
        <v>23098.03</v>
      </c>
      <c r="G71" s="1271">
        <v>1</v>
      </c>
      <c r="H71" s="1269">
        <f>F71*G71</f>
        <v>23098.03</v>
      </c>
      <c r="I71" s="1271">
        <v>1</v>
      </c>
      <c r="J71" s="734">
        <f>I71*F71</f>
        <v>23098.03</v>
      </c>
      <c r="K71" s="1181"/>
      <c r="L71" s="734"/>
      <c r="M71" s="251"/>
    </row>
    <row r="72" spans="1:16" ht="31.5" customHeight="1">
      <c r="A72" s="3152"/>
      <c r="B72" s="1181" t="s">
        <v>1880</v>
      </c>
      <c r="C72" s="1182" t="s">
        <v>2111</v>
      </c>
      <c r="D72" s="1268">
        <v>7130600023</v>
      </c>
      <c r="E72" s="1183" t="s">
        <v>26</v>
      </c>
      <c r="F72" s="734">
        <f>VLOOKUP(D72,'SOR RATE'!A:D,4,0)/1000</f>
        <v>54.512970000000003</v>
      </c>
      <c r="G72" s="1271">
        <v>20</v>
      </c>
      <c r="H72" s="1269">
        <f>F72*G72</f>
        <v>1090.2594000000001</v>
      </c>
      <c r="I72" s="1271">
        <v>20</v>
      </c>
      <c r="J72" s="734">
        <f>I72*F72</f>
        <v>1090.2594000000001</v>
      </c>
      <c r="K72" s="1181">
        <v>20</v>
      </c>
      <c r="L72" s="734">
        <f>F72*K72</f>
        <v>1090.2594000000001</v>
      </c>
      <c r="M72" s="728" t="s">
        <v>119</v>
      </c>
    </row>
    <row r="73" spans="1:16" ht="44.25" customHeight="1">
      <c r="A73" s="3152"/>
      <c r="B73" s="1181" t="s">
        <v>1882</v>
      </c>
      <c r="C73" s="1182" t="s">
        <v>2112</v>
      </c>
      <c r="D73" s="1268">
        <v>7130600023</v>
      </c>
      <c r="E73" s="1183" t="s">
        <v>26</v>
      </c>
      <c r="F73" s="734">
        <f>VLOOKUP(D73,'SOR RATE'!A:D,4,0)/1000</f>
        <v>54.512970000000003</v>
      </c>
      <c r="G73" s="1271">
        <v>108</v>
      </c>
      <c r="H73" s="1269">
        <f>F73*G73</f>
        <v>5887.4007600000004</v>
      </c>
      <c r="I73" s="1271">
        <v>108</v>
      </c>
      <c r="J73" s="734">
        <f>I73*F73</f>
        <v>5887.4007600000004</v>
      </c>
      <c r="K73" s="1181">
        <v>108</v>
      </c>
      <c r="L73" s="734">
        <f>F73*K73</f>
        <v>5887.4007600000004</v>
      </c>
      <c r="M73" s="728" t="s">
        <v>119</v>
      </c>
    </row>
    <row r="74" spans="1:16" ht="45.75" customHeight="1">
      <c r="A74" s="3152"/>
      <c r="B74" s="1276" t="s">
        <v>1890</v>
      </c>
      <c r="C74" s="1257" t="s">
        <v>1881</v>
      </c>
      <c r="D74" s="1186">
        <v>7130601958</v>
      </c>
      <c r="E74" s="1183" t="s">
        <v>26</v>
      </c>
      <c r="F74" s="734">
        <f>VLOOKUP(D74,'SOR RATE'!A:D,4,0)/1000</f>
        <v>64.326520000000002</v>
      </c>
      <c r="G74" s="1181">
        <f>37.1*11*6</f>
        <v>2448.6000000000004</v>
      </c>
      <c r="H74" s="734">
        <f>F74*G74</f>
        <v>157509.91687200003</v>
      </c>
      <c r="I74" s="1181">
        <f>+G74</f>
        <v>2448.6000000000004</v>
      </c>
      <c r="J74" s="734">
        <f>I74*F74</f>
        <v>157509.91687200003</v>
      </c>
      <c r="K74" s="1181">
        <f>+G74</f>
        <v>2448.6000000000004</v>
      </c>
      <c r="L74" s="734">
        <f>K74*F74</f>
        <v>157509.91687200003</v>
      </c>
      <c r="M74" s="239"/>
      <c r="N74" s="649"/>
    </row>
    <row r="75" spans="1:16" ht="15.75" customHeight="1">
      <c r="A75" s="3152"/>
      <c r="B75" s="1183" t="s">
        <v>1892</v>
      </c>
      <c r="C75" s="1262" t="s">
        <v>1883</v>
      </c>
      <c r="D75" s="1277"/>
      <c r="E75" s="1278"/>
      <c r="F75" s="1278"/>
      <c r="G75" s="1278"/>
      <c r="H75" s="1278"/>
      <c r="I75" s="1278"/>
      <c r="J75" s="1278"/>
      <c r="K75" s="1278"/>
      <c r="L75" s="1279"/>
    </row>
    <row r="76" spans="1:16" ht="15.75" customHeight="1">
      <c r="A76" s="3152"/>
      <c r="B76" s="1183" t="s">
        <v>1884</v>
      </c>
      <c r="C76" s="1182" t="s">
        <v>1885</v>
      </c>
      <c r="D76" s="1268">
        <v>7130310658</v>
      </c>
      <c r="E76" s="1183" t="s">
        <v>190</v>
      </c>
      <c r="F76" s="734">
        <f>VLOOKUP(D76,'SOR RATE'!A:D,4,0)/1000</f>
        <v>188.91779</v>
      </c>
      <c r="G76" s="1183">
        <v>360</v>
      </c>
      <c r="H76" s="1269">
        <f t="shared" ref="H76:H82" si="8">F76*G76</f>
        <v>68010.404399999999</v>
      </c>
      <c r="I76" s="1183">
        <v>360</v>
      </c>
      <c r="J76" s="734">
        <f t="shared" ref="J76:J82" si="9">I76*F76</f>
        <v>68010.404399999999</v>
      </c>
      <c r="K76" s="1183">
        <v>480</v>
      </c>
      <c r="L76" s="734">
        <f t="shared" ref="L76:L82" si="10">K76*F76</f>
        <v>90680.539199999999</v>
      </c>
    </row>
    <row r="77" spans="1:16" ht="15.75" customHeight="1">
      <c r="A77" s="3152"/>
      <c r="B77" s="1183" t="s">
        <v>1886</v>
      </c>
      <c r="C77" s="1182" t="s">
        <v>1887</v>
      </c>
      <c r="D77" s="1268">
        <v>7130310654</v>
      </c>
      <c r="E77" s="1183" t="s">
        <v>190</v>
      </c>
      <c r="F77" s="734">
        <f>VLOOKUP(D77,'SOR RATE'!A:D,4,0)/1000</f>
        <v>98.983890000000002</v>
      </c>
      <c r="G77" s="1183">
        <v>360</v>
      </c>
      <c r="H77" s="1269">
        <f t="shared" si="8"/>
        <v>35634.200400000002</v>
      </c>
      <c r="I77" s="1183">
        <v>360</v>
      </c>
      <c r="J77" s="734">
        <f t="shared" si="9"/>
        <v>35634.200400000002</v>
      </c>
      <c r="K77" s="1183">
        <v>510</v>
      </c>
      <c r="L77" s="734">
        <f t="shared" si="10"/>
        <v>50481.783900000002</v>
      </c>
    </row>
    <row r="78" spans="1:16" ht="15.75" customHeight="1">
      <c r="A78" s="3152"/>
      <c r="B78" s="1183" t="s">
        <v>1888</v>
      </c>
      <c r="C78" s="1182" t="s">
        <v>1889</v>
      </c>
      <c r="D78" s="1268">
        <v>7130310652</v>
      </c>
      <c r="E78" s="1183" t="s">
        <v>190</v>
      </c>
      <c r="F78" s="734">
        <f>VLOOKUP(D78,'SOR RATE'!A:D,4,0)/1000</f>
        <v>55.294809999999998</v>
      </c>
      <c r="G78" s="1183">
        <v>180</v>
      </c>
      <c r="H78" s="1269">
        <f t="shared" si="8"/>
        <v>9953.0658000000003</v>
      </c>
      <c r="I78" s="1183">
        <v>240</v>
      </c>
      <c r="J78" s="734">
        <f t="shared" si="9"/>
        <v>13270.7544</v>
      </c>
      <c r="K78" s="1183">
        <v>300</v>
      </c>
      <c r="L78" s="734">
        <f t="shared" si="10"/>
        <v>16588.442999999999</v>
      </c>
    </row>
    <row r="79" spans="1:16" ht="15.75" customHeight="1">
      <c r="A79" s="3152"/>
      <c r="B79" s="1181" t="s">
        <v>1894</v>
      </c>
      <c r="C79" s="1182" t="s">
        <v>1891</v>
      </c>
      <c r="D79" s="1268">
        <v>7130830585</v>
      </c>
      <c r="E79" s="1181" t="s">
        <v>12</v>
      </c>
      <c r="F79" s="734">
        <f>VLOOKUP(D79,'SOR RATE'!A:D,4,0)</f>
        <v>346.08</v>
      </c>
      <c r="G79" s="1181">
        <v>96</v>
      </c>
      <c r="H79" s="1269">
        <f t="shared" si="8"/>
        <v>33223.68</v>
      </c>
      <c r="I79" s="1181">
        <f>+G79</f>
        <v>96</v>
      </c>
      <c r="J79" s="734">
        <f t="shared" si="9"/>
        <v>33223.68</v>
      </c>
      <c r="K79" s="1181">
        <v>108</v>
      </c>
      <c r="L79" s="734">
        <f t="shared" si="10"/>
        <v>37376.639999999999</v>
      </c>
    </row>
    <row r="80" spans="1:16" ht="30.75" customHeight="1">
      <c r="A80" s="3152"/>
      <c r="B80" s="1276" t="s">
        <v>1896</v>
      </c>
      <c r="C80" s="1257" t="s">
        <v>1893</v>
      </c>
      <c r="D80" s="1268">
        <v>7130880041</v>
      </c>
      <c r="E80" s="1181" t="s">
        <v>12</v>
      </c>
      <c r="F80" s="734">
        <f>VLOOKUP(D80,'SOR RATE'!A:D,4,0)</f>
        <v>113.77</v>
      </c>
      <c r="G80" s="1181">
        <v>10</v>
      </c>
      <c r="H80" s="1269">
        <f t="shared" si="8"/>
        <v>1137.7</v>
      </c>
      <c r="I80" s="1181">
        <v>10</v>
      </c>
      <c r="J80" s="734">
        <f t="shared" si="9"/>
        <v>1137.7</v>
      </c>
      <c r="K80" s="1181">
        <v>10</v>
      </c>
      <c r="L80" s="734">
        <f t="shared" si="10"/>
        <v>1137.7</v>
      </c>
      <c r="M80" s="37"/>
    </row>
    <row r="81" spans="1:14" ht="32.25" customHeight="1">
      <c r="A81" s="3152"/>
      <c r="B81" s="1276" t="s">
        <v>1897</v>
      </c>
      <c r="C81" s="1185" t="s">
        <v>1895</v>
      </c>
      <c r="D81" s="1186">
        <v>7130601072</v>
      </c>
      <c r="E81" s="1187" t="s">
        <v>26</v>
      </c>
      <c r="F81" s="734">
        <f>VLOOKUP(D81,'SOR RATE'!A:D,4,0)/1000</f>
        <v>85.255960000000002</v>
      </c>
      <c r="G81" s="1181">
        <v>300</v>
      </c>
      <c r="H81" s="1269">
        <f t="shared" si="8"/>
        <v>25576.788</v>
      </c>
      <c r="I81" s="1181">
        <f>+G81</f>
        <v>300</v>
      </c>
      <c r="J81" s="734">
        <f t="shared" si="9"/>
        <v>25576.788</v>
      </c>
      <c r="K81" s="1181">
        <f>+G81</f>
        <v>300</v>
      </c>
      <c r="L81" s="734">
        <f t="shared" si="10"/>
        <v>25576.788</v>
      </c>
      <c r="M81" s="174"/>
    </row>
    <row r="82" spans="1:14" ht="18.75" customHeight="1">
      <c r="A82" s="3153"/>
      <c r="B82" s="1183" t="s">
        <v>2113</v>
      </c>
      <c r="C82" s="1280" t="s">
        <v>430</v>
      </c>
      <c r="D82" s="1186">
        <v>7130352046</v>
      </c>
      <c r="E82" s="1187" t="s">
        <v>68</v>
      </c>
      <c r="F82" s="734">
        <f>VLOOKUP(D82,'SOR RATE'!A:D,4,0)</f>
        <v>3896.24</v>
      </c>
      <c r="G82" s="1181">
        <v>5</v>
      </c>
      <c r="H82" s="1269">
        <f t="shared" si="8"/>
        <v>19481.199999999997</v>
      </c>
      <c r="I82" s="1181">
        <v>5</v>
      </c>
      <c r="J82" s="734">
        <f t="shared" si="9"/>
        <v>19481.199999999997</v>
      </c>
      <c r="K82" s="1181">
        <v>6</v>
      </c>
      <c r="L82" s="734">
        <f t="shared" si="10"/>
        <v>23377.439999999999</v>
      </c>
      <c r="M82" s="20"/>
      <c r="N82" s="17"/>
    </row>
    <row r="83" spans="1:14" ht="15.75">
      <c r="A83" s="1218"/>
      <c r="B83" s="931" t="s">
        <v>2114</v>
      </c>
      <c r="C83" s="1262" t="s">
        <v>1898</v>
      </c>
      <c r="D83" s="1281"/>
      <c r="E83" s="938"/>
      <c r="F83" s="1213"/>
      <c r="G83" s="938"/>
      <c r="H83" s="1272">
        <f>SUM(H34:H82)</f>
        <v>3480047.1356320004</v>
      </c>
      <c r="I83" s="1272"/>
      <c r="J83" s="1272">
        <f>SUM(J34:J82)</f>
        <v>6021171.0142320022</v>
      </c>
      <c r="K83" s="1272"/>
      <c r="L83" s="1272">
        <f>SUM(L34:L82)</f>
        <v>8021871.7311319988</v>
      </c>
    </row>
    <row r="84" spans="1:14" ht="16.5" customHeight="1">
      <c r="A84" s="3151">
        <v>3</v>
      </c>
      <c r="B84" s="938"/>
      <c r="C84" s="1282" t="s">
        <v>1899</v>
      </c>
      <c r="D84" s="1283"/>
      <c r="E84" s="1282"/>
      <c r="F84" s="1284"/>
      <c r="G84" s="1284"/>
      <c r="H84" s="1284"/>
      <c r="I84" s="1284"/>
      <c r="J84" s="1284"/>
      <c r="K84" s="1284"/>
      <c r="L84" s="1285"/>
    </row>
    <row r="85" spans="1:14" ht="45" customHeight="1">
      <c r="A85" s="3152"/>
      <c r="B85" s="1183" t="s">
        <v>1680</v>
      </c>
      <c r="C85" s="1257" t="s">
        <v>1900</v>
      </c>
      <c r="D85" s="1186">
        <v>7130601958</v>
      </c>
      <c r="E85" s="1183" t="s">
        <v>26</v>
      </c>
      <c r="F85" s="734">
        <f>VLOOKUP(D85,'SOR RATE'!A:D,4,0)/1000</f>
        <v>64.326520000000002</v>
      </c>
      <c r="G85" s="1286">
        <v>2968</v>
      </c>
      <c r="H85" s="1269">
        <f t="shared" ref="H85:H95" si="11">F85*G85</f>
        <v>190921.11136000001</v>
      </c>
      <c r="I85" s="1286">
        <v>2968</v>
      </c>
      <c r="J85" s="734">
        <f t="shared" ref="J85:J95" si="12">I85*F85</f>
        <v>190921.11136000001</v>
      </c>
      <c r="K85" s="201">
        <f>296.8*12</f>
        <v>3561.6000000000004</v>
      </c>
      <c r="L85" s="734">
        <f t="shared" ref="L85:L95" si="13">K85*F85</f>
        <v>229105.33363200002</v>
      </c>
    </row>
    <row r="86" spans="1:14" ht="45" customHeight="1">
      <c r="A86" s="3152"/>
      <c r="B86" s="1183" t="s">
        <v>1681</v>
      </c>
      <c r="C86" s="1257" t="s">
        <v>1901</v>
      </c>
      <c r="D86" s="1186">
        <v>7130601958</v>
      </c>
      <c r="E86" s="1183" t="s">
        <v>26</v>
      </c>
      <c r="F86" s="734">
        <f>+F85</f>
        <v>64.326520000000002</v>
      </c>
      <c r="G86" s="1183">
        <v>1038.8</v>
      </c>
      <c r="H86" s="1269">
        <f t="shared" si="11"/>
        <v>66822.388976000002</v>
      </c>
      <c r="I86" s="1183">
        <v>1038.8</v>
      </c>
      <c r="J86" s="734">
        <f t="shared" si="12"/>
        <v>66822.388976000002</v>
      </c>
      <c r="K86" s="1286">
        <v>1038.8</v>
      </c>
      <c r="L86" s="734">
        <f t="shared" si="13"/>
        <v>66822.388976000002</v>
      </c>
    </row>
    <row r="87" spans="1:14" ht="45.75" customHeight="1">
      <c r="A87" s="3152"/>
      <c r="B87" s="1183" t="s">
        <v>1682</v>
      </c>
      <c r="C87" s="1257" t="s">
        <v>1902</v>
      </c>
      <c r="D87" s="1186">
        <v>7130601958</v>
      </c>
      <c r="E87" s="1183" t="s">
        <v>26</v>
      </c>
      <c r="F87" s="734">
        <f>+F85</f>
        <v>64.326520000000002</v>
      </c>
      <c r="G87" s="1183">
        <v>3264.8</v>
      </c>
      <c r="H87" s="1269">
        <f t="shared" si="11"/>
        <v>210013.22249600003</v>
      </c>
      <c r="I87" s="1183">
        <f>+G87</f>
        <v>3264.8</v>
      </c>
      <c r="J87" s="734">
        <f t="shared" si="12"/>
        <v>210013.22249600003</v>
      </c>
      <c r="K87" s="1286">
        <v>4081</v>
      </c>
      <c r="L87" s="734">
        <f t="shared" si="13"/>
        <v>262516.52812000003</v>
      </c>
      <c r="M87" s="271"/>
    </row>
    <row r="88" spans="1:14" ht="31.5" customHeight="1">
      <c r="A88" s="3152"/>
      <c r="B88" s="1183" t="s">
        <v>1684</v>
      </c>
      <c r="C88" s="1182" t="s">
        <v>1903</v>
      </c>
      <c r="D88" s="1186">
        <v>7130810684</v>
      </c>
      <c r="E88" s="1183" t="s">
        <v>12</v>
      </c>
      <c r="F88" s="734">
        <f>VLOOKUP(D88,'SOR RATE'!A:D,4,0)</f>
        <v>11136.81</v>
      </c>
      <c r="G88" s="1286">
        <v>22</v>
      </c>
      <c r="H88" s="1269">
        <f t="shared" si="11"/>
        <v>245009.81999999998</v>
      </c>
      <c r="I88" s="1286">
        <v>22</v>
      </c>
      <c r="J88" s="734">
        <f t="shared" si="12"/>
        <v>245009.81999999998</v>
      </c>
      <c r="K88" s="1183">
        <v>28</v>
      </c>
      <c r="L88" s="734">
        <f t="shared" si="13"/>
        <v>311830.68</v>
      </c>
      <c r="M88" s="271"/>
    </row>
    <row r="89" spans="1:14" ht="30.75" customHeight="1">
      <c r="A89" s="3152"/>
      <c r="B89" s="1183" t="s">
        <v>1689</v>
      </c>
      <c r="C89" s="1182" t="s">
        <v>1904</v>
      </c>
      <c r="D89" s="1186">
        <v>7130810006</v>
      </c>
      <c r="E89" s="1183" t="s">
        <v>40</v>
      </c>
      <c r="F89" s="734">
        <f>VLOOKUP(D89,'SOR RATE'!A:D,4,0)</f>
        <v>8965.2999999999993</v>
      </c>
      <c r="G89" s="1286">
        <v>2</v>
      </c>
      <c r="H89" s="1269">
        <f t="shared" si="11"/>
        <v>17930.599999999999</v>
      </c>
      <c r="I89" s="1286">
        <v>2</v>
      </c>
      <c r="J89" s="734">
        <f t="shared" si="12"/>
        <v>17930.599999999999</v>
      </c>
      <c r="K89" s="1183">
        <v>9</v>
      </c>
      <c r="L89" s="734">
        <f t="shared" si="13"/>
        <v>80687.7</v>
      </c>
      <c r="M89" s="271"/>
    </row>
    <row r="90" spans="1:14" ht="30" customHeight="1">
      <c r="A90" s="3152"/>
      <c r="B90" s="1183" t="s">
        <v>1825</v>
      </c>
      <c r="C90" s="1182" t="s">
        <v>1905</v>
      </c>
      <c r="D90" s="1186">
        <v>7130810608</v>
      </c>
      <c r="E90" s="1183" t="s">
        <v>40</v>
      </c>
      <c r="F90" s="734">
        <f>VLOOKUP(D90,'SOR RATE'!A:D,4,0)</f>
        <v>7080.84</v>
      </c>
      <c r="G90" s="1286">
        <v>10</v>
      </c>
      <c r="H90" s="1269">
        <f t="shared" si="11"/>
        <v>70808.399999999994</v>
      </c>
      <c r="I90" s="1286">
        <v>10</v>
      </c>
      <c r="J90" s="734">
        <f t="shared" si="12"/>
        <v>70808.399999999994</v>
      </c>
      <c r="K90" s="1183">
        <v>12</v>
      </c>
      <c r="L90" s="734">
        <f t="shared" si="13"/>
        <v>84970.08</v>
      </c>
      <c r="M90" s="271"/>
    </row>
    <row r="91" spans="1:14" ht="30.75" customHeight="1">
      <c r="A91" s="3152"/>
      <c r="B91" s="1183" t="s">
        <v>1828</v>
      </c>
      <c r="C91" s="1182" t="s">
        <v>1671</v>
      </c>
      <c r="D91" s="1287">
        <v>7130810509</v>
      </c>
      <c r="E91" s="1183" t="s">
        <v>12</v>
      </c>
      <c r="F91" s="734">
        <f>VLOOKUP(D91,'SOR RATE'!A:D,4,0)</f>
        <v>2187.33</v>
      </c>
      <c r="G91" s="1286">
        <v>1</v>
      </c>
      <c r="H91" s="1269">
        <f t="shared" si="11"/>
        <v>2187.33</v>
      </c>
      <c r="I91" s="1286">
        <v>1</v>
      </c>
      <c r="J91" s="734">
        <f t="shared" si="12"/>
        <v>2187.33</v>
      </c>
      <c r="K91" s="1183">
        <v>2</v>
      </c>
      <c r="L91" s="734">
        <f t="shared" si="13"/>
        <v>4374.66</v>
      </c>
      <c r="M91" s="271"/>
    </row>
    <row r="92" spans="1:14" ht="16.5" customHeight="1">
      <c r="A92" s="3152"/>
      <c r="B92" s="1183" t="s">
        <v>1857</v>
      </c>
      <c r="C92" s="1288" t="s">
        <v>1906</v>
      </c>
      <c r="D92" s="1258">
        <v>7130600675</v>
      </c>
      <c r="E92" s="1183" t="s">
        <v>26</v>
      </c>
      <c r="F92" s="734">
        <f>VLOOKUP(D92,'SOR RATE'!A:D,4,0)/1000</f>
        <v>68.748589999999993</v>
      </c>
      <c r="G92" s="1286">
        <v>468</v>
      </c>
      <c r="H92" s="1269">
        <f t="shared" si="11"/>
        <v>32174.340119999997</v>
      </c>
      <c r="I92" s="1286">
        <v>468</v>
      </c>
      <c r="J92" s="734">
        <f t="shared" si="12"/>
        <v>32174.340119999997</v>
      </c>
      <c r="K92" s="1183">
        <v>546</v>
      </c>
      <c r="L92" s="734">
        <f t="shared" si="13"/>
        <v>37536.73014</v>
      </c>
      <c r="M92" s="29"/>
    </row>
    <row r="93" spans="1:14" ht="18.75" customHeight="1">
      <c r="A93" s="3152"/>
      <c r="B93" s="1181" t="s">
        <v>1832</v>
      </c>
      <c r="C93" s="1182" t="s">
        <v>1907</v>
      </c>
      <c r="D93" s="1186">
        <v>7130830063</v>
      </c>
      <c r="E93" s="1181" t="s">
        <v>21</v>
      </c>
      <c r="F93" s="734">
        <f>VLOOKUP(D93,'SOR RATE'!A:D,4,0)/1000</f>
        <v>92.285690000000002</v>
      </c>
      <c r="G93" s="1181">
        <v>500</v>
      </c>
      <c r="H93" s="1269">
        <f t="shared" si="11"/>
        <v>46142.845000000001</v>
      </c>
      <c r="I93" s="1181">
        <v>500</v>
      </c>
      <c r="J93" s="734">
        <f t="shared" si="12"/>
        <v>46142.845000000001</v>
      </c>
      <c r="K93" s="1181">
        <v>600</v>
      </c>
      <c r="L93" s="734">
        <f t="shared" si="13"/>
        <v>55371.414000000004</v>
      </c>
    </row>
    <row r="94" spans="1:14" ht="15.75" customHeight="1">
      <c r="A94" s="3152"/>
      <c r="B94" s="1181" t="s">
        <v>1833</v>
      </c>
      <c r="C94" s="1257" t="s">
        <v>1908</v>
      </c>
      <c r="D94" s="1289">
        <v>7130820009</v>
      </c>
      <c r="E94" s="1181" t="s">
        <v>33</v>
      </c>
      <c r="F94" s="734">
        <f>VLOOKUP(D94,'SOR RATE'!A:D,4,0)</f>
        <v>288.23</v>
      </c>
      <c r="G94" s="1181">
        <v>15</v>
      </c>
      <c r="H94" s="1269">
        <f t="shared" si="11"/>
        <v>4323.4500000000007</v>
      </c>
      <c r="I94" s="1181">
        <v>18</v>
      </c>
      <c r="J94" s="734">
        <f t="shared" si="12"/>
        <v>5188.1400000000003</v>
      </c>
      <c r="K94" s="1181">
        <v>21</v>
      </c>
      <c r="L94" s="734">
        <f t="shared" si="13"/>
        <v>6052.83</v>
      </c>
      <c r="M94" s="186"/>
    </row>
    <row r="95" spans="1:14" ht="15.75" customHeight="1">
      <c r="A95" s="3152"/>
      <c r="B95" s="1181" t="s">
        <v>1834</v>
      </c>
      <c r="C95" s="1257" t="s">
        <v>1909</v>
      </c>
      <c r="D95" s="1289">
        <v>7130820008</v>
      </c>
      <c r="E95" s="1181" t="s">
        <v>33</v>
      </c>
      <c r="F95" s="734">
        <f>VLOOKUP(D95,'SOR RATE'!A:D,4,0)</f>
        <v>157.08000000000001</v>
      </c>
      <c r="G95" s="1181">
        <v>0</v>
      </c>
      <c r="H95" s="1269">
        <f t="shared" si="11"/>
        <v>0</v>
      </c>
      <c r="I95" s="1181">
        <v>0</v>
      </c>
      <c r="J95" s="734">
        <f t="shared" si="12"/>
        <v>0</v>
      </c>
      <c r="K95" s="1181">
        <v>0</v>
      </c>
      <c r="L95" s="734">
        <f t="shared" si="13"/>
        <v>0</v>
      </c>
      <c r="M95" s="186"/>
    </row>
    <row r="96" spans="1:14" ht="15.75" customHeight="1">
      <c r="A96" s="3152"/>
      <c r="B96" s="1183" t="s">
        <v>1836</v>
      </c>
      <c r="C96" s="1257" t="s">
        <v>1910</v>
      </c>
      <c r="D96" s="1289">
        <v>7130820013</v>
      </c>
      <c r="E96" s="1181" t="s">
        <v>33</v>
      </c>
      <c r="F96" s="734">
        <f>VLOOKUP(D96,'SOR RATE'!A:D,4,0)</f>
        <v>216.4</v>
      </c>
      <c r="G96" s="1181">
        <v>81</v>
      </c>
      <c r="H96" s="1269">
        <f t="shared" ref="H96:H102" si="14">F96*G96</f>
        <v>17528.400000000001</v>
      </c>
      <c r="I96" s="1181">
        <v>81</v>
      </c>
      <c r="J96" s="734">
        <f t="shared" ref="J96:J102" si="15">I96*F96</f>
        <v>17528.400000000001</v>
      </c>
      <c r="K96" s="1181">
        <v>99</v>
      </c>
      <c r="L96" s="734">
        <f t="shared" ref="L96:L102" si="16">K96*F96</f>
        <v>21423.600000000002</v>
      </c>
      <c r="M96" s="60"/>
      <c r="N96" s="415"/>
    </row>
    <row r="97" spans="1:14" ht="15.75" customHeight="1">
      <c r="A97" s="3152"/>
      <c r="B97" s="1183" t="s">
        <v>1858</v>
      </c>
      <c r="C97" s="1257" t="s">
        <v>1911</v>
      </c>
      <c r="D97" s="1289">
        <v>7130820248</v>
      </c>
      <c r="E97" s="1181" t="s">
        <v>33</v>
      </c>
      <c r="F97" s="734">
        <f>VLOOKUP(D97,'SOR RATE'!A:D,4,0)</f>
        <v>318.89</v>
      </c>
      <c r="G97" s="1181">
        <f>27+54</f>
        <v>81</v>
      </c>
      <c r="H97" s="1269">
        <f t="shared" si="14"/>
        <v>25830.09</v>
      </c>
      <c r="I97" s="1181">
        <f>+G97</f>
        <v>81</v>
      </c>
      <c r="J97" s="734">
        <f t="shared" si="15"/>
        <v>25830.09</v>
      </c>
      <c r="K97" s="1181">
        <v>99</v>
      </c>
      <c r="L97" s="734">
        <f t="shared" si="16"/>
        <v>31570.109999999997</v>
      </c>
    </row>
    <row r="98" spans="1:14" ht="28.5">
      <c r="A98" s="3152"/>
      <c r="B98" s="1183" t="s">
        <v>1860</v>
      </c>
      <c r="C98" s="1200" t="s">
        <v>1912</v>
      </c>
      <c r="D98" s="1186">
        <v>7130820010</v>
      </c>
      <c r="E98" s="1181" t="s">
        <v>33</v>
      </c>
      <c r="F98" s="734">
        <f>VLOOKUP(D98,'SOR RATE'!A232:D232,4,0)</f>
        <v>118.97</v>
      </c>
      <c r="G98" s="1183">
        <v>0</v>
      </c>
      <c r="H98" s="1269">
        <f t="shared" si="14"/>
        <v>0</v>
      </c>
      <c r="I98" s="1183">
        <v>0</v>
      </c>
      <c r="J98" s="734">
        <f t="shared" si="15"/>
        <v>0</v>
      </c>
      <c r="K98" s="1183">
        <v>0</v>
      </c>
      <c r="L98" s="734">
        <f t="shared" si="16"/>
        <v>0</v>
      </c>
      <c r="M98" s="180"/>
    </row>
    <row r="99" spans="1:14" ht="15.75" customHeight="1">
      <c r="A99" s="3152"/>
      <c r="B99" s="1183" t="s">
        <v>1861</v>
      </c>
      <c r="C99" s="1182" t="s">
        <v>1913</v>
      </c>
      <c r="D99" s="1186">
        <v>7130810624</v>
      </c>
      <c r="E99" s="1183" t="s">
        <v>33</v>
      </c>
      <c r="F99" s="734">
        <f>VLOOKUP(D99,'SOR RATE'!A:D,4,0)</f>
        <v>114.38</v>
      </c>
      <c r="G99" s="1183">
        <v>198</v>
      </c>
      <c r="H99" s="1269">
        <f t="shared" si="14"/>
        <v>22647.239999999998</v>
      </c>
      <c r="I99" s="1183">
        <f>+G99</f>
        <v>198</v>
      </c>
      <c r="J99" s="734">
        <f t="shared" si="15"/>
        <v>22647.239999999998</v>
      </c>
      <c r="K99" s="1183">
        <v>246</v>
      </c>
      <c r="L99" s="734">
        <f t="shared" si="16"/>
        <v>28137.48</v>
      </c>
    </row>
    <row r="100" spans="1:14" ht="15.75" customHeight="1">
      <c r="A100" s="3152"/>
      <c r="B100" s="1183" t="s">
        <v>1862</v>
      </c>
      <c r="C100" s="1182" t="s">
        <v>197</v>
      </c>
      <c r="D100" s="1186">
        <v>7130810692</v>
      </c>
      <c r="E100" s="1181" t="s">
        <v>15</v>
      </c>
      <c r="F100" s="734">
        <f>VLOOKUP(D100,'SOR RATE'!A:D,4,0)</f>
        <v>410.25</v>
      </c>
      <c r="G100" s="1183">
        <v>64</v>
      </c>
      <c r="H100" s="1269">
        <f t="shared" si="14"/>
        <v>26256</v>
      </c>
      <c r="I100" s="1183">
        <v>64</v>
      </c>
      <c r="J100" s="734">
        <f t="shared" si="15"/>
        <v>26256</v>
      </c>
      <c r="K100" s="1183">
        <v>66</v>
      </c>
      <c r="L100" s="734">
        <f t="shared" si="16"/>
        <v>27076.5</v>
      </c>
      <c r="M100" s="728" t="s">
        <v>119</v>
      </c>
    </row>
    <row r="101" spans="1:14" ht="15.75" customHeight="1">
      <c r="A101" s="3152"/>
      <c r="B101" s="1276" t="s">
        <v>1864</v>
      </c>
      <c r="C101" s="1257" t="s">
        <v>28</v>
      </c>
      <c r="D101" s="1276">
        <v>7130211158</v>
      </c>
      <c r="E101" s="1276" t="s">
        <v>29</v>
      </c>
      <c r="F101" s="734">
        <f>VLOOKUP(D101,'SOR RATE'!A:D,4,0)</f>
        <v>193.62</v>
      </c>
      <c r="G101" s="1183">
        <v>40</v>
      </c>
      <c r="H101" s="1269">
        <f t="shared" si="14"/>
        <v>7744.8</v>
      </c>
      <c r="I101" s="1183">
        <v>40</v>
      </c>
      <c r="J101" s="734">
        <f t="shared" si="15"/>
        <v>7744.8</v>
      </c>
      <c r="K101" s="1183">
        <v>45</v>
      </c>
      <c r="L101" s="734">
        <f t="shared" si="16"/>
        <v>8712.9</v>
      </c>
      <c r="M101" s="60"/>
      <c r="N101" s="187"/>
    </row>
    <row r="102" spans="1:14" ht="15.75" customHeight="1">
      <c r="A102" s="3153"/>
      <c r="B102" s="1276" t="s">
        <v>1867</v>
      </c>
      <c r="C102" s="1257" t="s">
        <v>30</v>
      </c>
      <c r="D102" s="1276">
        <v>7130210809</v>
      </c>
      <c r="E102" s="1276" t="s">
        <v>29</v>
      </c>
      <c r="F102" s="734">
        <f>VLOOKUP(D102,'SOR RATE'!A:D,4,0)</f>
        <v>432.63</v>
      </c>
      <c r="G102" s="1183">
        <v>40</v>
      </c>
      <c r="H102" s="1269">
        <f t="shared" si="14"/>
        <v>17305.2</v>
      </c>
      <c r="I102" s="1183">
        <v>40</v>
      </c>
      <c r="J102" s="734">
        <f t="shared" si="15"/>
        <v>17305.2</v>
      </c>
      <c r="K102" s="1183">
        <v>45</v>
      </c>
      <c r="L102" s="734">
        <f t="shared" si="16"/>
        <v>19468.349999999999</v>
      </c>
      <c r="M102" s="650"/>
      <c r="N102" s="187"/>
    </row>
    <row r="103" spans="1:14" ht="15.75">
      <c r="A103" s="1218"/>
      <c r="B103" s="938" t="s">
        <v>1869</v>
      </c>
      <c r="C103" s="1262" t="s">
        <v>1914</v>
      </c>
      <c r="D103" s="1281"/>
      <c r="E103" s="938"/>
      <c r="F103" s="1213"/>
      <c r="G103" s="938"/>
      <c r="H103" s="1272">
        <f>SUM(H85:H102)</f>
        <v>1003645.2379519998</v>
      </c>
      <c r="I103" s="1272"/>
      <c r="J103" s="1272">
        <f>SUM(J85:J102)</f>
        <v>1004509.9279519998</v>
      </c>
      <c r="K103" s="1272"/>
      <c r="L103" s="1272">
        <f>SUM(L85:L102)</f>
        <v>1275657.2848680005</v>
      </c>
    </row>
    <row r="104" spans="1:14" ht="16.5" customHeight="1">
      <c r="A104" s="3151">
        <v>4</v>
      </c>
      <c r="B104" s="938"/>
      <c r="C104" s="1282" t="s">
        <v>1915</v>
      </c>
      <c r="D104" s="1282"/>
      <c r="E104" s="1284"/>
      <c r="F104" s="1284"/>
      <c r="G104" s="1284"/>
      <c r="H104" s="1284"/>
      <c r="I104" s="1284"/>
      <c r="J104" s="1284"/>
      <c r="K104" s="1284"/>
      <c r="L104" s="1285"/>
    </row>
    <row r="105" spans="1:14" ht="31.5" customHeight="1">
      <c r="A105" s="3152"/>
      <c r="B105" s="1181" t="s">
        <v>1821</v>
      </c>
      <c r="C105" s="1262" t="s">
        <v>1916</v>
      </c>
      <c r="D105" s="1258">
        <v>7130200202</v>
      </c>
      <c r="E105" s="1181" t="s">
        <v>76</v>
      </c>
      <c r="F105" s="734">
        <f>VLOOKUP(D105,'SOR RATE'!A:D,4,0)</f>
        <v>2970</v>
      </c>
      <c r="G105" s="1181">
        <v>51.6</v>
      </c>
      <c r="H105" s="1269">
        <f t="shared" ref="H105:H111" si="17">F105*G105</f>
        <v>153252</v>
      </c>
      <c r="I105" s="1181">
        <v>60.6</v>
      </c>
      <c r="J105" s="734">
        <f t="shared" ref="J105:J111" si="18">I105*F105</f>
        <v>179982</v>
      </c>
      <c r="K105" s="1181">
        <v>67.2</v>
      </c>
      <c r="L105" s="734">
        <f t="shared" ref="L105:L111" si="19">K105*F105</f>
        <v>199584</v>
      </c>
      <c r="M105" s="486" t="s">
        <v>47</v>
      </c>
    </row>
    <row r="106" spans="1:14" ht="30.75" customHeight="1">
      <c r="A106" s="3152"/>
      <c r="B106" s="1181" t="s">
        <v>1681</v>
      </c>
      <c r="C106" s="1182" t="s">
        <v>1917</v>
      </c>
      <c r="D106" s="1258">
        <v>7130311010</v>
      </c>
      <c r="E106" s="1181" t="s">
        <v>190</v>
      </c>
      <c r="F106" s="734">
        <f>VLOOKUP(D106,'SOR RATE'!A:D,4,0)/1000</f>
        <v>79.580550000000002</v>
      </c>
      <c r="G106" s="1181">
        <v>10</v>
      </c>
      <c r="H106" s="1269">
        <f t="shared" si="17"/>
        <v>795.80550000000005</v>
      </c>
      <c r="I106" s="1181">
        <v>10</v>
      </c>
      <c r="J106" s="734">
        <f t="shared" si="18"/>
        <v>795.80550000000005</v>
      </c>
      <c r="K106" s="1181">
        <v>10</v>
      </c>
      <c r="L106" s="734">
        <f t="shared" si="19"/>
        <v>795.80550000000005</v>
      </c>
      <c r="M106" s="29"/>
    </row>
    <row r="107" spans="1:14" ht="45" customHeight="1">
      <c r="A107" s="3152"/>
      <c r="B107" s="1183" t="s">
        <v>1682</v>
      </c>
      <c r="C107" s="1257" t="s">
        <v>1918</v>
      </c>
      <c r="D107" s="1258">
        <v>7130311084</v>
      </c>
      <c r="E107" s="1183" t="s">
        <v>190</v>
      </c>
      <c r="F107" s="734">
        <f>VLOOKUP(D107,'SOR RATE'!A:D,4,0)/1000</f>
        <v>78.216340000000002</v>
      </c>
      <c r="G107" s="1183">
        <v>300</v>
      </c>
      <c r="H107" s="1269">
        <f t="shared" si="17"/>
        <v>23464.902000000002</v>
      </c>
      <c r="I107" s="1183">
        <v>300</v>
      </c>
      <c r="J107" s="734">
        <f t="shared" si="18"/>
        <v>23464.902000000002</v>
      </c>
      <c r="K107" s="1183">
        <v>300</v>
      </c>
      <c r="L107" s="734">
        <f t="shared" si="19"/>
        <v>23464.902000000002</v>
      </c>
      <c r="M107" s="644"/>
    </row>
    <row r="108" spans="1:14" ht="18.75" customHeight="1">
      <c r="A108" s="3152"/>
      <c r="B108" s="1181" t="s">
        <v>1684</v>
      </c>
      <c r="C108" s="1290" t="s">
        <v>1275</v>
      </c>
      <c r="D108" s="1258">
        <v>7131210030</v>
      </c>
      <c r="E108" s="1291" t="s">
        <v>40</v>
      </c>
      <c r="F108" s="734">
        <f>VLOOKUP(D108,'SOR RATE'!A:D,4,0)</f>
        <v>2455.36</v>
      </c>
      <c r="G108" s="1181">
        <v>4</v>
      </c>
      <c r="H108" s="1269">
        <f t="shared" si="17"/>
        <v>9821.44</v>
      </c>
      <c r="I108" s="1181">
        <v>4</v>
      </c>
      <c r="J108" s="734">
        <f t="shared" si="18"/>
        <v>9821.44</v>
      </c>
      <c r="K108" s="1181">
        <v>4</v>
      </c>
      <c r="L108" s="734">
        <f t="shared" si="19"/>
        <v>9821.44</v>
      </c>
      <c r="M108" s="638"/>
    </row>
    <row r="109" spans="1:14" ht="18.75" customHeight="1">
      <c r="A109" s="3152"/>
      <c r="B109" s="1196" t="s">
        <v>1689</v>
      </c>
      <c r="C109" s="1290" t="s">
        <v>1277</v>
      </c>
      <c r="D109" s="1258">
        <v>7131210032</v>
      </c>
      <c r="E109" s="1291" t="s">
        <v>40</v>
      </c>
      <c r="F109" s="734">
        <f>VLOOKUP(D109,'SOR RATE'!A:D,4,0)</f>
        <v>4486.92</v>
      </c>
      <c r="G109" s="1181">
        <v>6</v>
      </c>
      <c r="H109" s="1269">
        <f t="shared" si="17"/>
        <v>26921.52</v>
      </c>
      <c r="I109" s="1181">
        <v>6</v>
      </c>
      <c r="J109" s="734">
        <f t="shared" si="18"/>
        <v>26921.52</v>
      </c>
      <c r="K109" s="1181">
        <v>6</v>
      </c>
      <c r="L109" s="734">
        <f t="shared" si="19"/>
        <v>26921.52</v>
      </c>
      <c r="M109" s="638"/>
      <c r="N109" s="651"/>
    </row>
    <row r="110" spans="1:14" ht="17.25" customHeight="1">
      <c r="A110" s="3152"/>
      <c r="B110" s="1292" t="s">
        <v>1825</v>
      </c>
      <c r="C110" s="1257" t="s">
        <v>1318</v>
      </c>
      <c r="D110" s="1258">
        <v>7131920028</v>
      </c>
      <c r="E110" s="1181" t="s">
        <v>12</v>
      </c>
      <c r="F110" s="734">
        <f>VLOOKUP(D110,'SOR RATE'!A:D,4,0)</f>
        <v>11773.41</v>
      </c>
      <c r="G110" s="1181">
        <v>1</v>
      </c>
      <c r="H110" s="1269">
        <f t="shared" si="17"/>
        <v>11773.41</v>
      </c>
      <c r="I110" s="1181">
        <v>1</v>
      </c>
      <c r="J110" s="734">
        <f t="shared" si="18"/>
        <v>11773.41</v>
      </c>
      <c r="K110" s="1181">
        <v>1</v>
      </c>
      <c r="L110" s="734">
        <f t="shared" si="19"/>
        <v>11773.41</v>
      </c>
      <c r="M110" s="29"/>
      <c r="N110" s="651"/>
    </row>
    <row r="111" spans="1:14" ht="45.75" customHeight="1">
      <c r="A111" s="3152"/>
      <c r="B111" s="1292" t="s">
        <v>1828</v>
      </c>
      <c r="C111" s="1257" t="s">
        <v>1919</v>
      </c>
      <c r="D111" s="1258">
        <v>7132406800</v>
      </c>
      <c r="E111" s="1181" t="s">
        <v>1320</v>
      </c>
      <c r="F111" s="734">
        <f>VLOOKUP(D111,'SOR RATE'!A:D,4,0)</f>
        <v>12278.85</v>
      </c>
      <c r="G111" s="1181">
        <v>1</v>
      </c>
      <c r="H111" s="1269">
        <f t="shared" si="17"/>
        <v>12278.85</v>
      </c>
      <c r="I111" s="1181">
        <v>1</v>
      </c>
      <c r="J111" s="734">
        <f t="shared" si="18"/>
        <v>12278.85</v>
      </c>
      <c r="K111" s="1181">
        <v>1</v>
      </c>
      <c r="L111" s="734">
        <f t="shared" si="19"/>
        <v>12278.85</v>
      </c>
      <c r="M111" s="29"/>
      <c r="N111" s="651"/>
    </row>
    <row r="112" spans="1:14" ht="31.5" customHeight="1">
      <c r="A112" s="3152"/>
      <c r="B112" s="3162" t="s">
        <v>1857</v>
      </c>
      <c r="C112" s="1262" t="s">
        <v>1920</v>
      </c>
      <c r="D112" s="1293"/>
      <c r="E112" s="1183" t="s">
        <v>114</v>
      </c>
      <c r="F112" s="190"/>
      <c r="G112" s="1183" t="s">
        <v>114</v>
      </c>
      <c r="H112" s="735"/>
      <c r="I112" s="1183" t="s">
        <v>114</v>
      </c>
      <c r="J112" s="735"/>
      <c r="K112" s="1183" t="s">
        <v>114</v>
      </c>
      <c r="L112" s="1294"/>
    </row>
    <row r="113" spans="1:16" ht="29.25" customHeight="1">
      <c r="A113" s="3152"/>
      <c r="B113" s="3163"/>
      <c r="C113" s="1257" t="s">
        <v>1921</v>
      </c>
      <c r="D113" s="1258">
        <v>7130642041</v>
      </c>
      <c r="E113" s="1183" t="s">
        <v>12</v>
      </c>
      <c r="F113" s="734">
        <f>VLOOKUP(D113,'SOR RATE'!A:D,4,0)</f>
        <v>5075.34</v>
      </c>
      <c r="G113" s="1183">
        <v>21</v>
      </c>
      <c r="H113" s="1269">
        <f t="shared" ref="H113:H119" si="20">F113*G113</f>
        <v>106582.14</v>
      </c>
      <c r="I113" s="1183">
        <v>21</v>
      </c>
      <c r="J113" s="734">
        <f t="shared" ref="J113:J119" si="21">I113*F113</f>
        <v>106582.14</v>
      </c>
      <c r="K113" s="1183">
        <v>21</v>
      </c>
      <c r="L113" s="734">
        <f t="shared" ref="L113:L119" si="22">K113*F113</f>
        <v>106582.14</v>
      </c>
      <c r="M113" s="271"/>
    </row>
    <row r="114" spans="1:16" ht="58.5" customHeight="1">
      <c r="A114" s="3152"/>
      <c r="B114" s="3163"/>
      <c r="C114" s="1257" t="s">
        <v>1922</v>
      </c>
      <c r="D114" s="1258">
        <v>7130642039</v>
      </c>
      <c r="E114" s="1183" t="s">
        <v>12</v>
      </c>
      <c r="F114" s="734">
        <f>VLOOKUP(D114,'SOR RATE'!A:D,4,0)</f>
        <v>998.57</v>
      </c>
      <c r="G114" s="1183">
        <v>47</v>
      </c>
      <c r="H114" s="735">
        <f t="shared" si="20"/>
        <v>46932.79</v>
      </c>
      <c r="I114" s="1183">
        <v>47</v>
      </c>
      <c r="J114" s="735">
        <f t="shared" si="21"/>
        <v>46932.79</v>
      </c>
      <c r="K114" s="1183">
        <v>47</v>
      </c>
      <c r="L114" s="734">
        <f t="shared" si="22"/>
        <v>46932.79</v>
      </c>
      <c r="M114" s="741" t="s">
        <v>2115</v>
      </c>
    </row>
    <row r="115" spans="1:16" ht="30" customHeight="1">
      <c r="A115" s="3152"/>
      <c r="B115" s="3163"/>
      <c r="C115" s="1257" t="s">
        <v>1923</v>
      </c>
      <c r="D115" s="1183">
        <v>7130600173</v>
      </c>
      <c r="E115" s="1183" t="s">
        <v>26</v>
      </c>
      <c r="F115" s="734">
        <f>VLOOKUP(D115,'SOR RATE'!A:D,4,0)/1000</f>
        <v>57.763910000000003</v>
      </c>
      <c r="G115" s="1183">
        <f>400*2.5</f>
        <v>1000</v>
      </c>
      <c r="H115" s="1269">
        <f t="shared" si="20"/>
        <v>57763.91</v>
      </c>
      <c r="I115" s="1183">
        <f>400*2.5</f>
        <v>1000</v>
      </c>
      <c r="J115" s="734">
        <f t="shared" si="21"/>
        <v>57763.91</v>
      </c>
      <c r="K115" s="1183">
        <f>400*2.5</f>
        <v>1000</v>
      </c>
      <c r="L115" s="734">
        <f t="shared" si="22"/>
        <v>57763.91</v>
      </c>
      <c r="M115" s="198"/>
    </row>
    <row r="116" spans="1:16" ht="15.75" customHeight="1">
      <c r="A116" s="3152"/>
      <c r="B116" s="3163"/>
      <c r="C116" s="1182" t="s">
        <v>1924</v>
      </c>
      <c r="D116" s="1258">
        <v>7130870043</v>
      </c>
      <c r="E116" s="1181" t="s">
        <v>26</v>
      </c>
      <c r="F116" s="734">
        <f>VLOOKUP(D116,'SOR RATE'!A:D,4,0)/1000</f>
        <v>80.521839999999997</v>
      </c>
      <c r="G116" s="1183">
        <v>31</v>
      </c>
      <c r="H116" s="1269">
        <f t="shared" si="20"/>
        <v>2496.17704</v>
      </c>
      <c r="I116" s="1183">
        <v>31</v>
      </c>
      <c r="J116" s="734">
        <f t="shared" si="21"/>
        <v>2496.17704</v>
      </c>
      <c r="K116" s="1183">
        <v>31</v>
      </c>
      <c r="L116" s="734">
        <f t="shared" si="22"/>
        <v>2496.17704</v>
      </c>
    </row>
    <row r="117" spans="1:16" ht="15.75" customHeight="1">
      <c r="A117" s="3152"/>
      <c r="B117" s="3163"/>
      <c r="C117" s="1182" t="s">
        <v>1925</v>
      </c>
      <c r="D117" s="1258">
        <v>7130620133</v>
      </c>
      <c r="E117" s="1181" t="s">
        <v>26</v>
      </c>
      <c r="F117" s="734">
        <f>VLOOKUP(D117,'SOR RATE'!A:D,4,0)</f>
        <v>120.67</v>
      </c>
      <c r="G117" s="1183">
        <v>25</v>
      </c>
      <c r="H117" s="1269">
        <f t="shared" si="20"/>
        <v>3016.75</v>
      </c>
      <c r="I117" s="1183">
        <v>25</v>
      </c>
      <c r="J117" s="734">
        <f t="shared" si="21"/>
        <v>3016.75</v>
      </c>
      <c r="K117" s="1183">
        <v>25</v>
      </c>
      <c r="L117" s="734">
        <f t="shared" si="22"/>
        <v>3016.75</v>
      </c>
    </row>
    <row r="118" spans="1:16" ht="15.75" customHeight="1">
      <c r="A118" s="3152"/>
      <c r="B118" s="3163"/>
      <c r="C118" s="1182" t="s">
        <v>1926</v>
      </c>
      <c r="D118" s="1258">
        <v>7130620140</v>
      </c>
      <c r="E118" s="1181" t="s">
        <v>26</v>
      </c>
      <c r="F118" s="734">
        <f>VLOOKUP(D118,'SOR RATE'!A:D,4,0)</f>
        <v>120.67</v>
      </c>
      <c r="G118" s="1183">
        <v>10</v>
      </c>
      <c r="H118" s="1269">
        <f t="shared" si="20"/>
        <v>1206.7</v>
      </c>
      <c r="I118" s="1183">
        <v>10</v>
      </c>
      <c r="J118" s="734">
        <f t="shared" si="21"/>
        <v>1206.7</v>
      </c>
      <c r="K118" s="1183">
        <v>10</v>
      </c>
      <c r="L118" s="734">
        <f t="shared" si="22"/>
        <v>1206.7</v>
      </c>
      <c r="M118" s="646"/>
      <c r="N118" s="646"/>
      <c r="O118" s="646"/>
      <c r="P118" s="646"/>
    </row>
    <row r="119" spans="1:16" ht="15.75" customHeight="1">
      <c r="A119" s="3152"/>
      <c r="B119" s="3163"/>
      <c r="C119" s="1182" t="s">
        <v>1927</v>
      </c>
      <c r="D119" s="1258">
        <v>7130622922</v>
      </c>
      <c r="E119" s="1181" t="s">
        <v>26</v>
      </c>
      <c r="F119" s="734">
        <f>VLOOKUP(D119,'SOR RATE'!A:D,4,0)</f>
        <v>175.32</v>
      </c>
      <c r="G119" s="1183">
        <v>5</v>
      </c>
      <c r="H119" s="1269">
        <f t="shared" si="20"/>
        <v>876.59999999999991</v>
      </c>
      <c r="I119" s="1183">
        <v>5</v>
      </c>
      <c r="J119" s="734">
        <f t="shared" si="21"/>
        <v>876.59999999999991</v>
      </c>
      <c r="K119" s="1183">
        <v>5</v>
      </c>
      <c r="L119" s="734">
        <f t="shared" si="22"/>
        <v>876.59999999999991</v>
      </c>
    </row>
    <row r="120" spans="1:16" ht="15.75" customHeight="1">
      <c r="A120" s="3152"/>
      <c r="B120" s="3163"/>
      <c r="C120" s="1262" t="s">
        <v>1678</v>
      </c>
      <c r="D120" s="1293"/>
      <c r="E120" s="1209" t="s">
        <v>26</v>
      </c>
      <c r="F120" s="1269"/>
      <c r="G120" s="1183">
        <v>186</v>
      </c>
      <c r="H120" s="1269"/>
      <c r="I120" s="1183">
        <v>270</v>
      </c>
      <c r="J120" s="734"/>
      <c r="K120" s="1183">
        <v>270</v>
      </c>
      <c r="L120" s="734"/>
    </row>
    <row r="121" spans="1:16" ht="15.75" customHeight="1">
      <c r="A121" s="3152"/>
      <c r="B121" s="3163"/>
      <c r="C121" s="1182" t="s">
        <v>1928</v>
      </c>
      <c r="D121" s="1258">
        <v>7130620609</v>
      </c>
      <c r="E121" s="1181" t="s">
        <v>26</v>
      </c>
      <c r="F121" s="734">
        <f>VLOOKUP(D121,'SOR RATE'!A:D,4,0)</f>
        <v>87.23</v>
      </c>
      <c r="G121" s="1181">
        <v>10</v>
      </c>
      <c r="H121" s="1269">
        <f t="shared" ref="H121:H126" si="23">F121*G121</f>
        <v>872.30000000000007</v>
      </c>
      <c r="I121" s="1181">
        <v>15</v>
      </c>
      <c r="J121" s="734">
        <f t="shared" ref="J121:J126" si="24">I121*F121</f>
        <v>1308.45</v>
      </c>
      <c r="K121" s="1181">
        <v>15</v>
      </c>
      <c r="L121" s="734">
        <f t="shared" ref="L121:L126" si="25">K121*F121</f>
        <v>1308.45</v>
      </c>
    </row>
    <row r="122" spans="1:16" ht="15.75" customHeight="1">
      <c r="A122" s="3152"/>
      <c r="B122" s="3163"/>
      <c r="C122" s="1182" t="s">
        <v>1929</v>
      </c>
      <c r="D122" s="1258">
        <v>7130620614</v>
      </c>
      <c r="E122" s="1181" t="s">
        <v>26</v>
      </c>
      <c r="F122" s="734">
        <f>VLOOKUP(D122,'SOR RATE'!A:D,4,0)</f>
        <v>85.77</v>
      </c>
      <c r="G122" s="1181">
        <v>5</v>
      </c>
      <c r="H122" s="1269">
        <f t="shared" si="23"/>
        <v>428.84999999999997</v>
      </c>
      <c r="I122" s="1181">
        <v>10</v>
      </c>
      <c r="J122" s="734">
        <f t="shared" si="24"/>
        <v>857.69999999999993</v>
      </c>
      <c r="K122" s="1181">
        <v>10</v>
      </c>
      <c r="L122" s="734">
        <f t="shared" si="25"/>
        <v>857.69999999999993</v>
      </c>
    </row>
    <row r="123" spans="1:16" ht="15.75" customHeight="1">
      <c r="A123" s="3152"/>
      <c r="B123" s="3163"/>
      <c r="C123" s="1182" t="s">
        <v>1930</v>
      </c>
      <c r="D123" s="1258">
        <v>7130620619</v>
      </c>
      <c r="E123" s="1181" t="s">
        <v>26</v>
      </c>
      <c r="F123" s="734">
        <f>VLOOKUP(D123,'SOR RATE'!A:D,4,0)</f>
        <v>85.77</v>
      </c>
      <c r="G123" s="1181">
        <v>15</v>
      </c>
      <c r="H123" s="1269">
        <f t="shared" si="23"/>
        <v>1286.55</v>
      </c>
      <c r="I123" s="1181">
        <v>25</v>
      </c>
      <c r="J123" s="734">
        <f t="shared" si="24"/>
        <v>2144.25</v>
      </c>
      <c r="K123" s="1181">
        <v>25</v>
      </c>
      <c r="L123" s="734">
        <f t="shared" si="25"/>
        <v>2144.25</v>
      </c>
    </row>
    <row r="124" spans="1:16" ht="15.75" customHeight="1">
      <c r="A124" s="3152"/>
      <c r="B124" s="3163"/>
      <c r="C124" s="1182" t="s">
        <v>1931</v>
      </c>
      <c r="D124" s="1258">
        <v>7130620627</v>
      </c>
      <c r="E124" s="1181" t="s">
        <v>26</v>
      </c>
      <c r="F124" s="734">
        <f>VLOOKUP(D124,'SOR RATE'!A:D,4,0)</f>
        <v>84.32</v>
      </c>
      <c r="G124" s="1181">
        <v>66</v>
      </c>
      <c r="H124" s="1269">
        <f t="shared" si="23"/>
        <v>5565.12</v>
      </c>
      <c r="I124" s="1181">
        <v>85</v>
      </c>
      <c r="J124" s="734">
        <f t="shared" si="24"/>
        <v>7167.2</v>
      </c>
      <c r="K124" s="1181">
        <v>85</v>
      </c>
      <c r="L124" s="734">
        <f t="shared" si="25"/>
        <v>7167.2</v>
      </c>
    </row>
    <row r="125" spans="1:16" ht="15.75" customHeight="1">
      <c r="A125" s="3152"/>
      <c r="B125" s="3163"/>
      <c r="C125" s="1182" t="s">
        <v>1932</v>
      </c>
      <c r="D125" s="1258">
        <v>7130620631</v>
      </c>
      <c r="E125" s="1181" t="s">
        <v>26</v>
      </c>
      <c r="F125" s="734">
        <f>VLOOKUP(D125,'SOR RATE'!A:D,4,0)</f>
        <v>84.32</v>
      </c>
      <c r="G125" s="1181">
        <v>80</v>
      </c>
      <c r="H125" s="1269">
        <f t="shared" si="23"/>
        <v>6745.5999999999995</v>
      </c>
      <c r="I125" s="1181">
        <v>110</v>
      </c>
      <c r="J125" s="734">
        <f t="shared" si="24"/>
        <v>9275.1999999999989</v>
      </c>
      <c r="K125" s="1181">
        <v>110</v>
      </c>
      <c r="L125" s="734">
        <f t="shared" si="25"/>
        <v>9275.1999999999989</v>
      </c>
    </row>
    <row r="126" spans="1:16" ht="15.75" customHeight="1">
      <c r="A126" s="3152"/>
      <c r="B126" s="3164"/>
      <c r="C126" s="1182" t="s">
        <v>1933</v>
      </c>
      <c r="D126" s="1258">
        <v>7130620637</v>
      </c>
      <c r="E126" s="1181" t="s">
        <v>26</v>
      </c>
      <c r="F126" s="734">
        <f>VLOOKUP(D126,'SOR RATE'!A:D,4,0)</f>
        <v>84.32</v>
      </c>
      <c r="G126" s="1181">
        <v>10</v>
      </c>
      <c r="H126" s="1269">
        <f t="shared" si="23"/>
        <v>843.19999999999993</v>
      </c>
      <c r="I126" s="1181">
        <v>25</v>
      </c>
      <c r="J126" s="734">
        <f t="shared" si="24"/>
        <v>2108</v>
      </c>
      <c r="K126" s="1181">
        <v>25</v>
      </c>
      <c r="L126" s="734">
        <f t="shared" si="25"/>
        <v>2108</v>
      </c>
    </row>
    <row r="127" spans="1:16" ht="18.75" customHeight="1">
      <c r="A127" s="3152"/>
      <c r="B127" s="3154" t="s">
        <v>1832</v>
      </c>
      <c r="C127" s="1295" t="s">
        <v>1934</v>
      </c>
      <c r="D127" s="1296"/>
      <c r="E127" s="1297"/>
      <c r="F127" s="1297"/>
      <c r="G127" s="1297"/>
      <c r="H127" s="1297"/>
      <c r="I127" s="1297"/>
      <c r="J127" s="1297"/>
      <c r="K127" s="1297"/>
      <c r="L127" s="1298"/>
    </row>
    <row r="128" spans="1:16" ht="18" customHeight="1">
      <c r="A128" s="3152"/>
      <c r="B128" s="3155"/>
      <c r="C128" s="1257" t="s">
        <v>1935</v>
      </c>
      <c r="D128" s="1299"/>
      <c r="E128" s="1181" t="s">
        <v>12</v>
      </c>
      <c r="F128" s="734">
        <v>6300</v>
      </c>
      <c r="G128" s="1181">
        <v>1</v>
      </c>
      <c r="H128" s="1269">
        <f>F128*G128</f>
        <v>6300</v>
      </c>
      <c r="I128" s="1181">
        <v>1</v>
      </c>
      <c r="J128" s="734">
        <f>I128*F128</f>
        <v>6300</v>
      </c>
      <c r="K128" s="1181">
        <v>1</v>
      </c>
      <c r="L128" s="734">
        <f>K128*F128</f>
        <v>6300</v>
      </c>
      <c r="M128" s="22"/>
    </row>
    <row r="129" spans="1:17" ht="16.5" customHeight="1">
      <c r="A129" s="3152"/>
      <c r="B129" s="3155"/>
      <c r="C129" s="1257" t="s">
        <v>1936</v>
      </c>
      <c r="D129" s="1258">
        <v>7132409830</v>
      </c>
      <c r="E129" s="1181" t="s">
        <v>12</v>
      </c>
      <c r="F129" s="734">
        <f>VLOOKUP(D129,'SOR RATE'!A:D,4,0)</f>
        <v>4500</v>
      </c>
      <c r="G129" s="1181">
        <v>2</v>
      </c>
      <c r="H129" s="1269">
        <f>F129*G129</f>
        <v>9000</v>
      </c>
      <c r="I129" s="1181">
        <v>2</v>
      </c>
      <c r="J129" s="734">
        <f>I129*F129</f>
        <v>9000</v>
      </c>
      <c r="K129" s="1181">
        <v>2</v>
      </c>
      <c r="L129" s="734">
        <f>K129*F129</f>
        <v>9000</v>
      </c>
      <c r="M129" s="271"/>
    </row>
    <row r="130" spans="1:17" ht="16.5" customHeight="1">
      <c r="A130" s="3152"/>
      <c r="B130" s="3156"/>
      <c r="C130" s="1257" t="s">
        <v>1937</v>
      </c>
      <c r="D130" s="1258">
        <v>7132401672</v>
      </c>
      <c r="E130" s="1181" t="s">
        <v>12</v>
      </c>
      <c r="F130" s="734">
        <f>VLOOKUP(D130,'SOR RATE'!A:D,4,0)</f>
        <v>6370</v>
      </c>
      <c r="G130" s="1181">
        <v>1</v>
      </c>
      <c r="H130" s="1269">
        <f>F130*G130</f>
        <v>6370</v>
      </c>
      <c r="I130" s="1181">
        <v>1</v>
      </c>
      <c r="J130" s="734">
        <f>I130*F130</f>
        <v>6370</v>
      </c>
      <c r="K130" s="1181">
        <v>1</v>
      </c>
      <c r="L130" s="734">
        <f>K130*F130</f>
        <v>6370</v>
      </c>
    </row>
    <row r="131" spans="1:17" ht="15.75" customHeight="1">
      <c r="A131" s="3152"/>
      <c r="B131" s="3162" t="s">
        <v>1833</v>
      </c>
      <c r="C131" s="1262" t="s">
        <v>1938</v>
      </c>
      <c r="D131" s="1293"/>
      <c r="E131" s="1183" t="s">
        <v>114</v>
      </c>
      <c r="F131" s="735"/>
      <c r="G131" s="1183"/>
      <c r="H131" s="735"/>
      <c r="I131" s="1183"/>
      <c r="J131" s="735"/>
      <c r="K131" s="1183"/>
      <c r="L131" s="735"/>
    </row>
    <row r="132" spans="1:17" ht="31.5" customHeight="1">
      <c r="A132" s="3152"/>
      <c r="B132" s="3163"/>
      <c r="C132" s="1257" t="s">
        <v>1939</v>
      </c>
      <c r="D132" s="1258">
        <v>7132490006</v>
      </c>
      <c r="E132" s="1183" t="s">
        <v>12</v>
      </c>
      <c r="F132" s="734">
        <f>VLOOKUP(D132,'SOR RATE'!A:D,4,0)</f>
        <v>5603.44</v>
      </c>
      <c r="G132" s="1183">
        <v>2</v>
      </c>
      <c r="H132" s="1269">
        <f>F132*G132</f>
        <v>11206.88</v>
      </c>
      <c r="I132" s="1183">
        <v>2</v>
      </c>
      <c r="J132" s="734">
        <f>I132*F132</f>
        <v>11206.88</v>
      </c>
      <c r="K132" s="1183">
        <v>2</v>
      </c>
      <c r="L132" s="734">
        <f>K132*F132</f>
        <v>11206.88</v>
      </c>
    </row>
    <row r="133" spans="1:17" ht="35.25" customHeight="1">
      <c r="A133" s="3152"/>
      <c r="B133" s="3164"/>
      <c r="C133" s="1257" t="s">
        <v>1940</v>
      </c>
      <c r="D133" s="1258">
        <v>7132421002</v>
      </c>
      <c r="E133" s="1183" t="s">
        <v>12</v>
      </c>
      <c r="F133" s="734">
        <f>VLOOKUP(D133,'SOR RATE'!A:D,4,0)</f>
        <v>6265.94</v>
      </c>
      <c r="G133" s="1183">
        <v>2</v>
      </c>
      <c r="H133" s="1269">
        <f>F133*G133</f>
        <v>12531.88</v>
      </c>
      <c r="I133" s="1183">
        <v>2</v>
      </c>
      <c r="J133" s="734">
        <f>I133*F133</f>
        <v>12531.88</v>
      </c>
      <c r="K133" s="1183">
        <v>2</v>
      </c>
      <c r="L133" s="734">
        <f>K133*F133</f>
        <v>12531.88</v>
      </c>
    </row>
    <row r="134" spans="1:17" ht="30.75" customHeight="1">
      <c r="A134" s="3153"/>
      <c r="B134" s="1276" t="s">
        <v>1834</v>
      </c>
      <c r="C134" s="1257" t="s">
        <v>1176</v>
      </c>
      <c r="D134" s="1258">
        <v>7132448003</v>
      </c>
      <c r="E134" s="1183" t="s">
        <v>12</v>
      </c>
      <c r="F134" s="734">
        <f>VLOOKUP(D134,'SOR RATE'!A:D,4,0)</f>
        <v>5352.28</v>
      </c>
      <c r="G134" s="1183">
        <v>3</v>
      </c>
      <c r="H134" s="1269">
        <f>F134*G134</f>
        <v>16056.84</v>
      </c>
      <c r="I134" s="1183">
        <v>3</v>
      </c>
      <c r="J134" s="734">
        <f>I134*F134</f>
        <v>16056.84</v>
      </c>
      <c r="K134" s="1183">
        <v>3</v>
      </c>
      <c r="L134" s="734">
        <f>K134*F134</f>
        <v>16056.84</v>
      </c>
      <c r="M134" s="180"/>
    </row>
    <row r="135" spans="1:17" ht="16.5" customHeight="1">
      <c r="A135" s="1218"/>
      <c r="B135" s="938" t="s">
        <v>1836</v>
      </c>
      <c r="C135" s="1262" t="s">
        <v>1941</v>
      </c>
      <c r="D135" s="1293"/>
      <c r="E135" s="938"/>
      <c r="F135" s="931"/>
      <c r="G135" s="931"/>
      <c r="H135" s="1193">
        <f>SUM(H105:H134)</f>
        <v>534390.21453999984</v>
      </c>
      <c r="I135" s="1193"/>
      <c r="J135" s="1193">
        <f>SUM(J105:J134)</f>
        <v>568239.39453999989</v>
      </c>
      <c r="K135" s="1193"/>
      <c r="L135" s="1193">
        <f>SUM(L105:L134)</f>
        <v>587841.39453999989</v>
      </c>
    </row>
    <row r="136" spans="1:17" ht="29.25" customHeight="1">
      <c r="A136" s="241">
        <v>5</v>
      </c>
      <c r="B136" s="1209"/>
      <c r="C136" s="1257" t="s">
        <v>1942</v>
      </c>
      <c r="D136" s="1293"/>
      <c r="E136" s="1300"/>
      <c r="F136" s="1181"/>
      <c r="G136" s="1181"/>
      <c r="H136" s="734">
        <f>H135+H103+H83+H32</f>
        <v>8009194.5881239995</v>
      </c>
      <c r="I136" s="734"/>
      <c r="J136" s="734">
        <f>J135+J103+J83+J32</f>
        <v>10585032.336724002</v>
      </c>
      <c r="K136" s="734"/>
      <c r="L136" s="734">
        <f>L135+L103+L83+L32</f>
        <v>12876482.41054</v>
      </c>
      <c r="M136" s="652"/>
      <c r="N136" s="652"/>
      <c r="O136" s="652"/>
      <c r="P136" s="652"/>
      <c r="Q136" s="652"/>
    </row>
    <row r="137" spans="1:17" ht="31.5" customHeight="1">
      <c r="A137" s="241">
        <v>6</v>
      </c>
      <c r="B137" s="1209"/>
      <c r="C137" s="1257" t="s">
        <v>1943</v>
      </c>
      <c r="D137" s="1293"/>
      <c r="E137" s="1300"/>
      <c r="F137" s="1181"/>
      <c r="G137" s="1181"/>
      <c r="H137" s="734">
        <f>H136/1.18</f>
        <v>6787453.0407830505</v>
      </c>
      <c r="I137" s="734"/>
      <c r="J137" s="734">
        <f>J136/1.18</f>
        <v>8970366.3870542385</v>
      </c>
      <c r="K137" s="734"/>
      <c r="L137" s="734">
        <f>L136/1.18</f>
        <v>10912273.229271187</v>
      </c>
      <c r="M137" s="174"/>
      <c r="O137" s="652"/>
      <c r="P137" s="652"/>
      <c r="Q137" s="652"/>
    </row>
    <row r="138" spans="1:17" ht="33.75" customHeight="1">
      <c r="A138" s="241">
        <v>7</v>
      </c>
      <c r="B138" s="1209"/>
      <c r="C138" s="1182" t="s">
        <v>1944</v>
      </c>
      <c r="D138" s="1293"/>
      <c r="E138" s="1300"/>
      <c r="F138" s="1181">
        <v>7.4999999999999997E-2</v>
      </c>
      <c r="G138" s="1181"/>
      <c r="H138" s="734">
        <f>H136*F138</f>
        <v>600689.59410929994</v>
      </c>
      <c r="I138" s="1181"/>
      <c r="J138" s="734">
        <f>J136*F138</f>
        <v>793877.42525430012</v>
      </c>
      <c r="K138" s="1181"/>
      <c r="L138" s="734">
        <f>L136*F138</f>
        <v>965736.1807904999</v>
      </c>
      <c r="M138" s="732"/>
      <c r="O138" s="304"/>
      <c r="P138" s="1305"/>
    </row>
    <row r="139" spans="1:17" ht="21.75" customHeight="1">
      <c r="A139" s="3151">
        <v>8</v>
      </c>
      <c r="B139" s="1181" t="s">
        <v>1493</v>
      </c>
      <c r="C139" s="1182" t="s">
        <v>1945</v>
      </c>
      <c r="D139" s="1293"/>
      <c r="E139" s="1181" t="s">
        <v>12</v>
      </c>
      <c r="F139" s="734">
        <f>30213.9869417967*1.043</f>
        <v>31513.188380293956</v>
      </c>
      <c r="G139" s="1181">
        <v>1</v>
      </c>
      <c r="H139" s="1269">
        <f>F139*G139</f>
        <v>31513.188380293956</v>
      </c>
      <c r="I139" s="1181">
        <v>1</v>
      </c>
      <c r="J139" s="734">
        <f>I139*F139</f>
        <v>31513.188380293956</v>
      </c>
      <c r="K139" s="1181">
        <v>1</v>
      </c>
      <c r="L139" s="734">
        <f>K139*F139</f>
        <v>31513.188380293956</v>
      </c>
      <c r="O139" s="304"/>
      <c r="P139" s="1305"/>
    </row>
    <row r="140" spans="1:17" ht="16.5" customHeight="1">
      <c r="A140" s="3152"/>
      <c r="B140" s="1181" t="s">
        <v>1494</v>
      </c>
      <c r="C140" s="1257" t="s">
        <v>1947</v>
      </c>
      <c r="D140" s="1293"/>
      <c r="E140" s="1181" t="s">
        <v>12</v>
      </c>
      <c r="F140" s="734">
        <f>19446.8149795413*1.043</f>
        <v>20283.028023661576</v>
      </c>
      <c r="G140" s="1181">
        <v>1</v>
      </c>
      <c r="H140" s="1269">
        <f>F140*G140</f>
        <v>20283.028023661576</v>
      </c>
      <c r="I140" s="1181">
        <v>1</v>
      </c>
      <c r="J140" s="734">
        <f>I140*F140</f>
        <v>20283.028023661576</v>
      </c>
      <c r="K140" s="1181">
        <v>1</v>
      </c>
      <c r="L140" s="734">
        <f>K140*F140</f>
        <v>20283.028023661576</v>
      </c>
      <c r="M140" s="280"/>
      <c r="N140" s="164"/>
      <c r="O140" s="304"/>
      <c r="P140" s="1305"/>
    </row>
    <row r="141" spans="1:17" ht="16.5" customHeight="1">
      <c r="A141" s="3153"/>
      <c r="B141" s="1276" t="s">
        <v>1946</v>
      </c>
      <c r="C141" s="1257" t="s">
        <v>1949</v>
      </c>
      <c r="D141" s="1293"/>
      <c r="E141" s="1183" t="s">
        <v>12</v>
      </c>
      <c r="F141" s="735">
        <f>16205.6791422759*1.043</f>
        <v>16902.523345393762</v>
      </c>
      <c r="G141" s="1183">
        <v>1</v>
      </c>
      <c r="H141" s="1269">
        <f>F141*G141</f>
        <v>16902.523345393762</v>
      </c>
      <c r="I141" s="1183">
        <v>1</v>
      </c>
      <c r="J141" s="734">
        <f>I141*F141</f>
        <v>16902.523345393762</v>
      </c>
      <c r="K141" s="1183">
        <v>1</v>
      </c>
      <c r="L141" s="734">
        <f>K141*F141</f>
        <v>16902.523345393762</v>
      </c>
      <c r="M141" s="280"/>
      <c r="N141" s="164"/>
      <c r="O141" s="304"/>
      <c r="P141" s="1305"/>
    </row>
    <row r="142" spans="1:17" ht="19.5" customHeight="1">
      <c r="A142" s="1181">
        <v>9</v>
      </c>
      <c r="B142" s="1209"/>
      <c r="C142" s="1182" t="s">
        <v>1950</v>
      </c>
      <c r="D142" s="1293"/>
      <c r="E142" s="1300"/>
      <c r="F142" s="1181"/>
      <c r="G142" s="734"/>
      <c r="H142" s="734">
        <f>179237+63690.8</f>
        <v>242927.8</v>
      </c>
      <c r="I142" s="734"/>
      <c r="J142" s="734">
        <f>181986+77292.56</f>
        <v>259278.56</v>
      </c>
      <c r="K142" s="734"/>
      <c r="L142" s="734">
        <f>205694+89167.11</f>
        <v>294861.11</v>
      </c>
      <c r="M142" s="639"/>
      <c r="N142" s="470"/>
      <c r="O142" s="304"/>
      <c r="P142" s="12"/>
    </row>
    <row r="143" spans="1:17" ht="17.25" customHeight="1">
      <c r="A143" s="1181">
        <v>10</v>
      </c>
      <c r="B143" s="1209"/>
      <c r="C143" s="1182" t="s">
        <v>82</v>
      </c>
      <c r="D143" s="1293"/>
      <c r="E143" s="1181" t="s">
        <v>76</v>
      </c>
      <c r="F143" s="734">
        <f>665.173187113158*1.043</f>
        <v>693.77563415902364</v>
      </c>
      <c r="G143" s="1181">
        <v>51.6</v>
      </c>
      <c r="H143" s="734">
        <f>F143*G143</f>
        <v>35798.822722605619</v>
      </c>
      <c r="I143" s="1181">
        <v>60.6</v>
      </c>
      <c r="J143" s="734">
        <f>F143*I143</f>
        <v>42042.803430036831</v>
      </c>
      <c r="K143" s="1181">
        <v>67.2</v>
      </c>
      <c r="L143" s="734">
        <f>F143*K143</f>
        <v>46621.722615486389</v>
      </c>
      <c r="M143" s="654"/>
      <c r="N143" s="470"/>
      <c r="O143" s="304"/>
      <c r="P143" s="12"/>
    </row>
    <row r="144" spans="1:17" ht="32.25" customHeight="1">
      <c r="A144" s="3157">
        <v>11</v>
      </c>
      <c r="B144" s="1181" t="s">
        <v>1493</v>
      </c>
      <c r="C144" s="564" t="s">
        <v>1716</v>
      </c>
      <c r="D144" s="1293"/>
      <c r="E144" s="1181"/>
      <c r="F144" s="734">
        <v>0.02</v>
      </c>
      <c r="G144" s="1181"/>
      <c r="H144" s="734">
        <f>(H69/1.18)*F144</f>
        <v>2683.0869491525427</v>
      </c>
      <c r="I144" s="1181"/>
      <c r="J144" s="734">
        <f>(J69/1.18)*F144</f>
        <v>2683.0869491525427</v>
      </c>
      <c r="K144" s="1181"/>
      <c r="L144" s="734">
        <f>(L68/1.18)*F144</f>
        <v>6397.703389830509</v>
      </c>
      <c r="M144" s="739" t="s">
        <v>119</v>
      </c>
      <c r="N144" s="470"/>
      <c r="O144" s="43"/>
    </row>
    <row r="145" spans="1:17" ht="43.5" customHeight="1">
      <c r="A145" s="3158"/>
      <c r="B145" s="1183" t="s">
        <v>1494</v>
      </c>
      <c r="C145" s="564" t="s">
        <v>2084</v>
      </c>
      <c r="D145" s="1293"/>
      <c r="E145" s="1181"/>
      <c r="F145" s="734">
        <v>0.01</v>
      </c>
      <c r="G145" s="1181"/>
      <c r="H145" s="734">
        <f>(H34/1.18)*F145</f>
        <v>10915.240508474575</v>
      </c>
      <c r="I145" s="1181"/>
      <c r="J145" s="734">
        <f>(J35/1.18)*F145</f>
        <v>32422.072627118647</v>
      </c>
      <c r="K145" s="1181"/>
      <c r="L145" s="734">
        <f>(L36/1.18)*F145</f>
        <v>44167.421694915261</v>
      </c>
      <c r="M145" s="739" t="s">
        <v>119</v>
      </c>
      <c r="N145" s="470"/>
      <c r="O145" s="43"/>
    </row>
    <row r="146" spans="1:17" ht="60.75" customHeight="1">
      <c r="A146" s="3159"/>
      <c r="B146" s="1181" t="s">
        <v>1946</v>
      </c>
      <c r="C146" s="564" t="s">
        <v>2106</v>
      </c>
      <c r="D146" s="1293"/>
      <c r="E146" s="1300"/>
      <c r="F146" s="1181">
        <v>0.04</v>
      </c>
      <c r="G146" s="734"/>
      <c r="H146" s="734">
        <f>((H136-H32-H34-H69)/1.18)*F146</f>
        <v>121077.35858047458</v>
      </c>
      <c r="I146" s="1181"/>
      <c r="J146" s="734">
        <f>((J136-J32-J35-J69)/1.18)*F146</f>
        <v>122366.56395674584</v>
      </c>
      <c r="K146" s="734"/>
      <c r="L146" s="734">
        <f>((L136-L32-L36-L68)/1.18)*F146</f>
        <v>145632.20849288136</v>
      </c>
      <c r="M146" s="737" t="s">
        <v>1827</v>
      </c>
      <c r="N146" s="1084"/>
      <c r="O146" s="633"/>
      <c r="P146" s="803"/>
    </row>
    <row r="147" spans="1:17" ht="63" customHeight="1">
      <c r="A147" s="1184">
        <v>12</v>
      </c>
      <c r="B147" s="1209"/>
      <c r="C147" s="1233" t="s">
        <v>2108</v>
      </c>
      <c r="D147" s="1293"/>
      <c r="E147" s="1300"/>
      <c r="F147" s="1181"/>
      <c r="G147" s="734"/>
      <c r="H147" s="734">
        <f>(H136+H138+H139+H140+H141+H142+H143+H144+H145+H146)*0.125</f>
        <v>1136498.1538429197</v>
      </c>
      <c r="I147" s="734"/>
      <c r="J147" s="734">
        <f>(J136+J138+J139+J140+J141+J142+J143+J144+J145+J146)*0.125</f>
        <v>1488300.1985863382</v>
      </c>
      <c r="K147" s="734"/>
      <c r="L147" s="734">
        <f>(L136+L138+L139+L140+L141+L142+L143+L144+L145+L146)*0.125</f>
        <v>1806074.6871591203</v>
      </c>
      <c r="M147" s="201"/>
      <c r="N147" s="93"/>
      <c r="O147" s="633"/>
      <c r="P147" s="526"/>
    </row>
    <row r="148" spans="1:17" ht="60" customHeight="1">
      <c r="A148" s="1301">
        <v>13</v>
      </c>
      <c r="B148" s="1209"/>
      <c r="C148" s="1257" t="s">
        <v>2109</v>
      </c>
      <c r="D148" s="1293"/>
      <c r="E148" s="1300"/>
      <c r="F148" s="734"/>
      <c r="G148" s="734"/>
      <c r="H148" s="734">
        <f>(H137+H138+H139+H140+H141+H142+H143+H144+H145+H146+H147)</f>
        <v>9006741.8372453265</v>
      </c>
      <c r="I148" s="734"/>
      <c r="J148" s="734">
        <f>(J137+J138+J139+J140+J141+J142+J143+J144+J145+J146+J147)</f>
        <v>11780035.837607279</v>
      </c>
      <c r="K148" s="734"/>
      <c r="L148" s="734">
        <f>(L137+L138+L139+L140+L141+L142+L143+L144+L145+L146+L147)</f>
        <v>14290463.003163271</v>
      </c>
      <c r="M148" s="652"/>
      <c r="N148" s="93"/>
      <c r="O148" s="633"/>
      <c r="P148" s="804"/>
      <c r="Q148" s="652"/>
    </row>
    <row r="149" spans="1:17" ht="16.5" customHeight="1">
      <c r="A149" s="1302">
        <v>14</v>
      </c>
      <c r="B149" s="1209"/>
      <c r="C149" s="1257" t="s">
        <v>1951</v>
      </c>
      <c r="D149" s="1293"/>
      <c r="E149" s="1300"/>
      <c r="F149" s="1181"/>
      <c r="G149" s="1181"/>
      <c r="H149" s="1193">
        <f>H148/100000</f>
        <v>90.067418372453261</v>
      </c>
      <c r="I149" s="1193"/>
      <c r="J149" s="1193">
        <f>J148/100000</f>
        <v>117.80035837607279</v>
      </c>
      <c r="K149" s="1193"/>
      <c r="L149" s="1193">
        <f>L148/100000</f>
        <v>142.90463003163271</v>
      </c>
    </row>
    <row r="150" spans="1:17" ht="16.5" customHeight="1">
      <c r="A150" s="1302">
        <v>15</v>
      </c>
      <c r="B150" s="1209"/>
      <c r="C150" s="1185" t="s">
        <v>1952</v>
      </c>
      <c r="D150" s="1293"/>
      <c r="E150" s="1300"/>
      <c r="F150" s="1181">
        <v>0.09</v>
      </c>
      <c r="G150" s="1181"/>
      <c r="H150" s="734">
        <f>H148*F150</f>
        <v>810606.76535207941</v>
      </c>
      <c r="I150" s="734"/>
      <c r="J150" s="734">
        <f>J148*F150</f>
        <v>1060203.2253846552</v>
      </c>
      <c r="K150" s="734"/>
      <c r="L150" s="734">
        <f>L148*F150</f>
        <v>1286141.6702846943</v>
      </c>
    </row>
    <row r="151" spans="1:17" ht="16.5" customHeight="1">
      <c r="A151" s="1301">
        <v>16</v>
      </c>
      <c r="B151" s="1209"/>
      <c r="C151" s="1185" t="s">
        <v>1953</v>
      </c>
      <c r="D151" s="1293"/>
      <c r="E151" s="1300"/>
      <c r="F151" s="1181">
        <v>0.09</v>
      </c>
      <c r="G151" s="1181"/>
      <c r="H151" s="734">
        <f>H148*F151</f>
        <v>810606.76535207941</v>
      </c>
      <c r="I151" s="734"/>
      <c r="J151" s="734">
        <f>J148*F151</f>
        <v>1060203.2253846552</v>
      </c>
      <c r="K151" s="734"/>
      <c r="L151" s="734">
        <f>L148*F151</f>
        <v>1286141.6702846943</v>
      </c>
      <c r="M151" s="655"/>
    </row>
    <row r="152" spans="1:17" ht="32.25" customHeight="1">
      <c r="A152" s="1301">
        <v>17</v>
      </c>
      <c r="B152" s="1209"/>
      <c r="C152" s="1182" t="s">
        <v>1954</v>
      </c>
      <c r="D152" s="1293"/>
      <c r="E152" s="1300"/>
      <c r="F152" s="1181"/>
      <c r="G152" s="1181"/>
      <c r="H152" s="734">
        <f>H148+H150+H151</f>
        <v>10627955.367949486</v>
      </c>
      <c r="I152" s="734"/>
      <c r="J152" s="734">
        <f>J148+J150+J151</f>
        <v>13900442.288376588</v>
      </c>
      <c r="K152" s="734"/>
      <c r="L152" s="734">
        <f>L148+L150+L151</f>
        <v>16862746.343732659</v>
      </c>
    </row>
    <row r="153" spans="1:17" ht="31.5" customHeight="1">
      <c r="A153" s="1301">
        <v>18</v>
      </c>
      <c r="B153" s="1209"/>
      <c r="C153" s="1257" t="s">
        <v>1955</v>
      </c>
      <c r="D153" s="1293"/>
      <c r="E153" s="1300"/>
      <c r="F153" s="1181"/>
      <c r="G153" s="734"/>
      <c r="H153" s="734">
        <f>ROUND(H152,0)</f>
        <v>10627955</v>
      </c>
      <c r="I153" s="734"/>
      <c r="J153" s="734">
        <f>ROUND(J152,0)</f>
        <v>13900442</v>
      </c>
      <c r="K153" s="734"/>
      <c r="L153" s="734">
        <f>ROUND(L152,0)</f>
        <v>16862746</v>
      </c>
    </row>
    <row r="154" spans="1:17" ht="18.75" customHeight="1">
      <c r="A154" s="1303">
        <v>19</v>
      </c>
      <c r="B154" s="938"/>
      <c r="C154" s="1262" t="s">
        <v>1956</v>
      </c>
      <c r="D154" s="1281"/>
      <c r="E154" s="1304"/>
      <c r="F154" s="931"/>
      <c r="G154" s="931"/>
      <c r="H154" s="1193">
        <f>H153/100000</f>
        <v>106.27955</v>
      </c>
      <c r="I154" s="931"/>
      <c r="J154" s="1193">
        <f>J153/100000</f>
        <v>139.00442000000001</v>
      </c>
      <c r="K154" s="931"/>
      <c r="L154" s="1193">
        <f>L153/100000</f>
        <v>168.62746000000001</v>
      </c>
    </row>
    <row r="155" spans="1:17" ht="18.75" customHeight="1">
      <c r="A155" s="502"/>
      <c r="B155" s="656"/>
      <c r="C155" s="333"/>
      <c r="D155" s="657"/>
      <c r="E155" s="658"/>
      <c r="F155" s="659"/>
      <c r="G155" s="659"/>
      <c r="H155" s="660"/>
      <c r="I155" s="659"/>
      <c r="J155" s="660"/>
      <c r="K155" s="659"/>
      <c r="L155" s="660"/>
    </row>
    <row r="156" spans="1:17" ht="15.75">
      <c r="A156" s="661" t="s">
        <v>88</v>
      </c>
      <c r="B156" s="530"/>
      <c r="C156" s="528"/>
      <c r="D156" s="529"/>
      <c r="E156" s="408"/>
      <c r="F156" s="408"/>
      <c r="G156" s="408"/>
      <c r="H156" s="408"/>
      <c r="I156" s="662"/>
      <c r="J156" s="408"/>
      <c r="K156" s="662"/>
      <c r="L156" s="662"/>
      <c r="M156" s="227"/>
    </row>
    <row r="157" spans="1:17" ht="21" customHeight="1">
      <c r="A157" s="663"/>
      <c r="B157" s="664" t="s">
        <v>1957</v>
      </c>
      <c r="C157" s="3059" t="s">
        <v>61</v>
      </c>
      <c r="D157" s="3059"/>
      <c r="E157" s="3059"/>
      <c r="F157" s="3059"/>
      <c r="G157" s="3059"/>
      <c r="H157" s="3059"/>
      <c r="I157" s="3059"/>
      <c r="J157" s="3059"/>
      <c r="K157" s="3059"/>
      <c r="L157" s="3059"/>
    </row>
    <row r="158" spans="1:17" ht="66.75" customHeight="1">
      <c r="A158" s="663"/>
      <c r="B158" s="665" t="s">
        <v>1958</v>
      </c>
      <c r="C158" s="3160" t="s">
        <v>2110</v>
      </c>
      <c r="D158" s="3160"/>
      <c r="E158" s="3160"/>
      <c r="F158" s="3160"/>
      <c r="G158" s="3160"/>
      <c r="H158" s="3160"/>
      <c r="I158" s="3160"/>
      <c r="J158" s="3160"/>
      <c r="K158" s="3160"/>
      <c r="L158" s="3160"/>
    </row>
    <row r="159" spans="1:17" ht="36" customHeight="1">
      <c r="A159" s="423"/>
      <c r="B159" s="665" t="s">
        <v>1959</v>
      </c>
      <c r="C159" s="3160" t="s">
        <v>1960</v>
      </c>
      <c r="D159" s="3160"/>
      <c r="E159" s="3160"/>
      <c r="F159" s="3160"/>
      <c r="G159" s="3160"/>
      <c r="H159" s="3160"/>
      <c r="I159" s="3160"/>
      <c r="J159" s="3160"/>
      <c r="K159" s="3160"/>
      <c r="L159" s="3160"/>
    </row>
    <row r="160" spans="1:17" ht="23.25">
      <c r="A160" s="423"/>
      <c r="B160" s="666" t="s">
        <v>62</v>
      </c>
      <c r="C160" s="403" t="s">
        <v>2180</v>
      </c>
      <c r="D160" s="527"/>
      <c r="E160" s="423"/>
      <c r="F160" s="423"/>
      <c r="G160" s="423"/>
      <c r="H160" s="227"/>
      <c r="I160" s="227"/>
      <c r="J160" s="227"/>
      <c r="K160" s="227"/>
      <c r="L160" s="227"/>
      <c r="M160" s="227"/>
      <c r="N160" s="227"/>
    </row>
    <row r="161" spans="3:14" ht="14.25">
      <c r="D161" s="667"/>
      <c r="H161" s="185"/>
      <c r="I161" s="185"/>
      <c r="J161" s="185"/>
      <c r="K161" s="185"/>
      <c r="L161" s="185"/>
      <c r="M161" s="227"/>
      <c r="N161" s="227"/>
    </row>
    <row r="162" spans="3:14">
      <c r="H162" s="729"/>
      <c r="I162" s="227"/>
      <c r="J162" s="731"/>
      <c r="K162" s="227"/>
      <c r="L162" s="731"/>
      <c r="M162" s="227"/>
      <c r="N162" s="227"/>
    </row>
    <row r="163" spans="3:14" ht="14.25">
      <c r="C163" s="738"/>
      <c r="H163" s="729"/>
      <c r="I163" s="729"/>
      <c r="J163" s="731"/>
      <c r="K163" s="729"/>
      <c r="L163" s="731"/>
      <c r="M163" s="227"/>
      <c r="N163" s="227"/>
    </row>
    <row r="164" spans="3:14" ht="14.25">
      <c r="C164" s="186"/>
      <c r="H164" s="727"/>
      <c r="I164" s="727"/>
      <c r="J164" s="731"/>
      <c r="K164" s="727"/>
      <c r="L164" s="731"/>
    </row>
    <row r="165" spans="3:14">
      <c r="H165" s="729"/>
      <c r="I165" s="729"/>
      <c r="J165" s="731"/>
      <c r="K165" s="729"/>
      <c r="L165" s="731"/>
    </row>
    <row r="166" spans="3:14" ht="15">
      <c r="H166" s="730"/>
      <c r="I166" s="730"/>
      <c r="J166" s="730"/>
      <c r="K166" s="730"/>
      <c r="L166" s="730"/>
    </row>
    <row r="168" spans="3:14" ht="14.25">
      <c r="H168" s="721"/>
      <c r="I168" s="721"/>
      <c r="J168" s="721"/>
      <c r="K168" s="721"/>
      <c r="L168" s="721"/>
    </row>
    <row r="172" spans="3:14" ht="15.75">
      <c r="H172" s="52"/>
      <c r="I172" s="52"/>
      <c r="J172" s="52"/>
      <c r="K172" s="52"/>
      <c r="L172" s="52"/>
    </row>
    <row r="176" spans="3:14" ht="15.75">
      <c r="H176" s="740"/>
      <c r="I176" s="740"/>
      <c r="J176" s="740"/>
      <c r="K176" s="740"/>
      <c r="L176" s="740"/>
    </row>
    <row r="177" spans="6:12">
      <c r="F177" s="37"/>
      <c r="G177" s="37"/>
      <c r="H177" s="37"/>
      <c r="I177" s="37"/>
      <c r="J177" s="37"/>
    </row>
    <row r="179" spans="6:12" ht="12.75" customHeight="1">
      <c r="F179" s="37"/>
      <c r="G179" s="37"/>
      <c r="H179" s="37"/>
      <c r="I179" s="37"/>
      <c r="J179" s="37"/>
    </row>
    <row r="181" spans="6:12">
      <c r="F181" s="37"/>
      <c r="G181" s="37"/>
      <c r="H181" s="37"/>
      <c r="I181" s="37"/>
      <c r="J181" s="37"/>
    </row>
    <row r="184" spans="6:12" ht="14.25">
      <c r="H184" s="186"/>
      <c r="I184" s="186"/>
      <c r="J184" s="186"/>
      <c r="K184" s="186"/>
      <c r="L184" s="186"/>
    </row>
  </sheetData>
  <mergeCells count="30">
    <mergeCell ref="C157:L157"/>
    <mergeCell ref="C158:L158"/>
    <mergeCell ref="C159:L159"/>
    <mergeCell ref="N69:O69"/>
    <mergeCell ref="A84:A102"/>
    <mergeCell ref="A104:A134"/>
    <mergeCell ref="B112:B126"/>
    <mergeCell ref="B127:B130"/>
    <mergeCell ref="B131:B133"/>
    <mergeCell ref="A144:A146"/>
    <mergeCell ref="A139:A141"/>
    <mergeCell ref="K5:L7"/>
    <mergeCell ref="B9:C9"/>
    <mergeCell ref="A10:A32"/>
    <mergeCell ref="A33:A82"/>
    <mergeCell ref="B34:B36"/>
    <mergeCell ref="B37:B40"/>
    <mergeCell ref="B41:B44"/>
    <mergeCell ref="B45:B47"/>
    <mergeCell ref="B60:B62"/>
    <mergeCell ref="B63:B64"/>
    <mergeCell ref="E1:H1"/>
    <mergeCell ref="C3:J3"/>
    <mergeCell ref="A5:A8"/>
    <mergeCell ref="B5:C8"/>
    <mergeCell ref="D5:D8"/>
    <mergeCell ref="E5:E8"/>
    <mergeCell ref="F5:F8"/>
    <mergeCell ref="G5:H7"/>
    <mergeCell ref="I5:J7"/>
  </mergeCells>
  <pageMargins left="0.74803149606299213" right="0.15748031496062992" top="0.6692913385826772" bottom="0.39370078740157483" header="0.51181102362204722" footer="0.23622047244094491"/>
  <pageSetup paperSize="9" scale="90" orientation="landscape"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3"/>
  <sheetViews>
    <sheetView zoomScaleNormal="100" zoomScaleSheetLayoutView="85" workbookViewId="0">
      <pane xSplit="2" ySplit="8" topLeftCell="C24" activePane="bottomRight" state="frozen"/>
      <selection pane="topRight" activeCell="C1" sqref="C1"/>
      <selection pane="bottomLeft" activeCell="A9" sqref="A9"/>
      <selection pane="bottomRight" activeCell="K23" sqref="K23"/>
    </sheetView>
  </sheetViews>
  <sheetFormatPr defaultRowHeight="12.75"/>
  <cols>
    <col min="1" max="1" width="6" style="4" customWidth="1"/>
    <col min="2" max="2" width="41.42578125" style="4" customWidth="1"/>
    <col min="3" max="3" width="14.140625" style="45" customWidth="1"/>
    <col min="4" max="4" width="5.28515625" style="45" customWidth="1"/>
    <col min="5" max="5" width="11.85546875" style="45" bestFit="1" customWidth="1"/>
    <col min="6" max="6" width="5.140625" style="45" bestFit="1" customWidth="1"/>
    <col min="7" max="9" width="11.85546875" style="4" bestFit="1" customWidth="1"/>
    <col min="10" max="10" width="22" style="4" customWidth="1"/>
    <col min="11" max="11" width="9.7109375" style="4" customWidth="1"/>
    <col min="12" max="12" width="9.140625" style="4"/>
    <col min="13" max="13" width="10.5703125" style="4" customWidth="1"/>
    <col min="14" max="15" width="11.7109375" style="4" customWidth="1"/>
    <col min="16" max="16" width="10.42578125" style="4" customWidth="1"/>
    <col min="17" max="256" width="9.140625" style="4"/>
    <col min="257" max="257" width="6" style="4" customWidth="1"/>
    <col min="258" max="258" width="41.42578125" style="4" customWidth="1"/>
    <col min="259" max="259" width="14.140625" style="4" customWidth="1"/>
    <col min="260" max="260" width="5.28515625" style="4" customWidth="1"/>
    <col min="261" max="261" width="11.85546875" style="4" bestFit="1" customWidth="1"/>
    <col min="262" max="262" width="5.140625" style="4" bestFit="1" customWidth="1"/>
    <col min="263" max="265" width="11.85546875" style="4" bestFit="1" customWidth="1"/>
    <col min="266" max="266" width="22" style="4" customWidth="1"/>
    <col min="267" max="267" width="9.7109375" style="4" customWidth="1"/>
    <col min="268" max="268" width="9.140625" style="4"/>
    <col min="269" max="269" width="5.85546875" style="4" customWidth="1"/>
    <col min="270" max="271" width="11.7109375" style="4" customWidth="1"/>
    <col min="272" max="272" width="10.42578125" style="4" customWidth="1"/>
    <col min="273" max="512" width="9.140625" style="4"/>
    <col min="513" max="513" width="6" style="4" customWidth="1"/>
    <col min="514" max="514" width="41.42578125" style="4" customWidth="1"/>
    <col min="515" max="515" width="14.140625" style="4" customWidth="1"/>
    <col min="516" max="516" width="5.28515625" style="4" customWidth="1"/>
    <col min="517" max="517" width="11.85546875" style="4" bestFit="1" customWidth="1"/>
    <col min="518" max="518" width="5.140625" style="4" bestFit="1" customWidth="1"/>
    <col min="519" max="521" width="11.85546875" style="4" bestFit="1" customWidth="1"/>
    <col min="522" max="522" width="22" style="4" customWidth="1"/>
    <col min="523" max="523" width="9.7109375" style="4" customWidth="1"/>
    <col min="524" max="524" width="9.140625" style="4"/>
    <col min="525" max="525" width="5.85546875" style="4" customWidth="1"/>
    <col min="526" max="527" width="11.7109375" style="4" customWidth="1"/>
    <col min="528" max="528" width="10.42578125" style="4" customWidth="1"/>
    <col min="529" max="768" width="9.140625" style="4"/>
    <col min="769" max="769" width="6" style="4" customWidth="1"/>
    <col min="770" max="770" width="41.42578125" style="4" customWidth="1"/>
    <col min="771" max="771" width="14.140625" style="4" customWidth="1"/>
    <col min="772" max="772" width="5.28515625" style="4" customWidth="1"/>
    <col min="773" max="773" width="11.85546875" style="4" bestFit="1" customWidth="1"/>
    <col min="774" max="774" width="5.140625" style="4" bestFit="1" customWidth="1"/>
    <col min="775" max="777" width="11.85546875" style="4" bestFit="1" customWidth="1"/>
    <col min="778" max="778" width="22" style="4" customWidth="1"/>
    <col min="779" max="779" width="9.7109375" style="4" customWidth="1"/>
    <col min="780" max="780" width="9.140625" style="4"/>
    <col min="781" max="781" width="5.85546875" style="4" customWidth="1"/>
    <col min="782" max="783" width="11.7109375" style="4" customWidth="1"/>
    <col min="784" max="784" width="10.42578125" style="4" customWidth="1"/>
    <col min="785" max="1024" width="9.140625" style="4"/>
    <col min="1025" max="1025" width="6" style="4" customWidth="1"/>
    <col min="1026" max="1026" width="41.42578125" style="4" customWidth="1"/>
    <col min="1027" max="1027" width="14.140625" style="4" customWidth="1"/>
    <col min="1028" max="1028" width="5.28515625" style="4" customWidth="1"/>
    <col min="1029" max="1029" width="11.85546875" style="4" bestFit="1" customWidth="1"/>
    <col min="1030" max="1030" width="5.140625" style="4" bestFit="1" customWidth="1"/>
    <col min="1031" max="1033" width="11.85546875" style="4" bestFit="1" customWidth="1"/>
    <col min="1034" max="1034" width="22" style="4" customWidth="1"/>
    <col min="1035" max="1035" width="9.7109375" style="4" customWidth="1"/>
    <col min="1036" max="1036" width="9.140625" style="4"/>
    <col min="1037" max="1037" width="5.85546875" style="4" customWidth="1"/>
    <col min="1038" max="1039" width="11.7109375" style="4" customWidth="1"/>
    <col min="1040" max="1040" width="10.42578125" style="4" customWidth="1"/>
    <col min="1041" max="1280" width="9.140625" style="4"/>
    <col min="1281" max="1281" width="6" style="4" customWidth="1"/>
    <col min="1282" max="1282" width="41.42578125" style="4" customWidth="1"/>
    <col min="1283" max="1283" width="14.140625" style="4" customWidth="1"/>
    <col min="1284" max="1284" width="5.28515625" style="4" customWidth="1"/>
    <col min="1285" max="1285" width="11.85546875" style="4" bestFit="1" customWidth="1"/>
    <col min="1286" max="1286" width="5.140625" style="4" bestFit="1" customWidth="1"/>
    <col min="1287" max="1289" width="11.85546875" style="4" bestFit="1" customWidth="1"/>
    <col min="1290" max="1290" width="22" style="4" customWidth="1"/>
    <col min="1291" max="1291" width="9.7109375" style="4" customWidth="1"/>
    <col min="1292" max="1292" width="9.140625" style="4"/>
    <col min="1293" max="1293" width="5.85546875" style="4" customWidth="1"/>
    <col min="1294" max="1295" width="11.7109375" style="4" customWidth="1"/>
    <col min="1296" max="1296" width="10.42578125" style="4" customWidth="1"/>
    <col min="1297" max="1536" width="9.140625" style="4"/>
    <col min="1537" max="1537" width="6" style="4" customWidth="1"/>
    <col min="1538" max="1538" width="41.42578125" style="4" customWidth="1"/>
    <col min="1539" max="1539" width="14.140625" style="4" customWidth="1"/>
    <col min="1540" max="1540" width="5.28515625" style="4" customWidth="1"/>
    <col min="1541" max="1541" width="11.85546875" style="4" bestFit="1" customWidth="1"/>
    <col min="1542" max="1542" width="5.140625" style="4" bestFit="1" customWidth="1"/>
    <col min="1543" max="1545" width="11.85546875" style="4" bestFit="1" customWidth="1"/>
    <col min="1546" max="1546" width="22" style="4" customWidth="1"/>
    <col min="1547" max="1547" width="9.7109375" style="4" customWidth="1"/>
    <col min="1548" max="1548" width="9.140625" style="4"/>
    <col min="1549" max="1549" width="5.85546875" style="4" customWidth="1"/>
    <col min="1550" max="1551" width="11.7109375" style="4" customWidth="1"/>
    <col min="1552" max="1552" width="10.42578125" style="4" customWidth="1"/>
    <col min="1553" max="1792" width="9.140625" style="4"/>
    <col min="1793" max="1793" width="6" style="4" customWidth="1"/>
    <col min="1794" max="1794" width="41.42578125" style="4" customWidth="1"/>
    <col min="1795" max="1795" width="14.140625" style="4" customWidth="1"/>
    <col min="1796" max="1796" width="5.28515625" style="4" customWidth="1"/>
    <col min="1797" max="1797" width="11.85546875" style="4" bestFit="1" customWidth="1"/>
    <col min="1798" max="1798" width="5.140625" style="4" bestFit="1" customWidth="1"/>
    <col min="1799" max="1801" width="11.85546875" style="4" bestFit="1" customWidth="1"/>
    <col min="1802" max="1802" width="22" style="4" customWidth="1"/>
    <col min="1803" max="1803" width="9.7109375" style="4" customWidth="1"/>
    <col min="1804" max="1804" width="9.140625" style="4"/>
    <col min="1805" max="1805" width="5.85546875" style="4" customWidth="1"/>
    <col min="1806" max="1807" width="11.7109375" style="4" customWidth="1"/>
    <col min="1808" max="1808" width="10.42578125" style="4" customWidth="1"/>
    <col min="1809" max="2048" width="9.140625" style="4"/>
    <col min="2049" max="2049" width="6" style="4" customWidth="1"/>
    <col min="2050" max="2050" width="41.42578125" style="4" customWidth="1"/>
    <col min="2051" max="2051" width="14.140625" style="4" customWidth="1"/>
    <col min="2052" max="2052" width="5.28515625" style="4" customWidth="1"/>
    <col min="2053" max="2053" width="11.85546875" style="4" bestFit="1" customWidth="1"/>
    <col min="2054" max="2054" width="5.140625" style="4" bestFit="1" customWidth="1"/>
    <col min="2055" max="2057" width="11.85546875" style="4" bestFit="1" customWidth="1"/>
    <col min="2058" max="2058" width="22" style="4" customWidth="1"/>
    <col min="2059" max="2059" width="9.7109375" style="4" customWidth="1"/>
    <col min="2060" max="2060" width="9.140625" style="4"/>
    <col min="2061" max="2061" width="5.85546875" style="4" customWidth="1"/>
    <col min="2062" max="2063" width="11.7109375" style="4" customWidth="1"/>
    <col min="2064" max="2064" width="10.42578125" style="4" customWidth="1"/>
    <col min="2065" max="2304" width="9.140625" style="4"/>
    <col min="2305" max="2305" width="6" style="4" customWidth="1"/>
    <col min="2306" max="2306" width="41.42578125" style="4" customWidth="1"/>
    <col min="2307" max="2307" width="14.140625" style="4" customWidth="1"/>
    <col min="2308" max="2308" width="5.28515625" style="4" customWidth="1"/>
    <col min="2309" max="2309" width="11.85546875" style="4" bestFit="1" customWidth="1"/>
    <col min="2310" max="2310" width="5.140625" style="4" bestFit="1" customWidth="1"/>
    <col min="2311" max="2313" width="11.85546875" style="4" bestFit="1" customWidth="1"/>
    <col min="2314" max="2314" width="22" style="4" customWidth="1"/>
    <col min="2315" max="2315" width="9.7109375" style="4" customWidth="1"/>
    <col min="2316" max="2316" width="9.140625" style="4"/>
    <col min="2317" max="2317" width="5.85546875" style="4" customWidth="1"/>
    <col min="2318" max="2319" width="11.7109375" style="4" customWidth="1"/>
    <col min="2320" max="2320" width="10.42578125" style="4" customWidth="1"/>
    <col min="2321" max="2560" width="9.140625" style="4"/>
    <col min="2561" max="2561" width="6" style="4" customWidth="1"/>
    <col min="2562" max="2562" width="41.42578125" style="4" customWidth="1"/>
    <col min="2563" max="2563" width="14.140625" style="4" customWidth="1"/>
    <col min="2564" max="2564" width="5.28515625" style="4" customWidth="1"/>
    <col min="2565" max="2565" width="11.85546875" style="4" bestFit="1" customWidth="1"/>
    <col min="2566" max="2566" width="5.140625" style="4" bestFit="1" customWidth="1"/>
    <col min="2567" max="2569" width="11.85546875" style="4" bestFit="1" customWidth="1"/>
    <col min="2570" max="2570" width="22" style="4" customWidth="1"/>
    <col min="2571" max="2571" width="9.7109375" style="4" customWidth="1"/>
    <col min="2572" max="2572" width="9.140625" style="4"/>
    <col min="2573" max="2573" width="5.85546875" style="4" customWidth="1"/>
    <col min="2574" max="2575" width="11.7109375" style="4" customWidth="1"/>
    <col min="2576" max="2576" width="10.42578125" style="4" customWidth="1"/>
    <col min="2577" max="2816" width="9.140625" style="4"/>
    <col min="2817" max="2817" width="6" style="4" customWidth="1"/>
    <col min="2818" max="2818" width="41.42578125" style="4" customWidth="1"/>
    <col min="2819" max="2819" width="14.140625" style="4" customWidth="1"/>
    <col min="2820" max="2820" width="5.28515625" style="4" customWidth="1"/>
    <col min="2821" max="2821" width="11.85546875" style="4" bestFit="1" customWidth="1"/>
    <col min="2822" max="2822" width="5.140625" style="4" bestFit="1" customWidth="1"/>
    <col min="2823" max="2825" width="11.85546875" style="4" bestFit="1" customWidth="1"/>
    <col min="2826" max="2826" width="22" style="4" customWidth="1"/>
    <col min="2827" max="2827" width="9.7109375" style="4" customWidth="1"/>
    <col min="2828" max="2828" width="9.140625" style="4"/>
    <col min="2829" max="2829" width="5.85546875" style="4" customWidth="1"/>
    <col min="2830" max="2831" width="11.7109375" style="4" customWidth="1"/>
    <col min="2832" max="2832" width="10.42578125" style="4" customWidth="1"/>
    <col min="2833" max="3072" width="9.140625" style="4"/>
    <col min="3073" max="3073" width="6" style="4" customWidth="1"/>
    <col min="3074" max="3074" width="41.42578125" style="4" customWidth="1"/>
    <col min="3075" max="3075" width="14.140625" style="4" customWidth="1"/>
    <col min="3076" max="3076" width="5.28515625" style="4" customWidth="1"/>
    <col min="3077" max="3077" width="11.85546875" style="4" bestFit="1" customWidth="1"/>
    <col min="3078" max="3078" width="5.140625" style="4" bestFit="1" customWidth="1"/>
    <col min="3079" max="3081" width="11.85546875" style="4" bestFit="1" customWidth="1"/>
    <col min="3082" max="3082" width="22" style="4" customWidth="1"/>
    <col min="3083" max="3083" width="9.7109375" style="4" customWidth="1"/>
    <col min="3084" max="3084" width="9.140625" style="4"/>
    <col min="3085" max="3085" width="5.85546875" style="4" customWidth="1"/>
    <col min="3086" max="3087" width="11.7109375" style="4" customWidth="1"/>
    <col min="3088" max="3088" width="10.42578125" style="4" customWidth="1"/>
    <col min="3089" max="3328" width="9.140625" style="4"/>
    <col min="3329" max="3329" width="6" style="4" customWidth="1"/>
    <col min="3330" max="3330" width="41.42578125" style="4" customWidth="1"/>
    <col min="3331" max="3331" width="14.140625" style="4" customWidth="1"/>
    <col min="3332" max="3332" width="5.28515625" style="4" customWidth="1"/>
    <col min="3333" max="3333" width="11.85546875" style="4" bestFit="1" customWidth="1"/>
    <col min="3334" max="3334" width="5.140625" style="4" bestFit="1" customWidth="1"/>
    <col min="3335" max="3337" width="11.85546875" style="4" bestFit="1" customWidth="1"/>
    <col min="3338" max="3338" width="22" style="4" customWidth="1"/>
    <col min="3339" max="3339" width="9.7109375" style="4" customWidth="1"/>
    <col min="3340" max="3340" width="9.140625" style="4"/>
    <col min="3341" max="3341" width="5.85546875" style="4" customWidth="1"/>
    <col min="3342" max="3343" width="11.7109375" style="4" customWidth="1"/>
    <col min="3344" max="3344" width="10.42578125" style="4" customWidth="1"/>
    <col min="3345" max="3584" width="9.140625" style="4"/>
    <col min="3585" max="3585" width="6" style="4" customWidth="1"/>
    <col min="3586" max="3586" width="41.42578125" style="4" customWidth="1"/>
    <col min="3587" max="3587" width="14.140625" style="4" customWidth="1"/>
    <col min="3588" max="3588" width="5.28515625" style="4" customWidth="1"/>
    <col min="3589" max="3589" width="11.85546875" style="4" bestFit="1" customWidth="1"/>
    <col min="3590" max="3590" width="5.140625" style="4" bestFit="1" customWidth="1"/>
    <col min="3591" max="3593" width="11.85546875" style="4" bestFit="1" customWidth="1"/>
    <col min="3594" max="3594" width="22" style="4" customWidth="1"/>
    <col min="3595" max="3595" width="9.7109375" style="4" customWidth="1"/>
    <col min="3596" max="3596" width="9.140625" style="4"/>
    <col min="3597" max="3597" width="5.85546875" style="4" customWidth="1"/>
    <col min="3598" max="3599" width="11.7109375" style="4" customWidth="1"/>
    <col min="3600" max="3600" width="10.42578125" style="4" customWidth="1"/>
    <col min="3601" max="3840" width="9.140625" style="4"/>
    <col min="3841" max="3841" width="6" style="4" customWidth="1"/>
    <col min="3842" max="3842" width="41.42578125" style="4" customWidth="1"/>
    <col min="3843" max="3843" width="14.140625" style="4" customWidth="1"/>
    <col min="3844" max="3844" width="5.28515625" style="4" customWidth="1"/>
    <col min="3845" max="3845" width="11.85546875" style="4" bestFit="1" customWidth="1"/>
    <col min="3846" max="3846" width="5.140625" style="4" bestFit="1" customWidth="1"/>
    <col min="3847" max="3849" width="11.85546875" style="4" bestFit="1" customWidth="1"/>
    <col min="3850" max="3850" width="22" style="4" customWidth="1"/>
    <col min="3851" max="3851" width="9.7109375" style="4" customWidth="1"/>
    <col min="3852" max="3852" width="9.140625" style="4"/>
    <col min="3853" max="3853" width="5.85546875" style="4" customWidth="1"/>
    <col min="3854" max="3855" width="11.7109375" style="4" customWidth="1"/>
    <col min="3856" max="3856" width="10.42578125" style="4" customWidth="1"/>
    <col min="3857" max="4096" width="9.140625" style="4"/>
    <col min="4097" max="4097" width="6" style="4" customWidth="1"/>
    <col min="4098" max="4098" width="41.42578125" style="4" customWidth="1"/>
    <col min="4099" max="4099" width="14.140625" style="4" customWidth="1"/>
    <col min="4100" max="4100" width="5.28515625" style="4" customWidth="1"/>
    <col min="4101" max="4101" width="11.85546875" style="4" bestFit="1" customWidth="1"/>
    <col min="4102" max="4102" width="5.140625" style="4" bestFit="1" customWidth="1"/>
    <col min="4103" max="4105" width="11.85546875" style="4" bestFit="1" customWidth="1"/>
    <col min="4106" max="4106" width="22" style="4" customWidth="1"/>
    <col min="4107" max="4107" width="9.7109375" style="4" customWidth="1"/>
    <col min="4108" max="4108" width="9.140625" style="4"/>
    <col min="4109" max="4109" width="5.85546875" style="4" customWidth="1"/>
    <col min="4110" max="4111" width="11.7109375" style="4" customWidth="1"/>
    <col min="4112" max="4112" width="10.42578125" style="4" customWidth="1"/>
    <col min="4113" max="4352" width="9.140625" style="4"/>
    <col min="4353" max="4353" width="6" style="4" customWidth="1"/>
    <col min="4354" max="4354" width="41.42578125" style="4" customWidth="1"/>
    <col min="4355" max="4355" width="14.140625" style="4" customWidth="1"/>
    <col min="4356" max="4356" width="5.28515625" style="4" customWidth="1"/>
    <col min="4357" max="4357" width="11.85546875" style="4" bestFit="1" customWidth="1"/>
    <col min="4358" max="4358" width="5.140625" style="4" bestFit="1" customWidth="1"/>
    <col min="4359" max="4361" width="11.85546875" style="4" bestFit="1" customWidth="1"/>
    <col min="4362" max="4362" width="22" style="4" customWidth="1"/>
    <col min="4363" max="4363" width="9.7109375" style="4" customWidth="1"/>
    <col min="4364" max="4364" width="9.140625" style="4"/>
    <col min="4365" max="4365" width="5.85546875" style="4" customWidth="1"/>
    <col min="4366" max="4367" width="11.7109375" style="4" customWidth="1"/>
    <col min="4368" max="4368" width="10.42578125" style="4" customWidth="1"/>
    <col min="4369" max="4608" width="9.140625" style="4"/>
    <col min="4609" max="4609" width="6" style="4" customWidth="1"/>
    <col min="4610" max="4610" width="41.42578125" style="4" customWidth="1"/>
    <col min="4611" max="4611" width="14.140625" style="4" customWidth="1"/>
    <col min="4612" max="4612" width="5.28515625" style="4" customWidth="1"/>
    <col min="4613" max="4613" width="11.85546875" style="4" bestFit="1" customWidth="1"/>
    <col min="4614" max="4614" width="5.140625" style="4" bestFit="1" customWidth="1"/>
    <col min="4615" max="4617" width="11.85546875" style="4" bestFit="1" customWidth="1"/>
    <col min="4618" max="4618" width="22" style="4" customWidth="1"/>
    <col min="4619" max="4619" width="9.7109375" style="4" customWidth="1"/>
    <col min="4620" max="4620" width="9.140625" style="4"/>
    <col min="4621" max="4621" width="5.85546875" style="4" customWidth="1"/>
    <col min="4622" max="4623" width="11.7109375" style="4" customWidth="1"/>
    <col min="4624" max="4624" width="10.42578125" style="4" customWidth="1"/>
    <col min="4625" max="4864" width="9.140625" style="4"/>
    <col min="4865" max="4865" width="6" style="4" customWidth="1"/>
    <col min="4866" max="4866" width="41.42578125" style="4" customWidth="1"/>
    <col min="4867" max="4867" width="14.140625" style="4" customWidth="1"/>
    <col min="4868" max="4868" width="5.28515625" style="4" customWidth="1"/>
    <col min="4869" max="4869" width="11.85546875" style="4" bestFit="1" customWidth="1"/>
    <col min="4870" max="4870" width="5.140625" style="4" bestFit="1" customWidth="1"/>
    <col min="4871" max="4873" width="11.85546875" style="4" bestFit="1" customWidth="1"/>
    <col min="4874" max="4874" width="22" style="4" customWidth="1"/>
    <col min="4875" max="4875" width="9.7109375" style="4" customWidth="1"/>
    <col min="4876" max="4876" width="9.140625" style="4"/>
    <col min="4877" max="4877" width="5.85546875" style="4" customWidth="1"/>
    <col min="4878" max="4879" width="11.7109375" style="4" customWidth="1"/>
    <col min="4880" max="4880" width="10.42578125" style="4" customWidth="1"/>
    <col min="4881" max="5120" width="9.140625" style="4"/>
    <col min="5121" max="5121" width="6" style="4" customWidth="1"/>
    <col min="5122" max="5122" width="41.42578125" style="4" customWidth="1"/>
    <col min="5123" max="5123" width="14.140625" style="4" customWidth="1"/>
    <col min="5124" max="5124" width="5.28515625" style="4" customWidth="1"/>
    <col min="5125" max="5125" width="11.85546875" style="4" bestFit="1" customWidth="1"/>
    <col min="5126" max="5126" width="5.140625" style="4" bestFit="1" customWidth="1"/>
    <col min="5127" max="5129" width="11.85546875" style="4" bestFit="1" customWidth="1"/>
    <col min="5130" max="5130" width="22" style="4" customWidth="1"/>
    <col min="5131" max="5131" width="9.7109375" style="4" customWidth="1"/>
    <col min="5132" max="5132" width="9.140625" style="4"/>
    <col min="5133" max="5133" width="5.85546875" style="4" customWidth="1"/>
    <col min="5134" max="5135" width="11.7109375" style="4" customWidth="1"/>
    <col min="5136" max="5136" width="10.42578125" style="4" customWidth="1"/>
    <col min="5137" max="5376" width="9.140625" style="4"/>
    <col min="5377" max="5377" width="6" style="4" customWidth="1"/>
    <col min="5378" max="5378" width="41.42578125" style="4" customWidth="1"/>
    <col min="5379" max="5379" width="14.140625" style="4" customWidth="1"/>
    <col min="5380" max="5380" width="5.28515625" style="4" customWidth="1"/>
    <col min="5381" max="5381" width="11.85546875" style="4" bestFit="1" customWidth="1"/>
    <col min="5382" max="5382" width="5.140625" style="4" bestFit="1" customWidth="1"/>
    <col min="5383" max="5385" width="11.85546875" style="4" bestFit="1" customWidth="1"/>
    <col min="5386" max="5386" width="22" style="4" customWidth="1"/>
    <col min="5387" max="5387" width="9.7109375" style="4" customWidth="1"/>
    <col min="5388" max="5388" width="9.140625" style="4"/>
    <col min="5389" max="5389" width="5.85546875" style="4" customWidth="1"/>
    <col min="5390" max="5391" width="11.7109375" style="4" customWidth="1"/>
    <col min="5392" max="5392" width="10.42578125" style="4" customWidth="1"/>
    <col min="5393" max="5632" width="9.140625" style="4"/>
    <col min="5633" max="5633" width="6" style="4" customWidth="1"/>
    <col min="5634" max="5634" width="41.42578125" style="4" customWidth="1"/>
    <col min="5635" max="5635" width="14.140625" style="4" customWidth="1"/>
    <col min="5636" max="5636" width="5.28515625" style="4" customWidth="1"/>
    <col min="5637" max="5637" width="11.85546875" style="4" bestFit="1" customWidth="1"/>
    <col min="5638" max="5638" width="5.140625" style="4" bestFit="1" customWidth="1"/>
    <col min="5639" max="5641" width="11.85546875" style="4" bestFit="1" customWidth="1"/>
    <col min="5642" max="5642" width="22" style="4" customWidth="1"/>
    <col min="5643" max="5643" width="9.7109375" style="4" customWidth="1"/>
    <col min="5644" max="5644" width="9.140625" style="4"/>
    <col min="5645" max="5645" width="5.85546875" style="4" customWidth="1"/>
    <col min="5646" max="5647" width="11.7109375" style="4" customWidth="1"/>
    <col min="5648" max="5648" width="10.42578125" style="4" customWidth="1"/>
    <col min="5649" max="5888" width="9.140625" style="4"/>
    <col min="5889" max="5889" width="6" style="4" customWidth="1"/>
    <col min="5890" max="5890" width="41.42578125" style="4" customWidth="1"/>
    <col min="5891" max="5891" width="14.140625" style="4" customWidth="1"/>
    <col min="5892" max="5892" width="5.28515625" style="4" customWidth="1"/>
    <col min="5893" max="5893" width="11.85546875" style="4" bestFit="1" customWidth="1"/>
    <col min="5894" max="5894" width="5.140625" style="4" bestFit="1" customWidth="1"/>
    <col min="5895" max="5897" width="11.85546875" style="4" bestFit="1" customWidth="1"/>
    <col min="5898" max="5898" width="22" style="4" customWidth="1"/>
    <col min="5899" max="5899" width="9.7109375" style="4" customWidth="1"/>
    <col min="5900" max="5900" width="9.140625" style="4"/>
    <col min="5901" max="5901" width="5.85546875" style="4" customWidth="1"/>
    <col min="5902" max="5903" width="11.7109375" style="4" customWidth="1"/>
    <col min="5904" max="5904" width="10.42578125" style="4" customWidth="1"/>
    <col min="5905" max="6144" width="9.140625" style="4"/>
    <col min="6145" max="6145" width="6" style="4" customWidth="1"/>
    <col min="6146" max="6146" width="41.42578125" style="4" customWidth="1"/>
    <col min="6147" max="6147" width="14.140625" style="4" customWidth="1"/>
    <col min="6148" max="6148" width="5.28515625" style="4" customWidth="1"/>
    <col min="6149" max="6149" width="11.85546875" style="4" bestFit="1" customWidth="1"/>
    <col min="6150" max="6150" width="5.140625" style="4" bestFit="1" customWidth="1"/>
    <col min="6151" max="6153" width="11.85546875" style="4" bestFit="1" customWidth="1"/>
    <col min="6154" max="6154" width="22" style="4" customWidth="1"/>
    <col min="6155" max="6155" width="9.7109375" style="4" customWidth="1"/>
    <col min="6156" max="6156" width="9.140625" style="4"/>
    <col min="6157" max="6157" width="5.85546875" style="4" customWidth="1"/>
    <col min="6158" max="6159" width="11.7109375" style="4" customWidth="1"/>
    <col min="6160" max="6160" width="10.42578125" style="4" customWidth="1"/>
    <col min="6161" max="6400" width="9.140625" style="4"/>
    <col min="6401" max="6401" width="6" style="4" customWidth="1"/>
    <col min="6402" max="6402" width="41.42578125" style="4" customWidth="1"/>
    <col min="6403" max="6403" width="14.140625" style="4" customWidth="1"/>
    <col min="6404" max="6404" width="5.28515625" style="4" customWidth="1"/>
    <col min="6405" max="6405" width="11.85546875" style="4" bestFit="1" customWidth="1"/>
    <col min="6406" max="6406" width="5.140625" style="4" bestFit="1" customWidth="1"/>
    <col min="6407" max="6409" width="11.85546875" style="4" bestFit="1" customWidth="1"/>
    <col min="6410" max="6410" width="22" style="4" customWidth="1"/>
    <col min="6411" max="6411" width="9.7109375" style="4" customWidth="1"/>
    <col min="6412" max="6412" width="9.140625" style="4"/>
    <col min="6413" max="6413" width="5.85546875" style="4" customWidth="1"/>
    <col min="6414" max="6415" width="11.7109375" style="4" customWidth="1"/>
    <col min="6416" max="6416" width="10.42578125" style="4" customWidth="1"/>
    <col min="6417" max="6656" width="9.140625" style="4"/>
    <col min="6657" max="6657" width="6" style="4" customWidth="1"/>
    <col min="6658" max="6658" width="41.42578125" style="4" customWidth="1"/>
    <col min="6659" max="6659" width="14.140625" style="4" customWidth="1"/>
    <col min="6660" max="6660" width="5.28515625" style="4" customWidth="1"/>
    <col min="6661" max="6661" width="11.85546875" style="4" bestFit="1" customWidth="1"/>
    <col min="6662" max="6662" width="5.140625" style="4" bestFit="1" customWidth="1"/>
    <col min="6663" max="6665" width="11.85546875" style="4" bestFit="1" customWidth="1"/>
    <col min="6666" max="6666" width="22" style="4" customWidth="1"/>
    <col min="6667" max="6667" width="9.7109375" style="4" customWidth="1"/>
    <col min="6668" max="6668" width="9.140625" style="4"/>
    <col min="6669" max="6669" width="5.85546875" style="4" customWidth="1"/>
    <col min="6670" max="6671" width="11.7109375" style="4" customWidth="1"/>
    <col min="6672" max="6672" width="10.42578125" style="4" customWidth="1"/>
    <col min="6673" max="6912" width="9.140625" style="4"/>
    <col min="6913" max="6913" width="6" style="4" customWidth="1"/>
    <col min="6914" max="6914" width="41.42578125" style="4" customWidth="1"/>
    <col min="6915" max="6915" width="14.140625" style="4" customWidth="1"/>
    <col min="6916" max="6916" width="5.28515625" style="4" customWidth="1"/>
    <col min="6917" max="6917" width="11.85546875" style="4" bestFit="1" customWidth="1"/>
    <col min="6918" max="6918" width="5.140625" style="4" bestFit="1" customWidth="1"/>
    <col min="6919" max="6921" width="11.85546875" style="4" bestFit="1" customWidth="1"/>
    <col min="6922" max="6922" width="22" style="4" customWidth="1"/>
    <col min="6923" max="6923" width="9.7109375" style="4" customWidth="1"/>
    <col min="6924" max="6924" width="9.140625" style="4"/>
    <col min="6925" max="6925" width="5.85546875" style="4" customWidth="1"/>
    <col min="6926" max="6927" width="11.7109375" style="4" customWidth="1"/>
    <col min="6928" max="6928" width="10.42578125" style="4" customWidth="1"/>
    <col min="6929" max="7168" width="9.140625" style="4"/>
    <col min="7169" max="7169" width="6" style="4" customWidth="1"/>
    <col min="7170" max="7170" width="41.42578125" style="4" customWidth="1"/>
    <col min="7171" max="7171" width="14.140625" style="4" customWidth="1"/>
    <col min="7172" max="7172" width="5.28515625" style="4" customWidth="1"/>
    <col min="7173" max="7173" width="11.85546875" style="4" bestFit="1" customWidth="1"/>
    <col min="7174" max="7174" width="5.140625" style="4" bestFit="1" customWidth="1"/>
    <col min="7175" max="7177" width="11.85546875" style="4" bestFit="1" customWidth="1"/>
    <col min="7178" max="7178" width="22" style="4" customWidth="1"/>
    <col min="7179" max="7179" width="9.7109375" style="4" customWidth="1"/>
    <col min="7180" max="7180" width="9.140625" style="4"/>
    <col min="7181" max="7181" width="5.85546875" style="4" customWidth="1"/>
    <col min="7182" max="7183" width="11.7109375" style="4" customWidth="1"/>
    <col min="7184" max="7184" width="10.42578125" style="4" customWidth="1"/>
    <col min="7185" max="7424" width="9.140625" style="4"/>
    <col min="7425" max="7425" width="6" style="4" customWidth="1"/>
    <col min="7426" max="7426" width="41.42578125" style="4" customWidth="1"/>
    <col min="7427" max="7427" width="14.140625" style="4" customWidth="1"/>
    <col min="7428" max="7428" width="5.28515625" style="4" customWidth="1"/>
    <col min="7429" max="7429" width="11.85546875" style="4" bestFit="1" customWidth="1"/>
    <col min="7430" max="7430" width="5.140625" style="4" bestFit="1" customWidth="1"/>
    <col min="7431" max="7433" width="11.85546875" style="4" bestFit="1" customWidth="1"/>
    <col min="7434" max="7434" width="22" style="4" customWidth="1"/>
    <col min="7435" max="7435" width="9.7109375" style="4" customWidth="1"/>
    <col min="7436" max="7436" width="9.140625" style="4"/>
    <col min="7437" max="7437" width="5.85546875" style="4" customWidth="1"/>
    <col min="7438" max="7439" width="11.7109375" style="4" customWidth="1"/>
    <col min="7440" max="7440" width="10.42578125" style="4" customWidth="1"/>
    <col min="7441" max="7680" width="9.140625" style="4"/>
    <col min="7681" max="7681" width="6" style="4" customWidth="1"/>
    <col min="7682" max="7682" width="41.42578125" style="4" customWidth="1"/>
    <col min="7683" max="7683" width="14.140625" style="4" customWidth="1"/>
    <col min="7684" max="7684" width="5.28515625" style="4" customWidth="1"/>
    <col min="7685" max="7685" width="11.85546875" style="4" bestFit="1" customWidth="1"/>
    <col min="7686" max="7686" width="5.140625" style="4" bestFit="1" customWidth="1"/>
    <col min="7687" max="7689" width="11.85546875" style="4" bestFit="1" customWidth="1"/>
    <col min="7690" max="7690" width="22" style="4" customWidth="1"/>
    <col min="7691" max="7691" width="9.7109375" style="4" customWidth="1"/>
    <col min="7692" max="7692" width="9.140625" style="4"/>
    <col min="7693" max="7693" width="5.85546875" style="4" customWidth="1"/>
    <col min="7694" max="7695" width="11.7109375" style="4" customWidth="1"/>
    <col min="7696" max="7696" width="10.42578125" style="4" customWidth="1"/>
    <col min="7697" max="7936" width="9.140625" style="4"/>
    <col min="7937" max="7937" width="6" style="4" customWidth="1"/>
    <col min="7938" max="7938" width="41.42578125" style="4" customWidth="1"/>
    <col min="7939" max="7939" width="14.140625" style="4" customWidth="1"/>
    <col min="7940" max="7940" width="5.28515625" style="4" customWidth="1"/>
    <col min="7941" max="7941" width="11.85546875" style="4" bestFit="1" customWidth="1"/>
    <col min="7942" max="7942" width="5.140625" style="4" bestFit="1" customWidth="1"/>
    <col min="7943" max="7945" width="11.85546875" style="4" bestFit="1" customWidth="1"/>
    <col min="7946" max="7946" width="22" style="4" customWidth="1"/>
    <col min="7947" max="7947" width="9.7109375" style="4" customWidth="1"/>
    <col min="7948" max="7948" width="9.140625" style="4"/>
    <col min="7949" max="7949" width="5.85546875" style="4" customWidth="1"/>
    <col min="7950" max="7951" width="11.7109375" style="4" customWidth="1"/>
    <col min="7952" max="7952" width="10.42578125" style="4" customWidth="1"/>
    <col min="7953" max="8192" width="9.140625" style="4"/>
    <col min="8193" max="8193" width="6" style="4" customWidth="1"/>
    <col min="8194" max="8194" width="41.42578125" style="4" customWidth="1"/>
    <col min="8195" max="8195" width="14.140625" style="4" customWidth="1"/>
    <col min="8196" max="8196" width="5.28515625" style="4" customWidth="1"/>
    <col min="8197" max="8197" width="11.85546875" style="4" bestFit="1" customWidth="1"/>
    <col min="8198" max="8198" width="5.140625" style="4" bestFit="1" customWidth="1"/>
    <col min="8199" max="8201" width="11.85546875" style="4" bestFit="1" customWidth="1"/>
    <col min="8202" max="8202" width="22" style="4" customWidth="1"/>
    <col min="8203" max="8203" width="9.7109375" style="4" customWidth="1"/>
    <col min="8204" max="8204" width="9.140625" style="4"/>
    <col min="8205" max="8205" width="5.85546875" style="4" customWidth="1"/>
    <col min="8206" max="8207" width="11.7109375" style="4" customWidth="1"/>
    <col min="8208" max="8208" width="10.42578125" style="4" customWidth="1"/>
    <col min="8209" max="8448" width="9.140625" style="4"/>
    <col min="8449" max="8449" width="6" style="4" customWidth="1"/>
    <col min="8450" max="8450" width="41.42578125" style="4" customWidth="1"/>
    <col min="8451" max="8451" width="14.140625" style="4" customWidth="1"/>
    <col min="8452" max="8452" width="5.28515625" style="4" customWidth="1"/>
    <col min="8453" max="8453" width="11.85546875" style="4" bestFit="1" customWidth="1"/>
    <col min="8454" max="8454" width="5.140625" style="4" bestFit="1" customWidth="1"/>
    <col min="8455" max="8457" width="11.85546875" style="4" bestFit="1" customWidth="1"/>
    <col min="8458" max="8458" width="22" style="4" customWidth="1"/>
    <col min="8459" max="8459" width="9.7109375" style="4" customWidth="1"/>
    <col min="8460" max="8460" width="9.140625" style="4"/>
    <col min="8461" max="8461" width="5.85546875" style="4" customWidth="1"/>
    <col min="8462" max="8463" width="11.7109375" style="4" customWidth="1"/>
    <col min="8464" max="8464" width="10.42578125" style="4" customWidth="1"/>
    <col min="8465" max="8704" width="9.140625" style="4"/>
    <col min="8705" max="8705" width="6" style="4" customWidth="1"/>
    <col min="8706" max="8706" width="41.42578125" style="4" customWidth="1"/>
    <col min="8707" max="8707" width="14.140625" style="4" customWidth="1"/>
    <col min="8708" max="8708" width="5.28515625" style="4" customWidth="1"/>
    <col min="8709" max="8709" width="11.85546875" style="4" bestFit="1" customWidth="1"/>
    <col min="8710" max="8710" width="5.140625" style="4" bestFit="1" customWidth="1"/>
    <col min="8711" max="8713" width="11.85546875" style="4" bestFit="1" customWidth="1"/>
    <col min="8714" max="8714" width="22" style="4" customWidth="1"/>
    <col min="8715" max="8715" width="9.7109375" style="4" customWidth="1"/>
    <col min="8716" max="8716" width="9.140625" style="4"/>
    <col min="8717" max="8717" width="5.85546875" style="4" customWidth="1"/>
    <col min="8718" max="8719" width="11.7109375" style="4" customWidth="1"/>
    <col min="8720" max="8720" width="10.42578125" style="4" customWidth="1"/>
    <col min="8721" max="8960" width="9.140625" style="4"/>
    <col min="8961" max="8961" width="6" style="4" customWidth="1"/>
    <col min="8962" max="8962" width="41.42578125" style="4" customWidth="1"/>
    <col min="8963" max="8963" width="14.140625" style="4" customWidth="1"/>
    <col min="8964" max="8964" width="5.28515625" style="4" customWidth="1"/>
    <col min="8965" max="8965" width="11.85546875" style="4" bestFit="1" customWidth="1"/>
    <col min="8966" max="8966" width="5.140625" style="4" bestFit="1" customWidth="1"/>
    <col min="8967" max="8969" width="11.85546875" style="4" bestFit="1" customWidth="1"/>
    <col min="8970" max="8970" width="22" style="4" customWidth="1"/>
    <col min="8971" max="8971" width="9.7109375" style="4" customWidth="1"/>
    <col min="8972" max="8972" width="9.140625" style="4"/>
    <col min="8973" max="8973" width="5.85546875" style="4" customWidth="1"/>
    <col min="8974" max="8975" width="11.7109375" style="4" customWidth="1"/>
    <col min="8976" max="8976" width="10.42578125" style="4" customWidth="1"/>
    <col min="8977" max="9216" width="9.140625" style="4"/>
    <col min="9217" max="9217" width="6" style="4" customWidth="1"/>
    <col min="9218" max="9218" width="41.42578125" style="4" customWidth="1"/>
    <col min="9219" max="9219" width="14.140625" style="4" customWidth="1"/>
    <col min="9220" max="9220" width="5.28515625" style="4" customWidth="1"/>
    <col min="9221" max="9221" width="11.85546875" style="4" bestFit="1" customWidth="1"/>
    <col min="9222" max="9222" width="5.140625" style="4" bestFit="1" customWidth="1"/>
    <col min="9223" max="9225" width="11.85546875" style="4" bestFit="1" customWidth="1"/>
    <col min="9226" max="9226" width="22" style="4" customWidth="1"/>
    <col min="9227" max="9227" width="9.7109375" style="4" customWidth="1"/>
    <col min="9228" max="9228" width="9.140625" style="4"/>
    <col min="9229" max="9229" width="5.85546875" style="4" customWidth="1"/>
    <col min="9230" max="9231" width="11.7109375" style="4" customWidth="1"/>
    <col min="9232" max="9232" width="10.42578125" style="4" customWidth="1"/>
    <col min="9233" max="9472" width="9.140625" style="4"/>
    <col min="9473" max="9473" width="6" style="4" customWidth="1"/>
    <col min="9474" max="9474" width="41.42578125" style="4" customWidth="1"/>
    <col min="9475" max="9475" width="14.140625" style="4" customWidth="1"/>
    <col min="9476" max="9476" width="5.28515625" style="4" customWidth="1"/>
    <col min="9477" max="9477" width="11.85546875" style="4" bestFit="1" customWidth="1"/>
    <col min="9478" max="9478" width="5.140625" style="4" bestFit="1" customWidth="1"/>
    <col min="9479" max="9481" width="11.85546875" style="4" bestFit="1" customWidth="1"/>
    <col min="9482" max="9482" width="22" style="4" customWidth="1"/>
    <col min="9483" max="9483" width="9.7109375" style="4" customWidth="1"/>
    <col min="9484" max="9484" width="9.140625" style="4"/>
    <col min="9485" max="9485" width="5.85546875" style="4" customWidth="1"/>
    <col min="9486" max="9487" width="11.7109375" style="4" customWidth="1"/>
    <col min="9488" max="9488" width="10.42578125" style="4" customWidth="1"/>
    <col min="9489" max="9728" width="9.140625" style="4"/>
    <col min="9729" max="9729" width="6" style="4" customWidth="1"/>
    <col min="9730" max="9730" width="41.42578125" style="4" customWidth="1"/>
    <col min="9731" max="9731" width="14.140625" style="4" customWidth="1"/>
    <col min="9732" max="9732" width="5.28515625" style="4" customWidth="1"/>
    <col min="9733" max="9733" width="11.85546875" style="4" bestFit="1" customWidth="1"/>
    <col min="9734" max="9734" width="5.140625" style="4" bestFit="1" customWidth="1"/>
    <col min="9735" max="9737" width="11.85546875" style="4" bestFit="1" customWidth="1"/>
    <col min="9738" max="9738" width="22" style="4" customWidth="1"/>
    <col min="9739" max="9739" width="9.7109375" style="4" customWidth="1"/>
    <col min="9740" max="9740" width="9.140625" style="4"/>
    <col min="9741" max="9741" width="5.85546875" style="4" customWidth="1"/>
    <col min="9742" max="9743" width="11.7109375" style="4" customWidth="1"/>
    <col min="9744" max="9744" width="10.42578125" style="4" customWidth="1"/>
    <col min="9745" max="9984" width="9.140625" style="4"/>
    <col min="9985" max="9985" width="6" style="4" customWidth="1"/>
    <col min="9986" max="9986" width="41.42578125" style="4" customWidth="1"/>
    <col min="9987" max="9987" width="14.140625" style="4" customWidth="1"/>
    <col min="9988" max="9988" width="5.28515625" style="4" customWidth="1"/>
    <col min="9989" max="9989" width="11.85546875" style="4" bestFit="1" customWidth="1"/>
    <col min="9990" max="9990" width="5.140625" style="4" bestFit="1" customWidth="1"/>
    <col min="9991" max="9993" width="11.85546875" style="4" bestFit="1" customWidth="1"/>
    <col min="9994" max="9994" width="22" style="4" customWidth="1"/>
    <col min="9995" max="9995" width="9.7109375" style="4" customWidth="1"/>
    <col min="9996" max="9996" width="9.140625" style="4"/>
    <col min="9997" max="9997" width="5.85546875" style="4" customWidth="1"/>
    <col min="9998" max="9999" width="11.7109375" style="4" customWidth="1"/>
    <col min="10000" max="10000" width="10.42578125" style="4" customWidth="1"/>
    <col min="10001" max="10240" width="9.140625" style="4"/>
    <col min="10241" max="10241" width="6" style="4" customWidth="1"/>
    <col min="10242" max="10242" width="41.42578125" style="4" customWidth="1"/>
    <col min="10243" max="10243" width="14.140625" style="4" customWidth="1"/>
    <col min="10244" max="10244" width="5.28515625" style="4" customWidth="1"/>
    <col min="10245" max="10245" width="11.85546875" style="4" bestFit="1" customWidth="1"/>
    <col min="10246" max="10246" width="5.140625" style="4" bestFit="1" customWidth="1"/>
    <col min="10247" max="10249" width="11.85546875" style="4" bestFit="1" customWidth="1"/>
    <col min="10250" max="10250" width="22" style="4" customWidth="1"/>
    <col min="10251" max="10251" width="9.7109375" style="4" customWidth="1"/>
    <col min="10252" max="10252" width="9.140625" style="4"/>
    <col min="10253" max="10253" width="5.85546875" style="4" customWidth="1"/>
    <col min="10254" max="10255" width="11.7109375" style="4" customWidth="1"/>
    <col min="10256" max="10256" width="10.42578125" style="4" customWidth="1"/>
    <col min="10257" max="10496" width="9.140625" style="4"/>
    <col min="10497" max="10497" width="6" style="4" customWidth="1"/>
    <col min="10498" max="10498" width="41.42578125" style="4" customWidth="1"/>
    <col min="10499" max="10499" width="14.140625" style="4" customWidth="1"/>
    <col min="10500" max="10500" width="5.28515625" style="4" customWidth="1"/>
    <col min="10501" max="10501" width="11.85546875" style="4" bestFit="1" customWidth="1"/>
    <col min="10502" max="10502" width="5.140625" style="4" bestFit="1" customWidth="1"/>
    <col min="10503" max="10505" width="11.85546875" style="4" bestFit="1" customWidth="1"/>
    <col min="10506" max="10506" width="22" style="4" customWidth="1"/>
    <col min="10507" max="10507" width="9.7109375" style="4" customWidth="1"/>
    <col min="10508" max="10508" width="9.140625" style="4"/>
    <col min="10509" max="10509" width="5.85546875" style="4" customWidth="1"/>
    <col min="10510" max="10511" width="11.7109375" style="4" customWidth="1"/>
    <col min="10512" max="10512" width="10.42578125" style="4" customWidth="1"/>
    <col min="10513" max="10752" width="9.140625" style="4"/>
    <col min="10753" max="10753" width="6" style="4" customWidth="1"/>
    <col min="10754" max="10754" width="41.42578125" style="4" customWidth="1"/>
    <col min="10755" max="10755" width="14.140625" style="4" customWidth="1"/>
    <col min="10756" max="10756" width="5.28515625" style="4" customWidth="1"/>
    <col min="10757" max="10757" width="11.85546875" style="4" bestFit="1" customWidth="1"/>
    <col min="10758" max="10758" width="5.140625" style="4" bestFit="1" customWidth="1"/>
    <col min="10759" max="10761" width="11.85546875" style="4" bestFit="1" customWidth="1"/>
    <col min="10762" max="10762" width="22" style="4" customWidth="1"/>
    <col min="10763" max="10763" width="9.7109375" style="4" customWidth="1"/>
    <col min="10764" max="10764" width="9.140625" style="4"/>
    <col min="10765" max="10765" width="5.85546875" style="4" customWidth="1"/>
    <col min="10766" max="10767" width="11.7109375" style="4" customWidth="1"/>
    <col min="10768" max="10768" width="10.42578125" style="4" customWidth="1"/>
    <col min="10769" max="11008" width="9.140625" style="4"/>
    <col min="11009" max="11009" width="6" style="4" customWidth="1"/>
    <col min="11010" max="11010" width="41.42578125" style="4" customWidth="1"/>
    <col min="11011" max="11011" width="14.140625" style="4" customWidth="1"/>
    <col min="11012" max="11012" width="5.28515625" style="4" customWidth="1"/>
    <col min="11013" max="11013" width="11.85546875" style="4" bestFit="1" customWidth="1"/>
    <col min="11014" max="11014" width="5.140625" style="4" bestFit="1" customWidth="1"/>
    <col min="11015" max="11017" width="11.85546875" style="4" bestFit="1" customWidth="1"/>
    <col min="11018" max="11018" width="22" style="4" customWidth="1"/>
    <col min="11019" max="11019" width="9.7109375" style="4" customWidth="1"/>
    <col min="11020" max="11020" width="9.140625" style="4"/>
    <col min="11021" max="11021" width="5.85546875" style="4" customWidth="1"/>
    <col min="11022" max="11023" width="11.7109375" style="4" customWidth="1"/>
    <col min="11024" max="11024" width="10.42578125" style="4" customWidth="1"/>
    <col min="11025" max="11264" width="9.140625" style="4"/>
    <col min="11265" max="11265" width="6" style="4" customWidth="1"/>
    <col min="11266" max="11266" width="41.42578125" style="4" customWidth="1"/>
    <col min="11267" max="11267" width="14.140625" style="4" customWidth="1"/>
    <col min="11268" max="11268" width="5.28515625" style="4" customWidth="1"/>
    <col min="11269" max="11269" width="11.85546875" style="4" bestFit="1" customWidth="1"/>
    <col min="11270" max="11270" width="5.140625" style="4" bestFit="1" customWidth="1"/>
    <col min="11271" max="11273" width="11.85546875" style="4" bestFit="1" customWidth="1"/>
    <col min="11274" max="11274" width="22" style="4" customWidth="1"/>
    <col min="11275" max="11275" width="9.7109375" style="4" customWidth="1"/>
    <col min="11276" max="11276" width="9.140625" style="4"/>
    <col min="11277" max="11277" width="5.85546875" style="4" customWidth="1"/>
    <col min="11278" max="11279" width="11.7109375" style="4" customWidth="1"/>
    <col min="11280" max="11280" width="10.42578125" style="4" customWidth="1"/>
    <col min="11281" max="11520" width="9.140625" style="4"/>
    <col min="11521" max="11521" width="6" style="4" customWidth="1"/>
    <col min="11522" max="11522" width="41.42578125" style="4" customWidth="1"/>
    <col min="11523" max="11523" width="14.140625" style="4" customWidth="1"/>
    <col min="11524" max="11524" width="5.28515625" style="4" customWidth="1"/>
    <col min="11525" max="11525" width="11.85546875" style="4" bestFit="1" customWidth="1"/>
    <col min="11526" max="11526" width="5.140625" style="4" bestFit="1" customWidth="1"/>
    <col min="11527" max="11529" width="11.85546875" style="4" bestFit="1" customWidth="1"/>
    <col min="11530" max="11530" width="22" style="4" customWidth="1"/>
    <col min="11531" max="11531" width="9.7109375" style="4" customWidth="1"/>
    <col min="11532" max="11532" width="9.140625" style="4"/>
    <col min="11533" max="11533" width="5.85546875" style="4" customWidth="1"/>
    <col min="11534" max="11535" width="11.7109375" style="4" customWidth="1"/>
    <col min="11536" max="11536" width="10.42578125" style="4" customWidth="1"/>
    <col min="11537" max="11776" width="9.140625" style="4"/>
    <col min="11777" max="11777" width="6" style="4" customWidth="1"/>
    <col min="11778" max="11778" width="41.42578125" style="4" customWidth="1"/>
    <col min="11779" max="11779" width="14.140625" style="4" customWidth="1"/>
    <col min="11780" max="11780" width="5.28515625" style="4" customWidth="1"/>
    <col min="11781" max="11781" width="11.85546875" style="4" bestFit="1" customWidth="1"/>
    <col min="11782" max="11782" width="5.140625" style="4" bestFit="1" customWidth="1"/>
    <col min="11783" max="11785" width="11.85546875" style="4" bestFit="1" customWidth="1"/>
    <col min="11786" max="11786" width="22" style="4" customWidth="1"/>
    <col min="11787" max="11787" width="9.7109375" style="4" customWidth="1"/>
    <col min="11788" max="11788" width="9.140625" style="4"/>
    <col min="11789" max="11789" width="5.85546875" style="4" customWidth="1"/>
    <col min="11790" max="11791" width="11.7109375" style="4" customWidth="1"/>
    <col min="11792" max="11792" width="10.42578125" style="4" customWidth="1"/>
    <col min="11793" max="12032" width="9.140625" style="4"/>
    <col min="12033" max="12033" width="6" style="4" customWidth="1"/>
    <col min="12034" max="12034" width="41.42578125" style="4" customWidth="1"/>
    <col min="12035" max="12035" width="14.140625" style="4" customWidth="1"/>
    <col min="12036" max="12036" width="5.28515625" style="4" customWidth="1"/>
    <col min="12037" max="12037" width="11.85546875" style="4" bestFit="1" customWidth="1"/>
    <col min="12038" max="12038" width="5.140625" style="4" bestFit="1" customWidth="1"/>
    <col min="12039" max="12041" width="11.85546875" style="4" bestFit="1" customWidth="1"/>
    <col min="12042" max="12042" width="22" style="4" customWidth="1"/>
    <col min="12043" max="12043" width="9.7109375" style="4" customWidth="1"/>
    <col min="12044" max="12044" width="9.140625" style="4"/>
    <col min="12045" max="12045" width="5.85546875" style="4" customWidth="1"/>
    <col min="12046" max="12047" width="11.7109375" style="4" customWidth="1"/>
    <col min="12048" max="12048" width="10.42578125" style="4" customWidth="1"/>
    <col min="12049" max="12288" width="9.140625" style="4"/>
    <col min="12289" max="12289" width="6" style="4" customWidth="1"/>
    <col min="12290" max="12290" width="41.42578125" style="4" customWidth="1"/>
    <col min="12291" max="12291" width="14.140625" style="4" customWidth="1"/>
    <col min="12292" max="12292" width="5.28515625" style="4" customWidth="1"/>
    <col min="12293" max="12293" width="11.85546875" style="4" bestFit="1" customWidth="1"/>
    <col min="12294" max="12294" width="5.140625" style="4" bestFit="1" customWidth="1"/>
    <col min="12295" max="12297" width="11.85546875" style="4" bestFit="1" customWidth="1"/>
    <col min="12298" max="12298" width="22" style="4" customWidth="1"/>
    <col min="12299" max="12299" width="9.7109375" style="4" customWidth="1"/>
    <col min="12300" max="12300" width="9.140625" style="4"/>
    <col min="12301" max="12301" width="5.85546875" style="4" customWidth="1"/>
    <col min="12302" max="12303" width="11.7109375" style="4" customWidth="1"/>
    <col min="12304" max="12304" width="10.42578125" style="4" customWidth="1"/>
    <col min="12305" max="12544" width="9.140625" style="4"/>
    <col min="12545" max="12545" width="6" style="4" customWidth="1"/>
    <col min="12546" max="12546" width="41.42578125" style="4" customWidth="1"/>
    <col min="12547" max="12547" width="14.140625" style="4" customWidth="1"/>
    <col min="12548" max="12548" width="5.28515625" style="4" customWidth="1"/>
    <col min="12549" max="12549" width="11.85546875" style="4" bestFit="1" customWidth="1"/>
    <col min="12550" max="12550" width="5.140625" style="4" bestFit="1" customWidth="1"/>
    <col min="12551" max="12553" width="11.85546875" style="4" bestFit="1" customWidth="1"/>
    <col min="12554" max="12554" width="22" style="4" customWidth="1"/>
    <col min="12555" max="12555" width="9.7109375" style="4" customWidth="1"/>
    <col min="12556" max="12556" width="9.140625" style="4"/>
    <col min="12557" max="12557" width="5.85546875" style="4" customWidth="1"/>
    <col min="12558" max="12559" width="11.7109375" style="4" customWidth="1"/>
    <col min="12560" max="12560" width="10.42578125" style="4" customWidth="1"/>
    <col min="12561" max="12800" width="9.140625" style="4"/>
    <col min="12801" max="12801" width="6" style="4" customWidth="1"/>
    <col min="12802" max="12802" width="41.42578125" style="4" customWidth="1"/>
    <col min="12803" max="12803" width="14.140625" style="4" customWidth="1"/>
    <col min="12804" max="12804" width="5.28515625" style="4" customWidth="1"/>
    <col min="12805" max="12805" width="11.85546875" style="4" bestFit="1" customWidth="1"/>
    <col min="12806" max="12806" width="5.140625" style="4" bestFit="1" customWidth="1"/>
    <col min="12807" max="12809" width="11.85546875" style="4" bestFit="1" customWidth="1"/>
    <col min="12810" max="12810" width="22" style="4" customWidth="1"/>
    <col min="12811" max="12811" width="9.7109375" style="4" customWidth="1"/>
    <col min="12812" max="12812" width="9.140625" style="4"/>
    <col min="12813" max="12813" width="5.85546875" style="4" customWidth="1"/>
    <col min="12814" max="12815" width="11.7109375" style="4" customWidth="1"/>
    <col min="12816" max="12816" width="10.42578125" style="4" customWidth="1"/>
    <col min="12817" max="13056" width="9.140625" style="4"/>
    <col min="13057" max="13057" width="6" style="4" customWidth="1"/>
    <col min="13058" max="13058" width="41.42578125" style="4" customWidth="1"/>
    <col min="13059" max="13059" width="14.140625" style="4" customWidth="1"/>
    <col min="13060" max="13060" width="5.28515625" style="4" customWidth="1"/>
    <col min="13061" max="13061" width="11.85546875" style="4" bestFit="1" customWidth="1"/>
    <col min="13062" max="13062" width="5.140625" style="4" bestFit="1" customWidth="1"/>
    <col min="13063" max="13065" width="11.85546875" style="4" bestFit="1" customWidth="1"/>
    <col min="13066" max="13066" width="22" style="4" customWidth="1"/>
    <col min="13067" max="13067" width="9.7109375" style="4" customWidth="1"/>
    <col min="13068" max="13068" width="9.140625" style="4"/>
    <col min="13069" max="13069" width="5.85546875" style="4" customWidth="1"/>
    <col min="13070" max="13071" width="11.7109375" style="4" customWidth="1"/>
    <col min="13072" max="13072" width="10.42578125" style="4" customWidth="1"/>
    <col min="13073" max="13312" width="9.140625" style="4"/>
    <col min="13313" max="13313" width="6" style="4" customWidth="1"/>
    <col min="13314" max="13314" width="41.42578125" style="4" customWidth="1"/>
    <col min="13315" max="13315" width="14.140625" style="4" customWidth="1"/>
    <col min="13316" max="13316" width="5.28515625" style="4" customWidth="1"/>
    <col min="13317" max="13317" width="11.85546875" style="4" bestFit="1" customWidth="1"/>
    <col min="13318" max="13318" width="5.140625" style="4" bestFit="1" customWidth="1"/>
    <col min="13319" max="13321" width="11.85546875" style="4" bestFit="1" customWidth="1"/>
    <col min="13322" max="13322" width="22" style="4" customWidth="1"/>
    <col min="13323" max="13323" width="9.7109375" style="4" customWidth="1"/>
    <col min="13324" max="13324" width="9.140625" style="4"/>
    <col min="13325" max="13325" width="5.85546875" style="4" customWidth="1"/>
    <col min="13326" max="13327" width="11.7109375" style="4" customWidth="1"/>
    <col min="13328" max="13328" width="10.42578125" style="4" customWidth="1"/>
    <col min="13329" max="13568" width="9.140625" style="4"/>
    <col min="13569" max="13569" width="6" style="4" customWidth="1"/>
    <col min="13570" max="13570" width="41.42578125" style="4" customWidth="1"/>
    <col min="13571" max="13571" width="14.140625" style="4" customWidth="1"/>
    <col min="13572" max="13572" width="5.28515625" style="4" customWidth="1"/>
    <col min="13573" max="13573" width="11.85546875" style="4" bestFit="1" customWidth="1"/>
    <col min="13574" max="13574" width="5.140625" style="4" bestFit="1" customWidth="1"/>
    <col min="13575" max="13577" width="11.85546875" style="4" bestFit="1" customWidth="1"/>
    <col min="13578" max="13578" width="22" style="4" customWidth="1"/>
    <col min="13579" max="13579" width="9.7109375" style="4" customWidth="1"/>
    <col min="13580" max="13580" width="9.140625" style="4"/>
    <col min="13581" max="13581" width="5.85546875" style="4" customWidth="1"/>
    <col min="13582" max="13583" width="11.7109375" style="4" customWidth="1"/>
    <col min="13584" max="13584" width="10.42578125" style="4" customWidth="1"/>
    <col min="13585" max="13824" width="9.140625" style="4"/>
    <col min="13825" max="13825" width="6" style="4" customWidth="1"/>
    <col min="13826" max="13826" width="41.42578125" style="4" customWidth="1"/>
    <col min="13827" max="13827" width="14.140625" style="4" customWidth="1"/>
    <col min="13828" max="13828" width="5.28515625" style="4" customWidth="1"/>
    <col min="13829" max="13829" width="11.85546875" style="4" bestFit="1" customWidth="1"/>
    <col min="13830" max="13830" width="5.140625" style="4" bestFit="1" customWidth="1"/>
    <col min="13831" max="13833" width="11.85546875" style="4" bestFit="1" customWidth="1"/>
    <col min="13834" max="13834" width="22" style="4" customWidth="1"/>
    <col min="13835" max="13835" width="9.7109375" style="4" customWidth="1"/>
    <col min="13836" max="13836" width="9.140625" style="4"/>
    <col min="13837" max="13837" width="5.85546875" style="4" customWidth="1"/>
    <col min="13838" max="13839" width="11.7109375" style="4" customWidth="1"/>
    <col min="13840" max="13840" width="10.42578125" style="4" customWidth="1"/>
    <col min="13841" max="14080" width="9.140625" style="4"/>
    <col min="14081" max="14081" width="6" style="4" customWidth="1"/>
    <col min="14082" max="14082" width="41.42578125" style="4" customWidth="1"/>
    <col min="14083" max="14083" width="14.140625" style="4" customWidth="1"/>
    <col min="14084" max="14084" width="5.28515625" style="4" customWidth="1"/>
    <col min="14085" max="14085" width="11.85546875" style="4" bestFit="1" customWidth="1"/>
    <col min="14086" max="14086" width="5.140625" style="4" bestFit="1" customWidth="1"/>
    <col min="14087" max="14089" width="11.85546875" style="4" bestFit="1" customWidth="1"/>
    <col min="14090" max="14090" width="22" style="4" customWidth="1"/>
    <col min="14091" max="14091" width="9.7109375" style="4" customWidth="1"/>
    <col min="14092" max="14092" width="9.140625" style="4"/>
    <col min="14093" max="14093" width="5.85546875" style="4" customWidth="1"/>
    <col min="14094" max="14095" width="11.7109375" style="4" customWidth="1"/>
    <col min="14096" max="14096" width="10.42578125" style="4" customWidth="1"/>
    <col min="14097" max="14336" width="9.140625" style="4"/>
    <col min="14337" max="14337" width="6" style="4" customWidth="1"/>
    <col min="14338" max="14338" width="41.42578125" style="4" customWidth="1"/>
    <col min="14339" max="14339" width="14.140625" style="4" customWidth="1"/>
    <col min="14340" max="14340" width="5.28515625" style="4" customWidth="1"/>
    <col min="14341" max="14341" width="11.85546875" style="4" bestFit="1" customWidth="1"/>
    <col min="14342" max="14342" width="5.140625" style="4" bestFit="1" customWidth="1"/>
    <col min="14343" max="14345" width="11.85546875" style="4" bestFit="1" customWidth="1"/>
    <col min="14346" max="14346" width="22" style="4" customWidth="1"/>
    <col min="14347" max="14347" width="9.7109375" style="4" customWidth="1"/>
    <col min="14348" max="14348" width="9.140625" style="4"/>
    <col min="14349" max="14349" width="5.85546875" style="4" customWidth="1"/>
    <col min="14350" max="14351" width="11.7109375" style="4" customWidth="1"/>
    <col min="14352" max="14352" width="10.42578125" style="4" customWidth="1"/>
    <col min="14353" max="14592" width="9.140625" style="4"/>
    <col min="14593" max="14593" width="6" style="4" customWidth="1"/>
    <col min="14594" max="14594" width="41.42578125" style="4" customWidth="1"/>
    <col min="14595" max="14595" width="14.140625" style="4" customWidth="1"/>
    <col min="14596" max="14596" width="5.28515625" style="4" customWidth="1"/>
    <col min="14597" max="14597" width="11.85546875" style="4" bestFit="1" customWidth="1"/>
    <col min="14598" max="14598" width="5.140625" style="4" bestFit="1" customWidth="1"/>
    <col min="14599" max="14601" width="11.85546875" style="4" bestFit="1" customWidth="1"/>
    <col min="14602" max="14602" width="22" style="4" customWidth="1"/>
    <col min="14603" max="14603" width="9.7109375" style="4" customWidth="1"/>
    <col min="14604" max="14604" width="9.140625" style="4"/>
    <col min="14605" max="14605" width="5.85546875" style="4" customWidth="1"/>
    <col min="14606" max="14607" width="11.7109375" style="4" customWidth="1"/>
    <col min="14608" max="14608" width="10.42578125" style="4" customWidth="1"/>
    <col min="14609" max="14848" width="9.140625" style="4"/>
    <col min="14849" max="14849" width="6" style="4" customWidth="1"/>
    <col min="14850" max="14850" width="41.42578125" style="4" customWidth="1"/>
    <col min="14851" max="14851" width="14.140625" style="4" customWidth="1"/>
    <col min="14852" max="14852" width="5.28515625" style="4" customWidth="1"/>
    <col min="14853" max="14853" width="11.85546875" style="4" bestFit="1" customWidth="1"/>
    <col min="14854" max="14854" width="5.140625" style="4" bestFit="1" customWidth="1"/>
    <col min="14855" max="14857" width="11.85546875" style="4" bestFit="1" customWidth="1"/>
    <col min="14858" max="14858" width="22" style="4" customWidth="1"/>
    <col min="14859" max="14859" width="9.7109375" style="4" customWidth="1"/>
    <col min="14860" max="14860" width="9.140625" style="4"/>
    <col min="14861" max="14861" width="5.85546875" style="4" customWidth="1"/>
    <col min="14862" max="14863" width="11.7109375" style="4" customWidth="1"/>
    <col min="14864" max="14864" width="10.42578125" style="4" customWidth="1"/>
    <col min="14865" max="15104" width="9.140625" style="4"/>
    <col min="15105" max="15105" width="6" style="4" customWidth="1"/>
    <col min="15106" max="15106" width="41.42578125" style="4" customWidth="1"/>
    <col min="15107" max="15107" width="14.140625" style="4" customWidth="1"/>
    <col min="15108" max="15108" width="5.28515625" style="4" customWidth="1"/>
    <col min="15109" max="15109" width="11.85546875" style="4" bestFit="1" customWidth="1"/>
    <col min="15110" max="15110" width="5.140625" style="4" bestFit="1" customWidth="1"/>
    <col min="15111" max="15113" width="11.85546875" style="4" bestFit="1" customWidth="1"/>
    <col min="15114" max="15114" width="22" style="4" customWidth="1"/>
    <col min="15115" max="15115" width="9.7109375" style="4" customWidth="1"/>
    <col min="15116" max="15116" width="9.140625" style="4"/>
    <col min="15117" max="15117" width="5.85546875" style="4" customWidth="1"/>
    <col min="15118" max="15119" width="11.7109375" style="4" customWidth="1"/>
    <col min="15120" max="15120" width="10.42578125" style="4" customWidth="1"/>
    <col min="15121" max="15360" width="9.140625" style="4"/>
    <col min="15361" max="15361" width="6" style="4" customWidth="1"/>
    <col min="15362" max="15362" width="41.42578125" style="4" customWidth="1"/>
    <col min="15363" max="15363" width="14.140625" style="4" customWidth="1"/>
    <col min="15364" max="15364" width="5.28515625" style="4" customWidth="1"/>
    <col min="15365" max="15365" width="11.85546875" style="4" bestFit="1" customWidth="1"/>
    <col min="15366" max="15366" width="5.140625" style="4" bestFit="1" customWidth="1"/>
    <col min="15367" max="15369" width="11.85546875" style="4" bestFit="1" customWidth="1"/>
    <col min="15370" max="15370" width="22" style="4" customWidth="1"/>
    <col min="15371" max="15371" width="9.7109375" style="4" customWidth="1"/>
    <col min="15372" max="15372" width="9.140625" style="4"/>
    <col min="15373" max="15373" width="5.85546875" style="4" customWidth="1"/>
    <col min="15374" max="15375" width="11.7109375" style="4" customWidth="1"/>
    <col min="15376" max="15376" width="10.42578125" style="4" customWidth="1"/>
    <col min="15377" max="15616" width="9.140625" style="4"/>
    <col min="15617" max="15617" width="6" style="4" customWidth="1"/>
    <col min="15618" max="15618" width="41.42578125" style="4" customWidth="1"/>
    <col min="15619" max="15619" width="14.140625" style="4" customWidth="1"/>
    <col min="15620" max="15620" width="5.28515625" style="4" customWidth="1"/>
    <col min="15621" max="15621" width="11.85546875" style="4" bestFit="1" customWidth="1"/>
    <col min="15622" max="15622" width="5.140625" style="4" bestFit="1" customWidth="1"/>
    <col min="15623" max="15625" width="11.85546875" style="4" bestFit="1" customWidth="1"/>
    <col min="15626" max="15626" width="22" style="4" customWidth="1"/>
    <col min="15627" max="15627" width="9.7109375" style="4" customWidth="1"/>
    <col min="15628" max="15628" width="9.140625" style="4"/>
    <col min="15629" max="15629" width="5.85546875" style="4" customWidth="1"/>
    <col min="15630" max="15631" width="11.7109375" style="4" customWidth="1"/>
    <col min="15632" max="15632" width="10.42578125" style="4" customWidth="1"/>
    <col min="15633" max="15872" width="9.140625" style="4"/>
    <col min="15873" max="15873" width="6" style="4" customWidth="1"/>
    <col min="15874" max="15874" width="41.42578125" style="4" customWidth="1"/>
    <col min="15875" max="15875" width="14.140625" style="4" customWidth="1"/>
    <col min="15876" max="15876" width="5.28515625" style="4" customWidth="1"/>
    <col min="15877" max="15877" width="11.85546875" style="4" bestFit="1" customWidth="1"/>
    <col min="15878" max="15878" width="5.140625" style="4" bestFit="1" customWidth="1"/>
    <col min="15879" max="15881" width="11.85546875" style="4" bestFit="1" customWidth="1"/>
    <col min="15882" max="15882" width="22" style="4" customWidth="1"/>
    <col min="15883" max="15883" width="9.7109375" style="4" customWidth="1"/>
    <col min="15884" max="15884" width="9.140625" style="4"/>
    <col min="15885" max="15885" width="5.85546875" style="4" customWidth="1"/>
    <col min="15886" max="15887" width="11.7109375" style="4" customWidth="1"/>
    <col min="15888" max="15888" width="10.42578125" style="4" customWidth="1"/>
    <col min="15889" max="16128" width="9.140625" style="4"/>
    <col min="16129" max="16129" width="6" style="4" customWidth="1"/>
    <col min="16130" max="16130" width="41.42578125" style="4" customWidth="1"/>
    <col min="16131" max="16131" width="14.140625" style="4" customWidth="1"/>
    <col min="16132" max="16132" width="5.28515625" style="4" customWidth="1"/>
    <col min="16133" max="16133" width="11.85546875" style="4" bestFit="1" customWidth="1"/>
    <col min="16134" max="16134" width="5.140625" style="4" bestFit="1" customWidth="1"/>
    <col min="16135" max="16137" width="11.85546875" style="4" bestFit="1" customWidth="1"/>
    <col min="16138" max="16138" width="22" style="4" customWidth="1"/>
    <col min="16139" max="16139" width="9.7109375" style="4" customWidth="1"/>
    <col min="16140" max="16140" width="9.140625" style="4"/>
    <col min="16141" max="16141" width="5.85546875" style="4" customWidth="1"/>
    <col min="16142" max="16143" width="11.7109375" style="4" customWidth="1"/>
    <col min="16144" max="16144" width="10.42578125" style="4" customWidth="1"/>
    <col min="16145" max="16384" width="9.140625" style="4"/>
  </cols>
  <sheetData>
    <row r="1" spans="1:14" ht="18">
      <c r="B1" s="3"/>
      <c r="C1" s="3173" t="s">
        <v>1961</v>
      </c>
      <c r="D1" s="3173"/>
      <c r="E1" s="3173"/>
      <c r="F1" s="3173"/>
      <c r="G1" s="3173"/>
      <c r="H1" s="3"/>
      <c r="I1" s="3"/>
    </row>
    <row r="2" spans="1:14" ht="15">
      <c r="I2" s="726" t="s">
        <v>89</v>
      </c>
    </row>
    <row r="3" spans="1:14" ht="15">
      <c r="B3" s="668"/>
      <c r="C3" s="3174" t="s">
        <v>1962</v>
      </c>
      <c r="D3" s="3174"/>
      <c r="E3" s="3174"/>
      <c r="F3" s="3174"/>
      <c r="G3" s="669"/>
      <c r="H3" s="668"/>
      <c r="I3" s="668"/>
    </row>
    <row r="4" spans="1:14" ht="9.75" customHeight="1">
      <c r="A4" s="186"/>
      <c r="B4" s="186"/>
      <c r="C4" s="240"/>
      <c r="D4" s="240"/>
      <c r="E4" s="240"/>
      <c r="F4" s="240"/>
      <c r="G4" s="186"/>
      <c r="H4" s="186"/>
      <c r="I4" s="186"/>
    </row>
    <row r="5" spans="1:14" ht="15">
      <c r="B5" s="230"/>
      <c r="C5" s="3175" t="s">
        <v>1963</v>
      </c>
      <c r="D5" s="3175"/>
      <c r="E5" s="3175"/>
      <c r="F5" s="3175"/>
      <c r="G5" s="3175"/>
      <c r="H5" s="230"/>
      <c r="I5" s="230"/>
    </row>
    <row r="6" spans="1:14">
      <c r="A6" s="261"/>
      <c r="B6" s="261"/>
      <c r="C6" s="670"/>
      <c r="D6" s="670"/>
      <c r="E6" s="670"/>
      <c r="F6" s="670"/>
      <c r="G6" s="261"/>
      <c r="H6" s="261"/>
      <c r="I6" s="261"/>
    </row>
    <row r="7" spans="1:14" ht="15" customHeight="1">
      <c r="A7" s="3165" t="s">
        <v>2</v>
      </c>
      <c r="B7" s="3165" t="s">
        <v>3</v>
      </c>
      <c r="C7" s="3176" t="s">
        <v>1421</v>
      </c>
      <c r="D7" s="3177" t="s">
        <v>5</v>
      </c>
      <c r="E7" s="3177" t="s">
        <v>9</v>
      </c>
      <c r="F7" s="3177" t="s">
        <v>8</v>
      </c>
      <c r="G7" s="3165" t="s">
        <v>1964</v>
      </c>
      <c r="H7" s="3165" t="s">
        <v>1965</v>
      </c>
      <c r="I7" s="3165" t="s">
        <v>1966</v>
      </c>
    </row>
    <row r="8" spans="1:14" ht="15" customHeight="1">
      <c r="A8" s="3166"/>
      <c r="B8" s="3166"/>
      <c r="C8" s="3176"/>
      <c r="D8" s="3177"/>
      <c r="E8" s="3177"/>
      <c r="F8" s="3177"/>
      <c r="G8" s="3166"/>
      <c r="H8" s="3166"/>
      <c r="I8" s="3166"/>
    </row>
    <row r="9" spans="1:14" ht="15">
      <c r="A9" s="237">
        <v>1</v>
      </c>
      <c r="B9" s="671">
        <v>2</v>
      </c>
      <c r="C9" s="237">
        <v>3</v>
      </c>
      <c r="D9" s="237">
        <v>4</v>
      </c>
      <c r="E9" s="237">
        <v>5</v>
      </c>
      <c r="F9" s="237">
        <v>6</v>
      </c>
      <c r="G9" s="237">
        <v>7</v>
      </c>
      <c r="H9" s="237">
        <v>8</v>
      </c>
      <c r="I9" s="237">
        <v>9</v>
      </c>
    </row>
    <row r="10" spans="1:14" ht="18" customHeight="1">
      <c r="A10" s="3167">
        <v>1</v>
      </c>
      <c r="B10" s="1306" t="s">
        <v>1967</v>
      </c>
      <c r="C10" s="1307"/>
      <c r="D10" s="1307"/>
      <c r="E10" s="1307"/>
      <c r="F10" s="1307"/>
      <c r="G10" s="1307"/>
      <c r="H10" s="1307"/>
      <c r="I10" s="1308"/>
    </row>
    <row r="11" spans="1:14" ht="18" customHeight="1">
      <c r="A11" s="3168"/>
      <c r="B11" s="1306" t="s">
        <v>1043</v>
      </c>
      <c r="C11" s="1309">
        <v>7132220091</v>
      </c>
      <c r="D11" s="1310" t="s">
        <v>12</v>
      </c>
      <c r="E11" s="1311">
        <f>VLOOKUP(C11,'SOR RATE'!A:D,4,0)</f>
        <v>1287998.3799999999</v>
      </c>
      <c r="F11" s="1309">
        <v>1</v>
      </c>
      <c r="G11" s="1311">
        <f>E11*F11</f>
        <v>1287998.3799999999</v>
      </c>
      <c r="H11" s="1311"/>
      <c r="I11" s="1311"/>
      <c r="J11" s="672"/>
      <c r="K11" s="673"/>
      <c r="L11" s="673"/>
    </row>
    <row r="12" spans="1:14" ht="18" customHeight="1">
      <c r="A12" s="3168"/>
      <c r="B12" s="1306" t="s">
        <v>1968</v>
      </c>
      <c r="C12" s="1309">
        <v>7132220095</v>
      </c>
      <c r="D12" s="1310" t="s">
        <v>12</v>
      </c>
      <c r="E12" s="1311">
        <f>VLOOKUP(C12,'SOR RATE'!A:D,4,0)</f>
        <v>3825804.57</v>
      </c>
      <c r="F12" s="1309">
        <v>1</v>
      </c>
      <c r="G12" s="1311"/>
      <c r="H12" s="1311">
        <f>E12*F12</f>
        <v>3825804.57</v>
      </c>
      <c r="I12" s="1311"/>
      <c r="J12" s="674"/>
      <c r="K12" s="674"/>
      <c r="L12" s="674"/>
    </row>
    <row r="13" spans="1:14" ht="18" customHeight="1">
      <c r="A13" s="3169"/>
      <c r="B13" s="1306" t="s">
        <v>1969</v>
      </c>
      <c r="C13" s="1309">
        <v>7132220097</v>
      </c>
      <c r="D13" s="1310" t="s">
        <v>12</v>
      </c>
      <c r="E13" s="1311">
        <f>VLOOKUP(C13,'SOR RATE'!A:D,4,0)</f>
        <v>5211755.76</v>
      </c>
      <c r="F13" s="1309">
        <v>1</v>
      </c>
      <c r="G13" s="1311"/>
      <c r="H13" s="1311"/>
      <c r="I13" s="1311">
        <f>E13*F13</f>
        <v>5211755.76</v>
      </c>
      <c r="J13" s="674"/>
      <c r="K13" s="674"/>
      <c r="L13" s="674"/>
    </row>
    <row r="14" spans="1:14" ht="29.25" customHeight="1">
      <c r="A14" s="1312">
        <v>2</v>
      </c>
      <c r="B14" s="1313" t="s">
        <v>48</v>
      </c>
      <c r="C14" s="1314"/>
      <c r="D14" s="1314"/>
      <c r="E14" s="1314"/>
      <c r="F14" s="1314"/>
      <c r="G14" s="1315">
        <f>SUM(G11:G13)</f>
        <v>1287998.3799999999</v>
      </c>
      <c r="H14" s="1315">
        <f>SUM(H11:H13)</f>
        <v>3825804.57</v>
      </c>
      <c r="I14" s="1315">
        <f>SUM(I11:I13)</f>
        <v>5211755.76</v>
      </c>
      <c r="J14" s="675"/>
      <c r="K14" s="653"/>
      <c r="L14" s="673"/>
      <c r="M14" s="673"/>
      <c r="N14" s="673"/>
    </row>
    <row r="15" spans="1:14" ht="30" customHeight="1">
      <c r="A15" s="1312">
        <v>3</v>
      </c>
      <c r="B15" s="1313" t="s">
        <v>49</v>
      </c>
      <c r="C15" s="1314"/>
      <c r="D15" s="1314"/>
      <c r="E15" s="1314"/>
      <c r="F15" s="1314"/>
      <c r="G15" s="1315">
        <f>G14/1.18</f>
        <v>1091524.0508474575</v>
      </c>
      <c r="H15" s="1315">
        <f>H14/1.18</f>
        <v>3242207.2627118644</v>
      </c>
      <c r="I15" s="1315">
        <f>I14/1.18</f>
        <v>4416742.1694915257</v>
      </c>
      <c r="J15" s="704"/>
      <c r="K15" s="653"/>
      <c r="L15" s="673"/>
      <c r="M15" s="673"/>
      <c r="N15" s="673"/>
    </row>
    <row r="16" spans="1:14" ht="20.25" customHeight="1">
      <c r="A16" s="1310">
        <v>4</v>
      </c>
      <c r="B16" s="1316" t="s">
        <v>50</v>
      </c>
      <c r="C16" s="1317"/>
      <c r="D16" s="1317"/>
      <c r="E16" s="1318">
        <v>7.4999999999999997E-2</v>
      </c>
      <c r="F16" s="1319"/>
      <c r="G16" s="1311">
        <f>G14*E16</f>
        <v>96599.878499999992</v>
      </c>
      <c r="H16" s="1311">
        <f>H14*E16</f>
        <v>286935.34274999995</v>
      </c>
      <c r="I16" s="1311">
        <f>I14*E16</f>
        <v>390881.68199999997</v>
      </c>
      <c r="J16" s="16"/>
      <c r="K16" s="653"/>
      <c r="L16" s="673"/>
      <c r="M16" s="673"/>
      <c r="N16" s="673"/>
    </row>
    <row r="17" spans="1:16" ht="20.25" customHeight="1">
      <c r="A17" s="1310">
        <v>5</v>
      </c>
      <c r="B17" s="1320" t="s">
        <v>1970</v>
      </c>
      <c r="C17" s="1309"/>
      <c r="D17" s="1309"/>
      <c r="E17" s="1309"/>
      <c r="F17" s="1309"/>
      <c r="G17" s="1311">
        <v>63690.8</v>
      </c>
      <c r="H17" s="1321">
        <v>77292.56</v>
      </c>
      <c r="I17" s="1311">
        <v>89167.11</v>
      </c>
      <c r="J17" s="674"/>
      <c r="K17" s="57"/>
    </row>
    <row r="18" spans="1:16" ht="43.5" customHeight="1">
      <c r="A18" s="1310">
        <v>6</v>
      </c>
      <c r="B18" s="1322" t="s">
        <v>2084</v>
      </c>
      <c r="C18" s="1309"/>
      <c r="D18" s="1309"/>
      <c r="E18" s="734">
        <v>0.01</v>
      </c>
      <c r="F18" s="1309"/>
      <c r="G18" s="734">
        <f>(G11/1.18)*E18</f>
        <v>10915.240508474575</v>
      </c>
      <c r="H18" s="734">
        <f>(H12/1.18)*E18</f>
        <v>32422.072627118647</v>
      </c>
      <c r="I18" s="734">
        <f>(I13/1.18)*E18</f>
        <v>44167.421694915261</v>
      </c>
      <c r="J18" s="737" t="s">
        <v>1827</v>
      </c>
      <c r="K18" s="164"/>
      <c r="P18" s="177"/>
    </row>
    <row r="19" spans="1:16" ht="43.5" customHeight="1">
      <c r="A19" s="1310">
        <v>7</v>
      </c>
      <c r="B19" s="1316" t="s">
        <v>2194</v>
      </c>
      <c r="C19" s="1309"/>
      <c r="D19" s="1309"/>
      <c r="E19" s="1309"/>
      <c r="F19" s="1309"/>
      <c r="G19" s="734">
        <f>(G14+G16+G17+G18)*0.125</f>
        <v>182400.53737605934</v>
      </c>
      <c r="H19" s="734">
        <f>(H14+H16+H17+H18)*0.125</f>
        <v>527806.81817213981</v>
      </c>
      <c r="I19" s="734">
        <f>(I14+I16+I17+I18)*0.125</f>
        <v>716996.49671186437</v>
      </c>
      <c r="J19" s="25"/>
      <c r="K19" s="676"/>
      <c r="L19" s="177"/>
      <c r="M19" s="416"/>
      <c r="N19" s="177"/>
      <c r="O19" s="1328"/>
      <c r="P19" s="177"/>
    </row>
    <row r="20" spans="1:16" ht="29.25" customHeight="1">
      <c r="A20" s="1312">
        <v>8</v>
      </c>
      <c r="B20" s="1323" t="s">
        <v>2195</v>
      </c>
      <c r="C20" s="1309"/>
      <c r="D20" s="1309"/>
      <c r="E20" s="1309"/>
      <c r="F20" s="1309"/>
      <c r="G20" s="1315">
        <f>SUM(G15:G19)</f>
        <v>1445130.5072319913</v>
      </c>
      <c r="H20" s="1315">
        <f>SUM(H15:H19)</f>
        <v>4166664.0562611232</v>
      </c>
      <c r="I20" s="1315">
        <f>SUM(I15:I19)</f>
        <v>5657954.8798983051</v>
      </c>
      <c r="J20" s="655"/>
      <c r="K20" s="677"/>
      <c r="L20" s="177"/>
      <c r="M20" s="304"/>
      <c r="N20" s="177"/>
      <c r="O20" s="304"/>
    </row>
    <row r="21" spans="1:16" ht="16.5" customHeight="1">
      <c r="A21" s="1310">
        <v>9</v>
      </c>
      <c r="B21" s="1185" t="s">
        <v>2196</v>
      </c>
      <c r="C21" s="1309"/>
      <c r="D21" s="1309"/>
      <c r="E21" s="1309">
        <v>0.09</v>
      </c>
      <c r="F21" s="1309"/>
      <c r="G21" s="1311">
        <f>G20*E21</f>
        <v>130061.74565087921</v>
      </c>
      <c r="H21" s="1311">
        <f>H20*E21</f>
        <v>374999.76506350108</v>
      </c>
      <c r="I21" s="1311">
        <f>I20*E21</f>
        <v>509215.93919084745</v>
      </c>
      <c r="J21" s="655"/>
      <c r="K21" s="677"/>
      <c r="L21" s="177"/>
      <c r="M21" s="1329"/>
      <c r="N21" s="177"/>
      <c r="O21" s="1329"/>
    </row>
    <row r="22" spans="1:16" ht="16.5" customHeight="1">
      <c r="A22" s="1310">
        <v>10</v>
      </c>
      <c r="B22" s="1185" t="s">
        <v>2197</v>
      </c>
      <c r="C22" s="1309"/>
      <c r="D22" s="1309"/>
      <c r="E22" s="1309">
        <v>0.09</v>
      </c>
      <c r="F22" s="1309"/>
      <c r="G22" s="1311">
        <f>G20*E22</f>
        <v>130061.74565087921</v>
      </c>
      <c r="H22" s="1311">
        <f>H20*E22</f>
        <v>374999.76506350108</v>
      </c>
      <c r="I22" s="1311">
        <f>I20*E22</f>
        <v>509215.93919084745</v>
      </c>
      <c r="J22" s="655"/>
      <c r="K22" s="677"/>
      <c r="L22" s="674"/>
    </row>
    <row r="23" spans="1:16" ht="31.5" customHeight="1">
      <c r="A23" s="1310">
        <v>11</v>
      </c>
      <c r="B23" s="1185" t="s">
        <v>2198</v>
      </c>
      <c r="C23" s="1324"/>
      <c r="D23" s="1325"/>
      <c r="E23" s="1325"/>
      <c r="F23" s="1325"/>
      <c r="G23" s="1311">
        <f>G20+G21+G22</f>
        <v>1705253.9985337495</v>
      </c>
      <c r="H23" s="1311">
        <f>H20+H21+H22</f>
        <v>4916663.5863881251</v>
      </c>
      <c r="I23" s="1311">
        <f>I20+I21+I22</f>
        <v>6676386.7582800006</v>
      </c>
    </row>
    <row r="24" spans="1:16" ht="33.75" customHeight="1">
      <c r="A24" s="929">
        <v>12</v>
      </c>
      <c r="B24" s="1214" t="s">
        <v>59</v>
      </c>
      <c r="C24" s="1256"/>
      <c r="D24" s="1326"/>
      <c r="E24" s="1326"/>
      <c r="F24" s="1326"/>
      <c r="G24" s="1327">
        <f>ROUND(G23,0)</f>
        <v>1705254</v>
      </c>
      <c r="H24" s="1327">
        <f>ROUND(H23,0)</f>
        <v>4916664</v>
      </c>
      <c r="I24" s="1327">
        <f>ROUND(I23,0)</f>
        <v>6676387</v>
      </c>
    </row>
    <row r="25" spans="1:16" ht="12" customHeight="1">
      <c r="A25" s="507"/>
      <c r="B25" s="247"/>
      <c r="C25" s="247"/>
      <c r="D25" s="247"/>
      <c r="E25" s="247"/>
      <c r="F25" s="247"/>
      <c r="G25" s="678"/>
      <c r="H25" s="678"/>
      <c r="I25" s="678"/>
    </row>
    <row r="26" spans="1:16" ht="18.75" customHeight="1">
      <c r="A26" s="679" t="s">
        <v>88</v>
      </c>
      <c r="B26" s="3170" t="s">
        <v>246</v>
      </c>
      <c r="C26" s="3171"/>
      <c r="D26" s="3171"/>
      <c r="E26" s="3172"/>
      <c r="F26" s="646"/>
      <c r="G26" s="646"/>
      <c r="H26" s="252"/>
      <c r="I26" s="680"/>
      <c r="L26" s="227"/>
    </row>
    <row r="27" spans="1:16">
      <c r="C27" s="681"/>
      <c r="D27" s="681"/>
      <c r="E27" s="681"/>
      <c r="F27" s="681"/>
      <c r="G27" s="410"/>
      <c r="H27" s="410"/>
      <c r="I27" s="410"/>
      <c r="L27" s="410"/>
      <c r="M27" s="410"/>
      <c r="N27" s="410"/>
    </row>
    <row r="28" spans="1:16">
      <c r="A28" s="43"/>
      <c r="B28" s="410"/>
      <c r="C28" s="410"/>
      <c r="D28" s="410"/>
      <c r="E28" s="410"/>
      <c r="F28" s="410"/>
      <c r="G28" s="410"/>
      <c r="H28" s="410"/>
      <c r="I28" s="410"/>
      <c r="L28" s="410"/>
      <c r="M28" s="410"/>
      <c r="N28" s="410"/>
      <c r="O28" s="410"/>
    </row>
    <row r="43" spans="1:9" ht="9.75" customHeight="1">
      <c r="A43" s="682"/>
      <c r="B43" s="682"/>
      <c r="C43" s="682"/>
      <c r="D43" s="682"/>
      <c r="E43" s="682"/>
      <c r="F43" s="682"/>
      <c r="G43" s="682"/>
      <c r="H43" s="682"/>
      <c r="I43" s="682"/>
    </row>
  </sheetData>
  <mergeCells count="14">
    <mergeCell ref="H7:H8"/>
    <mergeCell ref="I7:I8"/>
    <mergeCell ref="A10:A13"/>
    <mergeCell ref="B26:E26"/>
    <mergeCell ref="C1:G1"/>
    <mergeCell ref="C3:F3"/>
    <mergeCell ref="C5:G5"/>
    <mergeCell ref="A7:A8"/>
    <mergeCell ref="B7:B8"/>
    <mergeCell ref="C7:C8"/>
    <mergeCell ref="D7:D8"/>
    <mergeCell ref="E7:E8"/>
    <mergeCell ref="F7:F8"/>
    <mergeCell ref="G7:G8"/>
  </mergeCells>
  <conditionalFormatting sqref="B14">
    <cfRule type="cellIs" dxfId="124" priority="2" stopIfTrue="1" operator="equal">
      <formula>"?"</formula>
    </cfRule>
  </conditionalFormatting>
  <conditionalFormatting sqref="B15">
    <cfRule type="cellIs" dxfId="123" priority="1" stopIfTrue="1" operator="equal">
      <formula>"?"</formula>
    </cfRule>
  </conditionalFormatting>
  <printOptions horizontalCentered="1"/>
  <pageMargins left="0.82677165354330717" right="0.15748031496062992" top="0.78740157480314965" bottom="0.59055118110236227" header="0.51181102362204722" footer="0.31496062992125984"/>
  <pageSetup paperSize="9" scale="95" orientation="landscape" horizontalDpi="4294967294" verticalDpi="180"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4"/>
  <sheetViews>
    <sheetView zoomScaleNormal="100" workbookViewId="0">
      <pane xSplit="3" ySplit="8" topLeftCell="D112" activePane="bottomRight" state="frozen"/>
      <selection pane="topRight" activeCell="D1" sqref="D1"/>
      <selection pane="bottomLeft" activeCell="A9" sqref="A9"/>
      <selection pane="bottomRight" activeCell="I106" sqref="I106"/>
    </sheetView>
  </sheetViews>
  <sheetFormatPr defaultRowHeight="12.75"/>
  <cols>
    <col min="1" max="1" width="6.28515625" style="4" customWidth="1"/>
    <col min="2" max="2" width="5.28515625" style="4" customWidth="1"/>
    <col min="3" max="3" width="44.5703125" style="4" customWidth="1"/>
    <col min="4" max="4" width="12.140625" style="4" customWidth="1"/>
    <col min="5" max="5" width="5.140625" style="4" customWidth="1"/>
    <col min="6" max="6" width="12.140625" style="4" bestFit="1" customWidth="1"/>
    <col min="7" max="7" width="7.5703125" style="4" customWidth="1"/>
    <col min="8" max="10" width="14.28515625" style="4" bestFit="1" customWidth="1"/>
    <col min="11" max="11" width="57.7109375" style="4" customWidth="1"/>
    <col min="12" max="12" width="8.28515625" style="4" customWidth="1"/>
    <col min="13" max="13" width="10.5703125" style="4" bestFit="1" customWidth="1"/>
    <col min="14" max="256" width="9.140625" style="4"/>
    <col min="257" max="257" width="6.28515625" style="4" customWidth="1"/>
    <col min="258" max="258" width="5.28515625" style="4" customWidth="1"/>
    <col min="259" max="259" width="44.5703125" style="4" customWidth="1"/>
    <col min="260" max="260" width="12.140625" style="4" customWidth="1"/>
    <col min="261" max="261" width="5.140625" style="4" customWidth="1"/>
    <col min="262" max="262" width="12.140625" style="4" bestFit="1" customWidth="1"/>
    <col min="263" max="263" width="7.5703125" style="4" customWidth="1"/>
    <col min="264" max="266" width="14.28515625" style="4" bestFit="1" customWidth="1"/>
    <col min="267" max="267" width="57.7109375" style="4" customWidth="1"/>
    <col min="268" max="268" width="42" style="4" customWidth="1"/>
    <col min="269" max="269" width="10.5703125" style="4" bestFit="1" customWidth="1"/>
    <col min="270" max="512" width="9.140625" style="4"/>
    <col min="513" max="513" width="6.28515625" style="4" customWidth="1"/>
    <col min="514" max="514" width="5.28515625" style="4" customWidth="1"/>
    <col min="515" max="515" width="44.5703125" style="4" customWidth="1"/>
    <col min="516" max="516" width="12.140625" style="4" customWidth="1"/>
    <col min="517" max="517" width="5.140625" style="4" customWidth="1"/>
    <col min="518" max="518" width="12.140625" style="4" bestFit="1" customWidth="1"/>
    <col min="519" max="519" width="7.5703125" style="4" customWidth="1"/>
    <col min="520" max="522" width="14.28515625" style="4" bestFit="1" customWidth="1"/>
    <col min="523" max="523" width="57.7109375" style="4" customWidth="1"/>
    <col min="524" max="524" width="42" style="4" customWidth="1"/>
    <col min="525" max="525" width="10.5703125" style="4" bestFit="1" customWidth="1"/>
    <col min="526" max="768" width="9.140625" style="4"/>
    <col min="769" max="769" width="6.28515625" style="4" customWidth="1"/>
    <col min="770" max="770" width="5.28515625" style="4" customWidth="1"/>
    <col min="771" max="771" width="44.5703125" style="4" customWidth="1"/>
    <col min="772" max="772" width="12.140625" style="4" customWidth="1"/>
    <col min="773" max="773" width="5.140625" style="4" customWidth="1"/>
    <col min="774" max="774" width="12.140625" style="4" bestFit="1" customWidth="1"/>
    <col min="775" max="775" width="7.5703125" style="4" customWidth="1"/>
    <col min="776" max="778" width="14.28515625" style="4" bestFit="1" customWidth="1"/>
    <col min="779" max="779" width="57.7109375" style="4" customWidth="1"/>
    <col min="780" max="780" width="42" style="4" customWidth="1"/>
    <col min="781" max="781" width="10.5703125" style="4" bestFit="1" customWidth="1"/>
    <col min="782" max="1024" width="9.140625" style="4"/>
    <col min="1025" max="1025" width="6.28515625" style="4" customWidth="1"/>
    <col min="1026" max="1026" width="5.28515625" style="4" customWidth="1"/>
    <col min="1027" max="1027" width="44.5703125" style="4" customWidth="1"/>
    <col min="1028" max="1028" width="12.140625" style="4" customWidth="1"/>
    <col min="1029" max="1029" width="5.140625" style="4" customWidth="1"/>
    <col min="1030" max="1030" width="12.140625" style="4" bestFit="1" customWidth="1"/>
    <col min="1031" max="1031" width="7.5703125" style="4" customWidth="1"/>
    <col min="1032" max="1034" width="14.28515625" style="4" bestFit="1" customWidth="1"/>
    <col min="1035" max="1035" width="57.7109375" style="4" customWidth="1"/>
    <col min="1036" max="1036" width="42" style="4" customWidth="1"/>
    <col min="1037" max="1037" width="10.5703125" style="4" bestFit="1" customWidth="1"/>
    <col min="1038" max="1280" width="9.140625" style="4"/>
    <col min="1281" max="1281" width="6.28515625" style="4" customWidth="1"/>
    <col min="1282" max="1282" width="5.28515625" style="4" customWidth="1"/>
    <col min="1283" max="1283" width="44.5703125" style="4" customWidth="1"/>
    <col min="1284" max="1284" width="12.140625" style="4" customWidth="1"/>
    <col min="1285" max="1285" width="5.140625" style="4" customWidth="1"/>
    <col min="1286" max="1286" width="12.140625" style="4" bestFit="1" customWidth="1"/>
    <col min="1287" max="1287" width="7.5703125" style="4" customWidth="1"/>
    <col min="1288" max="1290" width="14.28515625" style="4" bestFit="1" customWidth="1"/>
    <col min="1291" max="1291" width="57.7109375" style="4" customWidth="1"/>
    <col min="1292" max="1292" width="42" style="4" customWidth="1"/>
    <col min="1293" max="1293" width="10.5703125" style="4" bestFit="1" customWidth="1"/>
    <col min="1294" max="1536" width="9.140625" style="4"/>
    <col min="1537" max="1537" width="6.28515625" style="4" customWidth="1"/>
    <col min="1538" max="1538" width="5.28515625" style="4" customWidth="1"/>
    <col min="1539" max="1539" width="44.5703125" style="4" customWidth="1"/>
    <col min="1540" max="1540" width="12.140625" style="4" customWidth="1"/>
    <col min="1541" max="1541" width="5.140625" style="4" customWidth="1"/>
    <col min="1542" max="1542" width="12.140625" style="4" bestFit="1" customWidth="1"/>
    <col min="1543" max="1543" width="7.5703125" style="4" customWidth="1"/>
    <col min="1544" max="1546" width="14.28515625" style="4" bestFit="1" customWidth="1"/>
    <col min="1547" max="1547" width="57.7109375" style="4" customWidth="1"/>
    <col min="1548" max="1548" width="42" style="4" customWidth="1"/>
    <col min="1549" max="1549" width="10.5703125" style="4" bestFit="1" customWidth="1"/>
    <col min="1550" max="1792" width="9.140625" style="4"/>
    <col min="1793" max="1793" width="6.28515625" style="4" customWidth="1"/>
    <col min="1794" max="1794" width="5.28515625" style="4" customWidth="1"/>
    <col min="1795" max="1795" width="44.5703125" style="4" customWidth="1"/>
    <col min="1796" max="1796" width="12.140625" style="4" customWidth="1"/>
    <col min="1797" max="1797" width="5.140625" style="4" customWidth="1"/>
    <col min="1798" max="1798" width="12.140625" style="4" bestFit="1" customWidth="1"/>
    <col min="1799" max="1799" width="7.5703125" style="4" customWidth="1"/>
    <col min="1800" max="1802" width="14.28515625" style="4" bestFit="1" customWidth="1"/>
    <col min="1803" max="1803" width="57.7109375" style="4" customWidth="1"/>
    <col min="1804" max="1804" width="42" style="4" customWidth="1"/>
    <col min="1805" max="1805" width="10.5703125" style="4" bestFit="1" customWidth="1"/>
    <col min="1806" max="2048" width="9.140625" style="4"/>
    <col min="2049" max="2049" width="6.28515625" style="4" customWidth="1"/>
    <col min="2050" max="2050" width="5.28515625" style="4" customWidth="1"/>
    <col min="2051" max="2051" width="44.5703125" style="4" customWidth="1"/>
    <col min="2052" max="2052" width="12.140625" style="4" customWidth="1"/>
    <col min="2053" max="2053" width="5.140625" style="4" customWidth="1"/>
    <col min="2054" max="2054" width="12.140625" style="4" bestFit="1" customWidth="1"/>
    <col min="2055" max="2055" width="7.5703125" style="4" customWidth="1"/>
    <col min="2056" max="2058" width="14.28515625" style="4" bestFit="1" customWidth="1"/>
    <col min="2059" max="2059" width="57.7109375" style="4" customWidth="1"/>
    <col min="2060" max="2060" width="42" style="4" customWidth="1"/>
    <col min="2061" max="2061" width="10.5703125" style="4" bestFit="1" customWidth="1"/>
    <col min="2062" max="2304" width="9.140625" style="4"/>
    <col min="2305" max="2305" width="6.28515625" style="4" customWidth="1"/>
    <col min="2306" max="2306" width="5.28515625" style="4" customWidth="1"/>
    <col min="2307" max="2307" width="44.5703125" style="4" customWidth="1"/>
    <col min="2308" max="2308" width="12.140625" style="4" customWidth="1"/>
    <col min="2309" max="2309" width="5.140625" style="4" customWidth="1"/>
    <col min="2310" max="2310" width="12.140625" style="4" bestFit="1" customWidth="1"/>
    <col min="2311" max="2311" width="7.5703125" style="4" customWidth="1"/>
    <col min="2312" max="2314" width="14.28515625" style="4" bestFit="1" customWidth="1"/>
    <col min="2315" max="2315" width="57.7109375" style="4" customWidth="1"/>
    <col min="2316" max="2316" width="42" style="4" customWidth="1"/>
    <col min="2317" max="2317" width="10.5703125" style="4" bestFit="1" customWidth="1"/>
    <col min="2318" max="2560" width="9.140625" style="4"/>
    <col min="2561" max="2561" width="6.28515625" style="4" customWidth="1"/>
    <col min="2562" max="2562" width="5.28515625" style="4" customWidth="1"/>
    <col min="2563" max="2563" width="44.5703125" style="4" customWidth="1"/>
    <col min="2564" max="2564" width="12.140625" style="4" customWidth="1"/>
    <col min="2565" max="2565" width="5.140625" style="4" customWidth="1"/>
    <col min="2566" max="2566" width="12.140625" style="4" bestFit="1" customWidth="1"/>
    <col min="2567" max="2567" width="7.5703125" style="4" customWidth="1"/>
    <col min="2568" max="2570" width="14.28515625" style="4" bestFit="1" customWidth="1"/>
    <col min="2571" max="2571" width="57.7109375" style="4" customWidth="1"/>
    <col min="2572" max="2572" width="42" style="4" customWidth="1"/>
    <col min="2573" max="2573" width="10.5703125" style="4" bestFit="1" customWidth="1"/>
    <col min="2574" max="2816" width="9.140625" style="4"/>
    <col min="2817" max="2817" width="6.28515625" style="4" customWidth="1"/>
    <col min="2818" max="2818" width="5.28515625" style="4" customWidth="1"/>
    <col min="2819" max="2819" width="44.5703125" style="4" customWidth="1"/>
    <col min="2820" max="2820" width="12.140625" style="4" customWidth="1"/>
    <col min="2821" max="2821" width="5.140625" style="4" customWidth="1"/>
    <col min="2822" max="2822" width="12.140625" style="4" bestFit="1" customWidth="1"/>
    <col min="2823" max="2823" width="7.5703125" style="4" customWidth="1"/>
    <col min="2824" max="2826" width="14.28515625" style="4" bestFit="1" customWidth="1"/>
    <col min="2827" max="2827" width="57.7109375" style="4" customWidth="1"/>
    <col min="2828" max="2828" width="42" style="4" customWidth="1"/>
    <col min="2829" max="2829" width="10.5703125" style="4" bestFit="1" customWidth="1"/>
    <col min="2830" max="3072" width="9.140625" style="4"/>
    <col min="3073" max="3073" width="6.28515625" style="4" customWidth="1"/>
    <col min="3074" max="3074" width="5.28515625" style="4" customWidth="1"/>
    <col min="3075" max="3075" width="44.5703125" style="4" customWidth="1"/>
    <col min="3076" max="3076" width="12.140625" style="4" customWidth="1"/>
    <col min="3077" max="3077" width="5.140625" style="4" customWidth="1"/>
    <col min="3078" max="3078" width="12.140625" style="4" bestFit="1" customWidth="1"/>
    <col min="3079" max="3079" width="7.5703125" style="4" customWidth="1"/>
    <col min="3080" max="3082" width="14.28515625" style="4" bestFit="1" customWidth="1"/>
    <col min="3083" max="3083" width="57.7109375" style="4" customWidth="1"/>
    <col min="3084" max="3084" width="42" style="4" customWidth="1"/>
    <col min="3085" max="3085" width="10.5703125" style="4" bestFit="1" customWidth="1"/>
    <col min="3086" max="3328" width="9.140625" style="4"/>
    <col min="3329" max="3329" width="6.28515625" style="4" customWidth="1"/>
    <col min="3330" max="3330" width="5.28515625" style="4" customWidth="1"/>
    <col min="3331" max="3331" width="44.5703125" style="4" customWidth="1"/>
    <col min="3332" max="3332" width="12.140625" style="4" customWidth="1"/>
    <col min="3333" max="3333" width="5.140625" style="4" customWidth="1"/>
    <col min="3334" max="3334" width="12.140625" style="4" bestFit="1" customWidth="1"/>
    <col min="3335" max="3335" width="7.5703125" style="4" customWidth="1"/>
    <col min="3336" max="3338" width="14.28515625" style="4" bestFit="1" customWidth="1"/>
    <col min="3339" max="3339" width="57.7109375" style="4" customWidth="1"/>
    <col min="3340" max="3340" width="42" style="4" customWidth="1"/>
    <col min="3341" max="3341" width="10.5703125" style="4" bestFit="1" customWidth="1"/>
    <col min="3342" max="3584" width="9.140625" style="4"/>
    <col min="3585" max="3585" width="6.28515625" style="4" customWidth="1"/>
    <col min="3586" max="3586" width="5.28515625" style="4" customWidth="1"/>
    <col min="3587" max="3587" width="44.5703125" style="4" customWidth="1"/>
    <col min="3588" max="3588" width="12.140625" style="4" customWidth="1"/>
    <col min="3589" max="3589" width="5.140625" style="4" customWidth="1"/>
    <col min="3590" max="3590" width="12.140625" style="4" bestFit="1" customWidth="1"/>
    <col min="3591" max="3591" width="7.5703125" style="4" customWidth="1"/>
    <col min="3592" max="3594" width="14.28515625" style="4" bestFit="1" customWidth="1"/>
    <col min="3595" max="3595" width="57.7109375" style="4" customWidth="1"/>
    <col min="3596" max="3596" width="42" style="4" customWidth="1"/>
    <col min="3597" max="3597" width="10.5703125" style="4" bestFit="1" customWidth="1"/>
    <col min="3598" max="3840" width="9.140625" style="4"/>
    <col min="3841" max="3841" width="6.28515625" style="4" customWidth="1"/>
    <col min="3842" max="3842" width="5.28515625" style="4" customWidth="1"/>
    <col min="3843" max="3843" width="44.5703125" style="4" customWidth="1"/>
    <col min="3844" max="3844" width="12.140625" style="4" customWidth="1"/>
    <col min="3845" max="3845" width="5.140625" style="4" customWidth="1"/>
    <col min="3846" max="3846" width="12.140625" style="4" bestFit="1" customWidth="1"/>
    <col min="3847" max="3847" width="7.5703125" style="4" customWidth="1"/>
    <col min="3848" max="3850" width="14.28515625" style="4" bestFit="1" customWidth="1"/>
    <col min="3851" max="3851" width="57.7109375" style="4" customWidth="1"/>
    <col min="3852" max="3852" width="42" style="4" customWidth="1"/>
    <col min="3853" max="3853" width="10.5703125" style="4" bestFit="1" customWidth="1"/>
    <col min="3854" max="4096" width="9.140625" style="4"/>
    <col min="4097" max="4097" width="6.28515625" style="4" customWidth="1"/>
    <col min="4098" max="4098" width="5.28515625" style="4" customWidth="1"/>
    <col min="4099" max="4099" width="44.5703125" style="4" customWidth="1"/>
    <col min="4100" max="4100" width="12.140625" style="4" customWidth="1"/>
    <col min="4101" max="4101" width="5.140625" style="4" customWidth="1"/>
    <col min="4102" max="4102" width="12.140625" style="4" bestFit="1" customWidth="1"/>
    <col min="4103" max="4103" width="7.5703125" style="4" customWidth="1"/>
    <col min="4104" max="4106" width="14.28515625" style="4" bestFit="1" customWidth="1"/>
    <col min="4107" max="4107" width="57.7109375" style="4" customWidth="1"/>
    <col min="4108" max="4108" width="42" style="4" customWidth="1"/>
    <col min="4109" max="4109" width="10.5703125" style="4" bestFit="1" customWidth="1"/>
    <col min="4110" max="4352" width="9.140625" style="4"/>
    <col min="4353" max="4353" width="6.28515625" style="4" customWidth="1"/>
    <col min="4354" max="4354" width="5.28515625" style="4" customWidth="1"/>
    <col min="4355" max="4355" width="44.5703125" style="4" customWidth="1"/>
    <col min="4356" max="4356" width="12.140625" style="4" customWidth="1"/>
    <col min="4357" max="4357" width="5.140625" style="4" customWidth="1"/>
    <col min="4358" max="4358" width="12.140625" style="4" bestFit="1" customWidth="1"/>
    <col min="4359" max="4359" width="7.5703125" style="4" customWidth="1"/>
    <col min="4360" max="4362" width="14.28515625" style="4" bestFit="1" customWidth="1"/>
    <col min="4363" max="4363" width="57.7109375" style="4" customWidth="1"/>
    <col min="4364" max="4364" width="42" style="4" customWidth="1"/>
    <col min="4365" max="4365" width="10.5703125" style="4" bestFit="1" customWidth="1"/>
    <col min="4366" max="4608" width="9.140625" style="4"/>
    <col min="4609" max="4609" width="6.28515625" style="4" customWidth="1"/>
    <col min="4610" max="4610" width="5.28515625" style="4" customWidth="1"/>
    <col min="4611" max="4611" width="44.5703125" style="4" customWidth="1"/>
    <col min="4612" max="4612" width="12.140625" style="4" customWidth="1"/>
    <col min="4613" max="4613" width="5.140625" style="4" customWidth="1"/>
    <col min="4614" max="4614" width="12.140625" style="4" bestFit="1" customWidth="1"/>
    <col min="4615" max="4615" width="7.5703125" style="4" customWidth="1"/>
    <col min="4616" max="4618" width="14.28515625" style="4" bestFit="1" customWidth="1"/>
    <col min="4619" max="4619" width="57.7109375" style="4" customWidth="1"/>
    <col min="4620" max="4620" width="42" style="4" customWidth="1"/>
    <col min="4621" max="4621" width="10.5703125" style="4" bestFit="1" customWidth="1"/>
    <col min="4622" max="4864" width="9.140625" style="4"/>
    <col min="4865" max="4865" width="6.28515625" style="4" customWidth="1"/>
    <col min="4866" max="4866" width="5.28515625" style="4" customWidth="1"/>
    <col min="4867" max="4867" width="44.5703125" style="4" customWidth="1"/>
    <col min="4868" max="4868" width="12.140625" style="4" customWidth="1"/>
    <col min="4869" max="4869" width="5.140625" style="4" customWidth="1"/>
    <col min="4870" max="4870" width="12.140625" style="4" bestFit="1" customWidth="1"/>
    <col min="4871" max="4871" width="7.5703125" style="4" customWidth="1"/>
    <col min="4872" max="4874" width="14.28515625" style="4" bestFit="1" customWidth="1"/>
    <col min="4875" max="4875" width="57.7109375" style="4" customWidth="1"/>
    <col min="4876" max="4876" width="42" style="4" customWidth="1"/>
    <col min="4877" max="4877" width="10.5703125" style="4" bestFit="1" customWidth="1"/>
    <col min="4878" max="5120" width="9.140625" style="4"/>
    <col min="5121" max="5121" width="6.28515625" style="4" customWidth="1"/>
    <col min="5122" max="5122" width="5.28515625" style="4" customWidth="1"/>
    <col min="5123" max="5123" width="44.5703125" style="4" customWidth="1"/>
    <col min="5124" max="5124" width="12.140625" style="4" customWidth="1"/>
    <col min="5125" max="5125" width="5.140625" style="4" customWidth="1"/>
    <col min="5126" max="5126" width="12.140625" style="4" bestFit="1" customWidth="1"/>
    <col min="5127" max="5127" width="7.5703125" style="4" customWidth="1"/>
    <col min="5128" max="5130" width="14.28515625" style="4" bestFit="1" customWidth="1"/>
    <col min="5131" max="5131" width="57.7109375" style="4" customWidth="1"/>
    <col min="5132" max="5132" width="42" style="4" customWidth="1"/>
    <col min="5133" max="5133" width="10.5703125" style="4" bestFit="1" customWidth="1"/>
    <col min="5134" max="5376" width="9.140625" style="4"/>
    <col min="5377" max="5377" width="6.28515625" style="4" customWidth="1"/>
    <col min="5378" max="5378" width="5.28515625" style="4" customWidth="1"/>
    <col min="5379" max="5379" width="44.5703125" style="4" customWidth="1"/>
    <col min="5380" max="5380" width="12.140625" style="4" customWidth="1"/>
    <col min="5381" max="5381" width="5.140625" style="4" customWidth="1"/>
    <col min="5382" max="5382" width="12.140625" style="4" bestFit="1" customWidth="1"/>
    <col min="5383" max="5383" width="7.5703125" style="4" customWidth="1"/>
    <col min="5384" max="5386" width="14.28515625" style="4" bestFit="1" customWidth="1"/>
    <col min="5387" max="5387" width="57.7109375" style="4" customWidth="1"/>
    <col min="5388" max="5388" width="42" style="4" customWidth="1"/>
    <col min="5389" max="5389" width="10.5703125" style="4" bestFit="1" customWidth="1"/>
    <col min="5390" max="5632" width="9.140625" style="4"/>
    <col min="5633" max="5633" width="6.28515625" style="4" customWidth="1"/>
    <col min="5634" max="5634" width="5.28515625" style="4" customWidth="1"/>
    <col min="5635" max="5635" width="44.5703125" style="4" customWidth="1"/>
    <col min="5636" max="5636" width="12.140625" style="4" customWidth="1"/>
    <col min="5637" max="5637" width="5.140625" style="4" customWidth="1"/>
    <col min="5638" max="5638" width="12.140625" style="4" bestFit="1" customWidth="1"/>
    <col min="5639" max="5639" width="7.5703125" style="4" customWidth="1"/>
    <col min="5640" max="5642" width="14.28515625" style="4" bestFit="1" customWidth="1"/>
    <col min="5643" max="5643" width="57.7109375" style="4" customWidth="1"/>
    <col min="5644" max="5644" width="42" style="4" customWidth="1"/>
    <col min="5645" max="5645" width="10.5703125" style="4" bestFit="1" customWidth="1"/>
    <col min="5646" max="5888" width="9.140625" style="4"/>
    <col min="5889" max="5889" width="6.28515625" style="4" customWidth="1"/>
    <col min="5890" max="5890" width="5.28515625" style="4" customWidth="1"/>
    <col min="5891" max="5891" width="44.5703125" style="4" customWidth="1"/>
    <col min="5892" max="5892" width="12.140625" style="4" customWidth="1"/>
    <col min="5893" max="5893" width="5.140625" style="4" customWidth="1"/>
    <col min="5894" max="5894" width="12.140625" style="4" bestFit="1" customWidth="1"/>
    <col min="5895" max="5895" width="7.5703125" style="4" customWidth="1"/>
    <col min="5896" max="5898" width="14.28515625" style="4" bestFit="1" customWidth="1"/>
    <col min="5899" max="5899" width="57.7109375" style="4" customWidth="1"/>
    <col min="5900" max="5900" width="42" style="4" customWidth="1"/>
    <col min="5901" max="5901" width="10.5703125" style="4" bestFit="1" customWidth="1"/>
    <col min="5902" max="6144" width="9.140625" style="4"/>
    <col min="6145" max="6145" width="6.28515625" style="4" customWidth="1"/>
    <col min="6146" max="6146" width="5.28515625" style="4" customWidth="1"/>
    <col min="6147" max="6147" width="44.5703125" style="4" customWidth="1"/>
    <col min="6148" max="6148" width="12.140625" style="4" customWidth="1"/>
    <col min="6149" max="6149" width="5.140625" style="4" customWidth="1"/>
    <col min="6150" max="6150" width="12.140625" style="4" bestFit="1" customWidth="1"/>
    <col min="6151" max="6151" width="7.5703125" style="4" customWidth="1"/>
    <col min="6152" max="6154" width="14.28515625" style="4" bestFit="1" customWidth="1"/>
    <col min="6155" max="6155" width="57.7109375" style="4" customWidth="1"/>
    <col min="6156" max="6156" width="42" style="4" customWidth="1"/>
    <col min="6157" max="6157" width="10.5703125" style="4" bestFit="1" customWidth="1"/>
    <col min="6158" max="6400" width="9.140625" style="4"/>
    <col min="6401" max="6401" width="6.28515625" style="4" customWidth="1"/>
    <col min="6402" max="6402" width="5.28515625" style="4" customWidth="1"/>
    <col min="6403" max="6403" width="44.5703125" style="4" customWidth="1"/>
    <col min="6404" max="6404" width="12.140625" style="4" customWidth="1"/>
    <col min="6405" max="6405" width="5.140625" style="4" customWidth="1"/>
    <col min="6406" max="6406" width="12.140625" style="4" bestFit="1" customWidth="1"/>
    <col min="6407" max="6407" width="7.5703125" style="4" customWidth="1"/>
    <col min="6408" max="6410" width="14.28515625" style="4" bestFit="1" customWidth="1"/>
    <col min="6411" max="6411" width="57.7109375" style="4" customWidth="1"/>
    <col min="6412" max="6412" width="42" style="4" customWidth="1"/>
    <col min="6413" max="6413" width="10.5703125" style="4" bestFit="1" customWidth="1"/>
    <col min="6414" max="6656" width="9.140625" style="4"/>
    <col min="6657" max="6657" width="6.28515625" style="4" customWidth="1"/>
    <col min="6658" max="6658" width="5.28515625" style="4" customWidth="1"/>
    <col min="6659" max="6659" width="44.5703125" style="4" customWidth="1"/>
    <col min="6660" max="6660" width="12.140625" style="4" customWidth="1"/>
    <col min="6661" max="6661" width="5.140625" style="4" customWidth="1"/>
    <col min="6662" max="6662" width="12.140625" style="4" bestFit="1" customWidth="1"/>
    <col min="6663" max="6663" width="7.5703125" style="4" customWidth="1"/>
    <col min="6664" max="6666" width="14.28515625" style="4" bestFit="1" customWidth="1"/>
    <col min="6667" max="6667" width="57.7109375" style="4" customWidth="1"/>
    <col min="6668" max="6668" width="42" style="4" customWidth="1"/>
    <col min="6669" max="6669" width="10.5703125" style="4" bestFit="1" customWidth="1"/>
    <col min="6670" max="6912" width="9.140625" style="4"/>
    <col min="6913" max="6913" width="6.28515625" style="4" customWidth="1"/>
    <col min="6914" max="6914" width="5.28515625" style="4" customWidth="1"/>
    <col min="6915" max="6915" width="44.5703125" style="4" customWidth="1"/>
    <col min="6916" max="6916" width="12.140625" style="4" customWidth="1"/>
    <col min="6917" max="6917" width="5.140625" style="4" customWidth="1"/>
    <col min="6918" max="6918" width="12.140625" style="4" bestFit="1" customWidth="1"/>
    <col min="6919" max="6919" width="7.5703125" style="4" customWidth="1"/>
    <col min="6920" max="6922" width="14.28515625" style="4" bestFit="1" customWidth="1"/>
    <col min="6923" max="6923" width="57.7109375" style="4" customWidth="1"/>
    <col min="6924" max="6924" width="42" style="4" customWidth="1"/>
    <col min="6925" max="6925" width="10.5703125" style="4" bestFit="1" customWidth="1"/>
    <col min="6926" max="7168" width="9.140625" style="4"/>
    <col min="7169" max="7169" width="6.28515625" style="4" customWidth="1"/>
    <col min="7170" max="7170" width="5.28515625" style="4" customWidth="1"/>
    <col min="7171" max="7171" width="44.5703125" style="4" customWidth="1"/>
    <col min="7172" max="7172" width="12.140625" style="4" customWidth="1"/>
    <col min="7173" max="7173" width="5.140625" style="4" customWidth="1"/>
    <col min="7174" max="7174" width="12.140625" style="4" bestFit="1" customWidth="1"/>
    <col min="7175" max="7175" width="7.5703125" style="4" customWidth="1"/>
    <col min="7176" max="7178" width="14.28515625" style="4" bestFit="1" customWidth="1"/>
    <col min="7179" max="7179" width="57.7109375" style="4" customWidth="1"/>
    <col min="7180" max="7180" width="42" style="4" customWidth="1"/>
    <col min="7181" max="7181" width="10.5703125" style="4" bestFit="1" customWidth="1"/>
    <col min="7182" max="7424" width="9.140625" style="4"/>
    <col min="7425" max="7425" width="6.28515625" style="4" customWidth="1"/>
    <col min="7426" max="7426" width="5.28515625" style="4" customWidth="1"/>
    <col min="7427" max="7427" width="44.5703125" style="4" customWidth="1"/>
    <col min="7428" max="7428" width="12.140625" style="4" customWidth="1"/>
    <col min="7429" max="7429" width="5.140625" style="4" customWidth="1"/>
    <col min="7430" max="7430" width="12.140625" style="4" bestFit="1" customWidth="1"/>
    <col min="7431" max="7431" width="7.5703125" style="4" customWidth="1"/>
    <col min="7432" max="7434" width="14.28515625" style="4" bestFit="1" customWidth="1"/>
    <col min="7435" max="7435" width="57.7109375" style="4" customWidth="1"/>
    <col min="7436" max="7436" width="42" style="4" customWidth="1"/>
    <col min="7437" max="7437" width="10.5703125" style="4" bestFit="1" customWidth="1"/>
    <col min="7438" max="7680" width="9.140625" style="4"/>
    <col min="7681" max="7681" width="6.28515625" style="4" customWidth="1"/>
    <col min="7682" max="7682" width="5.28515625" style="4" customWidth="1"/>
    <col min="7683" max="7683" width="44.5703125" style="4" customWidth="1"/>
    <col min="7684" max="7684" width="12.140625" style="4" customWidth="1"/>
    <col min="7685" max="7685" width="5.140625" style="4" customWidth="1"/>
    <col min="7686" max="7686" width="12.140625" style="4" bestFit="1" customWidth="1"/>
    <col min="7687" max="7687" width="7.5703125" style="4" customWidth="1"/>
    <col min="7688" max="7690" width="14.28515625" style="4" bestFit="1" customWidth="1"/>
    <col min="7691" max="7691" width="57.7109375" style="4" customWidth="1"/>
    <col min="7692" max="7692" width="42" style="4" customWidth="1"/>
    <col min="7693" max="7693" width="10.5703125" style="4" bestFit="1" customWidth="1"/>
    <col min="7694" max="7936" width="9.140625" style="4"/>
    <col min="7937" max="7937" width="6.28515625" style="4" customWidth="1"/>
    <col min="7938" max="7938" width="5.28515625" style="4" customWidth="1"/>
    <col min="7939" max="7939" width="44.5703125" style="4" customWidth="1"/>
    <col min="7940" max="7940" width="12.140625" style="4" customWidth="1"/>
    <col min="7941" max="7941" width="5.140625" style="4" customWidth="1"/>
    <col min="7942" max="7942" width="12.140625" style="4" bestFit="1" customWidth="1"/>
    <col min="7943" max="7943" width="7.5703125" style="4" customWidth="1"/>
    <col min="7944" max="7946" width="14.28515625" style="4" bestFit="1" customWidth="1"/>
    <col min="7947" max="7947" width="57.7109375" style="4" customWidth="1"/>
    <col min="7948" max="7948" width="42" style="4" customWidth="1"/>
    <col min="7949" max="7949" width="10.5703125" style="4" bestFit="1" customWidth="1"/>
    <col min="7950" max="8192" width="9.140625" style="4"/>
    <col min="8193" max="8193" width="6.28515625" style="4" customWidth="1"/>
    <col min="8194" max="8194" width="5.28515625" style="4" customWidth="1"/>
    <col min="8195" max="8195" width="44.5703125" style="4" customWidth="1"/>
    <col min="8196" max="8196" width="12.140625" style="4" customWidth="1"/>
    <col min="8197" max="8197" width="5.140625" style="4" customWidth="1"/>
    <col min="8198" max="8198" width="12.140625" style="4" bestFit="1" customWidth="1"/>
    <col min="8199" max="8199" width="7.5703125" style="4" customWidth="1"/>
    <col min="8200" max="8202" width="14.28515625" style="4" bestFit="1" customWidth="1"/>
    <col min="8203" max="8203" width="57.7109375" style="4" customWidth="1"/>
    <col min="8204" max="8204" width="42" style="4" customWidth="1"/>
    <col min="8205" max="8205" width="10.5703125" style="4" bestFit="1" customWidth="1"/>
    <col min="8206" max="8448" width="9.140625" style="4"/>
    <col min="8449" max="8449" width="6.28515625" style="4" customWidth="1"/>
    <col min="8450" max="8450" width="5.28515625" style="4" customWidth="1"/>
    <col min="8451" max="8451" width="44.5703125" style="4" customWidth="1"/>
    <col min="8452" max="8452" width="12.140625" style="4" customWidth="1"/>
    <col min="8453" max="8453" width="5.140625" style="4" customWidth="1"/>
    <col min="8454" max="8454" width="12.140625" style="4" bestFit="1" customWidth="1"/>
    <col min="8455" max="8455" width="7.5703125" style="4" customWidth="1"/>
    <col min="8456" max="8458" width="14.28515625" style="4" bestFit="1" customWidth="1"/>
    <col min="8459" max="8459" width="57.7109375" style="4" customWidth="1"/>
    <col min="8460" max="8460" width="42" style="4" customWidth="1"/>
    <col min="8461" max="8461" width="10.5703125" style="4" bestFit="1" customWidth="1"/>
    <col min="8462" max="8704" width="9.140625" style="4"/>
    <col min="8705" max="8705" width="6.28515625" style="4" customWidth="1"/>
    <col min="8706" max="8706" width="5.28515625" style="4" customWidth="1"/>
    <col min="8707" max="8707" width="44.5703125" style="4" customWidth="1"/>
    <col min="8708" max="8708" width="12.140625" style="4" customWidth="1"/>
    <col min="8709" max="8709" width="5.140625" style="4" customWidth="1"/>
    <col min="8710" max="8710" width="12.140625" style="4" bestFit="1" customWidth="1"/>
    <col min="8711" max="8711" width="7.5703125" style="4" customWidth="1"/>
    <col min="8712" max="8714" width="14.28515625" style="4" bestFit="1" customWidth="1"/>
    <col min="8715" max="8715" width="57.7109375" style="4" customWidth="1"/>
    <col min="8716" max="8716" width="42" style="4" customWidth="1"/>
    <col min="8717" max="8717" width="10.5703125" style="4" bestFit="1" customWidth="1"/>
    <col min="8718" max="8960" width="9.140625" style="4"/>
    <col min="8961" max="8961" width="6.28515625" style="4" customWidth="1"/>
    <col min="8962" max="8962" width="5.28515625" style="4" customWidth="1"/>
    <col min="8963" max="8963" width="44.5703125" style="4" customWidth="1"/>
    <col min="8964" max="8964" width="12.140625" style="4" customWidth="1"/>
    <col min="8965" max="8965" width="5.140625" style="4" customWidth="1"/>
    <col min="8966" max="8966" width="12.140625" style="4" bestFit="1" customWidth="1"/>
    <col min="8967" max="8967" width="7.5703125" style="4" customWidth="1"/>
    <col min="8968" max="8970" width="14.28515625" style="4" bestFit="1" customWidth="1"/>
    <col min="8971" max="8971" width="57.7109375" style="4" customWidth="1"/>
    <col min="8972" max="8972" width="42" style="4" customWidth="1"/>
    <col min="8973" max="8973" width="10.5703125" style="4" bestFit="1" customWidth="1"/>
    <col min="8974" max="9216" width="9.140625" style="4"/>
    <col min="9217" max="9217" width="6.28515625" style="4" customWidth="1"/>
    <col min="9218" max="9218" width="5.28515625" style="4" customWidth="1"/>
    <col min="9219" max="9219" width="44.5703125" style="4" customWidth="1"/>
    <col min="9220" max="9220" width="12.140625" style="4" customWidth="1"/>
    <col min="9221" max="9221" width="5.140625" style="4" customWidth="1"/>
    <col min="9222" max="9222" width="12.140625" style="4" bestFit="1" customWidth="1"/>
    <col min="9223" max="9223" width="7.5703125" style="4" customWidth="1"/>
    <col min="9224" max="9226" width="14.28515625" style="4" bestFit="1" customWidth="1"/>
    <col min="9227" max="9227" width="57.7109375" style="4" customWidth="1"/>
    <col min="9228" max="9228" width="42" style="4" customWidth="1"/>
    <col min="9229" max="9229" width="10.5703125" style="4" bestFit="1" customWidth="1"/>
    <col min="9230" max="9472" width="9.140625" style="4"/>
    <col min="9473" max="9473" width="6.28515625" style="4" customWidth="1"/>
    <col min="9474" max="9474" width="5.28515625" style="4" customWidth="1"/>
    <col min="9475" max="9475" width="44.5703125" style="4" customWidth="1"/>
    <col min="9476" max="9476" width="12.140625" style="4" customWidth="1"/>
    <col min="9477" max="9477" width="5.140625" style="4" customWidth="1"/>
    <col min="9478" max="9478" width="12.140625" style="4" bestFit="1" customWidth="1"/>
    <col min="9479" max="9479" width="7.5703125" style="4" customWidth="1"/>
    <col min="9480" max="9482" width="14.28515625" style="4" bestFit="1" customWidth="1"/>
    <col min="9483" max="9483" width="57.7109375" style="4" customWidth="1"/>
    <col min="9484" max="9484" width="42" style="4" customWidth="1"/>
    <col min="9485" max="9485" width="10.5703125" style="4" bestFit="1" customWidth="1"/>
    <col min="9486" max="9728" width="9.140625" style="4"/>
    <col min="9729" max="9729" width="6.28515625" style="4" customWidth="1"/>
    <col min="9730" max="9730" width="5.28515625" style="4" customWidth="1"/>
    <col min="9731" max="9731" width="44.5703125" style="4" customWidth="1"/>
    <col min="9732" max="9732" width="12.140625" style="4" customWidth="1"/>
    <col min="9733" max="9733" width="5.140625" style="4" customWidth="1"/>
    <col min="9734" max="9734" width="12.140625" style="4" bestFit="1" customWidth="1"/>
    <col min="9735" max="9735" width="7.5703125" style="4" customWidth="1"/>
    <col min="9736" max="9738" width="14.28515625" style="4" bestFit="1" customWidth="1"/>
    <col min="9739" max="9739" width="57.7109375" style="4" customWidth="1"/>
    <col min="9740" max="9740" width="42" style="4" customWidth="1"/>
    <col min="9741" max="9741" width="10.5703125" style="4" bestFit="1" customWidth="1"/>
    <col min="9742" max="9984" width="9.140625" style="4"/>
    <col min="9985" max="9985" width="6.28515625" style="4" customWidth="1"/>
    <col min="9986" max="9986" width="5.28515625" style="4" customWidth="1"/>
    <col min="9987" max="9987" width="44.5703125" style="4" customWidth="1"/>
    <col min="9988" max="9988" width="12.140625" style="4" customWidth="1"/>
    <col min="9989" max="9989" width="5.140625" style="4" customWidth="1"/>
    <col min="9990" max="9990" width="12.140625" style="4" bestFit="1" customWidth="1"/>
    <col min="9991" max="9991" width="7.5703125" style="4" customWidth="1"/>
    <col min="9992" max="9994" width="14.28515625" style="4" bestFit="1" customWidth="1"/>
    <col min="9995" max="9995" width="57.7109375" style="4" customWidth="1"/>
    <col min="9996" max="9996" width="42" style="4" customWidth="1"/>
    <col min="9997" max="9997" width="10.5703125" style="4" bestFit="1" customWidth="1"/>
    <col min="9998" max="10240" width="9.140625" style="4"/>
    <col min="10241" max="10241" width="6.28515625" style="4" customWidth="1"/>
    <col min="10242" max="10242" width="5.28515625" style="4" customWidth="1"/>
    <col min="10243" max="10243" width="44.5703125" style="4" customWidth="1"/>
    <col min="10244" max="10244" width="12.140625" style="4" customWidth="1"/>
    <col min="10245" max="10245" width="5.140625" style="4" customWidth="1"/>
    <col min="10246" max="10246" width="12.140625" style="4" bestFit="1" customWidth="1"/>
    <col min="10247" max="10247" width="7.5703125" style="4" customWidth="1"/>
    <col min="10248" max="10250" width="14.28515625" style="4" bestFit="1" customWidth="1"/>
    <col min="10251" max="10251" width="57.7109375" style="4" customWidth="1"/>
    <col min="10252" max="10252" width="42" style="4" customWidth="1"/>
    <col min="10253" max="10253" width="10.5703125" style="4" bestFit="1" customWidth="1"/>
    <col min="10254" max="10496" width="9.140625" style="4"/>
    <col min="10497" max="10497" width="6.28515625" style="4" customWidth="1"/>
    <col min="10498" max="10498" width="5.28515625" style="4" customWidth="1"/>
    <col min="10499" max="10499" width="44.5703125" style="4" customWidth="1"/>
    <col min="10500" max="10500" width="12.140625" style="4" customWidth="1"/>
    <col min="10501" max="10501" width="5.140625" style="4" customWidth="1"/>
    <col min="10502" max="10502" width="12.140625" style="4" bestFit="1" customWidth="1"/>
    <col min="10503" max="10503" width="7.5703125" style="4" customWidth="1"/>
    <col min="10504" max="10506" width="14.28515625" style="4" bestFit="1" customWidth="1"/>
    <col min="10507" max="10507" width="57.7109375" style="4" customWidth="1"/>
    <col min="10508" max="10508" width="42" style="4" customWidth="1"/>
    <col min="10509" max="10509" width="10.5703125" style="4" bestFit="1" customWidth="1"/>
    <col min="10510" max="10752" width="9.140625" style="4"/>
    <col min="10753" max="10753" width="6.28515625" style="4" customWidth="1"/>
    <col min="10754" max="10754" width="5.28515625" style="4" customWidth="1"/>
    <col min="10755" max="10755" width="44.5703125" style="4" customWidth="1"/>
    <col min="10756" max="10756" width="12.140625" style="4" customWidth="1"/>
    <col min="10757" max="10757" width="5.140625" style="4" customWidth="1"/>
    <col min="10758" max="10758" width="12.140625" style="4" bestFit="1" customWidth="1"/>
    <col min="10759" max="10759" width="7.5703125" style="4" customWidth="1"/>
    <col min="10760" max="10762" width="14.28515625" style="4" bestFit="1" customWidth="1"/>
    <col min="10763" max="10763" width="57.7109375" style="4" customWidth="1"/>
    <col min="10764" max="10764" width="42" style="4" customWidth="1"/>
    <col min="10765" max="10765" width="10.5703125" style="4" bestFit="1" customWidth="1"/>
    <col min="10766" max="11008" width="9.140625" style="4"/>
    <col min="11009" max="11009" width="6.28515625" style="4" customWidth="1"/>
    <col min="11010" max="11010" width="5.28515625" style="4" customWidth="1"/>
    <col min="11011" max="11011" width="44.5703125" style="4" customWidth="1"/>
    <col min="11012" max="11012" width="12.140625" style="4" customWidth="1"/>
    <col min="11013" max="11013" width="5.140625" style="4" customWidth="1"/>
    <col min="11014" max="11014" width="12.140625" style="4" bestFit="1" customWidth="1"/>
    <col min="11015" max="11015" width="7.5703125" style="4" customWidth="1"/>
    <col min="11016" max="11018" width="14.28515625" style="4" bestFit="1" customWidth="1"/>
    <col min="11019" max="11019" width="57.7109375" style="4" customWidth="1"/>
    <col min="11020" max="11020" width="42" style="4" customWidth="1"/>
    <col min="11021" max="11021" width="10.5703125" style="4" bestFit="1" customWidth="1"/>
    <col min="11022" max="11264" width="9.140625" style="4"/>
    <col min="11265" max="11265" width="6.28515625" style="4" customWidth="1"/>
    <col min="11266" max="11266" width="5.28515625" style="4" customWidth="1"/>
    <col min="11267" max="11267" width="44.5703125" style="4" customWidth="1"/>
    <col min="11268" max="11268" width="12.140625" style="4" customWidth="1"/>
    <col min="11269" max="11269" width="5.140625" style="4" customWidth="1"/>
    <col min="11270" max="11270" width="12.140625" style="4" bestFit="1" customWidth="1"/>
    <col min="11271" max="11271" width="7.5703125" style="4" customWidth="1"/>
    <col min="11272" max="11274" width="14.28515625" style="4" bestFit="1" customWidth="1"/>
    <col min="11275" max="11275" width="57.7109375" style="4" customWidth="1"/>
    <col min="11276" max="11276" width="42" style="4" customWidth="1"/>
    <col min="11277" max="11277" width="10.5703125" style="4" bestFit="1" customWidth="1"/>
    <col min="11278" max="11520" width="9.140625" style="4"/>
    <col min="11521" max="11521" width="6.28515625" style="4" customWidth="1"/>
    <col min="11522" max="11522" width="5.28515625" style="4" customWidth="1"/>
    <col min="11523" max="11523" width="44.5703125" style="4" customWidth="1"/>
    <col min="11524" max="11524" width="12.140625" style="4" customWidth="1"/>
    <col min="11525" max="11525" width="5.140625" style="4" customWidth="1"/>
    <col min="11526" max="11526" width="12.140625" style="4" bestFit="1" customWidth="1"/>
    <col min="11527" max="11527" width="7.5703125" style="4" customWidth="1"/>
    <col min="11528" max="11530" width="14.28515625" style="4" bestFit="1" customWidth="1"/>
    <col min="11531" max="11531" width="57.7109375" style="4" customWidth="1"/>
    <col min="11532" max="11532" width="42" style="4" customWidth="1"/>
    <col min="11533" max="11533" width="10.5703125" style="4" bestFit="1" customWidth="1"/>
    <col min="11534" max="11776" width="9.140625" style="4"/>
    <col min="11777" max="11777" width="6.28515625" style="4" customWidth="1"/>
    <col min="11778" max="11778" width="5.28515625" style="4" customWidth="1"/>
    <col min="11779" max="11779" width="44.5703125" style="4" customWidth="1"/>
    <col min="11780" max="11780" width="12.140625" style="4" customWidth="1"/>
    <col min="11781" max="11781" width="5.140625" style="4" customWidth="1"/>
    <col min="11782" max="11782" width="12.140625" style="4" bestFit="1" customWidth="1"/>
    <col min="11783" max="11783" width="7.5703125" style="4" customWidth="1"/>
    <col min="11784" max="11786" width="14.28515625" style="4" bestFit="1" customWidth="1"/>
    <col min="11787" max="11787" width="57.7109375" style="4" customWidth="1"/>
    <col min="11788" max="11788" width="42" style="4" customWidth="1"/>
    <col min="11789" max="11789" width="10.5703125" style="4" bestFit="1" customWidth="1"/>
    <col min="11790" max="12032" width="9.140625" style="4"/>
    <col min="12033" max="12033" width="6.28515625" style="4" customWidth="1"/>
    <col min="12034" max="12034" width="5.28515625" style="4" customWidth="1"/>
    <col min="12035" max="12035" width="44.5703125" style="4" customWidth="1"/>
    <col min="12036" max="12036" width="12.140625" style="4" customWidth="1"/>
    <col min="12037" max="12037" width="5.140625" style="4" customWidth="1"/>
    <col min="12038" max="12038" width="12.140625" style="4" bestFit="1" customWidth="1"/>
    <col min="12039" max="12039" width="7.5703125" style="4" customWidth="1"/>
    <col min="12040" max="12042" width="14.28515625" style="4" bestFit="1" customWidth="1"/>
    <col min="12043" max="12043" width="57.7109375" style="4" customWidth="1"/>
    <col min="12044" max="12044" width="42" style="4" customWidth="1"/>
    <col min="12045" max="12045" width="10.5703125" style="4" bestFit="1" customWidth="1"/>
    <col min="12046" max="12288" width="9.140625" style="4"/>
    <col min="12289" max="12289" width="6.28515625" style="4" customWidth="1"/>
    <col min="12290" max="12290" width="5.28515625" style="4" customWidth="1"/>
    <col min="12291" max="12291" width="44.5703125" style="4" customWidth="1"/>
    <col min="12292" max="12292" width="12.140625" style="4" customWidth="1"/>
    <col min="12293" max="12293" width="5.140625" style="4" customWidth="1"/>
    <col min="12294" max="12294" width="12.140625" style="4" bestFit="1" customWidth="1"/>
    <col min="12295" max="12295" width="7.5703125" style="4" customWidth="1"/>
    <col min="12296" max="12298" width="14.28515625" style="4" bestFit="1" customWidth="1"/>
    <col min="12299" max="12299" width="57.7109375" style="4" customWidth="1"/>
    <col min="12300" max="12300" width="42" style="4" customWidth="1"/>
    <col min="12301" max="12301" width="10.5703125" style="4" bestFit="1" customWidth="1"/>
    <col min="12302" max="12544" width="9.140625" style="4"/>
    <col min="12545" max="12545" width="6.28515625" style="4" customWidth="1"/>
    <col min="12546" max="12546" width="5.28515625" style="4" customWidth="1"/>
    <col min="12547" max="12547" width="44.5703125" style="4" customWidth="1"/>
    <col min="12548" max="12548" width="12.140625" style="4" customWidth="1"/>
    <col min="12549" max="12549" width="5.140625" style="4" customWidth="1"/>
    <col min="12550" max="12550" width="12.140625" style="4" bestFit="1" customWidth="1"/>
    <col min="12551" max="12551" width="7.5703125" style="4" customWidth="1"/>
    <col min="12552" max="12554" width="14.28515625" style="4" bestFit="1" customWidth="1"/>
    <col min="12555" max="12555" width="57.7109375" style="4" customWidth="1"/>
    <col min="12556" max="12556" width="42" style="4" customWidth="1"/>
    <col min="12557" max="12557" width="10.5703125" style="4" bestFit="1" customWidth="1"/>
    <col min="12558" max="12800" width="9.140625" style="4"/>
    <col min="12801" max="12801" width="6.28515625" style="4" customWidth="1"/>
    <col min="12802" max="12802" width="5.28515625" style="4" customWidth="1"/>
    <col min="12803" max="12803" width="44.5703125" style="4" customWidth="1"/>
    <col min="12804" max="12804" width="12.140625" style="4" customWidth="1"/>
    <col min="12805" max="12805" width="5.140625" style="4" customWidth="1"/>
    <col min="12806" max="12806" width="12.140625" style="4" bestFit="1" customWidth="1"/>
    <col min="12807" max="12807" width="7.5703125" style="4" customWidth="1"/>
    <col min="12808" max="12810" width="14.28515625" style="4" bestFit="1" customWidth="1"/>
    <col min="12811" max="12811" width="57.7109375" style="4" customWidth="1"/>
    <col min="12812" max="12812" width="42" style="4" customWidth="1"/>
    <col min="12813" max="12813" width="10.5703125" style="4" bestFit="1" customWidth="1"/>
    <col min="12814" max="13056" width="9.140625" style="4"/>
    <col min="13057" max="13057" width="6.28515625" style="4" customWidth="1"/>
    <col min="13058" max="13058" width="5.28515625" style="4" customWidth="1"/>
    <col min="13059" max="13059" width="44.5703125" style="4" customWidth="1"/>
    <col min="13060" max="13060" width="12.140625" style="4" customWidth="1"/>
    <col min="13061" max="13061" width="5.140625" style="4" customWidth="1"/>
    <col min="13062" max="13062" width="12.140625" style="4" bestFit="1" customWidth="1"/>
    <col min="13063" max="13063" width="7.5703125" style="4" customWidth="1"/>
    <col min="13064" max="13066" width="14.28515625" style="4" bestFit="1" customWidth="1"/>
    <col min="13067" max="13067" width="57.7109375" style="4" customWidth="1"/>
    <col min="13068" max="13068" width="42" style="4" customWidth="1"/>
    <col min="13069" max="13069" width="10.5703125" style="4" bestFit="1" customWidth="1"/>
    <col min="13070" max="13312" width="9.140625" style="4"/>
    <col min="13313" max="13313" width="6.28515625" style="4" customWidth="1"/>
    <col min="13314" max="13314" width="5.28515625" style="4" customWidth="1"/>
    <col min="13315" max="13315" width="44.5703125" style="4" customWidth="1"/>
    <col min="13316" max="13316" width="12.140625" style="4" customWidth="1"/>
    <col min="13317" max="13317" width="5.140625" style="4" customWidth="1"/>
    <col min="13318" max="13318" width="12.140625" style="4" bestFit="1" customWidth="1"/>
    <col min="13319" max="13319" width="7.5703125" style="4" customWidth="1"/>
    <col min="13320" max="13322" width="14.28515625" style="4" bestFit="1" customWidth="1"/>
    <col min="13323" max="13323" width="57.7109375" style="4" customWidth="1"/>
    <col min="13324" max="13324" width="42" style="4" customWidth="1"/>
    <col min="13325" max="13325" width="10.5703125" style="4" bestFit="1" customWidth="1"/>
    <col min="13326" max="13568" width="9.140625" style="4"/>
    <col min="13569" max="13569" width="6.28515625" style="4" customWidth="1"/>
    <col min="13570" max="13570" width="5.28515625" style="4" customWidth="1"/>
    <col min="13571" max="13571" width="44.5703125" style="4" customWidth="1"/>
    <col min="13572" max="13572" width="12.140625" style="4" customWidth="1"/>
    <col min="13573" max="13573" width="5.140625" style="4" customWidth="1"/>
    <col min="13574" max="13574" width="12.140625" style="4" bestFit="1" customWidth="1"/>
    <col min="13575" max="13575" width="7.5703125" style="4" customWidth="1"/>
    <col min="13576" max="13578" width="14.28515625" style="4" bestFit="1" customWidth="1"/>
    <col min="13579" max="13579" width="57.7109375" style="4" customWidth="1"/>
    <col min="13580" max="13580" width="42" style="4" customWidth="1"/>
    <col min="13581" max="13581" width="10.5703125" style="4" bestFit="1" customWidth="1"/>
    <col min="13582" max="13824" width="9.140625" style="4"/>
    <col min="13825" max="13825" width="6.28515625" style="4" customWidth="1"/>
    <col min="13826" max="13826" width="5.28515625" style="4" customWidth="1"/>
    <col min="13827" max="13827" width="44.5703125" style="4" customWidth="1"/>
    <col min="13828" max="13828" width="12.140625" style="4" customWidth="1"/>
    <col min="13829" max="13829" width="5.140625" style="4" customWidth="1"/>
    <col min="13830" max="13830" width="12.140625" style="4" bestFit="1" customWidth="1"/>
    <col min="13831" max="13831" width="7.5703125" style="4" customWidth="1"/>
    <col min="13832" max="13834" width="14.28515625" style="4" bestFit="1" customWidth="1"/>
    <col min="13835" max="13835" width="57.7109375" style="4" customWidth="1"/>
    <col min="13836" max="13836" width="42" style="4" customWidth="1"/>
    <col min="13837" max="13837" width="10.5703125" style="4" bestFit="1" customWidth="1"/>
    <col min="13838" max="14080" width="9.140625" style="4"/>
    <col min="14081" max="14081" width="6.28515625" style="4" customWidth="1"/>
    <col min="14082" max="14082" width="5.28515625" style="4" customWidth="1"/>
    <col min="14083" max="14083" width="44.5703125" style="4" customWidth="1"/>
    <col min="14084" max="14084" width="12.140625" style="4" customWidth="1"/>
    <col min="14085" max="14085" width="5.140625" style="4" customWidth="1"/>
    <col min="14086" max="14086" width="12.140625" style="4" bestFit="1" customWidth="1"/>
    <col min="14087" max="14087" width="7.5703125" style="4" customWidth="1"/>
    <col min="14088" max="14090" width="14.28515625" style="4" bestFit="1" customWidth="1"/>
    <col min="14091" max="14091" width="57.7109375" style="4" customWidth="1"/>
    <col min="14092" max="14092" width="42" style="4" customWidth="1"/>
    <col min="14093" max="14093" width="10.5703125" style="4" bestFit="1" customWidth="1"/>
    <col min="14094" max="14336" width="9.140625" style="4"/>
    <col min="14337" max="14337" width="6.28515625" style="4" customWidth="1"/>
    <col min="14338" max="14338" width="5.28515625" style="4" customWidth="1"/>
    <col min="14339" max="14339" width="44.5703125" style="4" customWidth="1"/>
    <col min="14340" max="14340" width="12.140625" style="4" customWidth="1"/>
    <col min="14341" max="14341" width="5.140625" style="4" customWidth="1"/>
    <col min="14342" max="14342" width="12.140625" style="4" bestFit="1" customWidth="1"/>
    <col min="14343" max="14343" width="7.5703125" style="4" customWidth="1"/>
    <col min="14344" max="14346" width="14.28515625" style="4" bestFit="1" customWidth="1"/>
    <col min="14347" max="14347" width="57.7109375" style="4" customWidth="1"/>
    <col min="14348" max="14348" width="42" style="4" customWidth="1"/>
    <col min="14349" max="14349" width="10.5703125" style="4" bestFit="1" customWidth="1"/>
    <col min="14350" max="14592" width="9.140625" style="4"/>
    <col min="14593" max="14593" width="6.28515625" style="4" customWidth="1"/>
    <col min="14594" max="14594" width="5.28515625" style="4" customWidth="1"/>
    <col min="14595" max="14595" width="44.5703125" style="4" customWidth="1"/>
    <col min="14596" max="14596" width="12.140625" style="4" customWidth="1"/>
    <col min="14597" max="14597" width="5.140625" style="4" customWidth="1"/>
    <col min="14598" max="14598" width="12.140625" style="4" bestFit="1" customWidth="1"/>
    <col min="14599" max="14599" width="7.5703125" style="4" customWidth="1"/>
    <col min="14600" max="14602" width="14.28515625" style="4" bestFit="1" customWidth="1"/>
    <col min="14603" max="14603" width="57.7109375" style="4" customWidth="1"/>
    <col min="14604" max="14604" width="42" style="4" customWidth="1"/>
    <col min="14605" max="14605" width="10.5703125" style="4" bestFit="1" customWidth="1"/>
    <col min="14606" max="14848" width="9.140625" style="4"/>
    <col min="14849" max="14849" width="6.28515625" style="4" customWidth="1"/>
    <col min="14850" max="14850" width="5.28515625" style="4" customWidth="1"/>
    <col min="14851" max="14851" width="44.5703125" style="4" customWidth="1"/>
    <col min="14852" max="14852" width="12.140625" style="4" customWidth="1"/>
    <col min="14853" max="14853" width="5.140625" style="4" customWidth="1"/>
    <col min="14854" max="14854" width="12.140625" style="4" bestFit="1" customWidth="1"/>
    <col min="14855" max="14855" width="7.5703125" style="4" customWidth="1"/>
    <col min="14856" max="14858" width="14.28515625" style="4" bestFit="1" customWidth="1"/>
    <col min="14859" max="14859" width="57.7109375" style="4" customWidth="1"/>
    <col min="14860" max="14860" width="42" style="4" customWidth="1"/>
    <col min="14861" max="14861" width="10.5703125" style="4" bestFit="1" customWidth="1"/>
    <col min="14862" max="15104" width="9.140625" style="4"/>
    <col min="15105" max="15105" width="6.28515625" style="4" customWidth="1"/>
    <col min="15106" max="15106" width="5.28515625" style="4" customWidth="1"/>
    <col min="15107" max="15107" width="44.5703125" style="4" customWidth="1"/>
    <col min="15108" max="15108" width="12.140625" style="4" customWidth="1"/>
    <col min="15109" max="15109" width="5.140625" style="4" customWidth="1"/>
    <col min="15110" max="15110" width="12.140625" style="4" bestFit="1" customWidth="1"/>
    <col min="15111" max="15111" width="7.5703125" style="4" customWidth="1"/>
    <col min="15112" max="15114" width="14.28515625" style="4" bestFit="1" customWidth="1"/>
    <col min="15115" max="15115" width="57.7109375" style="4" customWidth="1"/>
    <col min="15116" max="15116" width="42" style="4" customWidth="1"/>
    <col min="15117" max="15117" width="10.5703125" style="4" bestFit="1" customWidth="1"/>
    <col min="15118" max="15360" width="9.140625" style="4"/>
    <col min="15361" max="15361" width="6.28515625" style="4" customWidth="1"/>
    <col min="15362" max="15362" width="5.28515625" style="4" customWidth="1"/>
    <col min="15363" max="15363" width="44.5703125" style="4" customWidth="1"/>
    <col min="15364" max="15364" width="12.140625" style="4" customWidth="1"/>
    <col min="15365" max="15365" width="5.140625" style="4" customWidth="1"/>
    <col min="15366" max="15366" width="12.140625" style="4" bestFit="1" customWidth="1"/>
    <col min="15367" max="15367" width="7.5703125" style="4" customWidth="1"/>
    <col min="15368" max="15370" width="14.28515625" style="4" bestFit="1" customWidth="1"/>
    <col min="15371" max="15371" width="57.7109375" style="4" customWidth="1"/>
    <col min="15372" max="15372" width="42" style="4" customWidth="1"/>
    <col min="15373" max="15373" width="10.5703125" style="4" bestFit="1" customWidth="1"/>
    <col min="15374" max="15616" width="9.140625" style="4"/>
    <col min="15617" max="15617" width="6.28515625" style="4" customWidth="1"/>
    <col min="15618" max="15618" width="5.28515625" style="4" customWidth="1"/>
    <col min="15619" max="15619" width="44.5703125" style="4" customWidth="1"/>
    <col min="15620" max="15620" width="12.140625" style="4" customWidth="1"/>
    <col min="15621" max="15621" width="5.140625" style="4" customWidth="1"/>
    <col min="15622" max="15622" width="12.140625" style="4" bestFit="1" customWidth="1"/>
    <col min="15623" max="15623" width="7.5703125" style="4" customWidth="1"/>
    <col min="15624" max="15626" width="14.28515625" style="4" bestFit="1" customWidth="1"/>
    <col min="15627" max="15627" width="57.7109375" style="4" customWidth="1"/>
    <col min="15628" max="15628" width="42" style="4" customWidth="1"/>
    <col min="15629" max="15629" width="10.5703125" style="4" bestFit="1" customWidth="1"/>
    <col min="15630" max="15872" width="9.140625" style="4"/>
    <col min="15873" max="15873" width="6.28515625" style="4" customWidth="1"/>
    <col min="15874" max="15874" width="5.28515625" style="4" customWidth="1"/>
    <col min="15875" max="15875" width="44.5703125" style="4" customWidth="1"/>
    <col min="15876" max="15876" width="12.140625" style="4" customWidth="1"/>
    <col min="15877" max="15877" width="5.140625" style="4" customWidth="1"/>
    <col min="15878" max="15878" width="12.140625" style="4" bestFit="1" customWidth="1"/>
    <col min="15879" max="15879" width="7.5703125" style="4" customWidth="1"/>
    <col min="15880" max="15882" width="14.28515625" style="4" bestFit="1" customWidth="1"/>
    <col min="15883" max="15883" width="57.7109375" style="4" customWidth="1"/>
    <col min="15884" max="15884" width="42" style="4" customWidth="1"/>
    <col min="15885" max="15885" width="10.5703125" style="4" bestFit="1" customWidth="1"/>
    <col min="15886" max="16128" width="9.140625" style="4"/>
    <col min="16129" max="16129" width="6.28515625" style="4" customWidth="1"/>
    <col min="16130" max="16130" width="5.28515625" style="4" customWidth="1"/>
    <col min="16131" max="16131" width="44.5703125" style="4" customWidth="1"/>
    <col min="16132" max="16132" width="12.140625" style="4" customWidth="1"/>
    <col min="16133" max="16133" width="5.140625" style="4" customWidth="1"/>
    <col min="16134" max="16134" width="12.140625" style="4" bestFit="1" customWidth="1"/>
    <col min="16135" max="16135" width="7.5703125" style="4" customWidth="1"/>
    <col min="16136" max="16138" width="14.28515625" style="4" bestFit="1" customWidth="1"/>
    <col min="16139" max="16139" width="57.7109375" style="4" customWidth="1"/>
    <col min="16140" max="16140" width="42" style="4" customWidth="1"/>
    <col min="16141" max="16141" width="10.5703125" style="4" bestFit="1" customWidth="1"/>
    <col min="16142" max="16384" width="9.140625" style="4"/>
  </cols>
  <sheetData>
    <row r="1" spans="1:13" ht="18">
      <c r="A1" s="251"/>
      <c r="B1" s="251"/>
      <c r="C1" s="251"/>
      <c r="D1" s="3047" t="s">
        <v>1971</v>
      </c>
      <c r="E1" s="3178"/>
      <c r="F1" s="3178"/>
      <c r="G1" s="3178"/>
      <c r="H1" s="684"/>
      <c r="I1" s="684"/>
      <c r="J1" s="684"/>
      <c r="K1" s="684"/>
      <c r="L1" s="251"/>
      <c r="M1" s="251"/>
    </row>
    <row r="2" spans="1:13" ht="15" customHeight="1">
      <c r="A2" s="251"/>
      <c r="B2" s="251"/>
      <c r="C2" s="251"/>
      <c r="D2" s="3179" t="s">
        <v>1972</v>
      </c>
      <c r="E2" s="3179"/>
      <c r="F2" s="3179"/>
      <c r="G2" s="3179"/>
      <c r="H2" s="685"/>
      <c r="I2" s="726" t="s">
        <v>89</v>
      </c>
      <c r="J2" s="726"/>
      <c r="K2" s="686"/>
      <c r="L2" s="251"/>
      <c r="M2" s="251"/>
    </row>
    <row r="3" spans="1:13" ht="35.25" customHeight="1">
      <c r="A3" s="12"/>
      <c r="B3" s="31"/>
      <c r="C3" s="3075" t="s">
        <v>1973</v>
      </c>
      <c r="D3" s="3075"/>
      <c r="E3" s="3075"/>
      <c r="F3" s="3075"/>
      <c r="G3" s="3075"/>
      <c r="H3" s="3075"/>
      <c r="I3" s="684"/>
      <c r="J3" s="684"/>
      <c r="K3" s="684"/>
      <c r="L3" s="251"/>
      <c r="M3" s="251"/>
    </row>
    <row r="4" spans="1:13">
      <c r="A4" s="11"/>
      <c r="B4" s="11"/>
      <c r="C4" s="11"/>
      <c r="D4" s="11"/>
      <c r="E4" s="11"/>
      <c r="F4" s="11"/>
      <c r="G4" s="11"/>
      <c r="H4" s="11"/>
      <c r="I4" s="11"/>
      <c r="J4" s="11"/>
      <c r="K4" s="251"/>
      <c r="L4" s="251"/>
      <c r="M4" s="251"/>
    </row>
    <row r="5" spans="1:13">
      <c r="A5" s="3180" t="s">
        <v>2</v>
      </c>
      <c r="B5" s="3180" t="s">
        <v>1537</v>
      </c>
      <c r="C5" s="3181" t="s">
        <v>3</v>
      </c>
      <c r="D5" s="3182" t="s">
        <v>1421</v>
      </c>
      <c r="E5" s="3180" t="s">
        <v>5</v>
      </c>
      <c r="F5" s="3180" t="s">
        <v>9</v>
      </c>
      <c r="G5" s="3180" t="s">
        <v>8</v>
      </c>
      <c r="H5" s="3180" t="s">
        <v>1974</v>
      </c>
      <c r="I5" s="3180"/>
      <c r="J5" s="3180"/>
      <c r="K5" s="687" t="s">
        <v>1975</v>
      </c>
      <c r="L5" s="251"/>
      <c r="M5" s="251"/>
    </row>
    <row r="6" spans="1:13">
      <c r="A6" s="3180"/>
      <c r="B6" s="3180"/>
      <c r="C6" s="3181"/>
      <c r="D6" s="3183"/>
      <c r="E6" s="3180"/>
      <c r="F6" s="3180"/>
      <c r="G6" s="3180"/>
      <c r="H6" s="683" t="s">
        <v>1976</v>
      </c>
      <c r="I6" s="683" t="s">
        <v>1977</v>
      </c>
      <c r="J6" s="683" t="s">
        <v>1978</v>
      </c>
      <c r="K6" s="687"/>
      <c r="L6" s="251"/>
      <c r="M6" s="251"/>
    </row>
    <row r="7" spans="1:13">
      <c r="A7" s="14">
        <v>1</v>
      </c>
      <c r="B7" s="3184">
        <v>2</v>
      </c>
      <c r="C7" s="3185"/>
      <c r="D7" s="14">
        <v>3</v>
      </c>
      <c r="E7" s="14">
        <v>4</v>
      </c>
      <c r="F7" s="14">
        <v>5</v>
      </c>
      <c r="G7" s="14">
        <v>6</v>
      </c>
      <c r="H7" s="14">
        <v>7</v>
      </c>
      <c r="I7" s="14">
        <v>8</v>
      </c>
      <c r="J7" s="14">
        <v>9</v>
      </c>
      <c r="K7" s="688"/>
      <c r="L7" s="251"/>
      <c r="M7" s="251"/>
    </row>
    <row r="8" spans="1:13" ht="15" customHeight="1">
      <c r="A8" s="3187">
        <v>1</v>
      </c>
      <c r="B8" s="1330"/>
      <c r="C8" s="1331" t="s">
        <v>1838</v>
      </c>
      <c r="D8" s="1332"/>
      <c r="E8" s="1332"/>
      <c r="F8" s="1332"/>
      <c r="G8" s="1332"/>
      <c r="H8" s="1332"/>
      <c r="I8" s="1332"/>
      <c r="J8" s="1333"/>
      <c r="K8" s="689"/>
      <c r="L8" s="251"/>
      <c r="M8" s="251"/>
    </row>
    <row r="9" spans="1:13" ht="15" customHeight="1">
      <c r="A9" s="3188"/>
      <c r="B9" s="3186" t="s">
        <v>1680</v>
      </c>
      <c r="C9" s="1334" t="s">
        <v>1979</v>
      </c>
      <c r="D9" s="1335"/>
      <c r="E9" s="1336"/>
      <c r="F9" s="1336"/>
      <c r="G9" s="1336"/>
      <c r="H9" s="1336"/>
      <c r="I9" s="1336"/>
      <c r="J9" s="1337"/>
      <c r="K9" s="690"/>
      <c r="L9" s="251"/>
      <c r="M9" s="251"/>
    </row>
    <row r="10" spans="1:13" ht="15" customHeight="1">
      <c r="A10" s="3188"/>
      <c r="B10" s="3186"/>
      <c r="C10" s="1338" t="s">
        <v>1980</v>
      </c>
      <c r="D10" s="1339">
        <v>7132220091</v>
      </c>
      <c r="E10" s="1340" t="s">
        <v>12</v>
      </c>
      <c r="F10" s="1341">
        <f>VLOOKUP(D10,'SOR RATE'!A:D,4,0)</f>
        <v>1287998.3799999999</v>
      </c>
      <c r="G10" s="1340">
        <v>1</v>
      </c>
      <c r="H10" s="1341">
        <f>F10*G10</f>
        <v>1287998.3799999999</v>
      </c>
      <c r="I10" s="1341"/>
      <c r="J10" s="1341"/>
      <c r="K10" s="691"/>
      <c r="L10" s="251"/>
      <c r="M10" s="251"/>
    </row>
    <row r="11" spans="1:13" ht="15" customHeight="1">
      <c r="A11" s="3188"/>
      <c r="B11" s="3186"/>
      <c r="C11" s="1338" t="s">
        <v>1981</v>
      </c>
      <c r="D11" s="1339">
        <v>7132220095</v>
      </c>
      <c r="E11" s="1340" t="s">
        <v>12</v>
      </c>
      <c r="F11" s="1341">
        <f>VLOOKUP(D11,'SOR RATE'!A:D,4,0)</f>
        <v>3825804.57</v>
      </c>
      <c r="G11" s="1340">
        <v>1</v>
      </c>
      <c r="H11" s="1341"/>
      <c r="I11" s="1341">
        <f>F11*G11</f>
        <v>3825804.57</v>
      </c>
      <c r="J11" s="1341"/>
      <c r="K11" s="691"/>
      <c r="L11" s="251"/>
      <c r="M11" s="251"/>
    </row>
    <row r="12" spans="1:13" ht="15" customHeight="1">
      <c r="A12" s="3188"/>
      <c r="B12" s="3186"/>
      <c r="C12" s="1338" t="s">
        <v>1982</v>
      </c>
      <c r="D12" s="1339">
        <v>7132220097</v>
      </c>
      <c r="E12" s="1340" t="s">
        <v>12</v>
      </c>
      <c r="F12" s="1341">
        <f>VLOOKUP(D12,'SOR RATE'!A:D,4,0)</f>
        <v>5211755.76</v>
      </c>
      <c r="G12" s="1340">
        <v>1</v>
      </c>
      <c r="H12" s="1341"/>
      <c r="I12" s="1341"/>
      <c r="J12" s="1341">
        <f>F12*G12</f>
        <v>5211755.76</v>
      </c>
      <c r="K12" s="691"/>
      <c r="L12" s="251"/>
      <c r="M12" s="251"/>
    </row>
    <row r="13" spans="1:13" ht="15" customHeight="1">
      <c r="A13" s="3188"/>
      <c r="B13" s="3186" t="s">
        <v>1681</v>
      </c>
      <c r="C13" s="1342" t="s">
        <v>1983</v>
      </c>
      <c r="D13" s="1339"/>
      <c r="E13" s="1340" t="s">
        <v>12</v>
      </c>
      <c r="F13" s="1343">
        <f>I14+I15+I16</f>
        <v>342838.32999999996</v>
      </c>
      <c r="G13" s="1340"/>
      <c r="H13" s="1341"/>
      <c r="I13" s="1341"/>
      <c r="J13" s="1341"/>
      <c r="K13" s="691"/>
      <c r="L13" s="251"/>
      <c r="M13" s="251"/>
    </row>
    <row r="14" spans="1:13" ht="15" customHeight="1">
      <c r="A14" s="3188"/>
      <c r="B14" s="3186"/>
      <c r="C14" s="1344" t="s">
        <v>1984</v>
      </c>
      <c r="D14" s="1339">
        <v>7131943380</v>
      </c>
      <c r="E14" s="1340" t="s">
        <v>12</v>
      </c>
      <c r="F14" s="1341">
        <f>VLOOKUP(D14,'SOR RATE'!A:D,4,0)</f>
        <v>250684.03</v>
      </c>
      <c r="G14" s="1340">
        <v>1</v>
      </c>
      <c r="H14" s="1341"/>
      <c r="I14" s="1341">
        <f>F14*G14</f>
        <v>250684.03</v>
      </c>
      <c r="J14" s="1341">
        <f>F14*G14</f>
        <v>250684.03</v>
      </c>
      <c r="K14" s="204"/>
    </row>
    <row r="15" spans="1:13" ht="15" customHeight="1">
      <c r="A15" s="3188"/>
      <c r="B15" s="3186"/>
      <c r="C15" s="1344" t="s">
        <v>1985</v>
      </c>
      <c r="D15" s="1339">
        <v>7131960524</v>
      </c>
      <c r="E15" s="1340" t="s">
        <v>12</v>
      </c>
      <c r="F15" s="1341">
        <f>VLOOKUP(D15,'SOR RATE'!A:D,4,0)</f>
        <v>39664.769999999997</v>
      </c>
      <c r="G15" s="1340">
        <v>1</v>
      </c>
      <c r="H15" s="1341"/>
      <c r="I15" s="1341">
        <f>F15*G15</f>
        <v>39664.769999999997</v>
      </c>
      <c r="J15" s="1341">
        <f>F15*G15</f>
        <v>39664.769999999997</v>
      </c>
      <c r="K15" s="204"/>
      <c r="L15" s="214"/>
    </row>
    <row r="16" spans="1:13" ht="15" customHeight="1">
      <c r="A16" s="3188"/>
      <c r="B16" s="3186"/>
      <c r="C16" s="1344" t="s">
        <v>1845</v>
      </c>
      <c r="D16" s="1339">
        <v>7132230265</v>
      </c>
      <c r="E16" s="1340" t="s">
        <v>12</v>
      </c>
      <c r="F16" s="1341">
        <f>VLOOKUP(D16,'SOR RATE'!A:D,4,0)</f>
        <v>17496.509999999998</v>
      </c>
      <c r="G16" s="1340">
        <v>3</v>
      </c>
      <c r="H16" s="1341"/>
      <c r="I16" s="1341">
        <f>G16*F16</f>
        <v>52489.53</v>
      </c>
      <c r="J16" s="1341">
        <f>F16*G16</f>
        <v>52489.53</v>
      </c>
      <c r="K16" s="204"/>
    </row>
    <row r="17" spans="1:18" ht="15" customHeight="1">
      <c r="A17" s="3188"/>
      <c r="B17" s="3186" t="s">
        <v>1682</v>
      </c>
      <c r="C17" s="1345" t="s">
        <v>1986</v>
      </c>
      <c r="D17" s="1339"/>
      <c r="E17" s="1340" t="s">
        <v>12</v>
      </c>
      <c r="F17" s="1343">
        <f>H18+H19+H20</f>
        <v>215924.16000000003</v>
      </c>
      <c r="G17" s="1340">
        <v>1</v>
      </c>
      <c r="H17" s="1341"/>
      <c r="I17" s="1341"/>
      <c r="J17" s="1341"/>
      <c r="K17" s="204"/>
    </row>
    <row r="18" spans="1:18" ht="15" customHeight="1">
      <c r="A18" s="3188"/>
      <c r="B18" s="3186"/>
      <c r="C18" s="1344" t="s">
        <v>1987</v>
      </c>
      <c r="D18" s="1339">
        <v>7131941762</v>
      </c>
      <c r="E18" s="1340" t="s">
        <v>33</v>
      </c>
      <c r="F18" s="1341">
        <f>VLOOKUP(D18,'SOR RATE'!A:D,4,0)</f>
        <v>135748.26</v>
      </c>
      <c r="G18" s="1340">
        <v>1</v>
      </c>
      <c r="H18" s="1341">
        <f>G18*F18</f>
        <v>135748.26</v>
      </c>
      <c r="I18" s="1341">
        <f>F18*G18</f>
        <v>135748.26</v>
      </c>
      <c r="J18" s="1341">
        <f>F18*G18</f>
        <v>135748.26</v>
      </c>
      <c r="K18" s="204"/>
    </row>
    <row r="19" spans="1:18" ht="15" customHeight="1">
      <c r="A19" s="3188"/>
      <c r="B19" s="3186"/>
      <c r="C19" s="1344" t="s">
        <v>1988</v>
      </c>
      <c r="D19" s="1339">
        <v>7131960522</v>
      </c>
      <c r="E19" s="1340" t="s">
        <v>33</v>
      </c>
      <c r="F19" s="1341">
        <f>VLOOKUP(D19,'SOR RATE'!A:D,4,0)</f>
        <v>39087.629999999997</v>
      </c>
      <c r="G19" s="1340">
        <v>1</v>
      </c>
      <c r="H19" s="1341">
        <f>G19*F19</f>
        <v>39087.629999999997</v>
      </c>
      <c r="I19" s="1341">
        <f>F19*G19</f>
        <v>39087.629999999997</v>
      </c>
      <c r="J19" s="1341">
        <f>F19*G19</f>
        <v>39087.629999999997</v>
      </c>
      <c r="K19" s="204"/>
      <c r="L19" s="394"/>
    </row>
    <row r="20" spans="1:18" ht="15" customHeight="1">
      <c r="A20" s="3188"/>
      <c r="B20" s="3186"/>
      <c r="C20" s="1344" t="s">
        <v>1989</v>
      </c>
      <c r="D20" s="1339">
        <v>7132230188</v>
      </c>
      <c r="E20" s="1340" t="s">
        <v>33</v>
      </c>
      <c r="F20" s="1341">
        <f>VLOOKUP(D20,'SOR RATE'!A:D,4,0)</f>
        <v>13696.09</v>
      </c>
      <c r="G20" s="1340">
        <v>3</v>
      </c>
      <c r="H20" s="1341">
        <f>G20*F20</f>
        <v>41088.270000000004</v>
      </c>
      <c r="I20" s="1341">
        <f>F20*G20</f>
        <v>41088.270000000004</v>
      </c>
      <c r="J20" s="1341">
        <f>F20*G20</f>
        <v>41088.270000000004</v>
      </c>
      <c r="K20" s="204"/>
    </row>
    <row r="21" spans="1:18" ht="15" customHeight="1">
      <c r="A21" s="3188"/>
      <c r="B21" s="3186" t="s">
        <v>1684</v>
      </c>
      <c r="C21" s="1345" t="s">
        <v>1990</v>
      </c>
      <c r="D21" s="1339"/>
      <c r="E21" s="1340" t="s">
        <v>12</v>
      </c>
      <c r="F21" s="1343">
        <f>H22+H23+H24</f>
        <v>404812.26</v>
      </c>
      <c r="G21" s="1340">
        <v>1</v>
      </c>
      <c r="H21" s="1341"/>
      <c r="I21" s="1341"/>
      <c r="J21" s="1341"/>
      <c r="K21" s="204"/>
    </row>
    <row r="22" spans="1:18" ht="15" customHeight="1">
      <c r="A22" s="3188"/>
      <c r="B22" s="3186"/>
      <c r="C22" s="1344" t="s">
        <v>1987</v>
      </c>
      <c r="D22" s="1339">
        <v>7131941762</v>
      </c>
      <c r="E22" s="1340" t="s">
        <v>12</v>
      </c>
      <c r="F22" s="1341">
        <f>VLOOKUP(D22,'SOR RATE'!A:D,4,0)</f>
        <v>135748.26</v>
      </c>
      <c r="G22" s="1340">
        <v>2</v>
      </c>
      <c r="H22" s="1341">
        <f t="shared" ref="H22:H29" si="0">G22*F22</f>
        <v>271496.52</v>
      </c>
      <c r="I22" s="1341">
        <f>G22*F22</f>
        <v>271496.52</v>
      </c>
      <c r="J22" s="1341">
        <f>G22*F22</f>
        <v>271496.52</v>
      </c>
      <c r="K22" s="221"/>
      <c r="L22" s="222"/>
    </row>
    <row r="23" spans="1:18" ht="15" customHeight="1">
      <c r="A23" s="3188"/>
      <c r="B23" s="3186"/>
      <c r="C23" s="1344" t="s">
        <v>1991</v>
      </c>
      <c r="D23" s="1339">
        <v>7131960008</v>
      </c>
      <c r="E23" s="1340" t="s">
        <v>33</v>
      </c>
      <c r="F23" s="1341">
        <f>VLOOKUP(D23,'SOR RATE'!A:D,4,0)</f>
        <v>25931.94</v>
      </c>
      <c r="G23" s="1340">
        <v>2</v>
      </c>
      <c r="H23" s="1341">
        <f t="shared" si="0"/>
        <v>51863.88</v>
      </c>
      <c r="I23" s="1341">
        <f>G23*F23</f>
        <v>51863.88</v>
      </c>
      <c r="J23" s="1341">
        <f>G23*F23</f>
        <v>51863.88</v>
      </c>
      <c r="K23" s="221"/>
      <c r="L23" s="394"/>
    </row>
    <row r="24" spans="1:18" ht="15" customHeight="1">
      <c r="A24" s="3188"/>
      <c r="B24" s="3186"/>
      <c r="C24" s="1338" t="s">
        <v>1992</v>
      </c>
      <c r="D24" s="1339">
        <v>7132230185</v>
      </c>
      <c r="E24" s="1340" t="s">
        <v>12</v>
      </c>
      <c r="F24" s="1341">
        <f>VLOOKUP(D24,'SOR RATE'!A:D,4,0)</f>
        <v>13575.31</v>
      </c>
      <c r="G24" s="1340">
        <v>6</v>
      </c>
      <c r="H24" s="1341">
        <f t="shared" si="0"/>
        <v>81451.86</v>
      </c>
      <c r="I24" s="1341">
        <f>F24*G24</f>
        <v>81451.86</v>
      </c>
      <c r="J24" s="1341">
        <f>F24*G24</f>
        <v>81451.86</v>
      </c>
      <c r="K24" s="221"/>
    </row>
    <row r="25" spans="1:18" ht="15" customHeight="1">
      <c r="A25" s="3188"/>
      <c r="B25" s="1346" t="s">
        <v>1689</v>
      </c>
      <c r="C25" s="1344" t="s">
        <v>1993</v>
      </c>
      <c r="D25" s="1339">
        <v>7131930415</v>
      </c>
      <c r="E25" s="1340" t="s">
        <v>33</v>
      </c>
      <c r="F25" s="1341">
        <f>VLOOKUP(D25,'SOR RATE'!A:D,4,0)</f>
        <v>3005.12</v>
      </c>
      <c r="G25" s="1340">
        <v>3</v>
      </c>
      <c r="H25" s="1341">
        <f t="shared" si="0"/>
        <v>9015.36</v>
      </c>
      <c r="I25" s="1341"/>
      <c r="J25" s="1341"/>
      <c r="K25" s="204"/>
    </row>
    <row r="26" spans="1:18" ht="15" customHeight="1">
      <c r="A26" s="3188"/>
      <c r="B26" s="1346" t="s">
        <v>1825</v>
      </c>
      <c r="C26" s="1344" t="s">
        <v>1994</v>
      </c>
      <c r="D26" s="1339">
        <v>7131930752</v>
      </c>
      <c r="E26" s="1340" t="s">
        <v>12</v>
      </c>
      <c r="F26" s="1341">
        <f>VLOOKUP(D26,'SOR RATE'!A:D,4,0)</f>
        <v>43971.49</v>
      </c>
      <c r="G26" s="1340">
        <v>2</v>
      </c>
      <c r="H26" s="1341">
        <f t="shared" si="0"/>
        <v>87942.98</v>
      </c>
      <c r="I26" s="1341">
        <f>G26*F26</f>
        <v>87942.98</v>
      </c>
      <c r="J26" s="1341">
        <f>G26*F26</f>
        <v>87942.98</v>
      </c>
      <c r="K26" s="221"/>
    </row>
    <row r="27" spans="1:18" ht="15" customHeight="1">
      <c r="A27" s="3188"/>
      <c r="B27" s="1346" t="s">
        <v>1828</v>
      </c>
      <c r="C27" s="1344" t="s">
        <v>1995</v>
      </c>
      <c r="D27" s="1339">
        <v>7131930663</v>
      </c>
      <c r="E27" s="1340" t="s">
        <v>12</v>
      </c>
      <c r="F27" s="1341">
        <f>VLOOKUP(D27,'SOR RATE'!A:D,4,0)</f>
        <v>25408.1</v>
      </c>
      <c r="G27" s="1340">
        <v>5</v>
      </c>
      <c r="H27" s="1341">
        <f t="shared" si="0"/>
        <v>127040.5</v>
      </c>
      <c r="I27" s="1341">
        <f>G27*F27</f>
        <v>127040.5</v>
      </c>
      <c r="J27" s="1341">
        <f>G27*F27</f>
        <v>127040.5</v>
      </c>
      <c r="K27" s="204"/>
    </row>
    <row r="28" spans="1:18" ht="15" customHeight="1">
      <c r="A28" s="3188"/>
      <c r="B28" s="1346" t="s">
        <v>1857</v>
      </c>
      <c r="C28" s="1344" t="s">
        <v>710</v>
      </c>
      <c r="D28" s="1339">
        <v>7130840021</v>
      </c>
      <c r="E28" s="1340" t="s">
        <v>33</v>
      </c>
      <c r="F28" s="1341">
        <f>VLOOKUP(D28,'SOR RATE'!A:D,4,0)</f>
        <v>4094.6</v>
      </c>
      <c r="G28" s="1340">
        <v>3</v>
      </c>
      <c r="H28" s="1341">
        <f t="shared" si="0"/>
        <v>12283.8</v>
      </c>
      <c r="I28" s="1341">
        <f>G28*F28</f>
        <v>12283.8</v>
      </c>
      <c r="J28" s="1341">
        <f>G28*F28</f>
        <v>12283.8</v>
      </c>
      <c r="K28" s="860" t="s">
        <v>2266</v>
      </c>
    </row>
    <row r="29" spans="1:18" ht="15" customHeight="1">
      <c r="A29" s="3188"/>
      <c r="B29" s="1346" t="s">
        <v>1832</v>
      </c>
      <c r="C29" s="1344" t="s">
        <v>712</v>
      </c>
      <c r="D29" s="1339">
        <v>7130840029</v>
      </c>
      <c r="E29" s="1340" t="s">
        <v>33</v>
      </c>
      <c r="F29" s="1341">
        <f>VLOOKUP(D29,'SOR RATE'!A:D,4,0)</f>
        <v>368.52</v>
      </c>
      <c r="G29" s="1340">
        <v>9</v>
      </c>
      <c r="H29" s="1341">
        <f t="shared" si="0"/>
        <v>3316.68</v>
      </c>
      <c r="I29" s="1341">
        <f>G29*F29</f>
        <v>3316.68</v>
      </c>
      <c r="J29" s="1341">
        <f>G29*F29</f>
        <v>3316.68</v>
      </c>
      <c r="K29" s="204"/>
    </row>
    <row r="30" spans="1:18" ht="15" customHeight="1">
      <c r="A30" s="3188"/>
      <c r="B30" s="1346" t="s">
        <v>1833</v>
      </c>
      <c r="C30" s="1347" t="s">
        <v>1996</v>
      </c>
      <c r="D30" s="1339"/>
      <c r="E30" s="1340" t="s">
        <v>12</v>
      </c>
      <c r="F30" s="1343">
        <f>+H31</f>
        <v>12455.91</v>
      </c>
      <c r="G30" s="1340"/>
      <c r="H30" s="1341"/>
      <c r="I30" s="1341"/>
      <c r="J30" s="1341"/>
      <c r="K30" s="204"/>
      <c r="M30" s="692"/>
      <c r="N30" s="692"/>
      <c r="O30" s="692"/>
      <c r="P30" s="692"/>
      <c r="Q30" s="692"/>
      <c r="R30" s="12"/>
    </row>
    <row r="31" spans="1:18" ht="27" customHeight="1">
      <c r="A31" s="3188"/>
      <c r="B31" s="1348"/>
      <c r="C31" s="1349" t="s">
        <v>815</v>
      </c>
      <c r="D31" s="1350">
        <v>7131310033</v>
      </c>
      <c r="E31" s="1340" t="s">
        <v>12</v>
      </c>
      <c r="F31" s="1341">
        <f>VLOOKUP(D31,'SOR RATE'!A:D,4,0)</f>
        <v>4151.97</v>
      </c>
      <c r="G31" s="1340">
        <v>3</v>
      </c>
      <c r="H31" s="1341">
        <f>G31*F31</f>
        <v>12455.91</v>
      </c>
      <c r="I31" s="1341">
        <f>G31*F31</f>
        <v>12455.91</v>
      </c>
      <c r="J31" s="1341">
        <f>G31*F31</f>
        <v>12455.91</v>
      </c>
      <c r="K31" s="239"/>
    </row>
    <row r="32" spans="1:18" ht="15" customHeight="1">
      <c r="A32" s="3188"/>
      <c r="B32" s="1351" t="s">
        <v>1834</v>
      </c>
      <c r="C32" s="1344" t="s">
        <v>1997</v>
      </c>
      <c r="D32" s="1339">
        <v>7132230057</v>
      </c>
      <c r="E32" s="1340" t="s">
        <v>33</v>
      </c>
      <c r="F32" s="1341">
        <f>VLOOKUP(D32,'SOR RATE'!A:D,4,0)</f>
        <v>20431.150000000001</v>
      </c>
      <c r="G32" s="1340">
        <v>3</v>
      </c>
      <c r="H32" s="1341">
        <f>G32*F32</f>
        <v>61293.450000000004</v>
      </c>
      <c r="I32" s="1341">
        <f>G32*F32</f>
        <v>61293.450000000004</v>
      </c>
      <c r="J32" s="1341">
        <f>G32*F32</f>
        <v>61293.450000000004</v>
      </c>
      <c r="K32" s="204"/>
    </row>
    <row r="33" spans="1:13" ht="15" customHeight="1">
      <c r="A33" s="3188"/>
      <c r="B33" s="1346" t="s">
        <v>1836</v>
      </c>
      <c r="C33" s="1344" t="s">
        <v>1998</v>
      </c>
      <c r="D33" s="1339">
        <v>7132230056</v>
      </c>
      <c r="E33" s="1340" t="s">
        <v>33</v>
      </c>
      <c r="F33" s="1341">
        <f>VLOOKUP(D33,'SOR RATE'!A:D,4,0)</f>
        <v>10892.11</v>
      </c>
      <c r="G33" s="1340">
        <v>3</v>
      </c>
      <c r="H33" s="1341">
        <f>G33*F33</f>
        <v>32676.33</v>
      </c>
      <c r="I33" s="1341">
        <f>G33*F33</f>
        <v>32676.33</v>
      </c>
      <c r="J33" s="1341">
        <f>G33*F33</f>
        <v>32676.33</v>
      </c>
      <c r="K33" s="693"/>
    </row>
    <row r="34" spans="1:13" ht="15" customHeight="1">
      <c r="A34" s="3188"/>
      <c r="B34" s="1351" t="s">
        <v>1858</v>
      </c>
      <c r="C34" s="1220" t="s">
        <v>1116</v>
      </c>
      <c r="D34" s="1339">
        <v>7132230427</v>
      </c>
      <c r="E34" s="1340" t="s">
        <v>33</v>
      </c>
      <c r="F34" s="1341">
        <f>VLOOKUP(D34,'SOR RATE'!A:D,4,0)</f>
        <v>87035.71</v>
      </c>
      <c r="G34" s="1340">
        <v>0</v>
      </c>
      <c r="H34" s="1341">
        <f>G34*F34</f>
        <v>0</v>
      </c>
      <c r="I34" s="1341">
        <f>G34*F34</f>
        <v>0</v>
      </c>
      <c r="J34" s="1341">
        <f>G34*F34</f>
        <v>0</v>
      </c>
      <c r="K34" s="204"/>
      <c r="M34" s="694"/>
    </row>
    <row r="35" spans="1:13" ht="15" customHeight="1">
      <c r="A35" s="3188"/>
      <c r="B35" s="1351" t="s">
        <v>1860</v>
      </c>
      <c r="C35" s="1220" t="s">
        <v>1107</v>
      </c>
      <c r="D35" s="1352">
        <v>7132230412</v>
      </c>
      <c r="E35" s="1340" t="s">
        <v>33</v>
      </c>
      <c r="F35" s="1341">
        <f>VLOOKUP(D35,'SOR RATE'!A:D,4,0)</f>
        <v>43031.06</v>
      </c>
      <c r="G35" s="1340">
        <v>0</v>
      </c>
      <c r="H35" s="1341">
        <f>G35*F35</f>
        <v>0</v>
      </c>
      <c r="I35" s="1341">
        <f>G35*F35</f>
        <v>0</v>
      </c>
      <c r="J35" s="1341">
        <f>G35*F35</f>
        <v>0</v>
      </c>
      <c r="K35" s="204"/>
      <c r="M35" s="694"/>
    </row>
    <row r="36" spans="1:13" ht="15" customHeight="1">
      <c r="A36" s="3188"/>
      <c r="B36" s="1346" t="s">
        <v>1861</v>
      </c>
      <c r="C36" s="1344" t="s">
        <v>2065</v>
      </c>
      <c r="D36" s="1339">
        <v>7131930321</v>
      </c>
      <c r="E36" s="1340" t="s">
        <v>33</v>
      </c>
      <c r="F36" s="1341">
        <f>VLOOKUP(D36,'SOR RATE'!A:D,4,0)</f>
        <v>22056.66</v>
      </c>
      <c r="G36" s="1340">
        <v>0</v>
      </c>
      <c r="H36" s="1341">
        <f t="shared" ref="H36" si="1">G36*F36</f>
        <v>0</v>
      </c>
      <c r="I36" s="1341">
        <f t="shared" ref="I36" si="2">G36*F36</f>
        <v>0</v>
      </c>
      <c r="J36" s="1341">
        <f t="shared" ref="J36" si="3">G36*F36</f>
        <v>0</v>
      </c>
      <c r="K36" s="221"/>
    </row>
    <row r="37" spans="1:13" ht="15" customHeight="1">
      <c r="A37" s="3188"/>
      <c r="B37" s="1346" t="s">
        <v>1862</v>
      </c>
      <c r="C37" s="1344" t="s">
        <v>2066</v>
      </c>
      <c r="D37" s="1339">
        <v>7131930221</v>
      </c>
      <c r="E37" s="1340" t="s">
        <v>33</v>
      </c>
      <c r="F37" s="1341">
        <f>VLOOKUP(D37,'SOR RATE'!A:D,4,0)</f>
        <v>9934.19</v>
      </c>
      <c r="G37" s="1340">
        <v>2</v>
      </c>
      <c r="H37" s="1341">
        <f>G37*F37</f>
        <v>19868.38</v>
      </c>
      <c r="I37" s="1341">
        <f>G37*F37</f>
        <v>19868.38</v>
      </c>
      <c r="J37" s="1341">
        <f>G37*F37</f>
        <v>19868.38</v>
      </c>
      <c r="K37" s="693"/>
    </row>
    <row r="38" spans="1:13" ht="15" customHeight="1">
      <c r="A38" s="3188"/>
      <c r="B38" s="1346" t="s">
        <v>1864</v>
      </c>
      <c r="C38" s="1353" t="s">
        <v>430</v>
      </c>
      <c r="D38" s="1339">
        <v>7130352046</v>
      </c>
      <c r="E38" s="1354" t="s">
        <v>68</v>
      </c>
      <c r="F38" s="1341">
        <f>VLOOKUP(D38,'SOR RATE'!A:D,4,0)</f>
        <v>3896.24</v>
      </c>
      <c r="G38" s="1340">
        <v>6</v>
      </c>
      <c r="H38" s="1341">
        <f>G38*F38</f>
        <v>23377.439999999999</v>
      </c>
      <c r="I38" s="1341">
        <f>G38*F38</f>
        <v>23377.439999999999</v>
      </c>
      <c r="J38" s="1341">
        <f>G38*F38</f>
        <v>23377.439999999999</v>
      </c>
      <c r="K38" s="693"/>
      <c r="L38" s="174"/>
    </row>
    <row r="39" spans="1:13" ht="15" customHeight="1">
      <c r="A39" s="3189"/>
      <c r="B39" s="1346" t="s">
        <v>1867</v>
      </c>
      <c r="C39" s="1355" t="s">
        <v>2338</v>
      </c>
      <c r="D39" s="1339">
        <v>7130600023</v>
      </c>
      <c r="E39" s="1356" t="s">
        <v>26</v>
      </c>
      <c r="F39" s="1341">
        <f>VLOOKUP(D39,'SOR RATE'!A:D,4,0)/1000</f>
        <v>54.512970000000003</v>
      </c>
      <c r="G39" s="1340">
        <v>94.5</v>
      </c>
      <c r="H39" s="1341">
        <f>G39*F39</f>
        <v>5151.4756649999999</v>
      </c>
      <c r="I39" s="1341">
        <f>G39*F39</f>
        <v>5151.4756649999999</v>
      </c>
      <c r="J39" s="1341">
        <f>G39*F39</f>
        <v>5151.4756649999999</v>
      </c>
      <c r="K39" s="906" t="s">
        <v>119</v>
      </c>
      <c r="L39" s="174"/>
    </row>
    <row r="40" spans="1:13" ht="15" customHeight="1">
      <c r="A40" s="3191">
        <v>2</v>
      </c>
      <c r="B40" s="1330"/>
      <c r="C40" s="1357" t="s">
        <v>1999</v>
      </c>
      <c r="D40" s="1335"/>
      <c r="E40" s="1336"/>
      <c r="F40" s="1336"/>
      <c r="G40" s="1336"/>
      <c r="H40" s="1336"/>
      <c r="I40" s="1336"/>
      <c r="J40" s="1337"/>
      <c r="K40" s="690"/>
    </row>
    <row r="41" spans="1:13" ht="51.75" customHeight="1">
      <c r="A41" s="3192"/>
      <c r="B41" s="1358" t="s">
        <v>1493</v>
      </c>
      <c r="C41" s="1359" t="s">
        <v>2069</v>
      </c>
      <c r="D41" s="1356">
        <v>7130601958</v>
      </c>
      <c r="E41" s="1356" t="s">
        <v>26</v>
      </c>
      <c r="F41" s="1341">
        <f>VLOOKUP(D41,'SOR RATE'!A:D,4,0)/1000</f>
        <v>64.326520000000002</v>
      </c>
      <c r="G41" s="1341">
        <v>1038.8</v>
      </c>
      <c r="H41" s="1360">
        <f>G41*F41</f>
        <v>66822.388976000002</v>
      </c>
      <c r="I41" s="1341">
        <f>G41*F41</f>
        <v>66822.388976000002</v>
      </c>
      <c r="J41" s="1341">
        <f>G41*F41</f>
        <v>66822.388976000002</v>
      </c>
      <c r="K41" s="224"/>
      <c r="L41" s="416"/>
    </row>
    <row r="42" spans="1:13" ht="27.75" customHeight="1">
      <c r="A42" s="3192"/>
      <c r="B42" s="3194" t="s">
        <v>1494</v>
      </c>
      <c r="C42" s="1361" t="s">
        <v>2000</v>
      </c>
      <c r="D42" s="1362"/>
      <c r="E42" s="1363" t="s">
        <v>40</v>
      </c>
      <c r="F42" s="1364">
        <f>H43+H44</f>
        <v>105005.082272</v>
      </c>
      <c r="G42" s="1363">
        <v>1</v>
      </c>
      <c r="H42" s="1360"/>
      <c r="I42" s="1341"/>
      <c r="J42" s="1341"/>
      <c r="K42" s="224"/>
      <c r="L42" s="12"/>
    </row>
    <row r="43" spans="1:13" ht="27.75" customHeight="1">
      <c r="A43" s="3192"/>
      <c r="B43" s="3195"/>
      <c r="C43" s="1365" t="s">
        <v>2334</v>
      </c>
      <c r="D43" s="1356">
        <v>7130601958</v>
      </c>
      <c r="E43" s="1363" t="s">
        <v>26</v>
      </c>
      <c r="F43" s="1341">
        <f>VLOOKUP(D43,'SOR RATE'!A:D,4,0)/1000</f>
        <v>64.326520000000002</v>
      </c>
      <c r="G43" s="336">
        <v>593.6</v>
      </c>
      <c r="H43" s="1360">
        <f>G43*F43</f>
        <v>38184.222272000006</v>
      </c>
      <c r="I43" s="1341">
        <f>G43*F43</f>
        <v>38184.222272000006</v>
      </c>
      <c r="J43" s="1341">
        <f>G43*F43</f>
        <v>38184.222272000006</v>
      </c>
      <c r="K43" s="224"/>
      <c r="L43" s="12"/>
    </row>
    <row r="44" spans="1:13" ht="15.75" customHeight="1">
      <c r="A44" s="3192"/>
      <c r="B44" s="3196"/>
      <c r="C44" s="1359" t="s">
        <v>2001</v>
      </c>
      <c r="D44" s="1356">
        <v>7130810684</v>
      </c>
      <c r="E44" s="1363" t="s">
        <v>12</v>
      </c>
      <c r="F44" s="1341">
        <f>VLOOKUP(D44,'SOR RATE'!A:D,4,0)</f>
        <v>11136.81</v>
      </c>
      <c r="G44" s="1363">
        <v>6</v>
      </c>
      <c r="H44" s="1360">
        <f>G44*F44</f>
        <v>66820.86</v>
      </c>
      <c r="I44" s="1341">
        <f>G44*F44</f>
        <v>66820.86</v>
      </c>
      <c r="J44" s="1341">
        <f>G44*F44</f>
        <v>66820.86</v>
      </c>
      <c r="K44" s="224"/>
      <c r="L44" s="12"/>
    </row>
    <row r="45" spans="1:13" ht="40.5" customHeight="1">
      <c r="A45" s="3192"/>
      <c r="B45" s="3194" t="s">
        <v>1946</v>
      </c>
      <c r="C45" s="1361" t="s">
        <v>2002</v>
      </c>
      <c r="D45" s="1356"/>
      <c r="E45" s="1363" t="s">
        <v>40</v>
      </c>
      <c r="F45" s="1364">
        <f>SUM(H46:H51)</f>
        <v>403803.44498200004</v>
      </c>
      <c r="G45" s="1363">
        <v>1</v>
      </c>
      <c r="H45" s="1360"/>
      <c r="I45" s="1341"/>
      <c r="J45" s="1341"/>
      <c r="K45" s="224"/>
      <c r="L45" s="695"/>
      <c r="M45" s="695"/>
    </row>
    <row r="46" spans="1:13" ht="25.5">
      <c r="A46" s="3192"/>
      <c r="B46" s="3195"/>
      <c r="C46" s="1359" t="s">
        <v>2003</v>
      </c>
      <c r="D46" s="1356">
        <v>7130601958</v>
      </c>
      <c r="E46" s="1363" t="s">
        <v>26</v>
      </c>
      <c r="F46" s="1341">
        <f>VLOOKUP(D46,'SOR RATE'!A:D,4,0)/1000</f>
        <v>64.326520000000002</v>
      </c>
      <c r="G46" s="336">
        <v>1187.2</v>
      </c>
      <c r="H46" s="1360">
        <f t="shared" ref="H46:H55" si="4">G46*F46</f>
        <v>76368.444544000013</v>
      </c>
      <c r="I46" s="1341">
        <f t="shared" ref="I46:I55" si="5">G46*F46</f>
        <v>76368.444544000013</v>
      </c>
      <c r="J46" s="1341">
        <f t="shared" ref="J46:J55" si="6">G46*F46</f>
        <v>76368.444544000013</v>
      </c>
      <c r="K46" s="224"/>
      <c r="L46" s="695"/>
      <c r="M46" s="695"/>
    </row>
    <row r="47" spans="1:13" ht="25.5">
      <c r="A47" s="3192"/>
      <c r="B47" s="3195"/>
      <c r="C47" s="1365" t="s">
        <v>2004</v>
      </c>
      <c r="D47" s="1356">
        <v>7130601958</v>
      </c>
      <c r="E47" s="1363" t="s">
        <v>26</v>
      </c>
      <c r="F47" s="1341">
        <f>VLOOKUP(D47,'SOR RATE'!A:D,4,0)/1000</f>
        <v>64.326520000000002</v>
      </c>
      <c r="G47" s="336">
        <v>1632.4</v>
      </c>
      <c r="H47" s="1360">
        <f t="shared" si="4"/>
        <v>105006.61124800002</v>
      </c>
      <c r="I47" s="1341">
        <f t="shared" si="5"/>
        <v>105006.61124800002</v>
      </c>
      <c r="J47" s="1341">
        <f t="shared" si="6"/>
        <v>105006.61124800002</v>
      </c>
      <c r="K47" s="224"/>
      <c r="L47" s="12"/>
      <c r="M47" s="12"/>
    </row>
    <row r="48" spans="1:13" ht="15" customHeight="1">
      <c r="A48" s="3192"/>
      <c r="B48" s="3195"/>
      <c r="C48" s="1366" t="s">
        <v>2335</v>
      </c>
      <c r="D48" s="1367">
        <v>7130600675</v>
      </c>
      <c r="E48" s="1363" t="s">
        <v>26</v>
      </c>
      <c r="F48" s="1341">
        <f>VLOOKUP(D48,'SOR RATE'!A:D,4,0)/1000</f>
        <v>68.748589999999993</v>
      </c>
      <c r="G48" s="1368">
        <v>341</v>
      </c>
      <c r="H48" s="1360">
        <f t="shared" si="4"/>
        <v>23443.269189999999</v>
      </c>
      <c r="I48" s="1341">
        <f t="shared" si="5"/>
        <v>23443.269189999999</v>
      </c>
      <c r="J48" s="1341">
        <f t="shared" si="6"/>
        <v>23443.269189999999</v>
      </c>
      <c r="K48" s="22"/>
      <c r="L48" s="696"/>
      <c r="M48" s="12"/>
    </row>
    <row r="49" spans="1:13" ht="15" customHeight="1">
      <c r="A49" s="3192"/>
      <c r="B49" s="3195"/>
      <c r="C49" s="1359" t="s">
        <v>2005</v>
      </c>
      <c r="D49" s="1356">
        <v>7130810684</v>
      </c>
      <c r="E49" s="1363" t="s">
        <v>12</v>
      </c>
      <c r="F49" s="1341">
        <f>VLOOKUP(D49,'SOR RATE'!A:D,4,0)</f>
        <v>11136.81</v>
      </c>
      <c r="G49" s="1363">
        <v>12</v>
      </c>
      <c r="H49" s="1360">
        <f t="shared" si="4"/>
        <v>133641.72</v>
      </c>
      <c r="I49" s="1341">
        <f t="shared" si="5"/>
        <v>133641.72</v>
      </c>
      <c r="J49" s="1341">
        <f t="shared" si="6"/>
        <v>133641.72</v>
      </c>
      <c r="K49" s="221"/>
      <c r="L49" s="695"/>
      <c r="M49" s="695"/>
    </row>
    <row r="50" spans="1:13" ht="15" customHeight="1">
      <c r="A50" s="3192"/>
      <c r="B50" s="3195"/>
      <c r="C50" s="1369" t="s">
        <v>2006</v>
      </c>
      <c r="D50" s="1370">
        <v>7130810608</v>
      </c>
      <c r="E50" s="1363" t="s">
        <v>40</v>
      </c>
      <c r="F50" s="1341">
        <f>VLOOKUP(D50,'SOR RATE'!A:D,4,0)</f>
        <v>7080.84</v>
      </c>
      <c r="G50" s="1363">
        <v>5</v>
      </c>
      <c r="H50" s="1360">
        <f t="shared" si="4"/>
        <v>35404.199999999997</v>
      </c>
      <c r="I50" s="1341">
        <f t="shared" si="5"/>
        <v>35404.199999999997</v>
      </c>
      <c r="J50" s="1341">
        <f t="shared" si="6"/>
        <v>35404.199999999997</v>
      </c>
      <c r="K50" s="697"/>
      <c r="L50" s="12"/>
      <c r="M50" s="205"/>
    </row>
    <row r="51" spans="1:13" ht="15" customHeight="1">
      <c r="A51" s="3192"/>
      <c r="B51" s="3196"/>
      <c r="C51" s="1359" t="s">
        <v>2007</v>
      </c>
      <c r="D51" s="1370">
        <v>7130810517</v>
      </c>
      <c r="E51" s="1363" t="s">
        <v>40</v>
      </c>
      <c r="F51" s="1341">
        <f>VLOOKUP(D51,'SOR RATE'!A:D,4,0)</f>
        <v>5987.84</v>
      </c>
      <c r="G51" s="1363">
        <v>5</v>
      </c>
      <c r="H51" s="1360">
        <f t="shared" si="4"/>
        <v>29939.200000000001</v>
      </c>
      <c r="I51" s="1341">
        <f t="shared" si="5"/>
        <v>29939.200000000001</v>
      </c>
      <c r="J51" s="1341">
        <f t="shared" si="6"/>
        <v>29939.200000000001</v>
      </c>
      <c r="K51" s="59"/>
      <c r="L51" s="12"/>
      <c r="M51" s="205"/>
    </row>
    <row r="52" spans="1:13" ht="15.75" customHeight="1">
      <c r="A52" s="3192"/>
      <c r="B52" s="1371" t="s">
        <v>1948</v>
      </c>
      <c r="C52" s="1372" t="s">
        <v>1895</v>
      </c>
      <c r="D52" s="1370">
        <v>7130601072</v>
      </c>
      <c r="E52" s="1354" t="s">
        <v>26</v>
      </c>
      <c r="F52" s="1341">
        <f>VLOOKUP(D52,'SOR RATE'!A:D,4,0)/1000</f>
        <v>85.255960000000002</v>
      </c>
      <c r="G52" s="1363">
        <v>300</v>
      </c>
      <c r="H52" s="1360">
        <f t="shared" si="4"/>
        <v>25576.788</v>
      </c>
      <c r="I52" s="1341">
        <f t="shared" si="5"/>
        <v>25576.788</v>
      </c>
      <c r="J52" s="1341">
        <f t="shared" si="6"/>
        <v>25576.788</v>
      </c>
      <c r="K52" s="224"/>
      <c r="L52" s="12"/>
      <c r="M52" s="12"/>
    </row>
    <row r="53" spans="1:13" ht="15.75" customHeight="1">
      <c r="A53" s="3192"/>
      <c r="B53" s="1351" t="s">
        <v>2008</v>
      </c>
      <c r="C53" s="1359" t="s">
        <v>2009</v>
      </c>
      <c r="D53" s="1356">
        <v>7130830063</v>
      </c>
      <c r="E53" s="1340" t="s">
        <v>21</v>
      </c>
      <c r="F53" s="1341">
        <f>VLOOKUP(D53,'SOR RATE'!A:D,4,0)/1000</f>
        <v>92.285690000000002</v>
      </c>
      <c r="G53" s="1340">
        <v>400</v>
      </c>
      <c r="H53" s="1360">
        <f t="shared" si="4"/>
        <v>36914.275999999998</v>
      </c>
      <c r="I53" s="1341">
        <f t="shared" si="5"/>
        <v>36914.275999999998</v>
      </c>
      <c r="J53" s="1341">
        <f t="shared" si="6"/>
        <v>36914.275999999998</v>
      </c>
      <c r="K53" s="224"/>
      <c r="L53" s="12"/>
      <c r="M53" s="12"/>
    </row>
    <row r="54" spans="1:13" ht="15" customHeight="1">
      <c r="A54" s="3192"/>
      <c r="B54" s="1351" t="s">
        <v>2010</v>
      </c>
      <c r="C54" s="1359" t="s">
        <v>2011</v>
      </c>
      <c r="D54" s="1356">
        <v>7130820009</v>
      </c>
      <c r="E54" s="1340" t="s">
        <v>33</v>
      </c>
      <c r="F54" s="1341">
        <f>VLOOKUP(D54,'SOR RATE'!A:D,4,0)</f>
        <v>288.23</v>
      </c>
      <c r="G54" s="1340">
        <v>3</v>
      </c>
      <c r="H54" s="1360">
        <f t="shared" si="4"/>
        <v>864.69</v>
      </c>
      <c r="I54" s="1341">
        <f t="shared" si="5"/>
        <v>864.69</v>
      </c>
      <c r="J54" s="1341">
        <f t="shared" si="6"/>
        <v>864.69</v>
      </c>
      <c r="K54" s="224"/>
      <c r="L54" s="12"/>
      <c r="M54" s="12"/>
    </row>
    <row r="55" spans="1:13" ht="15" customHeight="1">
      <c r="A55" s="3192"/>
      <c r="B55" s="1351" t="s">
        <v>2012</v>
      </c>
      <c r="C55" s="1338" t="s">
        <v>19</v>
      </c>
      <c r="D55" s="1356">
        <v>7130820008</v>
      </c>
      <c r="E55" s="1340" t="s">
        <v>33</v>
      </c>
      <c r="F55" s="1341">
        <f>VLOOKUP(D55,'SOR RATE'!A:D,4,0)</f>
        <v>157.08000000000001</v>
      </c>
      <c r="G55" s="1340">
        <v>6</v>
      </c>
      <c r="H55" s="1360">
        <f t="shared" si="4"/>
        <v>942.48</v>
      </c>
      <c r="I55" s="1341">
        <f t="shared" si="5"/>
        <v>942.48</v>
      </c>
      <c r="J55" s="1373">
        <f t="shared" si="6"/>
        <v>942.48</v>
      </c>
      <c r="K55" s="224"/>
    </row>
    <row r="56" spans="1:13" ht="25.5">
      <c r="A56" s="3192"/>
      <c r="B56" s="3197" t="s">
        <v>2013</v>
      </c>
      <c r="C56" s="1374" t="s">
        <v>2014</v>
      </c>
      <c r="D56" s="1335"/>
      <c r="E56" s="1336"/>
      <c r="F56" s="1336"/>
      <c r="G56" s="1336"/>
      <c r="H56" s="1336"/>
      <c r="I56" s="1336"/>
      <c r="J56" s="1375"/>
      <c r="K56" s="690"/>
      <c r="L56" s="12"/>
    </row>
    <row r="57" spans="1:13" ht="15" customHeight="1">
      <c r="A57" s="3192"/>
      <c r="B57" s="3198"/>
      <c r="C57" s="1376" t="s">
        <v>2015</v>
      </c>
      <c r="D57" s="1356"/>
      <c r="E57" s="1377" t="s">
        <v>40</v>
      </c>
      <c r="F57" s="1378">
        <f>H58+H59</f>
        <v>38540.879999999997</v>
      </c>
      <c r="G57" s="1379">
        <v>18</v>
      </c>
      <c r="H57" s="1380"/>
      <c r="I57" s="1381"/>
      <c r="J57" s="1341"/>
      <c r="K57" s="204"/>
      <c r="L57" s="12"/>
    </row>
    <row r="58" spans="1:13" ht="15" customHeight="1">
      <c r="A58" s="3192"/>
      <c r="B58" s="3198"/>
      <c r="C58" s="1344" t="s">
        <v>2016</v>
      </c>
      <c r="D58" s="1356">
        <v>7130820013</v>
      </c>
      <c r="E58" s="1382" t="s">
        <v>12</v>
      </c>
      <c r="F58" s="1341">
        <f>VLOOKUP(D58,'SOR RATE'!A:D,4,0)</f>
        <v>216.4</v>
      </c>
      <c r="G58" s="1383">
        <v>72</v>
      </c>
      <c r="H58" s="1360">
        <f>G58*F58</f>
        <v>15580.800000000001</v>
      </c>
      <c r="I58" s="1384">
        <f>G58*F58</f>
        <v>15580.800000000001</v>
      </c>
      <c r="J58" s="1341">
        <f>G58*F58</f>
        <v>15580.800000000001</v>
      </c>
      <c r="K58" s="60"/>
      <c r="L58" s="12"/>
      <c r="M58" s="12"/>
    </row>
    <row r="59" spans="1:13" ht="15" customHeight="1">
      <c r="A59" s="3192"/>
      <c r="B59" s="3198"/>
      <c r="C59" s="1344" t="s">
        <v>2017</v>
      </c>
      <c r="D59" s="1339">
        <v>7130820248</v>
      </c>
      <c r="E59" s="1340" t="s">
        <v>33</v>
      </c>
      <c r="F59" s="1341">
        <f>VLOOKUP(D59,'SOR RATE'!A:D,4,0)</f>
        <v>318.89</v>
      </c>
      <c r="G59" s="1340">
        <v>72</v>
      </c>
      <c r="H59" s="1360">
        <f>G59*F59</f>
        <v>22960.079999999998</v>
      </c>
      <c r="I59" s="1384">
        <f>G59*F59</f>
        <v>22960.079999999998</v>
      </c>
      <c r="J59" s="1341">
        <f>G59*F59</f>
        <v>22960.079999999998</v>
      </c>
      <c r="K59" s="693"/>
      <c r="L59" s="12"/>
      <c r="M59" s="12"/>
    </row>
    <row r="60" spans="1:13" ht="15" customHeight="1">
      <c r="A60" s="3192"/>
      <c r="B60" s="3198"/>
      <c r="C60" s="1385" t="s">
        <v>2018</v>
      </c>
      <c r="D60" s="1356"/>
      <c r="E60" s="1386" t="s">
        <v>40</v>
      </c>
      <c r="F60" s="1343">
        <f>SUM(H61:H63)</f>
        <v>8235.36</v>
      </c>
      <c r="G60" s="932"/>
      <c r="H60" s="1360"/>
      <c r="I60" s="1384"/>
      <c r="J60" s="1341"/>
      <c r="K60" s="693"/>
      <c r="L60" s="12"/>
      <c r="M60" s="12"/>
    </row>
    <row r="61" spans="1:13" ht="15" customHeight="1">
      <c r="A61" s="3192"/>
      <c r="B61" s="3198"/>
      <c r="C61" s="1344" t="s">
        <v>2019</v>
      </c>
      <c r="D61" s="1356">
        <v>7130820010</v>
      </c>
      <c r="E61" s="1340" t="s">
        <v>12</v>
      </c>
      <c r="F61" s="1341">
        <f>VLOOKUP(D61,'SOR RATE'!A232:D232,4,0)</f>
        <v>118.97</v>
      </c>
      <c r="G61" s="1340">
        <v>0</v>
      </c>
      <c r="H61" s="1360">
        <f t="shared" ref="H61:H67" si="7">G61*F61</f>
        <v>0</v>
      </c>
      <c r="I61" s="1384">
        <f t="shared" ref="I61:I67" si="8">G61*F61</f>
        <v>0</v>
      </c>
      <c r="J61" s="1341">
        <f t="shared" ref="J61:J67" si="9">G61*F61</f>
        <v>0</v>
      </c>
      <c r="K61" s="698"/>
      <c r="L61" s="12"/>
      <c r="M61" s="12"/>
    </row>
    <row r="62" spans="1:13" ht="15" customHeight="1">
      <c r="A62" s="3192"/>
      <c r="B62" s="3198"/>
      <c r="C62" s="944" t="s">
        <v>2020</v>
      </c>
      <c r="D62" s="1356">
        <v>7130820241</v>
      </c>
      <c r="E62" s="1340" t="s">
        <v>12</v>
      </c>
      <c r="F62" s="1341">
        <f>VLOOKUP(D62,'SOR RATE'!A:D,4,0)</f>
        <v>153.49</v>
      </c>
      <c r="G62" s="1340">
        <v>0</v>
      </c>
      <c r="H62" s="1360">
        <f t="shared" si="7"/>
        <v>0</v>
      </c>
      <c r="I62" s="1384">
        <f t="shared" si="8"/>
        <v>0</v>
      </c>
      <c r="J62" s="1341">
        <f t="shared" si="9"/>
        <v>0</v>
      </c>
      <c r="K62" s="59"/>
      <c r="L62" s="12"/>
      <c r="M62" s="12"/>
    </row>
    <row r="63" spans="1:13" ht="15" customHeight="1">
      <c r="A63" s="3192"/>
      <c r="B63" s="3199"/>
      <c r="C63" s="1344" t="s">
        <v>2021</v>
      </c>
      <c r="D63" s="1356">
        <v>7130810624</v>
      </c>
      <c r="E63" s="1340" t="s">
        <v>12</v>
      </c>
      <c r="F63" s="1387">
        <f>VLOOKUP(D63,'SOR RATE'!A:D,4,0)</f>
        <v>114.38</v>
      </c>
      <c r="G63" s="1340">
        <v>72</v>
      </c>
      <c r="H63" s="1360">
        <f t="shared" si="7"/>
        <v>8235.36</v>
      </c>
      <c r="I63" s="1384">
        <f t="shared" si="8"/>
        <v>8235.36</v>
      </c>
      <c r="J63" s="1341">
        <f t="shared" si="9"/>
        <v>8235.36</v>
      </c>
      <c r="K63" s="693"/>
      <c r="L63" s="12"/>
      <c r="M63" s="12"/>
    </row>
    <row r="64" spans="1:13" ht="25.5">
      <c r="A64" s="3192"/>
      <c r="B64" s="1388" t="s">
        <v>2022</v>
      </c>
      <c r="C64" s="1389" t="s">
        <v>2023</v>
      </c>
      <c r="D64" s="1390">
        <v>7130830585</v>
      </c>
      <c r="E64" s="1391" t="s">
        <v>12</v>
      </c>
      <c r="F64" s="1387">
        <f>VLOOKUP(D64,'SOR RATE'!A:D,4,0)</f>
        <v>346.08</v>
      </c>
      <c r="G64" s="1391">
        <v>96</v>
      </c>
      <c r="H64" s="1387">
        <f t="shared" si="7"/>
        <v>33223.68</v>
      </c>
      <c r="I64" s="1392">
        <f t="shared" si="8"/>
        <v>33223.68</v>
      </c>
      <c r="J64" s="1387">
        <f t="shared" si="9"/>
        <v>33223.68</v>
      </c>
      <c r="K64" s="699"/>
      <c r="L64" s="12"/>
    </row>
    <row r="65" spans="1:12" ht="15" customHeight="1">
      <c r="A65" s="3192"/>
      <c r="B65" s="1393" t="s">
        <v>2024</v>
      </c>
      <c r="C65" s="1394" t="s">
        <v>1574</v>
      </c>
      <c r="D65" s="1395">
        <v>7130810692</v>
      </c>
      <c r="E65" s="1396" t="s">
        <v>15</v>
      </c>
      <c r="F65" s="1387">
        <f>VLOOKUP(D65,'SOR RATE'!A:D,4,0)</f>
        <v>410.25</v>
      </c>
      <c r="G65" s="1397">
        <v>42</v>
      </c>
      <c r="H65" s="1398">
        <f t="shared" si="7"/>
        <v>17230.5</v>
      </c>
      <c r="I65" s="1392">
        <f t="shared" si="8"/>
        <v>17230.5</v>
      </c>
      <c r="J65" s="1398">
        <f t="shared" si="9"/>
        <v>17230.5</v>
      </c>
      <c r="K65" s="59"/>
      <c r="L65" s="12"/>
    </row>
    <row r="66" spans="1:12" ht="15" customHeight="1">
      <c r="A66" s="3192"/>
      <c r="B66" s="1388" t="s">
        <v>2025</v>
      </c>
      <c r="C66" s="1221" t="s">
        <v>28</v>
      </c>
      <c r="D66" s="1399">
        <v>7130211158</v>
      </c>
      <c r="E66" s="1399" t="s">
        <v>29</v>
      </c>
      <c r="F66" s="1398">
        <f>VLOOKUP(D66,'SOR RATE'!A:D,4,0)</f>
        <v>193.62</v>
      </c>
      <c r="G66" s="1391">
        <v>6</v>
      </c>
      <c r="H66" s="1398">
        <f t="shared" si="7"/>
        <v>1161.72</v>
      </c>
      <c r="I66" s="1392">
        <f t="shared" si="8"/>
        <v>1161.72</v>
      </c>
      <c r="J66" s="1398">
        <f t="shared" si="9"/>
        <v>1161.72</v>
      </c>
      <c r="K66" s="59"/>
      <c r="L66" s="12"/>
    </row>
    <row r="67" spans="1:12" ht="15" customHeight="1">
      <c r="A67" s="3193"/>
      <c r="B67" s="1388" t="s">
        <v>2026</v>
      </c>
      <c r="C67" s="1221" t="s">
        <v>30</v>
      </c>
      <c r="D67" s="1399">
        <v>7130210809</v>
      </c>
      <c r="E67" s="1399" t="s">
        <v>29</v>
      </c>
      <c r="F67" s="1398">
        <f>VLOOKUP(D67,'SOR RATE'!A:D,4,0)</f>
        <v>432.63</v>
      </c>
      <c r="G67" s="1391">
        <v>6</v>
      </c>
      <c r="H67" s="1398">
        <f t="shared" si="7"/>
        <v>2595.7799999999997</v>
      </c>
      <c r="I67" s="1392">
        <f t="shared" si="8"/>
        <v>2595.7799999999997</v>
      </c>
      <c r="J67" s="1398">
        <f t="shared" si="9"/>
        <v>2595.7799999999997</v>
      </c>
      <c r="K67" s="59"/>
      <c r="L67" s="12"/>
    </row>
    <row r="68" spans="1:12" ht="15" customHeight="1">
      <c r="A68" s="3191">
        <v>3</v>
      </c>
      <c r="B68" s="1330"/>
      <c r="C68" s="1400" t="s">
        <v>2027</v>
      </c>
      <c r="D68" s="1332"/>
      <c r="E68" s="1332"/>
      <c r="F68" s="1332"/>
      <c r="G68" s="1332"/>
      <c r="H68" s="1332"/>
      <c r="I68" s="1332"/>
      <c r="J68" s="1333"/>
      <c r="K68" s="689"/>
    </row>
    <row r="69" spans="1:12" ht="39" customHeight="1">
      <c r="A69" s="3192"/>
      <c r="B69" s="1346" t="s">
        <v>1680</v>
      </c>
      <c r="C69" s="1401" t="s">
        <v>2336</v>
      </c>
      <c r="D69" s="1362">
        <v>7130200202</v>
      </c>
      <c r="E69" s="1397" t="s">
        <v>76</v>
      </c>
      <c r="F69" s="1387">
        <f>VLOOKUP(D69,'SOR RATE'!A:D,4,0)</f>
        <v>2970</v>
      </c>
      <c r="G69" s="1402">
        <f>8.5</f>
        <v>8.5</v>
      </c>
      <c r="H69" s="1387">
        <f>G69*F69</f>
        <v>25245</v>
      </c>
      <c r="I69" s="1387">
        <f>G69*F69</f>
        <v>25245</v>
      </c>
      <c r="J69" s="1387">
        <f>G69*F69</f>
        <v>25245</v>
      </c>
      <c r="K69" s="499" t="s">
        <v>47</v>
      </c>
    </row>
    <row r="70" spans="1:12" ht="26.25" customHeight="1">
      <c r="A70" s="3192"/>
      <c r="B70" s="1346" t="s">
        <v>1681</v>
      </c>
      <c r="C70" s="1401" t="s">
        <v>2028</v>
      </c>
      <c r="D70" s="1362">
        <v>7130200202</v>
      </c>
      <c r="E70" s="1397" t="s">
        <v>26</v>
      </c>
      <c r="F70" s="1387">
        <f>VLOOKUP(D70,'SOR RATE'!A:D,4,0)</f>
        <v>2970</v>
      </c>
      <c r="G70" s="1391">
        <f>15</f>
        <v>15</v>
      </c>
      <c r="H70" s="1387">
        <f>G70*F70</f>
        <v>44550</v>
      </c>
      <c r="I70" s="1403">
        <f>G70*F70</f>
        <v>44550</v>
      </c>
      <c r="J70" s="1387">
        <f>G70*F70</f>
        <v>44550</v>
      </c>
      <c r="K70" s="499" t="s">
        <v>47</v>
      </c>
    </row>
    <row r="71" spans="1:12" ht="25.5">
      <c r="A71" s="3192"/>
      <c r="B71" s="1346" t="s">
        <v>1682</v>
      </c>
      <c r="C71" s="1365" t="s">
        <v>2029</v>
      </c>
      <c r="D71" s="1362">
        <v>7130200202</v>
      </c>
      <c r="E71" s="1397" t="s">
        <v>26</v>
      </c>
      <c r="F71" s="1387">
        <f>VLOOKUP(D71,'SOR RATE'!A:D,4,0)</f>
        <v>2970</v>
      </c>
      <c r="G71" s="1391">
        <v>18</v>
      </c>
      <c r="H71" s="1403">
        <f>G71*F71</f>
        <v>53460</v>
      </c>
      <c r="I71" s="1403">
        <f>G71*F71</f>
        <v>53460</v>
      </c>
      <c r="J71" s="1387">
        <f>G71*F71</f>
        <v>53460</v>
      </c>
      <c r="K71" s="499" t="s">
        <v>47</v>
      </c>
    </row>
    <row r="72" spans="1:12" ht="17.25" customHeight="1">
      <c r="A72" s="3192"/>
      <c r="B72" s="1404" t="s">
        <v>1684</v>
      </c>
      <c r="C72" s="1365" t="s">
        <v>2030</v>
      </c>
      <c r="D72" s="1362">
        <v>7130200202</v>
      </c>
      <c r="E72" s="1397" t="s">
        <v>26</v>
      </c>
      <c r="F72" s="1387">
        <f>VLOOKUP(D72,'SOR RATE'!A:D,4,0)</f>
        <v>2970</v>
      </c>
      <c r="G72" s="1391">
        <v>7</v>
      </c>
      <c r="H72" s="1403">
        <f>G72*F72</f>
        <v>20790</v>
      </c>
      <c r="I72" s="1403">
        <f>G72*F72</f>
        <v>20790</v>
      </c>
      <c r="J72" s="1387">
        <f>G72*F72</f>
        <v>20790</v>
      </c>
      <c r="K72" s="499" t="s">
        <v>47</v>
      </c>
    </row>
    <row r="73" spans="1:12" ht="15" customHeight="1">
      <c r="A73" s="3192"/>
      <c r="B73" s="3200" t="s">
        <v>1689</v>
      </c>
      <c r="C73" s="1405" t="s">
        <v>2031</v>
      </c>
      <c r="D73" s="1335"/>
      <c r="E73" s="1336"/>
      <c r="F73" s="1336"/>
      <c r="G73" s="1336"/>
      <c r="H73" s="1336"/>
      <c r="I73" s="1336"/>
      <c r="J73" s="1337"/>
      <c r="K73" s="690"/>
    </row>
    <row r="74" spans="1:12" ht="15" customHeight="1">
      <c r="A74" s="3192"/>
      <c r="B74" s="3198"/>
      <c r="C74" s="1406" t="s">
        <v>2032</v>
      </c>
      <c r="D74" s="1356">
        <v>7130310658</v>
      </c>
      <c r="E74" s="1340" t="s">
        <v>21</v>
      </c>
      <c r="F74" s="1341">
        <f>VLOOKUP(D74,'SOR RATE'!A:D,4,0)/1000</f>
        <v>188.91779</v>
      </c>
      <c r="G74" s="1340">
        <v>180</v>
      </c>
      <c r="H74" s="1407">
        <f>G74*F74</f>
        <v>34005.2022</v>
      </c>
      <c r="I74" s="1407">
        <f>G74*F74</f>
        <v>34005.2022</v>
      </c>
      <c r="J74" s="1407">
        <f>G74*F74</f>
        <v>34005.2022</v>
      </c>
      <c r="K74" s="204"/>
    </row>
    <row r="75" spans="1:12" ht="15" customHeight="1">
      <c r="A75" s="3192"/>
      <c r="B75" s="3198"/>
      <c r="C75" s="1406" t="s">
        <v>2033</v>
      </c>
      <c r="D75" s="1408">
        <v>7130310654</v>
      </c>
      <c r="E75" s="1409" t="s">
        <v>21</v>
      </c>
      <c r="F75" s="1341">
        <f>VLOOKUP(D75,'SOR RATE'!A:D,4,0)/1000</f>
        <v>98.983890000000002</v>
      </c>
      <c r="G75" s="1409">
        <f>360+120+240</f>
        <v>720</v>
      </c>
      <c r="H75" s="1410">
        <f>G75*F75</f>
        <v>71268.400800000003</v>
      </c>
      <c r="I75" s="1410">
        <f>G75*F75</f>
        <v>71268.400800000003</v>
      </c>
      <c r="J75" s="1410">
        <f>G75*F75</f>
        <v>71268.400800000003</v>
      </c>
      <c r="K75" s="700"/>
    </row>
    <row r="76" spans="1:12" ht="15" customHeight="1">
      <c r="A76" s="3192"/>
      <c r="B76" s="3199"/>
      <c r="C76" s="1406" t="s">
        <v>2034</v>
      </c>
      <c r="D76" s="1408">
        <v>7130310652</v>
      </c>
      <c r="E76" s="1409" t="s">
        <v>21</v>
      </c>
      <c r="F76" s="1341">
        <f>VLOOKUP(D76,'SOR RATE'!A:D,4,0)/1000</f>
        <v>55.294809999999998</v>
      </c>
      <c r="G76" s="1409">
        <v>180</v>
      </c>
      <c r="H76" s="1410">
        <f>G76*F76</f>
        <v>9953.0658000000003</v>
      </c>
      <c r="I76" s="1410">
        <f>G76*F76</f>
        <v>9953.0658000000003</v>
      </c>
      <c r="J76" s="1410">
        <f>G76*F76</f>
        <v>9953.0658000000003</v>
      </c>
      <c r="K76" s="700"/>
    </row>
    <row r="77" spans="1:12" ht="15" customHeight="1">
      <c r="A77" s="3192"/>
      <c r="B77" s="3200" t="s">
        <v>1825</v>
      </c>
      <c r="C77" s="1411" t="s">
        <v>2035</v>
      </c>
      <c r="D77" s="1412"/>
      <c r="E77" s="1413"/>
      <c r="F77" s="1414"/>
      <c r="G77" s="1413"/>
      <c r="H77" s="1415"/>
      <c r="I77" s="1415"/>
      <c r="J77" s="1415"/>
      <c r="K77" s="700"/>
    </row>
    <row r="78" spans="1:12" ht="41.25" customHeight="1">
      <c r="A78" s="3192"/>
      <c r="B78" s="3198"/>
      <c r="C78" s="1416" t="s">
        <v>2036</v>
      </c>
      <c r="D78" s="1416"/>
      <c r="E78" s="1417"/>
      <c r="F78" s="1417"/>
      <c r="G78" s="1417"/>
      <c r="H78" s="1417"/>
      <c r="I78" s="1417"/>
      <c r="J78" s="1418"/>
      <c r="K78" s="245"/>
    </row>
    <row r="79" spans="1:12" ht="25.5" customHeight="1">
      <c r="A79" s="3192"/>
      <c r="B79" s="3198"/>
      <c r="C79" s="1344" t="s">
        <v>2337</v>
      </c>
      <c r="D79" s="1370">
        <v>7130642041</v>
      </c>
      <c r="E79" s="1409" t="s">
        <v>12</v>
      </c>
      <c r="F79" s="1341">
        <f>VLOOKUP(D79,'SOR RATE'!A:D,4,0)</f>
        <v>5075.34</v>
      </c>
      <c r="G79" s="1409">
        <v>9</v>
      </c>
      <c r="H79" s="1410">
        <f t="shared" ref="H79:H85" si="10">G79*F79</f>
        <v>45678.06</v>
      </c>
      <c r="I79" s="1410">
        <f t="shared" ref="I79:I85" si="11">G79*F79</f>
        <v>45678.06</v>
      </c>
      <c r="J79" s="1410">
        <f t="shared" ref="J79:J85" si="12">G79*F79</f>
        <v>45678.06</v>
      </c>
      <c r="K79" s="697"/>
      <c r="L79" s="271"/>
    </row>
    <row r="80" spans="1:12" ht="40.5" customHeight="1">
      <c r="A80" s="3192"/>
      <c r="B80" s="3198"/>
      <c r="C80" s="1401" t="s">
        <v>2037</v>
      </c>
      <c r="D80" s="1419">
        <v>7130642039</v>
      </c>
      <c r="E80" s="1399" t="s">
        <v>12</v>
      </c>
      <c r="F80" s="1387">
        <f>VLOOKUP(D80,'SOR RATE'!A:D,4,0)</f>
        <v>998.57</v>
      </c>
      <c r="G80" s="1399">
        <v>32</v>
      </c>
      <c r="H80" s="1420">
        <f t="shared" si="10"/>
        <v>31954.240000000002</v>
      </c>
      <c r="I80" s="1420">
        <f t="shared" si="11"/>
        <v>31954.240000000002</v>
      </c>
      <c r="J80" s="1420">
        <f t="shared" si="12"/>
        <v>31954.240000000002</v>
      </c>
      <c r="K80" s="701"/>
      <c r="L80" s="394"/>
    </row>
    <row r="81" spans="1:13" ht="15" customHeight="1">
      <c r="A81" s="3192"/>
      <c r="B81" s="3198"/>
      <c r="C81" s="1221" t="s">
        <v>2038</v>
      </c>
      <c r="D81" s="1419">
        <v>7130600173</v>
      </c>
      <c r="E81" s="1399" t="s">
        <v>26</v>
      </c>
      <c r="F81" s="1387">
        <f>VLOOKUP(D81,'SOR RATE'!A:D,4,0)/1000</f>
        <v>57.763910000000003</v>
      </c>
      <c r="G81" s="1399">
        <v>400</v>
      </c>
      <c r="H81" s="1420">
        <f t="shared" si="10"/>
        <v>23105.564000000002</v>
      </c>
      <c r="I81" s="1420">
        <f t="shared" si="11"/>
        <v>23105.564000000002</v>
      </c>
      <c r="J81" s="1421">
        <f t="shared" si="12"/>
        <v>23105.564000000002</v>
      </c>
      <c r="K81" s="702"/>
      <c r="L81" s="198"/>
    </row>
    <row r="82" spans="1:13" ht="15" customHeight="1">
      <c r="A82" s="3192"/>
      <c r="B82" s="3198"/>
      <c r="C82" s="1401" t="s">
        <v>1924</v>
      </c>
      <c r="D82" s="1419">
        <v>7130870043</v>
      </c>
      <c r="E82" s="1399" t="s">
        <v>26</v>
      </c>
      <c r="F82" s="1387">
        <f>VLOOKUP(D82,'SOR RATE'!A:D,4,0)/1000</f>
        <v>80.521839999999997</v>
      </c>
      <c r="G82" s="1399">
        <v>31</v>
      </c>
      <c r="H82" s="1420">
        <f t="shared" si="10"/>
        <v>2496.17704</v>
      </c>
      <c r="I82" s="1420">
        <f t="shared" si="11"/>
        <v>2496.17704</v>
      </c>
      <c r="J82" s="1420">
        <f t="shared" si="12"/>
        <v>2496.17704</v>
      </c>
      <c r="K82" s="702"/>
    </row>
    <row r="83" spans="1:13" ht="15" customHeight="1">
      <c r="A83" s="3192"/>
      <c r="B83" s="3198"/>
      <c r="C83" s="1422" t="s">
        <v>1925</v>
      </c>
      <c r="D83" s="1419">
        <v>7130620133</v>
      </c>
      <c r="E83" s="1399" t="s">
        <v>26</v>
      </c>
      <c r="F83" s="1387">
        <f>VLOOKUP(D83,'SOR RATE'!A:D,4,0)</f>
        <v>120.67</v>
      </c>
      <c r="G83" s="1399">
        <v>25</v>
      </c>
      <c r="H83" s="1420">
        <f t="shared" si="10"/>
        <v>3016.75</v>
      </c>
      <c r="I83" s="1420">
        <f t="shared" si="11"/>
        <v>3016.75</v>
      </c>
      <c r="J83" s="1420">
        <f t="shared" si="12"/>
        <v>3016.75</v>
      </c>
      <c r="K83" s="702"/>
    </row>
    <row r="84" spans="1:13" ht="15" customHeight="1">
      <c r="A84" s="3192"/>
      <c r="B84" s="3198"/>
      <c r="C84" s="1422" t="s">
        <v>1926</v>
      </c>
      <c r="D84" s="1419">
        <v>7130620140</v>
      </c>
      <c r="E84" s="1399" t="s">
        <v>26</v>
      </c>
      <c r="F84" s="1387">
        <f>VLOOKUP(D84,'SOR RATE'!A:D,4,0)</f>
        <v>120.67</v>
      </c>
      <c r="G84" s="1399">
        <v>10</v>
      </c>
      <c r="H84" s="1420">
        <f t="shared" si="10"/>
        <v>1206.7</v>
      </c>
      <c r="I84" s="1420">
        <f t="shared" si="11"/>
        <v>1206.7</v>
      </c>
      <c r="J84" s="1420">
        <f t="shared" si="12"/>
        <v>1206.7</v>
      </c>
      <c r="K84" s="702"/>
    </row>
    <row r="85" spans="1:13" ht="15" customHeight="1">
      <c r="A85" s="3192"/>
      <c r="B85" s="3199"/>
      <c r="C85" s="1221" t="s">
        <v>1927</v>
      </c>
      <c r="D85" s="1419">
        <v>7130622922</v>
      </c>
      <c r="E85" s="1399" t="s">
        <v>26</v>
      </c>
      <c r="F85" s="1387">
        <f>VLOOKUP(D85,'SOR RATE'!A:D,4,0)</f>
        <v>175.32</v>
      </c>
      <c r="G85" s="1399">
        <v>5</v>
      </c>
      <c r="H85" s="1420">
        <f t="shared" si="10"/>
        <v>876.59999999999991</v>
      </c>
      <c r="I85" s="1420">
        <f t="shared" si="11"/>
        <v>876.59999999999991</v>
      </c>
      <c r="J85" s="1420">
        <f t="shared" si="12"/>
        <v>876.59999999999991</v>
      </c>
      <c r="K85" s="702"/>
    </row>
    <row r="86" spans="1:13" ht="15" customHeight="1">
      <c r="A86" s="3192"/>
      <c r="B86" s="3200" t="s">
        <v>1828</v>
      </c>
      <c r="C86" s="1361" t="s">
        <v>2039</v>
      </c>
      <c r="D86" s="1419"/>
      <c r="E86" s="1399" t="s">
        <v>26</v>
      </c>
      <c r="F86" s="1423"/>
      <c r="G86" s="1424">
        <f>SUM(G87:G92)</f>
        <v>213</v>
      </c>
      <c r="H86" s="1420"/>
      <c r="I86" s="1420"/>
      <c r="J86" s="1420"/>
      <c r="K86" s="702"/>
    </row>
    <row r="87" spans="1:13" ht="15" customHeight="1">
      <c r="A87" s="3192"/>
      <c r="B87" s="3198"/>
      <c r="C87" s="1221" t="s">
        <v>2040</v>
      </c>
      <c r="D87" s="1419">
        <v>7130620609</v>
      </c>
      <c r="E87" s="1424" t="s">
        <v>26</v>
      </c>
      <c r="F87" s="1387">
        <f>VLOOKUP(D87,'SOR RATE'!A:D,4,0)</f>
        <v>87.23</v>
      </c>
      <c r="G87" s="1424">
        <v>10</v>
      </c>
      <c r="H87" s="1420">
        <f t="shared" ref="H87:H92" si="13">G87*F87</f>
        <v>872.30000000000007</v>
      </c>
      <c r="I87" s="1420">
        <f t="shared" ref="I87:I92" si="14">G87*F87</f>
        <v>872.30000000000007</v>
      </c>
      <c r="J87" s="1420">
        <f t="shared" ref="J87:J92" si="15">G87*F87</f>
        <v>872.30000000000007</v>
      </c>
      <c r="K87" s="702"/>
    </row>
    <row r="88" spans="1:13" ht="15" customHeight="1">
      <c r="A88" s="3192"/>
      <c r="B88" s="3198"/>
      <c r="C88" s="1221" t="s">
        <v>2041</v>
      </c>
      <c r="D88" s="1419">
        <v>7130620614</v>
      </c>
      <c r="E88" s="1424" t="s">
        <v>26</v>
      </c>
      <c r="F88" s="1387">
        <f>VLOOKUP(D88,'SOR RATE'!A:D,4,0)</f>
        <v>85.77</v>
      </c>
      <c r="G88" s="1424">
        <v>8</v>
      </c>
      <c r="H88" s="1420">
        <f t="shared" si="13"/>
        <v>686.16</v>
      </c>
      <c r="I88" s="1420">
        <f t="shared" si="14"/>
        <v>686.16</v>
      </c>
      <c r="J88" s="1420">
        <f t="shared" si="15"/>
        <v>686.16</v>
      </c>
      <c r="K88" s="702"/>
    </row>
    <row r="89" spans="1:13" ht="15" customHeight="1">
      <c r="A89" s="3192"/>
      <c r="B89" s="3198"/>
      <c r="C89" s="1221" t="s">
        <v>2042</v>
      </c>
      <c r="D89" s="1419">
        <v>7130620619</v>
      </c>
      <c r="E89" s="1424" t="s">
        <v>26</v>
      </c>
      <c r="F89" s="1387">
        <f>VLOOKUP(D89,'SOR RATE'!A:D,4,0)</f>
        <v>85.77</v>
      </c>
      <c r="G89" s="1424">
        <v>25</v>
      </c>
      <c r="H89" s="1420">
        <f t="shared" si="13"/>
        <v>2144.25</v>
      </c>
      <c r="I89" s="1420">
        <f t="shared" si="14"/>
        <v>2144.25</v>
      </c>
      <c r="J89" s="1420">
        <f t="shared" si="15"/>
        <v>2144.25</v>
      </c>
      <c r="K89" s="702"/>
    </row>
    <row r="90" spans="1:13" ht="15" customHeight="1">
      <c r="A90" s="3192"/>
      <c r="B90" s="3198"/>
      <c r="C90" s="1221" t="s">
        <v>2043</v>
      </c>
      <c r="D90" s="1419">
        <v>7130620627</v>
      </c>
      <c r="E90" s="1424" t="s">
        <v>26</v>
      </c>
      <c r="F90" s="1387">
        <f>VLOOKUP(D90,'SOR RATE'!A:D,4,0)</f>
        <v>84.32</v>
      </c>
      <c r="G90" s="1424">
        <v>70</v>
      </c>
      <c r="H90" s="1420">
        <f t="shared" si="13"/>
        <v>5902.4</v>
      </c>
      <c r="I90" s="1420">
        <f t="shared" si="14"/>
        <v>5902.4</v>
      </c>
      <c r="J90" s="1420">
        <f t="shared" si="15"/>
        <v>5902.4</v>
      </c>
      <c r="K90" s="702"/>
    </row>
    <row r="91" spans="1:13" ht="15" customHeight="1">
      <c r="A91" s="3192"/>
      <c r="B91" s="3198"/>
      <c r="C91" s="1221" t="s">
        <v>2044</v>
      </c>
      <c r="D91" s="1419">
        <v>7130620631</v>
      </c>
      <c r="E91" s="1424" t="s">
        <v>26</v>
      </c>
      <c r="F91" s="1387">
        <f>VLOOKUP(D91,'SOR RATE'!A:D,4,0)</f>
        <v>84.32</v>
      </c>
      <c r="G91" s="1424">
        <v>80</v>
      </c>
      <c r="H91" s="1420">
        <f t="shared" si="13"/>
        <v>6745.5999999999995</v>
      </c>
      <c r="I91" s="1420">
        <f t="shared" si="14"/>
        <v>6745.5999999999995</v>
      </c>
      <c r="J91" s="1420">
        <f t="shared" si="15"/>
        <v>6745.5999999999995</v>
      </c>
      <c r="K91" s="702"/>
    </row>
    <row r="92" spans="1:13" ht="15" customHeight="1">
      <c r="A92" s="3193"/>
      <c r="B92" s="3199"/>
      <c r="C92" s="1221" t="s">
        <v>2045</v>
      </c>
      <c r="D92" s="1419">
        <v>7130620637</v>
      </c>
      <c r="E92" s="1424" t="s">
        <v>26</v>
      </c>
      <c r="F92" s="1387">
        <f>VLOOKUP(D92,'SOR RATE'!A:D,4,0)</f>
        <v>84.32</v>
      </c>
      <c r="G92" s="1424">
        <v>20</v>
      </c>
      <c r="H92" s="1420">
        <f t="shared" si="13"/>
        <v>1686.3999999999999</v>
      </c>
      <c r="I92" s="1420">
        <f t="shared" si="14"/>
        <v>1686.3999999999999</v>
      </c>
      <c r="J92" s="1420">
        <f t="shared" si="15"/>
        <v>1686.3999999999999</v>
      </c>
      <c r="K92" s="702"/>
    </row>
    <row r="93" spans="1:13" ht="27" customHeight="1">
      <c r="A93" s="67">
        <v>4</v>
      </c>
      <c r="B93" s="1330"/>
      <c r="C93" s="1334" t="s">
        <v>2046</v>
      </c>
      <c r="D93" s="264"/>
      <c r="E93" s="14"/>
      <c r="F93" s="14"/>
      <c r="G93" s="14"/>
      <c r="H93" s="1343">
        <f>SUM(H10:H92)</f>
        <v>3429717.0457350002</v>
      </c>
      <c r="I93" s="1343">
        <f>SUM(I10:I92)</f>
        <v>6301346.2057350008</v>
      </c>
      <c r="J93" s="1343">
        <f>SUM(J10:J92)</f>
        <v>7687297.3957350021</v>
      </c>
      <c r="K93" s="703"/>
      <c r="L93" s="704"/>
    </row>
    <row r="94" spans="1:13" ht="17.25" customHeight="1">
      <c r="A94" s="946">
        <v>5</v>
      </c>
      <c r="B94" s="1425"/>
      <c r="C94" s="1426" t="s">
        <v>2047</v>
      </c>
      <c r="D94" s="1427"/>
      <c r="E94" s="939"/>
      <c r="F94" s="14"/>
      <c r="G94" s="14"/>
      <c r="H94" s="1343">
        <f>H93/1.18</f>
        <v>2906539.8692669496</v>
      </c>
      <c r="I94" s="1343">
        <f>I93/1.18</f>
        <v>5340123.9031652547</v>
      </c>
      <c r="J94" s="1343">
        <f>J93/1.18</f>
        <v>6514658.8099449174</v>
      </c>
      <c r="K94" s="704"/>
      <c r="L94" s="704"/>
    </row>
    <row r="95" spans="1:13" ht="15.75" customHeight="1">
      <c r="A95" s="1391">
        <v>6</v>
      </c>
      <c r="B95" s="1428"/>
      <c r="C95" s="1372" t="s">
        <v>2048</v>
      </c>
      <c r="D95" s="1429"/>
      <c r="E95" s="1429"/>
      <c r="F95" s="1367">
        <v>7.4999999999999997E-2</v>
      </c>
      <c r="G95" s="1367"/>
      <c r="H95" s="1430">
        <f>H93*F95</f>
        <v>257228.77843012501</v>
      </c>
      <c r="I95" s="1430">
        <f>I93*F95</f>
        <v>472600.96543012501</v>
      </c>
      <c r="J95" s="1430">
        <f>J93*F95</f>
        <v>576547.30468012509</v>
      </c>
      <c r="K95" s="732"/>
      <c r="M95" s="653"/>
    </row>
    <row r="96" spans="1:13" ht="15.75" customHeight="1">
      <c r="A96" s="3188">
        <v>7</v>
      </c>
      <c r="B96" s="3201"/>
      <c r="C96" s="1431" t="s">
        <v>2049</v>
      </c>
      <c r="D96" s="1432"/>
      <c r="E96" s="1433" t="s">
        <v>68</v>
      </c>
      <c r="F96" s="1430">
        <v>2328.79</v>
      </c>
      <c r="G96" s="1434">
        <v>8</v>
      </c>
      <c r="H96" s="1410">
        <f>G96*F96</f>
        <v>18630.32</v>
      </c>
      <c r="I96" s="1410">
        <f>G96*F96</f>
        <v>18630.32</v>
      </c>
      <c r="J96" s="1410">
        <f>G96*F96</f>
        <v>18630.32</v>
      </c>
      <c r="K96" s="697"/>
      <c r="M96" s="416"/>
    </row>
    <row r="97" spans="1:13" ht="15.75" customHeight="1">
      <c r="A97" s="3188"/>
      <c r="B97" s="3202"/>
      <c r="C97" s="1431" t="s">
        <v>2050</v>
      </c>
      <c r="D97" s="1432"/>
      <c r="E97" s="1435" t="s">
        <v>68</v>
      </c>
      <c r="F97" s="1430">
        <f>19446.8149795413*1.043</f>
        <v>20283.028023661576</v>
      </c>
      <c r="G97" s="1434">
        <v>1</v>
      </c>
      <c r="H97" s="1410">
        <f t="shared" ref="H97" si="16">F97*G97</f>
        <v>20283.028023661576</v>
      </c>
      <c r="I97" s="1410">
        <f t="shared" ref="I97" si="17">F97*G97</f>
        <v>20283.028023661576</v>
      </c>
      <c r="J97" s="1410">
        <f>G97*F97</f>
        <v>20283.028023661576</v>
      </c>
      <c r="K97" s="706"/>
      <c r="M97" s="416"/>
    </row>
    <row r="98" spans="1:13" ht="67.5" customHeight="1">
      <c r="A98" s="3188"/>
      <c r="B98" s="3202"/>
      <c r="C98" s="1221" t="s">
        <v>2264</v>
      </c>
      <c r="D98" s="1432"/>
      <c r="E98" s="1435" t="s">
        <v>76</v>
      </c>
      <c r="F98" s="1341">
        <v>1200</v>
      </c>
      <c r="G98" s="1434">
        <v>45</v>
      </c>
      <c r="H98" s="1410">
        <f t="shared" ref="H98:H103" si="18">F98*G98</f>
        <v>54000</v>
      </c>
      <c r="I98" s="1410">
        <f t="shared" ref="I98:I103" si="19">F98*G98</f>
        <v>54000</v>
      </c>
      <c r="J98" s="1430">
        <f>F98*G98</f>
        <v>54000</v>
      </c>
      <c r="K98" s="643" t="s">
        <v>1827</v>
      </c>
    </row>
    <row r="99" spans="1:13" ht="14.25" customHeight="1">
      <c r="A99" s="3188"/>
      <c r="B99" s="3202"/>
      <c r="C99" s="1221" t="s">
        <v>1949</v>
      </c>
      <c r="D99" s="1412"/>
      <c r="E99" s="1399" t="s">
        <v>12</v>
      </c>
      <c r="F99" s="336">
        <f>16205.6791422759*1.043</f>
        <v>16902.523345393762</v>
      </c>
      <c r="G99" s="1434">
        <v>1</v>
      </c>
      <c r="H99" s="1410">
        <f t="shared" si="18"/>
        <v>16902.523345393762</v>
      </c>
      <c r="I99" s="1410">
        <f t="shared" si="19"/>
        <v>16902.523345393762</v>
      </c>
      <c r="J99" s="1410">
        <f>G99*F99</f>
        <v>16902.523345393762</v>
      </c>
      <c r="K99" s="705"/>
    </row>
    <row r="100" spans="1:13" ht="15" customHeight="1">
      <c r="A100" s="3188"/>
      <c r="B100" s="3202"/>
      <c r="C100" s="1359" t="s">
        <v>2051</v>
      </c>
      <c r="D100" s="1432"/>
      <c r="E100" s="1435" t="s">
        <v>76</v>
      </c>
      <c r="F100" s="1430">
        <f>4902.95455919935*1.043</f>
        <v>5113.7816052449216</v>
      </c>
      <c r="G100" s="1409">
        <v>7.5</v>
      </c>
      <c r="H100" s="1410">
        <f t="shared" si="18"/>
        <v>38353.362039336913</v>
      </c>
      <c r="I100" s="1410">
        <f t="shared" si="19"/>
        <v>38353.362039336913</v>
      </c>
      <c r="J100" s="1410">
        <f>G100*F100</f>
        <v>38353.362039336913</v>
      </c>
      <c r="M100" s="271"/>
    </row>
    <row r="101" spans="1:13" ht="26.25" customHeight="1">
      <c r="A101" s="3188"/>
      <c r="B101" s="3202"/>
      <c r="C101" s="1359" t="s">
        <v>2052</v>
      </c>
      <c r="D101" s="1412"/>
      <c r="E101" s="1436" t="s">
        <v>76</v>
      </c>
      <c r="F101" s="1430">
        <f>4902.95455919935*1.043</f>
        <v>5113.7816052449216</v>
      </c>
      <c r="G101" s="1409">
        <v>9</v>
      </c>
      <c r="H101" s="1410">
        <f t="shared" si="18"/>
        <v>46024.034447204293</v>
      </c>
      <c r="I101" s="1410">
        <f t="shared" si="19"/>
        <v>46024.034447204293</v>
      </c>
      <c r="J101" s="1410">
        <f>G101*F101</f>
        <v>46024.034447204293</v>
      </c>
      <c r="K101" s="707"/>
      <c r="M101" s="271"/>
    </row>
    <row r="102" spans="1:13" ht="27.75" customHeight="1">
      <c r="A102" s="3188"/>
      <c r="B102" s="3202"/>
      <c r="C102" s="1359" t="s">
        <v>2053</v>
      </c>
      <c r="D102" s="1412"/>
      <c r="E102" s="1436" t="s">
        <v>76</v>
      </c>
      <c r="F102" s="1430">
        <f>4902.95455919935*1.043</f>
        <v>5113.7816052449216</v>
      </c>
      <c r="G102" s="1409">
        <v>3.5</v>
      </c>
      <c r="H102" s="1410">
        <f t="shared" si="18"/>
        <v>17898.235618357226</v>
      </c>
      <c r="I102" s="1410">
        <f t="shared" si="19"/>
        <v>17898.235618357226</v>
      </c>
      <c r="J102" s="1410">
        <f>G102*F102</f>
        <v>17898.235618357226</v>
      </c>
      <c r="K102" s="706"/>
    </row>
    <row r="103" spans="1:13" ht="68.25" customHeight="1">
      <c r="A103" s="3189"/>
      <c r="B103" s="3203"/>
      <c r="C103" s="1359" t="s">
        <v>2265</v>
      </c>
      <c r="D103" s="1437"/>
      <c r="E103" s="1435" t="s">
        <v>536</v>
      </c>
      <c r="F103" s="1430">
        <v>2155</v>
      </c>
      <c r="G103" s="1434">
        <v>45</v>
      </c>
      <c r="H103" s="1410">
        <f t="shared" si="18"/>
        <v>96975</v>
      </c>
      <c r="I103" s="1410">
        <f t="shared" si="19"/>
        <v>96975</v>
      </c>
      <c r="J103" s="1410">
        <f>G103*F103</f>
        <v>96975</v>
      </c>
      <c r="K103" s="643" t="s">
        <v>1827</v>
      </c>
    </row>
    <row r="104" spans="1:13" ht="15" customHeight="1">
      <c r="A104" s="3204">
        <v>8</v>
      </c>
      <c r="B104" s="1438"/>
      <c r="C104" s="1411" t="s">
        <v>2054</v>
      </c>
      <c r="D104" s="1439"/>
      <c r="E104" s="1440"/>
      <c r="F104" s="1440"/>
      <c r="G104" s="1440"/>
      <c r="H104" s="1430">
        <f>SUM(H105:H107)</f>
        <v>242666.61825671265</v>
      </c>
      <c r="I104" s="1430">
        <f>SUM(I105:I107)</f>
        <v>256268.37825671263</v>
      </c>
      <c r="J104" s="1430">
        <f>SUM(J105:J107)</f>
        <v>268142.92825671262</v>
      </c>
      <c r="K104" s="700"/>
    </row>
    <row r="105" spans="1:13" ht="13.5" customHeight="1">
      <c r="A105" s="3205"/>
      <c r="B105" s="1441" t="s">
        <v>1680</v>
      </c>
      <c r="C105" s="1442" t="s">
        <v>2055</v>
      </c>
      <c r="D105" s="1443"/>
      <c r="E105" s="1444"/>
      <c r="F105" s="1444"/>
      <c r="G105" s="1444"/>
      <c r="H105" s="1445">
        <v>63690.8</v>
      </c>
      <c r="I105" s="1445">
        <v>77292.56</v>
      </c>
      <c r="J105" s="1445">
        <v>89167.11</v>
      </c>
      <c r="K105" s="700"/>
      <c r="L105" s="58"/>
    </row>
    <row r="106" spans="1:13" ht="27.75" customHeight="1">
      <c r="A106" s="3205"/>
      <c r="B106" s="1446" t="s">
        <v>1681</v>
      </c>
      <c r="C106" s="1447" t="s">
        <v>2962</v>
      </c>
      <c r="D106" s="1448"/>
      <c r="E106" s="1449"/>
      <c r="F106" s="1449"/>
      <c r="G106" s="1449"/>
      <c r="H106" s="1445">
        <f>37697.18+(3*32897.84)+8937</f>
        <v>145327.69999999998</v>
      </c>
      <c r="I106" s="1445">
        <f>+H106</f>
        <v>145327.69999999998</v>
      </c>
      <c r="J106" s="1445">
        <f>+H106</f>
        <v>145327.69999999998</v>
      </c>
      <c r="K106" s="700"/>
      <c r="L106" s="58"/>
      <c r="M106" s="708"/>
    </row>
    <row r="107" spans="1:13" ht="18">
      <c r="A107" s="3206"/>
      <c r="B107" s="1450" t="s">
        <v>1682</v>
      </c>
      <c r="C107" s="1442" t="s">
        <v>82</v>
      </c>
      <c r="D107" s="1448"/>
      <c r="E107" s="1409" t="s">
        <v>76</v>
      </c>
      <c r="F107" s="1430">
        <f>665.173187113158*1.043</f>
        <v>693.77563415902364</v>
      </c>
      <c r="G107" s="1451">
        <f xml:space="preserve"> G69+G70+G71+G72</f>
        <v>48.5</v>
      </c>
      <c r="H107" s="1430">
        <f>F107*G107</f>
        <v>33648.118256712645</v>
      </c>
      <c r="I107" s="1430">
        <f>F107*G107</f>
        <v>33648.118256712645</v>
      </c>
      <c r="J107" s="1430">
        <f>F107*G107</f>
        <v>33648.118256712645</v>
      </c>
      <c r="K107" s="59"/>
      <c r="L107" s="58"/>
      <c r="M107" s="708"/>
    </row>
    <row r="108" spans="1:13" ht="17.25" customHeight="1">
      <c r="A108" s="3187">
        <v>9</v>
      </c>
      <c r="B108" s="1348"/>
      <c r="C108" s="1452" t="s">
        <v>2185</v>
      </c>
      <c r="D108" s="1439"/>
      <c r="E108" s="1439"/>
      <c r="F108" s="1453"/>
      <c r="G108" s="1453"/>
      <c r="H108" s="1453"/>
      <c r="I108" s="1453"/>
      <c r="J108" s="1454"/>
      <c r="K108" s="709"/>
    </row>
    <row r="109" spans="1:13" ht="27.75" customHeight="1">
      <c r="A109" s="3188"/>
      <c r="B109" s="1397" t="s">
        <v>1680</v>
      </c>
      <c r="C109" s="1455" t="s">
        <v>2084</v>
      </c>
      <c r="D109" s="1443"/>
      <c r="E109" s="1444"/>
      <c r="F109" s="1430">
        <v>0.01</v>
      </c>
      <c r="G109" s="1444"/>
      <c r="H109" s="1430">
        <f>(H10/1.18)*F109</f>
        <v>10915.240508474575</v>
      </c>
      <c r="I109" s="1430">
        <f>(I11/1.18)*F109</f>
        <v>32422.072627118647</v>
      </c>
      <c r="J109" s="1430">
        <f>(J12/1.18)*F109</f>
        <v>44167.421694915261</v>
      </c>
      <c r="K109" s="737" t="s">
        <v>1827</v>
      </c>
      <c r="L109" s="227"/>
    </row>
    <row r="110" spans="1:13" ht="42" customHeight="1">
      <c r="A110" s="3189"/>
      <c r="B110" s="1391" t="s">
        <v>1681</v>
      </c>
      <c r="C110" s="1221" t="s">
        <v>2267</v>
      </c>
      <c r="D110" s="1367"/>
      <c r="E110" s="1409"/>
      <c r="F110" s="1409">
        <v>0.04</v>
      </c>
      <c r="G110" s="1409"/>
      <c r="H110" s="1430">
        <f>((H93-H10-H98-H103)/1.18)*F110</f>
        <v>67482.836126610186</v>
      </c>
      <c r="I110" s="1430">
        <f>((I93-I11-I98-I103)/1.18)*F110</f>
        <v>78798.869007966132</v>
      </c>
      <c r="J110" s="1430">
        <f>((J93-J12-J98-J103)/1.18)*F110</f>
        <v>78798.86900796619</v>
      </c>
      <c r="K110" s="737" t="s">
        <v>1827</v>
      </c>
      <c r="L110" s="227"/>
    </row>
    <row r="111" spans="1:13" ht="39.75" customHeight="1">
      <c r="A111" s="1456">
        <v>10</v>
      </c>
      <c r="B111" s="1391"/>
      <c r="C111" s="1372" t="s">
        <v>2056</v>
      </c>
      <c r="D111" s="1367"/>
      <c r="E111" s="1409"/>
      <c r="F111" s="1409"/>
      <c r="G111" s="1409"/>
      <c r="H111" s="1430">
        <f>(H93+H95+H96+H97+H98+H99+H100+H101+H102+H103+H104+H109+H110)*0.125</f>
        <v>539634.62781635951</v>
      </c>
      <c r="I111" s="1430">
        <f>(I93+I95+I96+I97+I98+I99+I100+I101+I102+I103+I104+I109+I110)*0.125</f>
        <v>931312.87431635975</v>
      </c>
      <c r="J111" s="1430">
        <f>(J93+J95+J96+J97+J98+J99+J100+J101+J102+J103+J104+J109+J110)*0.125</f>
        <v>1120502.5528560842</v>
      </c>
      <c r="K111" s="861"/>
      <c r="L111" s="227"/>
    </row>
    <row r="112" spans="1:13" ht="29.25" customHeight="1">
      <c r="A112" s="67">
        <v>11</v>
      </c>
      <c r="B112" s="966"/>
      <c r="C112" s="1457" t="s">
        <v>2057</v>
      </c>
      <c r="D112" s="1412"/>
      <c r="E112" s="1413"/>
      <c r="F112" s="1413"/>
      <c r="G112" s="1413"/>
      <c r="H112" s="1458">
        <f>H94+H95+H96+H97+H98+H99+H100+H101+H102+H103+H104+H109+H110+H111</f>
        <v>4333534.4738791846</v>
      </c>
      <c r="I112" s="1458">
        <f>I94+I95+I96+I97+I98+I99+I100+I101+I102+I103+I104+I109+I110+I111</f>
        <v>7420593.5662774919</v>
      </c>
      <c r="J112" s="1458">
        <f>J94+J95+J96+J97+J98+J99+J100+J101+J102+J103+J104+J109+J110+J111</f>
        <v>8911884.3899146747</v>
      </c>
      <c r="K112" s="710"/>
      <c r="L112" s="710"/>
      <c r="M112" s="710"/>
    </row>
    <row r="113" spans="1:13" ht="18" customHeight="1">
      <c r="A113" s="1409">
        <v>12</v>
      </c>
      <c r="B113" s="966"/>
      <c r="C113" s="1372" t="s">
        <v>1810</v>
      </c>
      <c r="D113" s="1412"/>
      <c r="E113" s="1413"/>
      <c r="F113" s="1409">
        <v>0.09</v>
      </c>
      <c r="G113" s="1413"/>
      <c r="H113" s="1430">
        <f>H112*F113</f>
        <v>390018.10264912661</v>
      </c>
      <c r="I113" s="1430">
        <f>I112*F113</f>
        <v>667853.42096497421</v>
      </c>
      <c r="J113" s="1430">
        <f>J112*F113</f>
        <v>802069.5950923207</v>
      </c>
      <c r="K113" s="710"/>
      <c r="L113" s="710"/>
      <c r="M113" s="710"/>
    </row>
    <row r="114" spans="1:13" ht="18" customHeight="1">
      <c r="A114" s="1363">
        <v>13</v>
      </c>
      <c r="B114" s="1330"/>
      <c r="C114" s="1372" t="s">
        <v>1811</v>
      </c>
      <c r="D114" s="1459"/>
      <c r="E114" s="1460"/>
      <c r="F114" s="1409">
        <v>0.09</v>
      </c>
      <c r="G114" s="1312"/>
      <c r="H114" s="1341">
        <f>H112*F114</f>
        <v>390018.10264912661</v>
      </c>
      <c r="I114" s="1341">
        <f>I112*F114</f>
        <v>667853.42096497421</v>
      </c>
      <c r="J114" s="1341">
        <f>J112*F114</f>
        <v>802069.5950923207</v>
      </c>
      <c r="K114" s="27"/>
      <c r="L114" s="224"/>
      <c r="M114" s="224"/>
    </row>
    <row r="115" spans="1:13" ht="28.5" customHeight="1">
      <c r="A115" s="1399">
        <v>14</v>
      </c>
      <c r="B115" s="715"/>
      <c r="C115" s="1221" t="s">
        <v>2058</v>
      </c>
      <c r="D115" s="1461"/>
      <c r="E115" s="1462"/>
      <c r="F115" s="1463"/>
      <c r="G115" s="1463"/>
      <c r="H115" s="1464">
        <f>H112+H113+H114</f>
        <v>5113570.679177437</v>
      </c>
      <c r="I115" s="1464">
        <f>I112+I113+I114</f>
        <v>8756300.4082074407</v>
      </c>
      <c r="J115" s="1464">
        <f>J112+J113+J114</f>
        <v>10516023.580099316</v>
      </c>
      <c r="K115" s="711"/>
    </row>
    <row r="116" spans="1:13" ht="29.25" customHeight="1">
      <c r="A116" s="1465">
        <v>15</v>
      </c>
      <c r="B116" s="715"/>
      <c r="C116" s="1466" t="s">
        <v>2059</v>
      </c>
      <c r="D116" s="1461"/>
      <c r="E116" s="1462"/>
      <c r="F116" s="1462"/>
      <c r="G116" s="1462"/>
      <c r="H116" s="1467">
        <f>ROUND(H115,0)</f>
        <v>5113571</v>
      </c>
      <c r="I116" s="1467">
        <f>ROUND(I115,0)</f>
        <v>8756300</v>
      </c>
      <c r="J116" s="1467">
        <f>ROUND(J115,0)</f>
        <v>10516024</v>
      </c>
      <c r="K116" s="712"/>
      <c r="L116" s="227"/>
    </row>
    <row r="117" spans="1:13">
      <c r="C117" s="713"/>
      <c r="D117" s="714"/>
      <c r="E117" s="714"/>
      <c r="F117" s="714"/>
      <c r="G117" s="714"/>
      <c r="H117" s="714"/>
      <c r="I117" s="714"/>
      <c r="J117" s="714"/>
      <c r="K117" s="690"/>
    </row>
    <row r="118" spans="1:13">
      <c r="C118" s="713"/>
      <c r="D118" s="690"/>
      <c r="E118" s="690"/>
      <c r="F118" s="690"/>
      <c r="G118" s="690"/>
      <c r="H118" s="690"/>
      <c r="I118" s="690"/>
      <c r="J118" s="690"/>
      <c r="K118" s="690"/>
    </row>
    <row r="119" spans="1:13">
      <c r="C119" s="713"/>
      <c r="D119" s="690"/>
      <c r="E119" s="690"/>
      <c r="F119" s="690"/>
      <c r="G119" s="690"/>
      <c r="H119" s="690"/>
      <c r="I119" s="690"/>
      <c r="J119" s="690"/>
      <c r="K119" s="690"/>
    </row>
    <row r="120" spans="1:13" ht="15" customHeight="1">
      <c r="A120" s="715" t="s">
        <v>88</v>
      </c>
      <c r="B120" s="43"/>
      <c r="C120" s="3190" t="s">
        <v>2060</v>
      </c>
      <c r="D120" s="3190"/>
      <c r="E120" s="3190"/>
      <c r="F120" s="3190"/>
      <c r="G120" s="248"/>
      <c r="H120" s="248"/>
      <c r="I120" s="716"/>
      <c r="J120" s="716"/>
      <c r="K120" s="717"/>
    </row>
    <row r="121" spans="1:13" ht="30" customHeight="1">
      <c r="A121" s="43"/>
      <c r="C121" s="3190" t="s">
        <v>2061</v>
      </c>
      <c r="D121" s="3190"/>
      <c r="E121" s="3190"/>
      <c r="F121" s="3190"/>
      <c r="G121" s="248"/>
      <c r="H121" s="248"/>
      <c r="I121" s="716"/>
      <c r="J121" s="716"/>
      <c r="K121" s="717"/>
      <c r="L121" s="718"/>
      <c r="M121" s="718"/>
    </row>
    <row r="122" spans="1:13" ht="15.75" customHeight="1">
      <c r="A122" s="43"/>
      <c r="C122" s="717"/>
      <c r="D122" s="717"/>
      <c r="E122" s="717"/>
      <c r="F122" s="717"/>
      <c r="G122" s="717"/>
      <c r="H122" s="717"/>
      <c r="I122" s="716"/>
      <c r="J122" s="716"/>
      <c r="K122" s="717"/>
      <c r="L122" s="718"/>
      <c r="M122" s="718"/>
    </row>
    <row r="123" spans="1:13" ht="15.75" customHeight="1">
      <c r="A123" s="43"/>
      <c r="C123" s="717"/>
      <c r="D123" s="717"/>
      <c r="E123" s="717"/>
      <c r="F123" s="717"/>
      <c r="G123" s="717"/>
      <c r="H123" s="716"/>
      <c r="I123" s="716"/>
      <c r="J123" s="716"/>
      <c r="K123" s="717"/>
      <c r="L123" s="718"/>
      <c r="M123" s="718"/>
    </row>
    <row r="124" spans="1:13" ht="15.75" customHeight="1">
      <c r="A124" s="43"/>
      <c r="C124" s="717"/>
      <c r="D124" s="717"/>
      <c r="E124" s="717"/>
      <c r="F124" s="717"/>
      <c r="G124" s="717"/>
      <c r="H124" s="719"/>
      <c r="I124" s="719"/>
      <c r="J124" s="719"/>
      <c r="K124" s="717"/>
      <c r="L124" s="718"/>
      <c r="M124" s="718"/>
    </row>
    <row r="125" spans="1:13" ht="15.75" customHeight="1">
      <c r="A125" s="43"/>
      <c r="C125" s="717"/>
      <c r="D125" s="717"/>
      <c r="E125" s="717"/>
      <c r="F125" s="717"/>
      <c r="G125" s="717"/>
      <c r="H125" s="720"/>
      <c r="I125" s="720"/>
      <c r="J125" s="720"/>
      <c r="K125" s="717"/>
      <c r="L125" s="718"/>
      <c r="M125" s="718"/>
    </row>
    <row r="126" spans="1:13" ht="15.75" customHeight="1">
      <c r="A126" s="43"/>
      <c r="C126" s="717"/>
      <c r="D126" s="717"/>
      <c r="E126" s="717"/>
      <c r="F126" s="717"/>
      <c r="G126" s="717"/>
      <c r="H126" s="717"/>
      <c r="I126" s="717"/>
      <c r="J126" s="717"/>
      <c r="K126" s="717"/>
      <c r="L126" s="718"/>
      <c r="M126" s="718"/>
    </row>
    <row r="127" spans="1:13" ht="15.75" customHeight="1">
      <c r="A127" s="43"/>
      <c r="C127" s="717"/>
      <c r="D127" s="717"/>
      <c r="E127" s="717"/>
      <c r="F127" s="717"/>
      <c r="G127" s="717"/>
      <c r="H127" s="717"/>
      <c r="I127" s="717"/>
      <c r="J127" s="717"/>
      <c r="K127" s="717"/>
      <c r="L127" s="718"/>
      <c r="M127" s="718"/>
    </row>
    <row r="128" spans="1:13" ht="15.75" customHeight="1">
      <c r="A128" s="43"/>
      <c r="C128" s="717"/>
      <c r="D128" s="717"/>
      <c r="E128" s="717"/>
      <c r="F128" s="717"/>
      <c r="G128" s="717"/>
      <c r="H128" s="717"/>
      <c r="I128" s="717"/>
      <c r="J128" s="717"/>
      <c r="K128" s="717"/>
      <c r="L128" s="718"/>
      <c r="M128" s="718"/>
    </row>
    <row r="129" spans="1:13" ht="15.75" customHeight="1">
      <c r="A129" s="43"/>
      <c r="C129" s="717"/>
      <c r="D129" s="717"/>
      <c r="E129" s="717"/>
      <c r="F129" s="717"/>
      <c r="G129" s="717"/>
      <c r="H129" s="717"/>
      <c r="I129" s="717"/>
      <c r="J129" s="717"/>
      <c r="K129" s="717"/>
      <c r="L129" s="718"/>
      <c r="M129" s="718"/>
    </row>
    <row r="130" spans="1:13" ht="15.75" customHeight="1">
      <c r="A130" s="43"/>
      <c r="C130" s="717"/>
      <c r="D130" s="717"/>
      <c r="E130" s="717"/>
      <c r="F130" s="717"/>
      <c r="G130" s="717"/>
      <c r="H130" s="717"/>
      <c r="I130" s="717"/>
      <c r="J130" s="717"/>
      <c r="K130" s="717"/>
      <c r="L130" s="718"/>
      <c r="M130" s="718"/>
    </row>
    <row r="131" spans="1:13" ht="15.75" customHeight="1">
      <c r="A131" s="43"/>
      <c r="C131" s="717"/>
      <c r="D131" s="717"/>
      <c r="E131" s="717"/>
      <c r="F131" s="717"/>
      <c r="G131" s="717"/>
      <c r="H131" s="717"/>
      <c r="I131" s="717"/>
      <c r="J131" s="717"/>
      <c r="K131" s="717"/>
      <c r="L131" s="718"/>
      <c r="M131" s="718"/>
    </row>
    <row r="132" spans="1:13" ht="15.75" customHeight="1">
      <c r="A132" s="43"/>
      <c r="C132" s="717"/>
      <c r="D132" s="717"/>
      <c r="E132" s="717"/>
      <c r="F132" s="717"/>
      <c r="G132" s="717"/>
      <c r="H132" s="717"/>
      <c r="I132" s="717"/>
      <c r="J132" s="717"/>
      <c r="K132" s="717"/>
      <c r="L132" s="718"/>
      <c r="M132" s="718"/>
    </row>
    <row r="133" spans="1:13" ht="15.75" customHeight="1">
      <c r="A133" s="43"/>
      <c r="C133" s="717"/>
      <c r="D133" s="717"/>
      <c r="E133" s="717"/>
      <c r="F133" s="717"/>
      <c r="G133" s="717"/>
      <c r="H133" s="717"/>
      <c r="I133" s="717"/>
      <c r="J133" s="717"/>
      <c r="K133" s="717"/>
      <c r="L133" s="718"/>
      <c r="M133" s="718"/>
    </row>
    <row r="134" spans="1:13" ht="15.75" customHeight="1">
      <c r="A134" s="43"/>
      <c r="C134" s="717"/>
      <c r="D134" s="717"/>
      <c r="E134" s="717"/>
      <c r="F134" s="717"/>
      <c r="G134" s="717"/>
      <c r="H134" s="717"/>
      <c r="I134" s="717"/>
      <c r="J134" s="717"/>
      <c r="K134" s="717"/>
      <c r="L134" s="718"/>
      <c r="M134" s="718"/>
    </row>
    <row r="135" spans="1:13" ht="15.75" customHeight="1">
      <c r="A135" s="43"/>
      <c r="C135" s="717"/>
      <c r="D135" s="717"/>
      <c r="E135" s="717"/>
      <c r="F135" s="717"/>
      <c r="G135" s="717"/>
      <c r="H135" s="717"/>
      <c r="I135" s="717"/>
      <c r="J135" s="717"/>
      <c r="K135" s="717"/>
      <c r="L135" s="718"/>
      <c r="M135" s="718"/>
    </row>
    <row r="136" spans="1:13" ht="15.75" customHeight="1">
      <c r="A136" s="43"/>
      <c r="C136" s="717"/>
      <c r="D136" s="717"/>
      <c r="E136" s="717"/>
      <c r="F136" s="717"/>
      <c r="G136" s="717"/>
      <c r="H136" s="717"/>
      <c r="I136" s="717"/>
      <c r="J136" s="717"/>
      <c r="K136" s="717"/>
      <c r="L136" s="718"/>
      <c r="M136" s="718"/>
    </row>
    <row r="137" spans="1:13" ht="15.75" customHeight="1">
      <c r="A137" s="43"/>
      <c r="C137" s="717"/>
      <c r="D137" s="717"/>
      <c r="E137" s="717"/>
      <c r="F137" s="717"/>
      <c r="G137" s="717"/>
      <c r="H137" s="717"/>
      <c r="I137" s="717"/>
      <c r="J137" s="717"/>
      <c r="K137" s="717"/>
      <c r="L137" s="718"/>
      <c r="M137" s="718"/>
    </row>
    <row r="138" spans="1:13" ht="15.75" customHeight="1">
      <c r="A138" s="43"/>
      <c r="C138" s="717"/>
      <c r="D138" s="717"/>
      <c r="E138" s="717"/>
      <c r="F138" s="717"/>
      <c r="G138" s="717"/>
      <c r="H138" s="717"/>
      <c r="I138" s="717"/>
      <c r="J138" s="717"/>
      <c r="K138" s="717"/>
      <c r="L138" s="718"/>
      <c r="M138" s="718"/>
    </row>
    <row r="139" spans="1:13" ht="15.75" customHeight="1">
      <c r="A139" s="43"/>
      <c r="C139" s="717"/>
      <c r="D139" s="717"/>
      <c r="E139" s="717"/>
      <c r="F139" s="717"/>
      <c r="G139" s="717"/>
      <c r="H139" s="717"/>
      <c r="I139" s="717"/>
      <c r="J139" s="717"/>
      <c r="K139" s="717"/>
      <c r="L139" s="718"/>
      <c r="M139" s="718"/>
    </row>
    <row r="140" spans="1:13" ht="14.25">
      <c r="A140" s="5"/>
      <c r="B140" s="5"/>
      <c r="C140" s="5"/>
      <c r="D140" s="5"/>
      <c r="E140" s="5"/>
      <c r="F140" s="5"/>
      <c r="G140" s="5"/>
      <c r="H140" s="721"/>
      <c r="I140" s="721"/>
      <c r="J140" s="721"/>
      <c r="K140" s="5"/>
    </row>
    <row r="141" spans="1:13">
      <c r="A141" s="5"/>
      <c r="B141" s="5"/>
      <c r="C141" s="5"/>
      <c r="D141" s="5"/>
      <c r="E141" s="5"/>
      <c r="F141" s="5"/>
      <c r="G141" s="5"/>
      <c r="H141" s="5"/>
      <c r="I141" s="5"/>
      <c r="J141" s="5"/>
      <c r="K141" s="5"/>
    </row>
    <row r="142" spans="1:13" ht="14.25">
      <c r="A142" s="5"/>
      <c r="B142" s="5"/>
      <c r="C142" s="5"/>
      <c r="D142" s="5"/>
      <c r="E142" s="5"/>
      <c r="F142" s="5"/>
      <c r="G142" s="5"/>
      <c r="H142" s="185"/>
      <c r="I142" s="185"/>
      <c r="J142" s="185"/>
      <c r="K142" s="5"/>
    </row>
    <row r="143" spans="1:13">
      <c r="A143" s="5"/>
      <c r="B143" s="5"/>
      <c r="C143" s="5"/>
      <c r="D143" s="5"/>
      <c r="E143" s="5"/>
      <c r="F143" s="5"/>
      <c r="G143" s="5"/>
      <c r="H143" s="5"/>
      <c r="I143" s="5"/>
      <c r="J143" s="5"/>
      <c r="K143" s="5"/>
    </row>
    <row r="144" spans="1:13">
      <c r="A144" s="5"/>
      <c r="B144" s="5"/>
      <c r="C144" s="5"/>
      <c r="D144" s="5"/>
      <c r="E144" s="5"/>
      <c r="F144" s="5"/>
      <c r="G144" s="5"/>
      <c r="H144" s="5"/>
      <c r="I144" s="5"/>
      <c r="J144" s="5"/>
      <c r="K144" s="5"/>
    </row>
    <row r="145" spans="1:11">
      <c r="A145" s="5"/>
      <c r="B145" s="5"/>
      <c r="C145" s="5"/>
      <c r="D145" s="5"/>
      <c r="E145" s="5"/>
      <c r="F145" s="5"/>
      <c r="G145" s="5"/>
      <c r="H145" s="5"/>
      <c r="I145" s="5"/>
      <c r="J145" s="5"/>
      <c r="K145" s="5"/>
    </row>
    <row r="146" spans="1:11">
      <c r="A146" s="5"/>
      <c r="B146" s="5"/>
      <c r="C146" s="5"/>
      <c r="D146" s="5"/>
      <c r="E146" s="5"/>
      <c r="F146" s="5"/>
      <c r="G146" s="5"/>
      <c r="H146" s="5"/>
      <c r="I146" s="5"/>
      <c r="J146" s="5"/>
      <c r="K146" s="5"/>
    </row>
    <row r="147" spans="1:11">
      <c r="A147" s="5"/>
      <c r="B147" s="5"/>
      <c r="C147" s="5"/>
      <c r="D147" s="5"/>
      <c r="E147" s="5"/>
      <c r="F147" s="5"/>
      <c r="G147" s="5"/>
      <c r="H147" s="722"/>
      <c r="I147" s="5"/>
      <c r="J147" s="5"/>
      <c r="K147" s="5"/>
    </row>
    <row r="153" spans="1:11" ht="14.25">
      <c r="C153" s="644"/>
      <c r="D153" s="723"/>
      <c r="E153" s="724"/>
    </row>
    <row r="154" spans="1:11" ht="15.75">
      <c r="C154" s="725"/>
      <c r="D154" s="723"/>
      <c r="E154" s="724"/>
    </row>
  </sheetData>
  <mergeCells count="31">
    <mergeCell ref="A8:A39"/>
    <mergeCell ref="C121:F121"/>
    <mergeCell ref="A40:A67"/>
    <mergeCell ref="B42:B44"/>
    <mergeCell ref="B45:B51"/>
    <mergeCell ref="B56:B63"/>
    <mergeCell ref="A68:A92"/>
    <mergeCell ref="B73:B76"/>
    <mergeCell ref="B77:B85"/>
    <mergeCell ref="B86:B92"/>
    <mergeCell ref="A96:A103"/>
    <mergeCell ref="B96:B103"/>
    <mergeCell ref="A104:A107"/>
    <mergeCell ref="A108:A110"/>
    <mergeCell ref="C120:F120"/>
    <mergeCell ref="B7:C7"/>
    <mergeCell ref="B9:B12"/>
    <mergeCell ref="B13:B16"/>
    <mergeCell ref="B17:B20"/>
    <mergeCell ref="B21:B24"/>
    <mergeCell ref="D1:G1"/>
    <mergeCell ref="D2:G2"/>
    <mergeCell ref="C3:H3"/>
    <mergeCell ref="A5:A6"/>
    <mergeCell ref="B5:B6"/>
    <mergeCell ref="C5:C6"/>
    <mergeCell ref="D5:D6"/>
    <mergeCell ref="E5:E6"/>
    <mergeCell ref="F5:F6"/>
    <mergeCell ref="G5:G6"/>
    <mergeCell ref="H5:J5"/>
  </mergeCells>
  <conditionalFormatting sqref="C94">
    <cfRule type="cellIs" dxfId="122" priority="1" stopIfTrue="1" operator="equal">
      <formula>"?"</formula>
    </cfRule>
  </conditionalFormatting>
  <pageMargins left="0.92" right="0.15" top="0.75" bottom="0.32" header="0.5" footer="0.16"/>
  <pageSetup scale="93"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1"/>
  <sheetViews>
    <sheetView zoomScaleNormal="100" zoomScaleSheetLayoutView="85" workbookViewId="0">
      <pane xSplit="3" ySplit="10" topLeftCell="D64" activePane="bottomRight" state="frozen"/>
      <selection pane="topRight" activeCell="D1" sqref="D1"/>
      <selection pane="bottomLeft" activeCell="A11" sqref="A11"/>
      <selection pane="bottomRight" activeCell="I20" sqref="I20"/>
    </sheetView>
  </sheetViews>
  <sheetFormatPr defaultRowHeight="12.75"/>
  <cols>
    <col min="1" max="1" width="5.140625" style="746" customWidth="1"/>
    <col min="2" max="2" width="3.5703125" style="4" customWidth="1"/>
    <col min="3" max="3" width="55.5703125" style="4" customWidth="1"/>
    <col min="4" max="4" width="12.85546875" style="4" customWidth="1"/>
    <col min="5" max="5" width="6.28515625" style="746" customWidth="1"/>
    <col min="6" max="6" width="10.7109375" style="4" customWidth="1"/>
    <col min="7" max="7" width="6.28515625" style="4" customWidth="1"/>
    <col min="8" max="8" width="12.85546875" style="4" customWidth="1"/>
    <col min="9" max="9" width="26.42578125" style="4" customWidth="1"/>
    <col min="10" max="10" width="23.28515625" style="4" customWidth="1"/>
    <col min="11" max="11" width="12.140625" style="4" customWidth="1"/>
    <col min="12" max="12" width="5.140625" style="4" customWidth="1"/>
    <col min="13" max="13" width="14" style="4" customWidth="1"/>
    <col min="14" max="256" width="9.140625" style="4"/>
    <col min="257" max="257" width="5.140625" style="4" customWidth="1"/>
    <col min="258" max="258" width="3.5703125" style="4" customWidth="1"/>
    <col min="259" max="259" width="55.5703125" style="4" customWidth="1"/>
    <col min="260" max="260" width="12.28515625" style="4" customWidth="1"/>
    <col min="261" max="261" width="5.5703125" style="4" customWidth="1"/>
    <col min="262" max="262" width="10.7109375" style="4" customWidth="1"/>
    <col min="263" max="263" width="6.28515625" style="4" customWidth="1"/>
    <col min="264" max="264" width="12.85546875" style="4" customWidth="1"/>
    <col min="265" max="265" width="26.42578125" style="4" customWidth="1"/>
    <col min="266" max="266" width="23.28515625" style="4" customWidth="1"/>
    <col min="267" max="267" width="12.140625" style="4" customWidth="1"/>
    <col min="268" max="268" width="5.140625" style="4" customWidth="1"/>
    <col min="269" max="269" width="14" style="4" customWidth="1"/>
    <col min="270" max="512" width="9.140625" style="4"/>
    <col min="513" max="513" width="5.140625" style="4" customWidth="1"/>
    <col min="514" max="514" width="3.5703125" style="4" customWidth="1"/>
    <col min="515" max="515" width="55.5703125" style="4" customWidth="1"/>
    <col min="516" max="516" width="12.28515625" style="4" customWidth="1"/>
    <col min="517" max="517" width="5.5703125" style="4" customWidth="1"/>
    <col min="518" max="518" width="10.7109375" style="4" customWidth="1"/>
    <col min="519" max="519" width="6.28515625" style="4" customWidth="1"/>
    <col min="520" max="520" width="12.85546875" style="4" customWidth="1"/>
    <col min="521" max="521" width="26.42578125" style="4" customWidth="1"/>
    <col min="522" max="522" width="23.28515625" style="4" customWidth="1"/>
    <col min="523" max="523" width="12.140625" style="4" customWidth="1"/>
    <col min="524" max="524" width="5.140625" style="4" customWidth="1"/>
    <col min="525" max="525" width="14" style="4" customWidth="1"/>
    <col min="526" max="768" width="9.140625" style="4"/>
    <col min="769" max="769" width="5.140625" style="4" customWidth="1"/>
    <col min="770" max="770" width="3.5703125" style="4" customWidth="1"/>
    <col min="771" max="771" width="55.5703125" style="4" customWidth="1"/>
    <col min="772" max="772" width="12.28515625" style="4" customWidth="1"/>
    <col min="773" max="773" width="5.5703125" style="4" customWidth="1"/>
    <col min="774" max="774" width="10.7109375" style="4" customWidth="1"/>
    <col min="775" max="775" width="6.28515625" style="4" customWidth="1"/>
    <col min="776" max="776" width="12.85546875" style="4" customWidth="1"/>
    <col min="777" max="777" width="26.42578125" style="4" customWidth="1"/>
    <col min="778" max="778" width="23.28515625" style="4" customWidth="1"/>
    <col min="779" max="779" width="12.140625" style="4" customWidth="1"/>
    <col min="780" max="780" width="5.140625" style="4" customWidth="1"/>
    <col min="781" max="781" width="14" style="4" customWidth="1"/>
    <col min="782" max="1024" width="9.140625" style="4"/>
    <col min="1025" max="1025" width="5.140625" style="4" customWidth="1"/>
    <col min="1026" max="1026" width="3.5703125" style="4" customWidth="1"/>
    <col min="1027" max="1027" width="55.5703125" style="4" customWidth="1"/>
    <col min="1028" max="1028" width="12.28515625" style="4" customWidth="1"/>
    <col min="1029" max="1029" width="5.5703125" style="4" customWidth="1"/>
    <col min="1030" max="1030" width="10.7109375" style="4" customWidth="1"/>
    <col min="1031" max="1031" width="6.28515625" style="4" customWidth="1"/>
    <col min="1032" max="1032" width="12.85546875" style="4" customWidth="1"/>
    <col min="1033" max="1033" width="26.42578125" style="4" customWidth="1"/>
    <col min="1034" max="1034" width="23.28515625" style="4" customWidth="1"/>
    <col min="1035" max="1035" width="12.140625" style="4" customWidth="1"/>
    <col min="1036" max="1036" width="5.140625" style="4" customWidth="1"/>
    <col min="1037" max="1037" width="14" style="4" customWidth="1"/>
    <col min="1038" max="1280" width="9.140625" style="4"/>
    <col min="1281" max="1281" width="5.140625" style="4" customWidth="1"/>
    <col min="1282" max="1282" width="3.5703125" style="4" customWidth="1"/>
    <col min="1283" max="1283" width="55.5703125" style="4" customWidth="1"/>
    <col min="1284" max="1284" width="12.28515625" style="4" customWidth="1"/>
    <col min="1285" max="1285" width="5.5703125" style="4" customWidth="1"/>
    <col min="1286" max="1286" width="10.7109375" style="4" customWidth="1"/>
    <col min="1287" max="1287" width="6.28515625" style="4" customWidth="1"/>
    <col min="1288" max="1288" width="12.85546875" style="4" customWidth="1"/>
    <col min="1289" max="1289" width="26.42578125" style="4" customWidth="1"/>
    <col min="1290" max="1290" width="23.28515625" style="4" customWidth="1"/>
    <col min="1291" max="1291" width="12.140625" style="4" customWidth="1"/>
    <col min="1292" max="1292" width="5.140625" style="4" customWidth="1"/>
    <col min="1293" max="1293" width="14" style="4" customWidth="1"/>
    <col min="1294" max="1536" width="9.140625" style="4"/>
    <col min="1537" max="1537" width="5.140625" style="4" customWidth="1"/>
    <col min="1538" max="1538" width="3.5703125" style="4" customWidth="1"/>
    <col min="1539" max="1539" width="55.5703125" style="4" customWidth="1"/>
    <col min="1540" max="1540" width="12.28515625" style="4" customWidth="1"/>
    <col min="1541" max="1541" width="5.5703125" style="4" customWidth="1"/>
    <col min="1542" max="1542" width="10.7109375" style="4" customWidth="1"/>
    <col min="1543" max="1543" width="6.28515625" style="4" customWidth="1"/>
    <col min="1544" max="1544" width="12.85546875" style="4" customWidth="1"/>
    <col min="1545" max="1545" width="26.42578125" style="4" customWidth="1"/>
    <col min="1546" max="1546" width="23.28515625" style="4" customWidth="1"/>
    <col min="1547" max="1547" width="12.140625" style="4" customWidth="1"/>
    <col min="1548" max="1548" width="5.140625" style="4" customWidth="1"/>
    <col min="1549" max="1549" width="14" style="4" customWidth="1"/>
    <col min="1550" max="1792" width="9.140625" style="4"/>
    <col min="1793" max="1793" width="5.140625" style="4" customWidth="1"/>
    <col min="1794" max="1794" width="3.5703125" style="4" customWidth="1"/>
    <col min="1795" max="1795" width="55.5703125" style="4" customWidth="1"/>
    <col min="1796" max="1796" width="12.28515625" style="4" customWidth="1"/>
    <col min="1797" max="1797" width="5.5703125" style="4" customWidth="1"/>
    <col min="1798" max="1798" width="10.7109375" style="4" customWidth="1"/>
    <col min="1799" max="1799" width="6.28515625" style="4" customWidth="1"/>
    <col min="1800" max="1800" width="12.85546875" style="4" customWidth="1"/>
    <col min="1801" max="1801" width="26.42578125" style="4" customWidth="1"/>
    <col min="1802" max="1802" width="23.28515625" style="4" customWidth="1"/>
    <col min="1803" max="1803" width="12.140625" style="4" customWidth="1"/>
    <col min="1804" max="1804" width="5.140625" style="4" customWidth="1"/>
    <col min="1805" max="1805" width="14" style="4" customWidth="1"/>
    <col min="1806" max="2048" width="9.140625" style="4"/>
    <col min="2049" max="2049" width="5.140625" style="4" customWidth="1"/>
    <col min="2050" max="2050" width="3.5703125" style="4" customWidth="1"/>
    <col min="2051" max="2051" width="55.5703125" style="4" customWidth="1"/>
    <col min="2052" max="2052" width="12.28515625" style="4" customWidth="1"/>
    <col min="2053" max="2053" width="5.5703125" style="4" customWidth="1"/>
    <col min="2054" max="2054" width="10.7109375" style="4" customWidth="1"/>
    <col min="2055" max="2055" width="6.28515625" style="4" customWidth="1"/>
    <col min="2056" max="2056" width="12.85546875" style="4" customWidth="1"/>
    <col min="2057" max="2057" width="26.42578125" style="4" customWidth="1"/>
    <col min="2058" max="2058" width="23.28515625" style="4" customWidth="1"/>
    <col min="2059" max="2059" width="12.140625" style="4" customWidth="1"/>
    <col min="2060" max="2060" width="5.140625" style="4" customWidth="1"/>
    <col min="2061" max="2061" width="14" style="4" customWidth="1"/>
    <col min="2062" max="2304" width="9.140625" style="4"/>
    <col min="2305" max="2305" width="5.140625" style="4" customWidth="1"/>
    <col min="2306" max="2306" width="3.5703125" style="4" customWidth="1"/>
    <col min="2307" max="2307" width="55.5703125" style="4" customWidth="1"/>
    <col min="2308" max="2308" width="12.28515625" style="4" customWidth="1"/>
    <col min="2309" max="2309" width="5.5703125" style="4" customWidth="1"/>
    <col min="2310" max="2310" width="10.7109375" style="4" customWidth="1"/>
    <col min="2311" max="2311" width="6.28515625" style="4" customWidth="1"/>
    <col min="2312" max="2312" width="12.85546875" style="4" customWidth="1"/>
    <col min="2313" max="2313" width="26.42578125" style="4" customWidth="1"/>
    <col min="2314" max="2314" width="23.28515625" style="4" customWidth="1"/>
    <col min="2315" max="2315" width="12.140625" style="4" customWidth="1"/>
    <col min="2316" max="2316" width="5.140625" style="4" customWidth="1"/>
    <col min="2317" max="2317" width="14" style="4" customWidth="1"/>
    <col min="2318" max="2560" width="9.140625" style="4"/>
    <col min="2561" max="2561" width="5.140625" style="4" customWidth="1"/>
    <col min="2562" max="2562" width="3.5703125" style="4" customWidth="1"/>
    <col min="2563" max="2563" width="55.5703125" style="4" customWidth="1"/>
    <col min="2564" max="2564" width="12.28515625" style="4" customWidth="1"/>
    <col min="2565" max="2565" width="5.5703125" style="4" customWidth="1"/>
    <col min="2566" max="2566" width="10.7109375" style="4" customWidth="1"/>
    <col min="2567" max="2567" width="6.28515625" style="4" customWidth="1"/>
    <col min="2568" max="2568" width="12.85546875" style="4" customWidth="1"/>
    <col min="2569" max="2569" width="26.42578125" style="4" customWidth="1"/>
    <col min="2570" max="2570" width="23.28515625" style="4" customWidth="1"/>
    <col min="2571" max="2571" width="12.140625" style="4" customWidth="1"/>
    <col min="2572" max="2572" width="5.140625" style="4" customWidth="1"/>
    <col min="2573" max="2573" width="14" style="4" customWidth="1"/>
    <col min="2574" max="2816" width="9.140625" style="4"/>
    <col min="2817" max="2817" width="5.140625" style="4" customWidth="1"/>
    <col min="2818" max="2818" width="3.5703125" style="4" customWidth="1"/>
    <col min="2819" max="2819" width="55.5703125" style="4" customWidth="1"/>
    <col min="2820" max="2820" width="12.28515625" style="4" customWidth="1"/>
    <col min="2821" max="2821" width="5.5703125" style="4" customWidth="1"/>
    <col min="2822" max="2822" width="10.7109375" style="4" customWidth="1"/>
    <col min="2823" max="2823" width="6.28515625" style="4" customWidth="1"/>
    <col min="2824" max="2824" width="12.85546875" style="4" customWidth="1"/>
    <col min="2825" max="2825" width="26.42578125" style="4" customWidth="1"/>
    <col min="2826" max="2826" width="23.28515625" style="4" customWidth="1"/>
    <col min="2827" max="2827" width="12.140625" style="4" customWidth="1"/>
    <col min="2828" max="2828" width="5.140625" style="4" customWidth="1"/>
    <col min="2829" max="2829" width="14" style="4" customWidth="1"/>
    <col min="2830" max="3072" width="9.140625" style="4"/>
    <col min="3073" max="3073" width="5.140625" style="4" customWidth="1"/>
    <col min="3074" max="3074" width="3.5703125" style="4" customWidth="1"/>
    <col min="3075" max="3075" width="55.5703125" style="4" customWidth="1"/>
    <col min="3076" max="3076" width="12.28515625" style="4" customWidth="1"/>
    <col min="3077" max="3077" width="5.5703125" style="4" customWidth="1"/>
    <col min="3078" max="3078" width="10.7109375" style="4" customWidth="1"/>
    <col min="3079" max="3079" width="6.28515625" style="4" customWidth="1"/>
    <col min="3080" max="3080" width="12.85546875" style="4" customWidth="1"/>
    <col min="3081" max="3081" width="26.42578125" style="4" customWidth="1"/>
    <col min="3082" max="3082" width="23.28515625" style="4" customWidth="1"/>
    <col min="3083" max="3083" width="12.140625" style="4" customWidth="1"/>
    <col min="3084" max="3084" width="5.140625" style="4" customWidth="1"/>
    <col min="3085" max="3085" width="14" style="4" customWidth="1"/>
    <col min="3086" max="3328" width="9.140625" style="4"/>
    <col min="3329" max="3329" width="5.140625" style="4" customWidth="1"/>
    <col min="3330" max="3330" width="3.5703125" style="4" customWidth="1"/>
    <col min="3331" max="3331" width="55.5703125" style="4" customWidth="1"/>
    <col min="3332" max="3332" width="12.28515625" style="4" customWidth="1"/>
    <col min="3333" max="3333" width="5.5703125" style="4" customWidth="1"/>
    <col min="3334" max="3334" width="10.7109375" style="4" customWidth="1"/>
    <col min="3335" max="3335" width="6.28515625" style="4" customWidth="1"/>
    <col min="3336" max="3336" width="12.85546875" style="4" customWidth="1"/>
    <col min="3337" max="3337" width="26.42578125" style="4" customWidth="1"/>
    <col min="3338" max="3338" width="23.28515625" style="4" customWidth="1"/>
    <col min="3339" max="3339" width="12.140625" style="4" customWidth="1"/>
    <col min="3340" max="3340" width="5.140625" style="4" customWidth="1"/>
    <col min="3341" max="3341" width="14" style="4" customWidth="1"/>
    <col min="3342" max="3584" width="9.140625" style="4"/>
    <col min="3585" max="3585" width="5.140625" style="4" customWidth="1"/>
    <col min="3586" max="3586" width="3.5703125" style="4" customWidth="1"/>
    <col min="3587" max="3587" width="55.5703125" style="4" customWidth="1"/>
    <col min="3588" max="3588" width="12.28515625" style="4" customWidth="1"/>
    <col min="3589" max="3589" width="5.5703125" style="4" customWidth="1"/>
    <col min="3590" max="3590" width="10.7109375" style="4" customWidth="1"/>
    <col min="3591" max="3591" width="6.28515625" style="4" customWidth="1"/>
    <col min="3592" max="3592" width="12.85546875" style="4" customWidth="1"/>
    <col min="3593" max="3593" width="26.42578125" style="4" customWidth="1"/>
    <col min="3594" max="3594" width="23.28515625" style="4" customWidth="1"/>
    <col min="3595" max="3595" width="12.140625" style="4" customWidth="1"/>
    <col min="3596" max="3596" width="5.140625" style="4" customWidth="1"/>
    <col min="3597" max="3597" width="14" style="4" customWidth="1"/>
    <col min="3598" max="3840" width="9.140625" style="4"/>
    <col min="3841" max="3841" width="5.140625" style="4" customWidth="1"/>
    <col min="3842" max="3842" width="3.5703125" style="4" customWidth="1"/>
    <col min="3843" max="3843" width="55.5703125" style="4" customWidth="1"/>
    <col min="3844" max="3844" width="12.28515625" style="4" customWidth="1"/>
    <col min="3845" max="3845" width="5.5703125" style="4" customWidth="1"/>
    <col min="3846" max="3846" width="10.7109375" style="4" customWidth="1"/>
    <col min="3847" max="3847" width="6.28515625" style="4" customWidth="1"/>
    <col min="3848" max="3848" width="12.85546875" style="4" customWidth="1"/>
    <col min="3849" max="3849" width="26.42578125" style="4" customWidth="1"/>
    <col min="3850" max="3850" width="23.28515625" style="4" customWidth="1"/>
    <col min="3851" max="3851" width="12.140625" style="4" customWidth="1"/>
    <col min="3852" max="3852" width="5.140625" style="4" customWidth="1"/>
    <col min="3853" max="3853" width="14" style="4" customWidth="1"/>
    <col min="3854" max="4096" width="9.140625" style="4"/>
    <col min="4097" max="4097" width="5.140625" style="4" customWidth="1"/>
    <col min="4098" max="4098" width="3.5703125" style="4" customWidth="1"/>
    <col min="4099" max="4099" width="55.5703125" style="4" customWidth="1"/>
    <col min="4100" max="4100" width="12.28515625" style="4" customWidth="1"/>
    <col min="4101" max="4101" width="5.5703125" style="4" customWidth="1"/>
    <col min="4102" max="4102" width="10.7109375" style="4" customWidth="1"/>
    <col min="4103" max="4103" width="6.28515625" style="4" customWidth="1"/>
    <col min="4104" max="4104" width="12.85546875" style="4" customWidth="1"/>
    <col min="4105" max="4105" width="26.42578125" style="4" customWidth="1"/>
    <col min="4106" max="4106" width="23.28515625" style="4" customWidth="1"/>
    <col min="4107" max="4107" width="12.140625" style="4" customWidth="1"/>
    <col min="4108" max="4108" width="5.140625" style="4" customWidth="1"/>
    <col min="4109" max="4109" width="14" style="4" customWidth="1"/>
    <col min="4110" max="4352" width="9.140625" style="4"/>
    <col min="4353" max="4353" width="5.140625" style="4" customWidth="1"/>
    <col min="4354" max="4354" width="3.5703125" style="4" customWidth="1"/>
    <col min="4355" max="4355" width="55.5703125" style="4" customWidth="1"/>
    <col min="4356" max="4356" width="12.28515625" style="4" customWidth="1"/>
    <col min="4357" max="4357" width="5.5703125" style="4" customWidth="1"/>
    <col min="4358" max="4358" width="10.7109375" style="4" customWidth="1"/>
    <col min="4359" max="4359" width="6.28515625" style="4" customWidth="1"/>
    <col min="4360" max="4360" width="12.85546875" style="4" customWidth="1"/>
    <col min="4361" max="4361" width="26.42578125" style="4" customWidth="1"/>
    <col min="4362" max="4362" width="23.28515625" style="4" customWidth="1"/>
    <col min="4363" max="4363" width="12.140625" style="4" customWidth="1"/>
    <col min="4364" max="4364" width="5.140625" style="4" customWidth="1"/>
    <col min="4365" max="4365" width="14" style="4" customWidth="1"/>
    <col min="4366" max="4608" width="9.140625" style="4"/>
    <col min="4609" max="4609" width="5.140625" style="4" customWidth="1"/>
    <col min="4610" max="4610" width="3.5703125" style="4" customWidth="1"/>
    <col min="4611" max="4611" width="55.5703125" style="4" customWidth="1"/>
    <col min="4612" max="4612" width="12.28515625" style="4" customWidth="1"/>
    <col min="4613" max="4613" width="5.5703125" style="4" customWidth="1"/>
    <col min="4614" max="4614" width="10.7109375" style="4" customWidth="1"/>
    <col min="4615" max="4615" width="6.28515625" style="4" customWidth="1"/>
    <col min="4616" max="4616" width="12.85546875" style="4" customWidth="1"/>
    <col min="4617" max="4617" width="26.42578125" style="4" customWidth="1"/>
    <col min="4618" max="4618" width="23.28515625" style="4" customWidth="1"/>
    <col min="4619" max="4619" width="12.140625" style="4" customWidth="1"/>
    <col min="4620" max="4620" width="5.140625" style="4" customWidth="1"/>
    <col min="4621" max="4621" width="14" style="4" customWidth="1"/>
    <col min="4622" max="4864" width="9.140625" style="4"/>
    <col min="4865" max="4865" width="5.140625" style="4" customWidth="1"/>
    <col min="4866" max="4866" width="3.5703125" style="4" customWidth="1"/>
    <col min="4867" max="4867" width="55.5703125" style="4" customWidth="1"/>
    <col min="4868" max="4868" width="12.28515625" style="4" customWidth="1"/>
    <col min="4869" max="4869" width="5.5703125" style="4" customWidth="1"/>
    <col min="4870" max="4870" width="10.7109375" style="4" customWidth="1"/>
    <col min="4871" max="4871" width="6.28515625" style="4" customWidth="1"/>
    <col min="4872" max="4872" width="12.85546875" style="4" customWidth="1"/>
    <col min="4873" max="4873" width="26.42578125" style="4" customWidth="1"/>
    <col min="4874" max="4874" width="23.28515625" style="4" customWidth="1"/>
    <col min="4875" max="4875" width="12.140625" style="4" customWidth="1"/>
    <col min="4876" max="4876" width="5.140625" style="4" customWidth="1"/>
    <col min="4877" max="4877" width="14" style="4" customWidth="1"/>
    <col min="4878" max="5120" width="9.140625" style="4"/>
    <col min="5121" max="5121" width="5.140625" style="4" customWidth="1"/>
    <col min="5122" max="5122" width="3.5703125" style="4" customWidth="1"/>
    <col min="5123" max="5123" width="55.5703125" style="4" customWidth="1"/>
    <col min="5124" max="5124" width="12.28515625" style="4" customWidth="1"/>
    <col min="5125" max="5125" width="5.5703125" style="4" customWidth="1"/>
    <col min="5126" max="5126" width="10.7109375" style="4" customWidth="1"/>
    <col min="5127" max="5127" width="6.28515625" style="4" customWidth="1"/>
    <col min="5128" max="5128" width="12.85546875" style="4" customWidth="1"/>
    <col min="5129" max="5129" width="26.42578125" style="4" customWidth="1"/>
    <col min="5130" max="5130" width="23.28515625" style="4" customWidth="1"/>
    <col min="5131" max="5131" width="12.140625" style="4" customWidth="1"/>
    <col min="5132" max="5132" width="5.140625" style="4" customWidth="1"/>
    <col min="5133" max="5133" width="14" style="4" customWidth="1"/>
    <col min="5134" max="5376" width="9.140625" style="4"/>
    <col min="5377" max="5377" width="5.140625" style="4" customWidth="1"/>
    <col min="5378" max="5378" width="3.5703125" style="4" customWidth="1"/>
    <col min="5379" max="5379" width="55.5703125" style="4" customWidth="1"/>
    <col min="5380" max="5380" width="12.28515625" style="4" customWidth="1"/>
    <col min="5381" max="5381" width="5.5703125" style="4" customWidth="1"/>
    <col min="5382" max="5382" width="10.7109375" style="4" customWidth="1"/>
    <col min="5383" max="5383" width="6.28515625" style="4" customWidth="1"/>
    <col min="5384" max="5384" width="12.85546875" style="4" customWidth="1"/>
    <col min="5385" max="5385" width="26.42578125" style="4" customWidth="1"/>
    <col min="5386" max="5386" width="23.28515625" style="4" customWidth="1"/>
    <col min="5387" max="5387" width="12.140625" style="4" customWidth="1"/>
    <col min="5388" max="5388" width="5.140625" style="4" customWidth="1"/>
    <col min="5389" max="5389" width="14" style="4" customWidth="1"/>
    <col min="5390" max="5632" width="9.140625" style="4"/>
    <col min="5633" max="5633" width="5.140625" style="4" customWidth="1"/>
    <col min="5634" max="5634" width="3.5703125" style="4" customWidth="1"/>
    <col min="5635" max="5635" width="55.5703125" style="4" customWidth="1"/>
    <col min="5636" max="5636" width="12.28515625" style="4" customWidth="1"/>
    <col min="5637" max="5637" width="5.5703125" style="4" customWidth="1"/>
    <col min="5638" max="5638" width="10.7109375" style="4" customWidth="1"/>
    <col min="5639" max="5639" width="6.28515625" style="4" customWidth="1"/>
    <col min="5640" max="5640" width="12.85546875" style="4" customWidth="1"/>
    <col min="5641" max="5641" width="26.42578125" style="4" customWidth="1"/>
    <col min="5642" max="5642" width="23.28515625" style="4" customWidth="1"/>
    <col min="5643" max="5643" width="12.140625" style="4" customWidth="1"/>
    <col min="5644" max="5644" width="5.140625" style="4" customWidth="1"/>
    <col min="5645" max="5645" width="14" style="4" customWidth="1"/>
    <col min="5646" max="5888" width="9.140625" style="4"/>
    <col min="5889" max="5889" width="5.140625" style="4" customWidth="1"/>
    <col min="5890" max="5890" width="3.5703125" style="4" customWidth="1"/>
    <col min="5891" max="5891" width="55.5703125" style="4" customWidth="1"/>
    <col min="5892" max="5892" width="12.28515625" style="4" customWidth="1"/>
    <col min="5893" max="5893" width="5.5703125" style="4" customWidth="1"/>
    <col min="5894" max="5894" width="10.7109375" style="4" customWidth="1"/>
    <col min="5895" max="5895" width="6.28515625" style="4" customWidth="1"/>
    <col min="5896" max="5896" width="12.85546875" style="4" customWidth="1"/>
    <col min="5897" max="5897" width="26.42578125" style="4" customWidth="1"/>
    <col min="5898" max="5898" width="23.28515625" style="4" customWidth="1"/>
    <col min="5899" max="5899" width="12.140625" style="4" customWidth="1"/>
    <col min="5900" max="5900" width="5.140625" style="4" customWidth="1"/>
    <col min="5901" max="5901" width="14" style="4" customWidth="1"/>
    <col min="5902" max="6144" width="9.140625" style="4"/>
    <col min="6145" max="6145" width="5.140625" style="4" customWidth="1"/>
    <col min="6146" max="6146" width="3.5703125" style="4" customWidth="1"/>
    <col min="6147" max="6147" width="55.5703125" style="4" customWidth="1"/>
    <col min="6148" max="6148" width="12.28515625" style="4" customWidth="1"/>
    <col min="6149" max="6149" width="5.5703125" style="4" customWidth="1"/>
    <col min="6150" max="6150" width="10.7109375" style="4" customWidth="1"/>
    <col min="6151" max="6151" width="6.28515625" style="4" customWidth="1"/>
    <col min="6152" max="6152" width="12.85546875" style="4" customWidth="1"/>
    <col min="6153" max="6153" width="26.42578125" style="4" customWidth="1"/>
    <col min="6154" max="6154" width="23.28515625" style="4" customWidth="1"/>
    <col min="6155" max="6155" width="12.140625" style="4" customWidth="1"/>
    <col min="6156" max="6156" width="5.140625" style="4" customWidth="1"/>
    <col min="6157" max="6157" width="14" style="4" customWidth="1"/>
    <col min="6158" max="6400" width="9.140625" style="4"/>
    <col min="6401" max="6401" width="5.140625" style="4" customWidth="1"/>
    <col min="6402" max="6402" width="3.5703125" style="4" customWidth="1"/>
    <col min="6403" max="6403" width="55.5703125" style="4" customWidth="1"/>
    <col min="6404" max="6404" width="12.28515625" style="4" customWidth="1"/>
    <col min="6405" max="6405" width="5.5703125" style="4" customWidth="1"/>
    <col min="6406" max="6406" width="10.7109375" style="4" customWidth="1"/>
    <col min="6407" max="6407" width="6.28515625" style="4" customWidth="1"/>
    <col min="6408" max="6408" width="12.85546875" style="4" customWidth="1"/>
    <col min="6409" max="6409" width="26.42578125" style="4" customWidth="1"/>
    <col min="6410" max="6410" width="23.28515625" style="4" customWidth="1"/>
    <col min="6411" max="6411" width="12.140625" style="4" customWidth="1"/>
    <col min="6412" max="6412" width="5.140625" style="4" customWidth="1"/>
    <col min="6413" max="6413" width="14" style="4" customWidth="1"/>
    <col min="6414" max="6656" width="9.140625" style="4"/>
    <col min="6657" max="6657" width="5.140625" style="4" customWidth="1"/>
    <col min="6658" max="6658" width="3.5703125" style="4" customWidth="1"/>
    <col min="6659" max="6659" width="55.5703125" style="4" customWidth="1"/>
    <col min="6660" max="6660" width="12.28515625" style="4" customWidth="1"/>
    <col min="6661" max="6661" width="5.5703125" style="4" customWidth="1"/>
    <col min="6662" max="6662" width="10.7109375" style="4" customWidth="1"/>
    <col min="6663" max="6663" width="6.28515625" style="4" customWidth="1"/>
    <col min="6664" max="6664" width="12.85546875" style="4" customWidth="1"/>
    <col min="6665" max="6665" width="26.42578125" style="4" customWidth="1"/>
    <col min="6666" max="6666" width="23.28515625" style="4" customWidth="1"/>
    <col min="6667" max="6667" width="12.140625" style="4" customWidth="1"/>
    <col min="6668" max="6668" width="5.140625" style="4" customWidth="1"/>
    <col min="6669" max="6669" width="14" style="4" customWidth="1"/>
    <col min="6670" max="6912" width="9.140625" style="4"/>
    <col min="6913" max="6913" width="5.140625" style="4" customWidth="1"/>
    <col min="6914" max="6914" width="3.5703125" style="4" customWidth="1"/>
    <col min="6915" max="6915" width="55.5703125" style="4" customWidth="1"/>
    <col min="6916" max="6916" width="12.28515625" style="4" customWidth="1"/>
    <col min="6917" max="6917" width="5.5703125" style="4" customWidth="1"/>
    <col min="6918" max="6918" width="10.7109375" style="4" customWidth="1"/>
    <col min="6919" max="6919" width="6.28515625" style="4" customWidth="1"/>
    <col min="6920" max="6920" width="12.85546875" style="4" customWidth="1"/>
    <col min="6921" max="6921" width="26.42578125" style="4" customWidth="1"/>
    <col min="6922" max="6922" width="23.28515625" style="4" customWidth="1"/>
    <col min="6923" max="6923" width="12.140625" style="4" customWidth="1"/>
    <col min="6924" max="6924" width="5.140625" style="4" customWidth="1"/>
    <col min="6925" max="6925" width="14" style="4" customWidth="1"/>
    <col min="6926" max="7168" width="9.140625" style="4"/>
    <col min="7169" max="7169" width="5.140625" style="4" customWidth="1"/>
    <col min="7170" max="7170" width="3.5703125" style="4" customWidth="1"/>
    <col min="7171" max="7171" width="55.5703125" style="4" customWidth="1"/>
    <col min="7172" max="7172" width="12.28515625" style="4" customWidth="1"/>
    <col min="7173" max="7173" width="5.5703125" style="4" customWidth="1"/>
    <col min="7174" max="7174" width="10.7109375" style="4" customWidth="1"/>
    <col min="7175" max="7175" width="6.28515625" style="4" customWidth="1"/>
    <col min="7176" max="7176" width="12.85546875" style="4" customWidth="1"/>
    <col min="7177" max="7177" width="26.42578125" style="4" customWidth="1"/>
    <col min="7178" max="7178" width="23.28515625" style="4" customWidth="1"/>
    <col min="7179" max="7179" width="12.140625" style="4" customWidth="1"/>
    <col min="7180" max="7180" width="5.140625" style="4" customWidth="1"/>
    <col min="7181" max="7181" width="14" style="4" customWidth="1"/>
    <col min="7182" max="7424" width="9.140625" style="4"/>
    <col min="7425" max="7425" width="5.140625" style="4" customWidth="1"/>
    <col min="7426" max="7426" width="3.5703125" style="4" customWidth="1"/>
    <col min="7427" max="7427" width="55.5703125" style="4" customWidth="1"/>
    <col min="7428" max="7428" width="12.28515625" style="4" customWidth="1"/>
    <col min="7429" max="7429" width="5.5703125" style="4" customWidth="1"/>
    <col min="7430" max="7430" width="10.7109375" style="4" customWidth="1"/>
    <col min="7431" max="7431" width="6.28515625" style="4" customWidth="1"/>
    <col min="7432" max="7432" width="12.85546875" style="4" customWidth="1"/>
    <col min="7433" max="7433" width="26.42578125" style="4" customWidth="1"/>
    <col min="7434" max="7434" width="23.28515625" style="4" customWidth="1"/>
    <col min="7435" max="7435" width="12.140625" style="4" customWidth="1"/>
    <col min="7436" max="7436" width="5.140625" style="4" customWidth="1"/>
    <col min="7437" max="7437" width="14" style="4" customWidth="1"/>
    <col min="7438" max="7680" width="9.140625" style="4"/>
    <col min="7681" max="7681" width="5.140625" style="4" customWidth="1"/>
    <col min="7682" max="7682" width="3.5703125" style="4" customWidth="1"/>
    <col min="7683" max="7683" width="55.5703125" style="4" customWidth="1"/>
    <col min="7684" max="7684" width="12.28515625" style="4" customWidth="1"/>
    <col min="7685" max="7685" width="5.5703125" style="4" customWidth="1"/>
    <col min="7686" max="7686" width="10.7109375" style="4" customWidth="1"/>
    <col min="7687" max="7687" width="6.28515625" style="4" customWidth="1"/>
    <col min="7688" max="7688" width="12.85546875" style="4" customWidth="1"/>
    <col min="7689" max="7689" width="26.42578125" style="4" customWidth="1"/>
    <col min="7690" max="7690" width="23.28515625" style="4" customWidth="1"/>
    <col min="7691" max="7691" width="12.140625" style="4" customWidth="1"/>
    <col min="7692" max="7692" width="5.140625" style="4" customWidth="1"/>
    <col min="7693" max="7693" width="14" style="4" customWidth="1"/>
    <col min="7694" max="7936" width="9.140625" style="4"/>
    <col min="7937" max="7937" width="5.140625" style="4" customWidth="1"/>
    <col min="7938" max="7938" width="3.5703125" style="4" customWidth="1"/>
    <col min="7939" max="7939" width="55.5703125" style="4" customWidth="1"/>
    <col min="7940" max="7940" width="12.28515625" style="4" customWidth="1"/>
    <col min="7941" max="7941" width="5.5703125" style="4" customWidth="1"/>
    <col min="7942" max="7942" width="10.7109375" style="4" customWidth="1"/>
    <col min="7943" max="7943" width="6.28515625" style="4" customWidth="1"/>
    <col min="7944" max="7944" width="12.85546875" style="4" customWidth="1"/>
    <col min="7945" max="7945" width="26.42578125" style="4" customWidth="1"/>
    <col min="7946" max="7946" width="23.28515625" style="4" customWidth="1"/>
    <col min="7947" max="7947" width="12.140625" style="4" customWidth="1"/>
    <col min="7948" max="7948" width="5.140625" style="4" customWidth="1"/>
    <col min="7949" max="7949" width="14" style="4" customWidth="1"/>
    <col min="7950" max="8192" width="9.140625" style="4"/>
    <col min="8193" max="8193" width="5.140625" style="4" customWidth="1"/>
    <col min="8194" max="8194" width="3.5703125" style="4" customWidth="1"/>
    <col min="8195" max="8195" width="55.5703125" style="4" customWidth="1"/>
    <col min="8196" max="8196" width="12.28515625" style="4" customWidth="1"/>
    <col min="8197" max="8197" width="5.5703125" style="4" customWidth="1"/>
    <col min="8198" max="8198" width="10.7109375" style="4" customWidth="1"/>
    <col min="8199" max="8199" width="6.28515625" style="4" customWidth="1"/>
    <col min="8200" max="8200" width="12.85546875" style="4" customWidth="1"/>
    <col min="8201" max="8201" width="26.42578125" style="4" customWidth="1"/>
    <col min="8202" max="8202" width="23.28515625" style="4" customWidth="1"/>
    <col min="8203" max="8203" width="12.140625" style="4" customWidth="1"/>
    <col min="8204" max="8204" width="5.140625" style="4" customWidth="1"/>
    <col min="8205" max="8205" width="14" style="4" customWidth="1"/>
    <col min="8206" max="8448" width="9.140625" style="4"/>
    <col min="8449" max="8449" width="5.140625" style="4" customWidth="1"/>
    <col min="8450" max="8450" width="3.5703125" style="4" customWidth="1"/>
    <col min="8451" max="8451" width="55.5703125" style="4" customWidth="1"/>
    <col min="8452" max="8452" width="12.28515625" style="4" customWidth="1"/>
    <col min="8453" max="8453" width="5.5703125" style="4" customWidth="1"/>
    <col min="8454" max="8454" width="10.7109375" style="4" customWidth="1"/>
    <col min="8455" max="8455" width="6.28515625" style="4" customWidth="1"/>
    <col min="8456" max="8456" width="12.85546875" style="4" customWidth="1"/>
    <col min="8457" max="8457" width="26.42578125" style="4" customWidth="1"/>
    <col min="8458" max="8458" width="23.28515625" style="4" customWidth="1"/>
    <col min="8459" max="8459" width="12.140625" style="4" customWidth="1"/>
    <col min="8460" max="8460" width="5.140625" style="4" customWidth="1"/>
    <col min="8461" max="8461" width="14" style="4" customWidth="1"/>
    <col min="8462" max="8704" width="9.140625" style="4"/>
    <col min="8705" max="8705" width="5.140625" style="4" customWidth="1"/>
    <col min="8706" max="8706" width="3.5703125" style="4" customWidth="1"/>
    <col min="8707" max="8707" width="55.5703125" style="4" customWidth="1"/>
    <col min="8708" max="8708" width="12.28515625" style="4" customWidth="1"/>
    <col min="8709" max="8709" width="5.5703125" style="4" customWidth="1"/>
    <col min="8710" max="8710" width="10.7109375" style="4" customWidth="1"/>
    <col min="8711" max="8711" width="6.28515625" style="4" customWidth="1"/>
    <col min="8712" max="8712" width="12.85546875" style="4" customWidth="1"/>
    <col min="8713" max="8713" width="26.42578125" style="4" customWidth="1"/>
    <col min="8714" max="8714" width="23.28515625" style="4" customWidth="1"/>
    <col min="8715" max="8715" width="12.140625" style="4" customWidth="1"/>
    <col min="8716" max="8716" width="5.140625" style="4" customWidth="1"/>
    <col min="8717" max="8717" width="14" style="4" customWidth="1"/>
    <col min="8718" max="8960" width="9.140625" style="4"/>
    <col min="8961" max="8961" width="5.140625" style="4" customWidth="1"/>
    <col min="8962" max="8962" width="3.5703125" style="4" customWidth="1"/>
    <col min="8963" max="8963" width="55.5703125" style="4" customWidth="1"/>
    <col min="8964" max="8964" width="12.28515625" style="4" customWidth="1"/>
    <col min="8965" max="8965" width="5.5703125" style="4" customWidth="1"/>
    <col min="8966" max="8966" width="10.7109375" style="4" customWidth="1"/>
    <col min="8967" max="8967" width="6.28515625" style="4" customWidth="1"/>
    <col min="8968" max="8968" width="12.85546875" style="4" customWidth="1"/>
    <col min="8969" max="8969" width="26.42578125" style="4" customWidth="1"/>
    <col min="8970" max="8970" width="23.28515625" style="4" customWidth="1"/>
    <col min="8971" max="8971" width="12.140625" style="4" customWidth="1"/>
    <col min="8972" max="8972" width="5.140625" style="4" customWidth="1"/>
    <col min="8973" max="8973" width="14" style="4" customWidth="1"/>
    <col min="8974" max="9216" width="9.140625" style="4"/>
    <col min="9217" max="9217" width="5.140625" style="4" customWidth="1"/>
    <col min="9218" max="9218" width="3.5703125" style="4" customWidth="1"/>
    <col min="9219" max="9219" width="55.5703125" style="4" customWidth="1"/>
    <col min="9220" max="9220" width="12.28515625" style="4" customWidth="1"/>
    <col min="9221" max="9221" width="5.5703125" style="4" customWidth="1"/>
    <col min="9222" max="9222" width="10.7109375" style="4" customWidth="1"/>
    <col min="9223" max="9223" width="6.28515625" style="4" customWidth="1"/>
    <col min="9224" max="9224" width="12.85546875" style="4" customWidth="1"/>
    <col min="9225" max="9225" width="26.42578125" style="4" customWidth="1"/>
    <col min="9226" max="9226" width="23.28515625" style="4" customWidth="1"/>
    <col min="9227" max="9227" width="12.140625" style="4" customWidth="1"/>
    <col min="9228" max="9228" width="5.140625" style="4" customWidth="1"/>
    <col min="9229" max="9229" width="14" style="4" customWidth="1"/>
    <col min="9230" max="9472" width="9.140625" style="4"/>
    <col min="9473" max="9473" width="5.140625" style="4" customWidth="1"/>
    <col min="9474" max="9474" width="3.5703125" style="4" customWidth="1"/>
    <col min="9475" max="9475" width="55.5703125" style="4" customWidth="1"/>
    <col min="9476" max="9476" width="12.28515625" style="4" customWidth="1"/>
    <col min="9477" max="9477" width="5.5703125" style="4" customWidth="1"/>
    <col min="9478" max="9478" width="10.7109375" style="4" customWidth="1"/>
    <col min="9479" max="9479" width="6.28515625" style="4" customWidth="1"/>
    <col min="9480" max="9480" width="12.85546875" style="4" customWidth="1"/>
    <col min="9481" max="9481" width="26.42578125" style="4" customWidth="1"/>
    <col min="9482" max="9482" width="23.28515625" style="4" customWidth="1"/>
    <col min="9483" max="9483" width="12.140625" style="4" customWidth="1"/>
    <col min="9484" max="9484" width="5.140625" style="4" customWidth="1"/>
    <col min="9485" max="9485" width="14" style="4" customWidth="1"/>
    <col min="9486" max="9728" width="9.140625" style="4"/>
    <col min="9729" max="9729" width="5.140625" style="4" customWidth="1"/>
    <col min="9730" max="9730" width="3.5703125" style="4" customWidth="1"/>
    <col min="9731" max="9731" width="55.5703125" style="4" customWidth="1"/>
    <col min="9732" max="9732" width="12.28515625" style="4" customWidth="1"/>
    <col min="9733" max="9733" width="5.5703125" style="4" customWidth="1"/>
    <col min="9734" max="9734" width="10.7109375" style="4" customWidth="1"/>
    <col min="9735" max="9735" width="6.28515625" style="4" customWidth="1"/>
    <col min="9736" max="9736" width="12.85546875" style="4" customWidth="1"/>
    <col min="9737" max="9737" width="26.42578125" style="4" customWidth="1"/>
    <col min="9738" max="9738" width="23.28515625" style="4" customWidth="1"/>
    <col min="9739" max="9739" width="12.140625" style="4" customWidth="1"/>
    <col min="9740" max="9740" width="5.140625" style="4" customWidth="1"/>
    <col min="9741" max="9741" width="14" style="4" customWidth="1"/>
    <col min="9742" max="9984" width="9.140625" style="4"/>
    <col min="9985" max="9985" width="5.140625" style="4" customWidth="1"/>
    <col min="9986" max="9986" width="3.5703125" style="4" customWidth="1"/>
    <col min="9987" max="9987" width="55.5703125" style="4" customWidth="1"/>
    <col min="9988" max="9988" width="12.28515625" style="4" customWidth="1"/>
    <col min="9989" max="9989" width="5.5703125" style="4" customWidth="1"/>
    <col min="9990" max="9990" width="10.7109375" style="4" customWidth="1"/>
    <col min="9991" max="9991" width="6.28515625" style="4" customWidth="1"/>
    <col min="9992" max="9992" width="12.85546875" style="4" customWidth="1"/>
    <col min="9993" max="9993" width="26.42578125" style="4" customWidth="1"/>
    <col min="9994" max="9994" width="23.28515625" style="4" customWidth="1"/>
    <col min="9995" max="9995" width="12.140625" style="4" customWidth="1"/>
    <col min="9996" max="9996" width="5.140625" style="4" customWidth="1"/>
    <col min="9997" max="9997" width="14" style="4" customWidth="1"/>
    <col min="9998" max="10240" width="9.140625" style="4"/>
    <col min="10241" max="10241" width="5.140625" style="4" customWidth="1"/>
    <col min="10242" max="10242" width="3.5703125" style="4" customWidth="1"/>
    <col min="10243" max="10243" width="55.5703125" style="4" customWidth="1"/>
    <col min="10244" max="10244" width="12.28515625" style="4" customWidth="1"/>
    <col min="10245" max="10245" width="5.5703125" style="4" customWidth="1"/>
    <col min="10246" max="10246" width="10.7109375" style="4" customWidth="1"/>
    <col min="10247" max="10247" width="6.28515625" style="4" customWidth="1"/>
    <col min="10248" max="10248" width="12.85546875" style="4" customWidth="1"/>
    <col min="10249" max="10249" width="26.42578125" style="4" customWidth="1"/>
    <col min="10250" max="10250" width="23.28515625" style="4" customWidth="1"/>
    <col min="10251" max="10251" width="12.140625" style="4" customWidth="1"/>
    <col min="10252" max="10252" width="5.140625" style="4" customWidth="1"/>
    <col min="10253" max="10253" width="14" style="4" customWidth="1"/>
    <col min="10254" max="10496" width="9.140625" style="4"/>
    <col min="10497" max="10497" width="5.140625" style="4" customWidth="1"/>
    <col min="10498" max="10498" width="3.5703125" style="4" customWidth="1"/>
    <col min="10499" max="10499" width="55.5703125" style="4" customWidth="1"/>
    <col min="10500" max="10500" width="12.28515625" style="4" customWidth="1"/>
    <col min="10501" max="10501" width="5.5703125" style="4" customWidth="1"/>
    <col min="10502" max="10502" width="10.7109375" style="4" customWidth="1"/>
    <col min="10503" max="10503" width="6.28515625" style="4" customWidth="1"/>
    <col min="10504" max="10504" width="12.85546875" style="4" customWidth="1"/>
    <col min="10505" max="10505" width="26.42578125" style="4" customWidth="1"/>
    <col min="10506" max="10506" width="23.28515625" style="4" customWidth="1"/>
    <col min="10507" max="10507" width="12.140625" style="4" customWidth="1"/>
    <col min="10508" max="10508" width="5.140625" style="4" customWidth="1"/>
    <col min="10509" max="10509" width="14" style="4" customWidth="1"/>
    <col min="10510" max="10752" width="9.140625" style="4"/>
    <col min="10753" max="10753" width="5.140625" style="4" customWidth="1"/>
    <col min="10754" max="10754" width="3.5703125" style="4" customWidth="1"/>
    <col min="10755" max="10755" width="55.5703125" style="4" customWidth="1"/>
    <col min="10756" max="10756" width="12.28515625" style="4" customWidth="1"/>
    <col min="10757" max="10757" width="5.5703125" style="4" customWidth="1"/>
    <col min="10758" max="10758" width="10.7109375" style="4" customWidth="1"/>
    <col min="10759" max="10759" width="6.28515625" style="4" customWidth="1"/>
    <col min="10760" max="10760" width="12.85546875" style="4" customWidth="1"/>
    <col min="10761" max="10761" width="26.42578125" style="4" customWidth="1"/>
    <col min="10762" max="10762" width="23.28515625" style="4" customWidth="1"/>
    <col min="10763" max="10763" width="12.140625" style="4" customWidth="1"/>
    <col min="10764" max="10764" width="5.140625" style="4" customWidth="1"/>
    <col min="10765" max="10765" width="14" style="4" customWidth="1"/>
    <col min="10766" max="11008" width="9.140625" style="4"/>
    <col min="11009" max="11009" width="5.140625" style="4" customWidth="1"/>
    <col min="11010" max="11010" width="3.5703125" style="4" customWidth="1"/>
    <col min="11011" max="11011" width="55.5703125" style="4" customWidth="1"/>
    <col min="11012" max="11012" width="12.28515625" style="4" customWidth="1"/>
    <col min="11013" max="11013" width="5.5703125" style="4" customWidth="1"/>
    <col min="11014" max="11014" width="10.7109375" style="4" customWidth="1"/>
    <col min="11015" max="11015" width="6.28515625" style="4" customWidth="1"/>
    <col min="11016" max="11016" width="12.85546875" style="4" customWidth="1"/>
    <col min="11017" max="11017" width="26.42578125" style="4" customWidth="1"/>
    <col min="11018" max="11018" width="23.28515625" style="4" customWidth="1"/>
    <col min="11019" max="11019" width="12.140625" style="4" customWidth="1"/>
    <col min="11020" max="11020" width="5.140625" style="4" customWidth="1"/>
    <col min="11021" max="11021" width="14" style="4" customWidth="1"/>
    <col min="11022" max="11264" width="9.140625" style="4"/>
    <col min="11265" max="11265" width="5.140625" style="4" customWidth="1"/>
    <col min="11266" max="11266" width="3.5703125" style="4" customWidth="1"/>
    <col min="11267" max="11267" width="55.5703125" style="4" customWidth="1"/>
    <col min="11268" max="11268" width="12.28515625" style="4" customWidth="1"/>
    <col min="11269" max="11269" width="5.5703125" style="4" customWidth="1"/>
    <col min="11270" max="11270" width="10.7109375" style="4" customWidth="1"/>
    <col min="11271" max="11271" width="6.28515625" style="4" customWidth="1"/>
    <col min="11272" max="11272" width="12.85546875" style="4" customWidth="1"/>
    <col min="11273" max="11273" width="26.42578125" style="4" customWidth="1"/>
    <col min="11274" max="11274" width="23.28515625" style="4" customWidth="1"/>
    <col min="11275" max="11275" width="12.140625" style="4" customWidth="1"/>
    <col min="11276" max="11276" width="5.140625" style="4" customWidth="1"/>
    <col min="11277" max="11277" width="14" style="4" customWidth="1"/>
    <col min="11278" max="11520" width="9.140625" style="4"/>
    <col min="11521" max="11521" width="5.140625" style="4" customWidth="1"/>
    <col min="11522" max="11522" width="3.5703125" style="4" customWidth="1"/>
    <col min="11523" max="11523" width="55.5703125" style="4" customWidth="1"/>
    <col min="11524" max="11524" width="12.28515625" style="4" customWidth="1"/>
    <col min="11525" max="11525" width="5.5703125" style="4" customWidth="1"/>
    <col min="11526" max="11526" width="10.7109375" style="4" customWidth="1"/>
    <col min="11527" max="11527" width="6.28515625" style="4" customWidth="1"/>
    <col min="11528" max="11528" width="12.85546875" style="4" customWidth="1"/>
    <col min="11529" max="11529" width="26.42578125" style="4" customWidth="1"/>
    <col min="11530" max="11530" width="23.28515625" style="4" customWidth="1"/>
    <col min="11531" max="11531" width="12.140625" style="4" customWidth="1"/>
    <col min="11532" max="11532" width="5.140625" style="4" customWidth="1"/>
    <col min="11533" max="11533" width="14" style="4" customWidth="1"/>
    <col min="11534" max="11776" width="9.140625" style="4"/>
    <col min="11777" max="11777" width="5.140625" style="4" customWidth="1"/>
    <col min="11778" max="11778" width="3.5703125" style="4" customWidth="1"/>
    <col min="11779" max="11779" width="55.5703125" style="4" customWidth="1"/>
    <col min="11780" max="11780" width="12.28515625" style="4" customWidth="1"/>
    <col min="11781" max="11781" width="5.5703125" style="4" customWidth="1"/>
    <col min="11782" max="11782" width="10.7109375" style="4" customWidth="1"/>
    <col min="11783" max="11783" width="6.28515625" style="4" customWidth="1"/>
    <col min="11784" max="11784" width="12.85546875" style="4" customWidth="1"/>
    <col min="11785" max="11785" width="26.42578125" style="4" customWidth="1"/>
    <col min="11786" max="11786" width="23.28515625" style="4" customWidth="1"/>
    <col min="11787" max="11787" width="12.140625" style="4" customWidth="1"/>
    <col min="11788" max="11788" width="5.140625" style="4" customWidth="1"/>
    <col min="11789" max="11789" width="14" style="4" customWidth="1"/>
    <col min="11790" max="12032" width="9.140625" style="4"/>
    <col min="12033" max="12033" width="5.140625" style="4" customWidth="1"/>
    <col min="12034" max="12034" width="3.5703125" style="4" customWidth="1"/>
    <col min="12035" max="12035" width="55.5703125" style="4" customWidth="1"/>
    <col min="12036" max="12036" width="12.28515625" style="4" customWidth="1"/>
    <col min="12037" max="12037" width="5.5703125" style="4" customWidth="1"/>
    <col min="12038" max="12038" width="10.7109375" style="4" customWidth="1"/>
    <col min="12039" max="12039" width="6.28515625" style="4" customWidth="1"/>
    <col min="12040" max="12040" width="12.85546875" style="4" customWidth="1"/>
    <col min="12041" max="12041" width="26.42578125" style="4" customWidth="1"/>
    <col min="12042" max="12042" width="23.28515625" style="4" customWidth="1"/>
    <col min="12043" max="12043" width="12.140625" style="4" customWidth="1"/>
    <col min="12044" max="12044" width="5.140625" style="4" customWidth="1"/>
    <col min="12045" max="12045" width="14" style="4" customWidth="1"/>
    <col min="12046" max="12288" width="9.140625" style="4"/>
    <col min="12289" max="12289" width="5.140625" style="4" customWidth="1"/>
    <col min="12290" max="12290" width="3.5703125" style="4" customWidth="1"/>
    <col min="12291" max="12291" width="55.5703125" style="4" customWidth="1"/>
    <col min="12292" max="12292" width="12.28515625" style="4" customWidth="1"/>
    <col min="12293" max="12293" width="5.5703125" style="4" customWidth="1"/>
    <col min="12294" max="12294" width="10.7109375" style="4" customWidth="1"/>
    <col min="12295" max="12295" width="6.28515625" style="4" customWidth="1"/>
    <col min="12296" max="12296" width="12.85546875" style="4" customWidth="1"/>
    <col min="12297" max="12297" width="26.42578125" style="4" customWidth="1"/>
    <col min="12298" max="12298" width="23.28515625" style="4" customWidth="1"/>
    <col min="12299" max="12299" width="12.140625" style="4" customWidth="1"/>
    <col min="12300" max="12300" width="5.140625" style="4" customWidth="1"/>
    <col min="12301" max="12301" width="14" style="4" customWidth="1"/>
    <col min="12302" max="12544" width="9.140625" style="4"/>
    <col min="12545" max="12545" width="5.140625" style="4" customWidth="1"/>
    <col min="12546" max="12546" width="3.5703125" style="4" customWidth="1"/>
    <col min="12547" max="12547" width="55.5703125" style="4" customWidth="1"/>
    <col min="12548" max="12548" width="12.28515625" style="4" customWidth="1"/>
    <col min="12549" max="12549" width="5.5703125" style="4" customWidth="1"/>
    <col min="12550" max="12550" width="10.7109375" style="4" customWidth="1"/>
    <col min="12551" max="12551" width="6.28515625" style="4" customWidth="1"/>
    <col min="12552" max="12552" width="12.85546875" style="4" customWidth="1"/>
    <col min="12553" max="12553" width="26.42578125" style="4" customWidth="1"/>
    <col min="12554" max="12554" width="23.28515625" style="4" customWidth="1"/>
    <col min="12555" max="12555" width="12.140625" style="4" customWidth="1"/>
    <col min="12556" max="12556" width="5.140625" style="4" customWidth="1"/>
    <col min="12557" max="12557" width="14" style="4" customWidth="1"/>
    <col min="12558" max="12800" width="9.140625" style="4"/>
    <col min="12801" max="12801" width="5.140625" style="4" customWidth="1"/>
    <col min="12802" max="12802" width="3.5703125" style="4" customWidth="1"/>
    <col min="12803" max="12803" width="55.5703125" style="4" customWidth="1"/>
    <col min="12804" max="12804" width="12.28515625" style="4" customWidth="1"/>
    <col min="12805" max="12805" width="5.5703125" style="4" customWidth="1"/>
    <col min="12806" max="12806" width="10.7109375" style="4" customWidth="1"/>
    <col min="12807" max="12807" width="6.28515625" style="4" customWidth="1"/>
    <col min="12808" max="12808" width="12.85546875" style="4" customWidth="1"/>
    <col min="12809" max="12809" width="26.42578125" style="4" customWidth="1"/>
    <col min="12810" max="12810" width="23.28515625" style="4" customWidth="1"/>
    <col min="12811" max="12811" width="12.140625" style="4" customWidth="1"/>
    <col min="12812" max="12812" width="5.140625" style="4" customWidth="1"/>
    <col min="12813" max="12813" width="14" style="4" customWidth="1"/>
    <col min="12814" max="13056" width="9.140625" style="4"/>
    <col min="13057" max="13057" width="5.140625" style="4" customWidth="1"/>
    <col min="13058" max="13058" width="3.5703125" style="4" customWidth="1"/>
    <col min="13059" max="13059" width="55.5703125" style="4" customWidth="1"/>
    <col min="13060" max="13060" width="12.28515625" style="4" customWidth="1"/>
    <col min="13061" max="13061" width="5.5703125" style="4" customWidth="1"/>
    <col min="13062" max="13062" width="10.7109375" style="4" customWidth="1"/>
    <col min="13063" max="13063" width="6.28515625" style="4" customWidth="1"/>
    <col min="13064" max="13064" width="12.85546875" style="4" customWidth="1"/>
    <col min="13065" max="13065" width="26.42578125" style="4" customWidth="1"/>
    <col min="13066" max="13066" width="23.28515625" style="4" customWidth="1"/>
    <col min="13067" max="13067" width="12.140625" style="4" customWidth="1"/>
    <col min="13068" max="13068" width="5.140625" style="4" customWidth="1"/>
    <col min="13069" max="13069" width="14" style="4" customWidth="1"/>
    <col min="13070" max="13312" width="9.140625" style="4"/>
    <col min="13313" max="13313" width="5.140625" style="4" customWidth="1"/>
    <col min="13314" max="13314" width="3.5703125" style="4" customWidth="1"/>
    <col min="13315" max="13315" width="55.5703125" style="4" customWidth="1"/>
    <col min="13316" max="13316" width="12.28515625" style="4" customWidth="1"/>
    <col min="13317" max="13317" width="5.5703125" style="4" customWidth="1"/>
    <col min="13318" max="13318" width="10.7109375" style="4" customWidth="1"/>
    <col min="13319" max="13319" width="6.28515625" style="4" customWidth="1"/>
    <col min="13320" max="13320" width="12.85546875" style="4" customWidth="1"/>
    <col min="13321" max="13321" width="26.42578125" style="4" customWidth="1"/>
    <col min="13322" max="13322" width="23.28515625" style="4" customWidth="1"/>
    <col min="13323" max="13323" width="12.140625" style="4" customWidth="1"/>
    <col min="13324" max="13324" width="5.140625" style="4" customWidth="1"/>
    <col min="13325" max="13325" width="14" style="4" customWidth="1"/>
    <col min="13326" max="13568" width="9.140625" style="4"/>
    <col min="13569" max="13569" width="5.140625" style="4" customWidth="1"/>
    <col min="13570" max="13570" width="3.5703125" style="4" customWidth="1"/>
    <col min="13571" max="13571" width="55.5703125" style="4" customWidth="1"/>
    <col min="13572" max="13572" width="12.28515625" style="4" customWidth="1"/>
    <col min="13573" max="13573" width="5.5703125" style="4" customWidth="1"/>
    <col min="13574" max="13574" width="10.7109375" style="4" customWidth="1"/>
    <col min="13575" max="13575" width="6.28515625" style="4" customWidth="1"/>
    <col min="13576" max="13576" width="12.85546875" style="4" customWidth="1"/>
    <col min="13577" max="13577" width="26.42578125" style="4" customWidth="1"/>
    <col min="13578" max="13578" width="23.28515625" style="4" customWidth="1"/>
    <col min="13579" max="13579" width="12.140625" style="4" customWidth="1"/>
    <col min="13580" max="13580" width="5.140625" style="4" customWidth="1"/>
    <col min="13581" max="13581" width="14" style="4" customWidth="1"/>
    <col min="13582" max="13824" width="9.140625" style="4"/>
    <col min="13825" max="13825" width="5.140625" style="4" customWidth="1"/>
    <col min="13826" max="13826" width="3.5703125" style="4" customWidth="1"/>
    <col min="13827" max="13827" width="55.5703125" style="4" customWidth="1"/>
    <col min="13828" max="13828" width="12.28515625" style="4" customWidth="1"/>
    <col min="13829" max="13829" width="5.5703125" style="4" customWidth="1"/>
    <col min="13830" max="13830" width="10.7109375" style="4" customWidth="1"/>
    <col min="13831" max="13831" width="6.28515625" style="4" customWidth="1"/>
    <col min="13832" max="13832" width="12.85546875" style="4" customWidth="1"/>
    <col min="13833" max="13833" width="26.42578125" style="4" customWidth="1"/>
    <col min="13834" max="13834" width="23.28515625" style="4" customWidth="1"/>
    <col min="13835" max="13835" width="12.140625" style="4" customWidth="1"/>
    <col min="13836" max="13836" width="5.140625" style="4" customWidth="1"/>
    <col min="13837" max="13837" width="14" style="4" customWidth="1"/>
    <col min="13838" max="14080" width="9.140625" style="4"/>
    <col min="14081" max="14081" width="5.140625" style="4" customWidth="1"/>
    <col min="14082" max="14082" width="3.5703125" style="4" customWidth="1"/>
    <col min="14083" max="14083" width="55.5703125" style="4" customWidth="1"/>
    <col min="14084" max="14084" width="12.28515625" style="4" customWidth="1"/>
    <col min="14085" max="14085" width="5.5703125" style="4" customWidth="1"/>
    <col min="14086" max="14086" width="10.7109375" style="4" customWidth="1"/>
    <col min="14087" max="14087" width="6.28515625" style="4" customWidth="1"/>
    <col min="14088" max="14088" width="12.85546875" style="4" customWidth="1"/>
    <col min="14089" max="14089" width="26.42578125" style="4" customWidth="1"/>
    <col min="14090" max="14090" width="23.28515625" style="4" customWidth="1"/>
    <col min="14091" max="14091" width="12.140625" style="4" customWidth="1"/>
    <col min="14092" max="14092" width="5.140625" style="4" customWidth="1"/>
    <col min="14093" max="14093" width="14" style="4" customWidth="1"/>
    <col min="14094" max="14336" width="9.140625" style="4"/>
    <col min="14337" max="14337" width="5.140625" style="4" customWidth="1"/>
    <col min="14338" max="14338" width="3.5703125" style="4" customWidth="1"/>
    <col min="14339" max="14339" width="55.5703125" style="4" customWidth="1"/>
    <col min="14340" max="14340" width="12.28515625" style="4" customWidth="1"/>
    <col min="14341" max="14341" width="5.5703125" style="4" customWidth="1"/>
    <col min="14342" max="14342" width="10.7109375" style="4" customWidth="1"/>
    <col min="14343" max="14343" width="6.28515625" style="4" customWidth="1"/>
    <col min="14344" max="14344" width="12.85546875" style="4" customWidth="1"/>
    <col min="14345" max="14345" width="26.42578125" style="4" customWidth="1"/>
    <col min="14346" max="14346" width="23.28515625" style="4" customWidth="1"/>
    <col min="14347" max="14347" width="12.140625" style="4" customWidth="1"/>
    <col min="14348" max="14348" width="5.140625" style="4" customWidth="1"/>
    <col min="14349" max="14349" width="14" style="4" customWidth="1"/>
    <col min="14350" max="14592" width="9.140625" style="4"/>
    <col min="14593" max="14593" width="5.140625" style="4" customWidth="1"/>
    <col min="14594" max="14594" width="3.5703125" style="4" customWidth="1"/>
    <col min="14595" max="14595" width="55.5703125" style="4" customWidth="1"/>
    <col min="14596" max="14596" width="12.28515625" style="4" customWidth="1"/>
    <col min="14597" max="14597" width="5.5703125" style="4" customWidth="1"/>
    <col min="14598" max="14598" width="10.7109375" style="4" customWidth="1"/>
    <col min="14599" max="14599" width="6.28515625" style="4" customWidth="1"/>
    <col min="14600" max="14600" width="12.85546875" style="4" customWidth="1"/>
    <col min="14601" max="14601" width="26.42578125" style="4" customWidth="1"/>
    <col min="14602" max="14602" width="23.28515625" style="4" customWidth="1"/>
    <col min="14603" max="14603" width="12.140625" style="4" customWidth="1"/>
    <col min="14604" max="14604" width="5.140625" style="4" customWidth="1"/>
    <col min="14605" max="14605" width="14" style="4" customWidth="1"/>
    <col min="14606" max="14848" width="9.140625" style="4"/>
    <col min="14849" max="14849" width="5.140625" style="4" customWidth="1"/>
    <col min="14850" max="14850" width="3.5703125" style="4" customWidth="1"/>
    <col min="14851" max="14851" width="55.5703125" style="4" customWidth="1"/>
    <col min="14852" max="14852" width="12.28515625" style="4" customWidth="1"/>
    <col min="14853" max="14853" width="5.5703125" style="4" customWidth="1"/>
    <col min="14854" max="14854" width="10.7109375" style="4" customWidth="1"/>
    <col min="14855" max="14855" width="6.28515625" style="4" customWidth="1"/>
    <col min="14856" max="14856" width="12.85546875" style="4" customWidth="1"/>
    <col min="14857" max="14857" width="26.42578125" style="4" customWidth="1"/>
    <col min="14858" max="14858" width="23.28515625" style="4" customWidth="1"/>
    <col min="14859" max="14859" width="12.140625" style="4" customWidth="1"/>
    <col min="14860" max="14860" width="5.140625" style="4" customWidth="1"/>
    <col min="14861" max="14861" width="14" style="4" customWidth="1"/>
    <col min="14862" max="15104" width="9.140625" style="4"/>
    <col min="15105" max="15105" width="5.140625" style="4" customWidth="1"/>
    <col min="15106" max="15106" width="3.5703125" style="4" customWidth="1"/>
    <col min="15107" max="15107" width="55.5703125" style="4" customWidth="1"/>
    <col min="15108" max="15108" width="12.28515625" style="4" customWidth="1"/>
    <col min="15109" max="15109" width="5.5703125" style="4" customWidth="1"/>
    <col min="15110" max="15110" width="10.7109375" style="4" customWidth="1"/>
    <col min="15111" max="15111" width="6.28515625" style="4" customWidth="1"/>
    <col min="15112" max="15112" width="12.85546875" style="4" customWidth="1"/>
    <col min="15113" max="15113" width="26.42578125" style="4" customWidth="1"/>
    <col min="15114" max="15114" width="23.28515625" style="4" customWidth="1"/>
    <col min="15115" max="15115" width="12.140625" style="4" customWidth="1"/>
    <col min="15116" max="15116" width="5.140625" style="4" customWidth="1"/>
    <col min="15117" max="15117" width="14" style="4" customWidth="1"/>
    <col min="15118" max="15360" width="9.140625" style="4"/>
    <col min="15361" max="15361" width="5.140625" style="4" customWidth="1"/>
    <col min="15362" max="15362" width="3.5703125" style="4" customWidth="1"/>
    <col min="15363" max="15363" width="55.5703125" style="4" customWidth="1"/>
    <col min="15364" max="15364" width="12.28515625" style="4" customWidth="1"/>
    <col min="15365" max="15365" width="5.5703125" style="4" customWidth="1"/>
    <col min="15366" max="15366" width="10.7109375" style="4" customWidth="1"/>
    <col min="15367" max="15367" width="6.28515625" style="4" customWidth="1"/>
    <col min="15368" max="15368" width="12.85546875" style="4" customWidth="1"/>
    <col min="15369" max="15369" width="26.42578125" style="4" customWidth="1"/>
    <col min="15370" max="15370" width="23.28515625" style="4" customWidth="1"/>
    <col min="15371" max="15371" width="12.140625" style="4" customWidth="1"/>
    <col min="15372" max="15372" width="5.140625" style="4" customWidth="1"/>
    <col min="15373" max="15373" width="14" style="4" customWidth="1"/>
    <col min="15374" max="15616" width="9.140625" style="4"/>
    <col min="15617" max="15617" width="5.140625" style="4" customWidth="1"/>
    <col min="15618" max="15618" width="3.5703125" style="4" customWidth="1"/>
    <col min="15619" max="15619" width="55.5703125" style="4" customWidth="1"/>
    <col min="15620" max="15620" width="12.28515625" style="4" customWidth="1"/>
    <col min="15621" max="15621" width="5.5703125" style="4" customWidth="1"/>
    <col min="15622" max="15622" width="10.7109375" style="4" customWidth="1"/>
    <col min="15623" max="15623" width="6.28515625" style="4" customWidth="1"/>
    <col min="15624" max="15624" width="12.85546875" style="4" customWidth="1"/>
    <col min="15625" max="15625" width="26.42578125" style="4" customWidth="1"/>
    <col min="15626" max="15626" width="23.28515625" style="4" customWidth="1"/>
    <col min="15627" max="15627" width="12.140625" style="4" customWidth="1"/>
    <col min="15628" max="15628" width="5.140625" style="4" customWidth="1"/>
    <col min="15629" max="15629" width="14" style="4" customWidth="1"/>
    <col min="15630" max="15872" width="9.140625" style="4"/>
    <col min="15873" max="15873" width="5.140625" style="4" customWidth="1"/>
    <col min="15874" max="15874" width="3.5703125" style="4" customWidth="1"/>
    <col min="15875" max="15875" width="55.5703125" style="4" customWidth="1"/>
    <col min="15876" max="15876" width="12.28515625" style="4" customWidth="1"/>
    <col min="15877" max="15877" width="5.5703125" style="4" customWidth="1"/>
    <col min="15878" max="15878" width="10.7109375" style="4" customWidth="1"/>
    <col min="15879" max="15879" width="6.28515625" style="4" customWidth="1"/>
    <col min="15880" max="15880" width="12.85546875" style="4" customWidth="1"/>
    <col min="15881" max="15881" width="26.42578125" style="4" customWidth="1"/>
    <col min="15882" max="15882" width="23.28515625" style="4" customWidth="1"/>
    <col min="15883" max="15883" width="12.140625" style="4" customWidth="1"/>
    <col min="15884" max="15884" width="5.140625" style="4" customWidth="1"/>
    <col min="15885" max="15885" width="14" style="4" customWidth="1"/>
    <col min="15886" max="16128" width="9.140625" style="4"/>
    <col min="16129" max="16129" width="5.140625" style="4" customWidth="1"/>
    <col min="16130" max="16130" width="3.5703125" style="4" customWidth="1"/>
    <col min="16131" max="16131" width="55.5703125" style="4" customWidth="1"/>
    <col min="16132" max="16132" width="12.28515625" style="4" customWidth="1"/>
    <col min="16133" max="16133" width="5.5703125" style="4" customWidth="1"/>
    <col min="16134" max="16134" width="10.7109375" style="4" customWidth="1"/>
    <col min="16135" max="16135" width="6.28515625" style="4" customWidth="1"/>
    <col min="16136" max="16136" width="12.85546875" style="4" customWidth="1"/>
    <col min="16137" max="16137" width="26.42578125" style="4" customWidth="1"/>
    <col min="16138" max="16138" width="23.28515625" style="4" customWidth="1"/>
    <col min="16139" max="16139" width="12.140625" style="4" customWidth="1"/>
    <col min="16140" max="16140" width="5.140625" style="4" customWidth="1"/>
    <col min="16141" max="16141" width="14" style="4" customWidth="1"/>
    <col min="16142" max="16384" width="9.140625" style="4"/>
  </cols>
  <sheetData>
    <row r="1" spans="1:11" ht="18">
      <c r="A1" s="747"/>
      <c r="B1" s="2"/>
      <c r="C1" s="3210" t="s">
        <v>2130</v>
      </c>
      <c r="D1" s="3210"/>
      <c r="E1" s="3210"/>
      <c r="F1" s="3210"/>
      <c r="G1" s="2"/>
      <c r="H1" s="2"/>
    </row>
    <row r="2" spans="1:11">
      <c r="A2" s="747"/>
      <c r="B2" s="685"/>
      <c r="C2" s="3211" t="s">
        <v>2131</v>
      </c>
      <c r="D2" s="3211"/>
      <c r="E2" s="3211"/>
      <c r="F2" s="685"/>
      <c r="G2" s="685"/>
      <c r="H2" s="685"/>
    </row>
    <row r="3" spans="1:11" ht="10.5" customHeight="1">
      <c r="A3" s="755"/>
      <c r="B3" s="755"/>
      <c r="C3" s="755"/>
      <c r="D3" s="755"/>
      <c r="E3" s="755"/>
      <c r="F3" s="755"/>
      <c r="G3" s="755"/>
    </row>
    <row r="4" spans="1:11" ht="15">
      <c r="B4" s="230"/>
      <c r="C4" s="3212" t="s">
        <v>2132</v>
      </c>
      <c r="D4" s="3212"/>
      <c r="E4" s="3212"/>
      <c r="F4" s="3212"/>
      <c r="G4" s="3212"/>
      <c r="H4" s="3212"/>
    </row>
    <row r="5" spans="1:11" ht="8.25" customHeight="1"/>
    <row r="6" spans="1:11" ht="15">
      <c r="A6" s="231"/>
      <c r="B6" s="231"/>
      <c r="C6" s="231"/>
      <c r="D6" s="231"/>
      <c r="E6" s="231"/>
      <c r="F6" s="231"/>
      <c r="G6" s="231"/>
      <c r="H6" s="936" t="s">
        <v>89</v>
      </c>
    </row>
    <row r="7" spans="1:11" ht="11.25" customHeight="1">
      <c r="A7" s="231"/>
      <c r="B7" s="231"/>
      <c r="C7" s="231"/>
      <c r="D7" s="231"/>
      <c r="E7" s="231"/>
      <c r="F7" s="231"/>
      <c r="G7" s="231"/>
      <c r="H7" s="231"/>
    </row>
    <row r="8" spans="1:11" ht="15" customHeight="1">
      <c r="A8" s="3213" t="s">
        <v>2</v>
      </c>
      <c r="B8" s="3215" t="s">
        <v>3</v>
      </c>
      <c r="C8" s="3216"/>
      <c r="D8" s="3219" t="s">
        <v>1421</v>
      </c>
      <c r="E8" s="3165" t="s">
        <v>5</v>
      </c>
      <c r="F8" s="3165" t="s">
        <v>2133</v>
      </c>
      <c r="G8" s="3222" t="s">
        <v>2134</v>
      </c>
      <c r="H8" s="3222"/>
      <c r="J8" s="653"/>
    </row>
    <row r="9" spans="1:11" ht="16.5" customHeight="1">
      <c r="A9" s="3214"/>
      <c r="B9" s="3217"/>
      <c r="C9" s="3218"/>
      <c r="D9" s="3220"/>
      <c r="E9" s="3166"/>
      <c r="F9" s="3221"/>
      <c r="G9" s="237" t="s">
        <v>8</v>
      </c>
      <c r="H9" s="237" t="s">
        <v>1668</v>
      </c>
      <c r="J9" s="227"/>
      <c r="K9" s="227"/>
    </row>
    <row r="10" spans="1:11">
      <c r="A10" s="14">
        <v>1</v>
      </c>
      <c r="B10" s="3208">
        <v>2</v>
      </c>
      <c r="C10" s="3209"/>
      <c r="D10" s="14">
        <v>3</v>
      </c>
      <c r="E10" s="14">
        <v>4</v>
      </c>
      <c r="F10" s="14">
        <v>5</v>
      </c>
      <c r="G10" s="14">
        <v>6</v>
      </c>
      <c r="H10" s="756">
        <v>7</v>
      </c>
    </row>
    <row r="11" spans="1:11" ht="30" customHeight="1">
      <c r="A11" s="1183">
        <v>1</v>
      </c>
      <c r="B11" s="1300"/>
      <c r="C11" s="1261" t="s">
        <v>2135</v>
      </c>
      <c r="D11" s="1289">
        <v>7130601958</v>
      </c>
      <c r="E11" s="1276" t="s">
        <v>26</v>
      </c>
      <c r="F11" s="1468">
        <f>VLOOKUP(D11,'SOR RATE'!A:D,4,0)/1000</f>
        <v>64.326520000000002</v>
      </c>
      <c r="G11" s="1469">
        <v>594</v>
      </c>
      <c r="H11" s="1468">
        <f t="shared" ref="H11:H16" si="0">G11*F11</f>
        <v>38209.952880000004</v>
      </c>
    </row>
    <row r="12" spans="1:11" ht="33" customHeight="1">
      <c r="A12" s="1183">
        <v>2</v>
      </c>
      <c r="B12" s="1300"/>
      <c r="C12" s="792" t="s">
        <v>2136</v>
      </c>
      <c r="D12" s="1289">
        <v>7130601965</v>
      </c>
      <c r="E12" s="1276" t="s">
        <v>26</v>
      </c>
      <c r="F12" s="1468">
        <f>VLOOKUP(D12,'SOR RATE'!A:D,4,0)/1000</f>
        <v>63.913519999999998</v>
      </c>
      <c r="G12" s="1276">
        <v>816.2</v>
      </c>
      <c r="H12" s="1468">
        <f t="shared" si="0"/>
        <v>52166.215024000005</v>
      </c>
      <c r="J12" s="723"/>
    </row>
    <row r="13" spans="1:11" ht="18" customHeight="1">
      <c r="A13" s="1183">
        <v>3</v>
      </c>
      <c r="B13" s="1470"/>
      <c r="C13" s="1200" t="s">
        <v>2137</v>
      </c>
      <c r="D13" s="1186">
        <v>7130810684</v>
      </c>
      <c r="E13" s="1181" t="s">
        <v>40</v>
      </c>
      <c r="F13" s="735">
        <f>VLOOKUP(D13,'SOR RATE'!A:D,4,0)</f>
        <v>11136.81</v>
      </c>
      <c r="G13" s="1181">
        <v>6</v>
      </c>
      <c r="H13" s="735">
        <f t="shared" si="0"/>
        <v>66820.86</v>
      </c>
    </row>
    <row r="14" spans="1:11" ht="18" customHeight="1">
      <c r="A14" s="1183">
        <v>4</v>
      </c>
      <c r="B14" s="1470"/>
      <c r="C14" s="1200" t="s">
        <v>2138</v>
      </c>
      <c r="D14" s="1186">
        <v>7130810517</v>
      </c>
      <c r="E14" s="1181" t="s">
        <v>40</v>
      </c>
      <c r="F14" s="735">
        <f>VLOOKUP(D14,'SOR RATE'!A:D,4,0)</f>
        <v>5987.84</v>
      </c>
      <c r="G14" s="1181">
        <v>2</v>
      </c>
      <c r="H14" s="735">
        <f t="shared" si="0"/>
        <v>11975.68</v>
      </c>
    </row>
    <row r="15" spans="1:11" ht="18" customHeight="1">
      <c r="A15" s="1471">
        <v>5</v>
      </c>
      <c r="B15" s="179"/>
      <c r="C15" s="1200" t="s">
        <v>2199</v>
      </c>
      <c r="D15" s="1186">
        <v>7130810692</v>
      </c>
      <c r="E15" s="1181" t="s">
        <v>15</v>
      </c>
      <c r="F15" s="735">
        <f>VLOOKUP(D15,'SOR RATE'!A:D,4,0)</f>
        <v>410.25</v>
      </c>
      <c r="G15" s="1181">
        <v>15</v>
      </c>
      <c r="H15" s="735">
        <f t="shared" si="0"/>
        <v>6153.75</v>
      </c>
      <c r="I15" s="739" t="s">
        <v>119</v>
      </c>
      <c r="J15" s="799"/>
    </row>
    <row r="16" spans="1:11" ht="18" customHeight="1">
      <c r="A16" s="1471">
        <v>6</v>
      </c>
      <c r="B16" s="179"/>
      <c r="C16" s="1200" t="s">
        <v>617</v>
      </c>
      <c r="D16" s="1186">
        <v>7130810624</v>
      </c>
      <c r="E16" s="1181" t="s">
        <v>68</v>
      </c>
      <c r="F16" s="735">
        <f>VLOOKUP(D16,'SOR RATE'!A:D,4,0)</f>
        <v>114.38</v>
      </c>
      <c r="G16" s="1181">
        <v>48</v>
      </c>
      <c r="H16" s="735">
        <f t="shared" si="0"/>
        <v>5490.24</v>
      </c>
      <c r="I16" s="739" t="s">
        <v>119</v>
      </c>
    </row>
    <row r="17" spans="1:13" ht="29.25" customHeight="1">
      <c r="A17" s="3162">
        <v>7</v>
      </c>
      <c r="B17" s="186"/>
      <c r="C17" s="1472" t="s">
        <v>2139</v>
      </c>
      <c r="D17" s="1469"/>
      <c r="E17" s="1183" t="s">
        <v>40</v>
      </c>
      <c r="F17" s="1468"/>
      <c r="G17" s="1183">
        <v>21</v>
      </c>
      <c r="H17" s="1468"/>
    </row>
    <row r="18" spans="1:13" ht="15" customHeight="1">
      <c r="A18" s="3163"/>
      <c r="B18" s="1184" t="s">
        <v>1493</v>
      </c>
      <c r="C18" s="952" t="s">
        <v>2200</v>
      </c>
      <c r="D18" s="1289">
        <v>7130820013</v>
      </c>
      <c r="E18" s="1276" t="s">
        <v>12</v>
      </c>
      <c r="F18" s="1468">
        <f>VLOOKUP(D18,'SOR RATE'!A:D,4,0)</f>
        <v>216.4</v>
      </c>
      <c r="G18" s="1276">
        <v>24</v>
      </c>
      <c r="H18" s="1468">
        <f t="shared" ref="H18:H27" si="1">G18*F18</f>
        <v>5193.6000000000004</v>
      </c>
      <c r="I18" s="737" t="s">
        <v>2201</v>
      </c>
    </row>
    <row r="19" spans="1:13" ht="29.25" customHeight="1">
      <c r="A19" s="3164"/>
      <c r="B19" s="1184" t="s">
        <v>1494</v>
      </c>
      <c r="C19" s="1261" t="s">
        <v>2140</v>
      </c>
      <c r="D19" s="1289">
        <v>7130820248</v>
      </c>
      <c r="E19" s="1276" t="s">
        <v>12</v>
      </c>
      <c r="F19" s="1468">
        <f>VLOOKUP(D19,'SOR RATE'!A:D,4,0)</f>
        <v>318.89</v>
      </c>
      <c r="G19" s="1276">
        <v>24</v>
      </c>
      <c r="H19" s="1468">
        <f t="shared" si="1"/>
        <v>7653.36</v>
      </c>
    </row>
    <row r="20" spans="1:13" ht="15.75" customHeight="1">
      <c r="A20" s="1276">
        <v>8</v>
      </c>
      <c r="B20" s="1300"/>
      <c r="C20" s="952" t="s">
        <v>1432</v>
      </c>
      <c r="D20" s="1289">
        <v>7130820009</v>
      </c>
      <c r="E20" s="1276" t="s">
        <v>33</v>
      </c>
      <c r="F20" s="1468">
        <f>VLOOKUP(D20,'SOR RATE'!A:D,4,0)</f>
        <v>288.23</v>
      </c>
      <c r="G20" s="1276">
        <v>3</v>
      </c>
      <c r="H20" s="1468">
        <f t="shared" si="1"/>
        <v>864.69</v>
      </c>
    </row>
    <row r="21" spans="1:13" ht="14.25">
      <c r="A21" s="1276">
        <v>9</v>
      </c>
      <c r="B21" s="1300"/>
      <c r="C21" s="1473" t="s">
        <v>712</v>
      </c>
      <c r="D21" s="1289">
        <v>7130840029</v>
      </c>
      <c r="E21" s="1184" t="s">
        <v>33</v>
      </c>
      <c r="F21" s="1468">
        <f>VLOOKUP(D21,'SOR RATE'!A:D,4,0)</f>
        <v>368.52</v>
      </c>
      <c r="G21" s="1184">
        <v>3</v>
      </c>
      <c r="H21" s="1468">
        <f t="shared" si="1"/>
        <v>1105.56</v>
      </c>
    </row>
    <row r="22" spans="1:13" ht="14.25">
      <c r="A22" s="1276">
        <v>10</v>
      </c>
      <c r="B22" s="1300"/>
      <c r="C22" s="1473" t="s">
        <v>2141</v>
      </c>
      <c r="D22" s="1186">
        <v>7131930663</v>
      </c>
      <c r="E22" s="1181" t="s">
        <v>33</v>
      </c>
      <c r="F22" s="735">
        <f>VLOOKUP(D22,'SOR RATE'!A:D,4,0)</f>
        <v>25408.1</v>
      </c>
      <c r="G22" s="1184">
        <v>2</v>
      </c>
      <c r="H22" s="1468">
        <f t="shared" si="1"/>
        <v>50816.2</v>
      </c>
    </row>
    <row r="23" spans="1:13" ht="14.25">
      <c r="A23" s="1276">
        <v>11</v>
      </c>
      <c r="B23" s="1300"/>
      <c r="C23" s="1473" t="s">
        <v>2142</v>
      </c>
      <c r="D23" s="1289">
        <v>7131930221</v>
      </c>
      <c r="E23" s="1184" t="s">
        <v>33</v>
      </c>
      <c r="F23" s="735">
        <f>VLOOKUP(D23,'SOR RATE'!A:D,4,0)</f>
        <v>9934.19</v>
      </c>
      <c r="G23" s="1184">
        <v>1</v>
      </c>
      <c r="H23" s="1468">
        <f t="shared" si="1"/>
        <v>9934.19</v>
      </c>
    </row>
    <row r="24" spans="1:13" ht="16.5" customHeight="1">
      <c r="A24" s="1474">
        <v>12</v>
      </c>
      <c r="B24" s="238"/>
      <c r="C24" s="1475" t="s">
        <v>2202</v>
      </c>
      <c r="D24" s="1186">
        <v>7130600675</v>
      </c>
      <c r="E24" s="1184" t="s">
        <v>26</v>
      </c>
      <c r="F24" s="735">
        <f>VLOOKUP(D24,'SOR RATE'!A:D,4,0)/1000</f>
        <v>68.748589999999993</v>
      </c>
      <c r="G24" s="1184">
        <v>78</v>
      </c>
      <c r="H24" s="1468">
        <f t="shared" si="1"/>
        <v>5362.3900199999998</v>
      </c>
      <c r="I24" s="739" t="s">
        <v>119</v>
      </c>
    </row>
    <row r="25" spans="1:13" ht="25.5" customHeight="1">
      <c r="A25" s="1471">
        <v>13</v>
      </c>
      <c r="C25" s="1476" t="s">
        <v>2143</v>
      </c>
      <c r="D25" s="1477">
        <v>7130200202</v>
      </c>
      <c r="E25" s="1181" t="s">
        <v>76</v>
      </c>
      <c r="F25" s="735">
        <f>VLOOKUP(D25,'SOR RATE'!A:D,4,0)</f>
        <v>2970</v>
      </c>
      <c r="G25" s="1181">
        <f>(0.45*2)+(0.65*2)+(0.1*2)</f>
        <v>2.4000000000000004</v>
      </c>
      <c r="H25" s="735">
        <f t="shared" si="1"/>
        <v>7128.0000000000009</v>
      </c>
      <c r="I25" s="499" t="s">
        <v>47</v>
      </c>
      <c r="K25" s="177"/>
    </row>
    <row r="26" spans="1:13" ht="16.5" customHeight="1">
      <c r="A26" s="1276">
        <v>14</v>
      </c>
      <c r="B26" s="1300"/>
      <c r="C26" s="1475" t="s">
        <v>2144</v>
      </c>
      <c r="D26" s="1289">
        <v>7130830063</v>
      </c>
      <c r="E26" s="1184" t="s">
        <v>21</v>
      </c>
      <c r="F26" s="1468">
        <f>VLOOKUP(D26,'SOR RATE'!A:D,4,0)/1000</f>
        <v>92.285690000000002</v>
      </c>
      <c r="G26" s="1184">
        <v>50</v>
      </c>
      <c r="H26" s="1468">
        <f t="shared" si="1"/>
        <v>4614.2844999999998</v>
      </c>
    </row>
    <row r="27" spans="1:13" ht="28.5" customHeight="1">
      <c r="A27" s="1183">
        <v>15</v>
      </c>
      <c r="B27" s="1470"/>
      <c r="C27" s="1200" t="s">
        <v>2145</v>
      </c>
      <c r="D27" s="1186">
        <v>7130830585</v>
      </c>
      <c r="E27" s="1181" t="s">
        <v>12</v>
      </c>
      <c r="F27" s="735">
        <f>VLOOKUP(D27,'SOR RATE'!A:D,4,0)</f>
        <v>346.08</v>
      </c>
      <c r="G27" s="1181">
        <v>24</v>
      </c>
      <c r="H27" s="735">
        <f t="shared" si="1"/>
        <v>8305.92</v>
      </c>
    </row>
    <row r="28" spans="1:13" ht="31.5" customHeight="1">
      <c r="A28" s="3162">
        <v>16</v>
      </c>
      <c r="B28" s="1300"/>
      <c r="C28" s="1478" t="s">
        <v>2146</v>
      </c>
      <c r="D28" s="1469"/>
      <c r="E28" s="1276" t="s">
        <v>12</v>
      </c>
      <c r="F28" s="1479">
        <f>H29+H30+H31+H32</f>
        <v>206664.71000000002</v>
      </c>
      <c r="G28" s="953">
        <v>1</v>
      </c>
      <c r="H28" s="1468"/>
    </row>
    <row r="29" spans="1:13" ht="15" customHeight="1">
      <c r="A29" s="3163"/>
      <c r="B29" s="1181" t="s">
        <v>1493</v>
      </c>
      <c r="C29" s="1182" t="s">
        <v>2147</v>
      </c>
      <c r="D29" s="1268">
        <v>7131941762</v>
      </c>
      <c r="E29" s="1181" t="s">
        <v>12</v>
      </c>
      <c r="F29" s="735">
        <f>VLOOKUP(D29,'SOR RATE'!A:D,4,0)</f>
        <v>135748.26</v>
      </c>
      <c r="G29" s="1181">
        <v>1</v>
      </c>
      <c r="H29" s="735">
        <f>G29*F29</f>
        <v>135748.26</v>
      </c>
      <c r="J29" s="245"/>
      <c r="K29" s="647"/>
      <c r="L29" s="26"/>
      <c r="M29" s="24"/>
    </row>
    <row r="30" spans="1:13" ht="15" customHeight="1">
      <c r="A30" s="3163"/>
      <c r="B30" s="1181" t="s">
        <v>1494</v>
      </c>
      <c r="C30" s="1200" t="s">
        <v>2148</v>
      </c>
      <c r="D30" s="1268">
        <v>7131960008</v>
      </c>
      <c r="E30" s="1181" t="s">
        <v>12</v>
      </c>
      <c r="F30" s="735">
        <f>VLOOKUP(D30,'SOR RATE'!A:D,4,0)</f>
        <v>25931.94</v>
      </c>
      <c r="G30" s="1181">
        <v>1</v>
      </c>
      <c r="H30" s="735">
        <f>G30*F30</f>
        <v>25931.94</v>
      </c>
      <c r="J30" s="394"/>
      <c r="K30" s="647"/>
      <c r="L30" s="26"/>
      <c r="M30" s="24"/>
    </row>
    <row r="31" spans="1:13" ht="14.25">
      <c r="A31" s="3163"/>
      <c r="B31" s="1181" t="s">
        <v>1946</v>
      </c>
      <c r="C31" s="1475" t="s">
        <v>2149</v>
      </c>
      <c r="D31" s="1186">
        <v>7132230188</v>
      </c>
      <c r="E31" s="1181" t="s">
        <v>12</v>
      </c>
      <c r="F31" s="735">
        <f>VLOOKUP(D31,'SOR RATE'!A:D,4,0)</f>
        <v>13696.09</v>
      </c>
      <c r="G31" s="1181">
        <v>3</v>
      </c>
      <c r="H31" s="735">
        <f>G31*F31</f>
        <v>41088.270000000004</v>
      </c>
      <c r="J31" s="245"/>
      <c r="K31" s="647"/>
      <c r="L31" s="26"/>
      <c r="M31" s="24"/>
    </row>
    <row r="32" spans="1:13" ht="16.5" customHeight="1">
      <c r="A32" s="3164"/>
      <c r="B32" s="1470" t="s">
        <v>2150</v>
      </c>
      <c r="C32" s="1280" t="s">
        <v>430</v>
      </c>
      <c r="D32" s="1186">
        <v>7130352046</v>
      </c>
      <c r="E32" s="1187" t="s">
        <v>68</v>
      </c>
      <c r="F32" s="735">
        <f>VLOOKUP(D32,'SOR RATE'!A:D,4,0)</f>
        <v>3896.24</v>
      </c>
      <c r="G32" s="1181">
        <v>1</v>
      </c>
      <c r="H32" s="735">
        <f>G32*F32</f>
        <v>3896.24</v>
      </c>
      <c r="J32" s="174"/>
      <c r="K32" s="647"/>
      <c r="L32" s="26"/>
      <c r="M32" s="24"/>
    </row>
    <row r="33" spans="1:13" ht="27" customHeight="1">
      <c r="A33" s="1471">
        <v>17</v>
      </c>
      <c r="B33" s="1470"/>
      <c r="C33" s="1475" t="s">
        <v>2151</v>
      </c>
      <c r="D33" s="1477">
        <v>7130200202</v>
      </c>
      <c r="E33" s="1181" t="s">
        <v>76</v>
      </c>
      <c r="F33" s="735">
        <f>VLOOKUP(D33,'SOR RATE'!A:D,4,0)</f>
        <v>2970</v>
      </c>
      <c r="G33" s="1181">
        <v>6</v>
      </c>
      <c r="H33" s="735">
        <f>G33*F33</f>
        <v>17820</v>
      </c>
      <c r="I33" s="499" t="s">
        <v>47</v>
      </c>
      <c r="J33" s="227"/>
    </row>
    <row r="34" spans="1:13" ht="15">
      <c r="A34" s="3162">
        <v>18</v>
      </c>
      <c r="B34" s="1300"/>
      <c r="C34" s="1480" t="s">
        <v>2152</v>
      </c>
      <c r="D34" s="1481"/>
      <c r="E34" s="1482"/>
      <c r="F34" s="1482"/>
      <c r="G34" s="1482"/>
      <c r="H34" s="1483"/>
    </row>
    <row r="35" spans="1:13" ht="14.25">
      <c r="A35" s="3163"/>
      <c r="B35" s="1183" t="s">
        <v>1884</v>
      </c>
      <c r="C35" s="1475" t="s">
        <v>1885</v>
      </c>
      <c r="D35" s="1477">
        <v>7130310658</v>
      </c>
      <c r="E35" s="1181" t="s">
        <v>21</v>
      </c>
      <c r="F35" s="735">
        <f>VLOOKUP(D35,'SOR RATE'!A:D,4,0)/1000</f>
        <v>188.91779</v>
      </c>
      <c r="G35" s="1181">
        <v>60</v>
      </c>
      <c r="H35" s="735">
        <f>G35*F35</f>
        <v>11335.0674</v>
      </c>
      <c r="J35" s="12"/>
      <c r="K35" s="12"/>
      <c r="L35" s="12"/>
      <c r="M35" s="12"/>
    </row>
    <row r="36" spans="1:13" ht="14.25">
      <c r="A36" s="3163"/>
      <c r="B36" s="1183" t="s">
        <v>1886</v>
      </c>
      <c r="C36" s="1475" t="s">
        <v>1887</v>
      </c>
      <c r="D36" s="1477">
        <v>7130310654</v>
      </c>
      <c r="E36" s="1181" t="s">
        <v>21</v>
      </c>
      <c r="F36" s="735">
        <f>VLOOKUP(D36,'SOR RATE'!A:D,4,0)/1000</f>
        <v>98.983890000000002</v>
      </c>
      <c r="G36" s="1181">
        <v>120</v>
      </c>
      <c r="H36" s="735">
        <f>G36*F36</f>
        <v>11878.066800000001</v>
      </c>
      <c r="J36" s="12"/>
      <c r="K36" s="12"/>
      <c r="L36" s="12"/>
      <c r="M36" s="12"/>
    </row>
    <row r="37" spans="1:13" ht="14.25">
      <c r="A37" s="3164"/>
      <c r="B37" s="1183" t="s">
        <v>1888</v>
      </c>
      <c r="C37" s="1475" t="s">
        <v>2125</v>
      </c>
      <c r="D37" s="1477">
        <v>7130310652</v>
      </c>
      <c r="E37" s="1181" t="s">
        <v>21</v>
      </c>
      <c r="F37" s="735">
        <f>VLOOKUP(D37,'SOR RATE'!A:D,4,0)/1000</f>
        <v>55.294809999999998</v>
      </c>
      <c r="G37" s="1181">
        <v>60</v>
      </c>
      <c r="H37" s="735">
        <f>G37*F37</f>
        <v>3317.6886</v>
      </c>
      <c r="J37" s="12"/>
      <c r="K37" s="12"/>
      <c r="L37" s="12"/>
      <c r="M37" s="12"/>
    </row>
    <row r="38" spans="1:13" ht="17.25" customHeight="1">
      <c r="A38" s="3154">
        <v>19</v>
      </c>
      <c r="B38" s="1300"/>
      <c r="C38" s="1484" t="s">
        <v>2153</v>
      </c>
      <c r="D38" s="1469"/>
      <c r="E38" s="1181" t="s">
        <v>12</v>
      </c>
      <c r="F38" s="1193">
        <f>+H39</f>
        <v>4151.97</v>
      </c>
      <c r="G38" s="931">
        <v>1</v>
      </c>
      <c r="H38" s="1468"/>
      <c r="J38" s="757"/>
      <c r="K38" s="12"/>
      <c r="L38" s="12"/>
      <c r="M38" s="758"/>
    </row>
    <row r="39" spans="1:13" ht="17.25" customHeight="1">
      <c r="A39" s="3156"/>
      <c r="B39" s="1470"/>
      <c r="C39" s="1274" t="s">
        <v>815</v>
      </c>
      <c r="D39" s="1477">
        <v>7131310033</v>
      </c>
      <c r="E39" s="1181" t="s">
        <v>12</v>
      </c>
      <c r="F39" s="734">
        <f>VLOOKUP(D39,'SOR RATE'!A:D,4,0)</f>
        <v>4151.97</v>
      </c>
      <c r="G39" s="1181">
        <v>1</v>
      </c>
      <c r="H39" s="735">
        <f>G39*F39</f>
        <v>4151.97</v>
      </c>
      <c r="J39" s="416"/>
      <c r="K39" s="416"/>
      <c r="L39" s="416"/>
      <c r="M39" s="204"/>
    </row>
    <row r="40" spans="1:13" ht="16.5" customHeight="1">
      <c r="A40" s="1181">
        <v>20</v>
      </c>
      <c r="B40" s="1470"/>
      <c r="C40" s="1475" t="s">
        <v>2154</v>
      </c>
      <c r="D40" s="1477">
        <v>7132230412</v>
      </c>
      <c r="E40" s="1181" t="s">
        <v>33</v>
      </c>
      <c r="F40" s="734">
        <f>VLOOKUP(D40,'SOR RATE'!A:D,4,0)</f>
        <v>43031.06</v>
      </c>
      <c r="G40" s="1181">
        <v>1</v>
      </c>
      <c r="H40" s="735">
        <f>G40*F40</f>
        <v>43031.06</v>
      </c>
      <c r="J40" s="759"/>
      <c r="K40" s="760"/>
      <c r="L40" s="747"/>
      <c r="M40" s="204"/>
    </row>
    <row r="41" spans="1:13" ht="16.5" customHeight="1">
      <c r="A41" s="1196">
        <v>21</v>
      </c>
      <c r="B41" s="1470"/>
      <c r="C41" s="1257" t="s">
        <v>28</v>
      </c>
      <c r="D41" s="1276">
        <v>7130211158</v>
      </c>
      <c r="E41" s="1276" t="s">
        <v>29</v>
      </c>
      <c r="F41" s="734">
        <f>VLOOKUP(D41,'SOR RATE'!A:D,4,0)</f>
        <v>193.62</v>
      </c>
      <c r="G41" s="1181">
        <v>2</v>
      </c>
      <c r="H41" s="735">
        <f>G41*F41</f>
        <v>387.24</v>
      </c>
      <c r="I41" s="59"/>
      <c r="J41" s="759"/>
      <c r="K41" s="760"/>
      <c r="L41" s="747"/>
      <c r="M41" s="204"/>
    </row>
    <row r="42" spans="1:13" ht="16.5" customHeight="1">
      <c r="A42" s="1196">
        <v>22</v>
      </c>
      <c r="B42" s="1470"/>
      <c r="C42" s="1257" t="s">
        <v>30</v>
      </c>
      <c r="D42" s="1183">
        <v>7130210809</v>
      </c>
      <c r="E42" s="1276" t="s">
        <v>29</v>
      </c>
      <c r="F42" s="734">
        <f>VLOOKUP(D42,'SOR RATE'!A:D,4,0)</f>
        <v>432.63</v>
      </c>
      <c r="G42" s="1181">
        <v>2</v>
      </c>
      <c r="H42" s="735">
        <f>G42*F42</f>
        <v>865.26</v>
      </c>
      <c r="I42" s="59"/>
      <c r="J42" s="759"/>
      <c r="K42" s="760"/>
      <c r="L42" s="747"/>
      <c r="M42" s="204"/>
    </row>
    <row r="43" spans="1:13" ht="15">
      <c r="A43" s="3154">
        <v>23</v>
      </c>
      <c r="B43" s="1300"/>
      <c r="C43" s="1485" t="s">
        <v>2155</v>
      </c>
      <c r="D43" s="1469"/>
      <c r="E43" s="1184" t="s">
        <v>26</v>
      </c>
      <c r="F43" s="1213"/>
      <c r="G43" s="241">
        <f>SUM(G44:G49)</f>
        <v>30</v>
      </c>
      <c r="H43" s="1468"/>
    </row>
    <row r="44" spans="1:13" ht="14.25">
      <c r="A44" s="3155"/>
      <c r="B44" s="1209" t="s">
        <v>1884</v>
      </c>
      <c r="C44" s="1257" t="s">
        <v>2040</v>
      </c>
      <c r="D44" s="1469">
        <v>7130620609</v>
      </c>
      <c r="E44" s="1184" t="s">
        <v>26</v>
      </c>
      <c r="F44" s="1468">
        <f>VLOOKUP(D44,'SOR RATE'!A:D,4,0)</f>
        <v>87.23</v>
      </c>
      <c r="G44" s="1184">
        <v>3</v>
      </c>
      <c r="H44" s="1468">
        <f t="shared" ref="H44:H49" si="2">G44*F44</f>
        <v>261.69</v>
      </c>
    </row>
    <row r="45" spans="1:13" ht="14.25">
      <c r="A45" s="3155"/>
      <c r="B45" s="1209" t="s">
        <v>1886</v>
      </c>
      <c r="C45" s="1257" t="s">
        <v>2041</v>
      </c>
      <c r="D45" s="1469">
        <v>7130620614</v>
      </c>
      <c r="E45" s="1184" t="s">
        <v>26</v>
      </c>
      <c r="F45" s="1468">
        <f>VLOOKUP(D45,'SOR RATE'!A:D,4,0)</f>
        <v>85.77</v>
      </c>
      <c r="G45" s="1184">
        <v>2</v>
      </c>
      <c r="H45" s="1468">
        <f t="shared" si="2"/>
        <v>171.54</v>
      </c>
    </row>
    <row r="46" spans="1:13" ht="14.25">
      <c r="A46" s="3155"/>
      <c r="B46" s="1209" t="s">
        <v>1888</v>
      </c>
      <c r="C46" s="1257" t="s">
        <v>2042</v>
      </c>
      <c r="D46" s="1469">
        <v>7130620619</v>
      </c>
      <c r="E46" s="1184" t="s">
        <v>26</v>
      </c>
      <c r="F46" s="1468">
        <f>VLOOKUP(D46,'SOR RATE'!A:D,4,0)</f>
        <v>85.77</v>
      </c>
      <c r="G46" s="1184">
        <v>2</v>
      </c>
      <c r="H46" s="1468">
        <f t="shared" si="2"/>
        <v>171.54</v>
      </c>
    </row>
    <row r="47" spans="1:13" ht="14.25">
      <c r="A47" s="3155"/>
      <c r="B47" s="1209" t="s">
        <v>2156</v>
      </c>
      <c r="C47" s="1257" t="s">
        <v>2043</v>
      </c>
      <c r="D47" s="1469">
        <v>7130620627</v>
      </c>
      <c r="E47" s="1184" t="s">
        <v>26</v>
      </c>
      <c r="F47" s="1468">
        <f>VLOOKUP(D47,'SOR RATE'!A:D,4,0)</f>
        <v>84.32</v>
      </c>
      <c r="G47" s="1184">
        <v>6</v>
      </c>
      <c r="H47" s="1468">
        <f t="shared" si="2"/>
        <v>505.91999999999996</v>
      </c>
    </row>
    <row r="48" spans="1:13" ht="14.25">
      <c r="A48" s="3155"/>
      <c r="B48" s="1209" t="s">
        <v>2157</v>
      </c>
      <c r="C48" s="1257" t="s">
        <v>2044</v>
      </c>
      <c r="D48" s="1469">
        <v>7130620631</v>
      </c>
      <c r="E48" s="1184" t="s">
        <v>26</v>
      </c>
      <c r="F48" s="1468">
        <f>VLOOKUP(D48,'SOR RATE'!A:D,4,0)</f>
        <v>84.32</v>
      </c>
      <c r="G48" s="1184">
        <v>15</v>
      </c>
      <c r="H48" s="1468">
        <f t="shared" si="2"/>
        <v>1264.8</v>
      </c>
    </row>
    <row r="49" spans="1:12" ht="14.25">
      <c r="A49" s="3156"/>
      <c r="B49" s="1209" t="s">
        <v>2158</v>
      </c>
      <c r="C49" s="1257" t="s">
        <v>2045</v>
      </c>
      <c r="D49" s="1469">
        <v>7130620637</v>
      </c>
      <c r="E49" s="1184" t="s">
        <v>26</v>
      </c>
      <c r="F49" s="1468">
        <f>VLOOKUP(D49,'SOR RATE'!A:D,4,0)</f>
        <v>84.32</v>
      </c>
      <c r="G49" s="1184">
        <v>2</v>
      </c>
      <c r="H49" s="1468">
        <f t="shared" si="2"/>
        <v>168.64</v>
      </c>
    </row>
    <row r="50" spans="1:12" ht="15">
      <c r="A50" s="931">
        <v>24</v>
      </c>
      <c r="B50" s="1304"/>
      <c r="C50" s="1191" t="s">
        <v>48</v>
      </c>
      <c r="D50" s="241"/>
      <c r="E50" s="241"/>
      <c r="F50" s="1486"/>
      <c r="G50" s="1487"/>
      <c r="H50" s="1193">
        <f>SUM(H11:H49)</f>
        <v>583790.08522400004</v>
      </c>
      <c r="I50" s="675"/>
      <c r="J50" s="653"/>
    </row>
    <row r="51" spans="1:12" ht="15">
      <c r="A51" s="928">
        <v>25</v>
      </c>
      <c r="B51" s="1488"/>
      <c r="C51" s="1191" t="s">
        <v>49</v>
      </c>
      <c r="D51" s="241"/>
      <c r="E51" s="241"/>
      <c r="F51" s="1486"/>
      <c r="G51" s="1489"/>
      <c r="H51" s="1193">
        <f>H50/1.18</f>
        <v>494737.36035932211</v>
      </c>
      <c r="I51" s="174"/>
      <c r="J51" s="653"/>
    </row>
    <row r="52" spans="1:12" ht="17.25" customHeight="1">
      <c r="A52" s="1292">
        <v>26</v>
      </c>
      <c r="B52" s="1490"/>
      <c r="C52" s="1185" t="s">
        <v>50</v>
      </c>
      <c r="D52" s="1491"/>
      <c r="E52" s="1491"/>
      <c r="F52" s="1181">
        <v>7.4999999999999997E-2</v>
      </c>
      <c r="G52" s="1492"/>
      <c r="H52" s="734">
        <f>H50*F52</f>
        <v>43784.256391800001</v>
      </c>
      <c r="I52" s="16"/>
      <c r="J52" s="653"/>
    </row>
    <row r="53" spans="1:12" ht="17.25" customHeight="1">
      <c r="A53" s="3154">
        <v>27</v>
      </c>
      <c r="B53" s="1181" t="s">
        <v>1884</v>
      </c>
      <c r="C53" s="1475" t="s">
        <v>2159</v>
      </c>
      <c r="D53" s="1493"/>
      <c r="E53" s="1184" t="s">
        <v>12</v>
      </c>
      <c r="F53" s="734">
        <f>4537.59016059125*1.043</f>
        <v>4732.7065374966742</v>
      </c>
      <c r="G53" s="1184">
        <v>1</v>
      </c>
      <c r="H53" s="1494">
        <f>G53*F53</f>
        <v>4732.7065374966742</v>
      </c>
    </row>
    <row r="54" spans="1:12" ht="75.75" customHeight="1">
      <c r="A54" s="3156"/>
      <c r="B54" s="1181" t="s">
        <v>1886</v>
      </c>
      <c r="C54" s="1261" t="s">
        <v>2107</v>
      </c>
      <c r="D54" s="1493"/>
      <c r="E54" s="1495" t="s">
        <v>536</v>
      </c>
      <c r="F54" s="734">
        <v>2155</v>
      </c>
      <c r="G54" s="1496">
        <v>5</v>
      </c>
      <c r="H54" s="734">
        <f>G54*F54</f>
        <v>10775</v>
      </c>
      <c r="I54" s="737" t="s">
        <v>1827</v>
      </c>
      <c r="J54" s="498"/>
      <c r="K54" s="498"/>
      <c r="L54" s="498"/>
    </row>
    <row r="55" spans="1:12" ht="15">
      <c r="A55" s="3154">
        <v>28</v>
      </c>
      <c r="B55" s="1181"/>
      <c r="C55" s="1497" t="s">
        <v>2160</v>
      </c>
      <c r="D55" s="1493"/>
      <c r="E55" s="1495"/>
      <c r="F55" s="734"/>
      <c r="G55" s="1496"/>
      <c r="H55" s="1193">
        <f>SUM(H56:H58)</f>
        <v>38725.555326935792</v>
      </c>
      <c r="I55" s="761"/>
      <c r="J55" s="761"/>
      <c r="K55" s="761"/>
      <c r="L55" s="761"/>
    </row>
    <row r="56" spans="1:12" ht="15.75">
      <c r="A56" s="3155"/>
      <c r="B56" s="1181" t="s">
        <v>1680</v>
      </c>
      <c r="C56" s="1497" t="s">
        <v>2161</v>
      </c>
      <c r="D56" s="1181"/>
      <c r="E56" s="1181"/>
      <c r="F56" s="1498"/>
      <c r="G56" s="1496"/>
      <c r="H56" s="734">
        <v>32897.839999999997</v>
      </c>
      <c r="I56" s="58"/>
    </row>
    <row r="57" spans="1:12" ht="15.75" customHeight="1">
      <c r="A57" s="3155"/>
      <c r="B57" s="1181" t="s">
        <v>1681</v>
      </c>
      <c r="C57" s="1475" t="s">
        <v>2162</v>
      </c>
      <c r="D57" s="1496"/>
      <c r="E57" s="1184" t="s">
        <v>76</v>
      </c>
      <c r="F57" s="1202">
        <f>665.173187113158*1.043</f>
        <v>693.77563415902364</v>
      </c>
      <c r="G57" s="1499">
        <v>2.4</v>
      </c>
      <c r="H57" s="734">
        <f>F57*G57</f>
        <v>1665.0615219816566</v>
      </c>
      <c r="I57" s="59"/>
    </row>
    <row r="58" spans="1:12" ht="15.75" customHeight="1">
      <c r="A58" s="3156"/>
      <c r="B58" s="1181" t="s">
        <v>1682</v>
      </c>
      <c r="C58" s="1475" t="s">
        <v>2163</v>
      </c>
      <c r="D58" s="1496"/>
      <c r="E58" s="1184" t="s">
        <v>76</v>
      </c>
      <c r="F58" s="1202">
        <f>665.173187113158*1.043</f>
        <v>693.77563415902364</v>
      </c>
      <c r="G58" s="1260">
        <v>6</v>
      </c>
      <c r="H58" s="734">
        <f>F58*G58</f>
        <v>4162.6538049541414</v>
      </c>
      <c r="I58" s="59"/>
    </row>
    <row r="59" spans="1:12" ht="18.75" customHeight="1">
      <c r="A59" s="1181">
        <v>29</v>
      </c>
      <c r="B59" s="1470"/>
      <c r="C59" s="1200" t="s">
        <v>2129</v>
      </c>
      <c r="D59" s="1500"/>
      <c r="E59" s="1184"/>
      <c r="F59" s="734">
        <v>0.04</v>
      </c>
      <c r="G59" s="1501"/>
      <c r="H59" s="734">
        <f>(H50/1.18)*F59</f>
        <v>19789.494414372886</v>
      </c>
      <c r="I59" s="737" t="s">
        <v>1827</v>
      </c>
      <c r="J59" s="164"/>
      <c r="L59" s="12"/>
    </row>
    <row r="60" spans="1:12" ht="32.25" customHeight="1">
      <c r="A60" s="1184">
        <v>30</v>
      </c>
      <c r="B60" s="1491"/>
      <c r="C60" s="1185" t="s">
        <v>2203</v>
      </c>
      <c r="D60" s="1500"/>
      <c r="E60" s="1184"/>
      <c r="F60" s="1502"/>
      <c r="G60" s="1501"/>
      <c r="H60" s="734">
        <f>(H50+H52+H53+H55+H59)*0.125</f>
        <v>86352.762236825671</v>
      </c>
      <c r="I60" s="201"/>
      <c r="J60" s="177"/>
      <c r="K60" s="227"/>
      <c r="L60" s="12"/>
    </row>
    <row r="61" spans="1:12" ht="32.25" customHeight="1">
      <c r="A61" s="241">
        <v>31</v>
      </c>
      <c r="B61" s="1491"/>
      <c r="C61" s="1214" t="s">
        <v>2204</v>
      </c>
      <c r="D61" s="1500"/>
      <c r="E61" s="1184"/>
      <c r="F61" s="1502"/>
      <c r="G61" s="1501"/>
      <c r="H61" s="1193">
        <f>H51+H52+H53+H54+H55+H59+H60</f>
        <v>698897.13526675303</v>
      </c>
      <c r="I61" s="762"/>
      <c r="J61" s="227"/>
      <c r="K61" s="227"/>
      <c r="L61" s="747"/>
    </row>
    <row r="62" spans="1:12" ht="16.5" customHeight="1">
      <c r="A62" s="1184">
        <v>32</v>
      </c>
      <c r="B62" s="1491"/>
      <c r="C62" s="1185" t="s">
        <v>168</v>
      </c>
      <c r="D62" s="1500"/>
      <c r="E62" s="1184"/>
      <c r="F62" s="734">
        <v>0.09</v>
      </c>
      <c r="G62" s="1501"/>
      <c r="H62" s="734">
        <f>H61*F62</f>
        <v>62900.74217400777</v>
      </c>
      <c r="I62" s="762"/>
      <c r="J62" s="227"/>
      <c r="L62" s="747"/>
    </row>
    <row r="63" spans="1:12" ht="16.5" customHeight="1">
      <c r="A63" s="1184">
        <v>33</v>
      </c>
      <c r="B63" s="1491"/>
      <c r="C63" s="1185" t="s">
        <v>170</v>
      </c>
      <c r="D63" s="1500"/>
      <c r="E63" s="1184"/>
      <c r="F63" s="734">
        <v>0.09</v>
      </c>
      <c r="G63" s="1496"/>
      <c r="H63" s="734">
        <f>H61*F63</f>
        <v>62900.74217400777</v>
      </c>
      <c r="I63" s="60"/>
      <c r="L63" s="747"/>
    </row>
    <row r="64" spans="1:12" ht="15" customHeight="1">
      <c r="A64" s="1181">
        <v>34</v>
      </c>
      <c r="B64" s="1470"/>
      <c r="C64" s="1185" t="s">
        <v>171</v>
      </c>
      <c r="D64" s="1501"/>
      <c r="E64" s="1184"/>
      <c r="F64" s="1491"/>
      <c r="G64" s="1501"/>
      <c r="H64" s="734">
        <f>H61+H62+H63</f>
        <v>824698.61961476866</v>
      </c>
    </row>
    <row r="65" spans="1:10" ht="18" customHeight="1">
      <c r="A65" s="931">
        <v>35</v>
      </c>
      <c r="B65" s="1503"/>
      <c r="C65" s="1214" t="s">
        <v>59</v>
      </c>
      <c r="D65" s="931"/>
      <c r="E65" s="931"/>
      <c r="F65" s="1503"/>
      <c r="G65" s="931"/>
      <c r="H65" s="1193">
        <f>ROUND(H64,0)</f>
        <v>824699</v>
      </c>
    </row>
    <row r="66" spans="1:10">
      <c r="A66" s="61"/>
      <c r="B66" s="64"/>
      <c r="C66" s="758"/>
      <c r="D66" s="763"/>
      <c r="E66" s="763"/>
      <c r="F66" s="764"/>
      <c r="G66" s="763"/>
      <c r="H66" s="678"/>
    </row>
    <row r="67" spans="1:10" ht="15">
      <c r="A67" s="3207" t="s">
        <v>2164</v>
      </c>
      <c r="B67" s="3207"/>
      <c r="C67" s="765" t="s">
        <v>61</v>
      </c>
      <c r="D67" s="40"/>
      <c r="E67" s="766"/>
    </row>
    <row r="68" spans="1:10">
      <c r="D68" s="746"/>
    </row>
    <row r="70" spans="1:10" ht="15">
      <c r="A70" s="46"/>
      <c r="B70" s="46"/>
      <c r="C70" s="46"/>
      <c r="J70" s="767"/>
    </row>
    <row r="71" spans="1:10" ht="15">
      <c r="A71" s="46"/>
      <c r="B71" s="46"/>
      <c r="C71" s="46"/>
    </row>
  </sheetData>
  <mergeCells count="18">
    <mergeCell ref="C1:F1"/>
    <mergeCell ref="C2:E2"/>
    <mergeCell ref="C4:H4"/>
    <mergeCell ref="A8:A9"/>
    <mergeCell ref="B8:C9"/>
    <mergeCell ref="D8:D9"/>
    <mergeCell ref="E8:E9"/>
    <mergeCell ref="F8:F9"/>
    <mergeCell ref="G8:H8"/>
    <mergeCell ref="A53:A54"/>
    <mergeCell ref="A55:A58"/>
    <mergeCell ref="A67:B67"/>
    <mergeCell ref="B10:C10"/>
    <mergeCell ref="A17:A19"/>
    <mergeCell ref="A28:A32"/>
    <mergeCell ref="A34:A37"/>
    <mergeCell ref="A38:A39"/>
    <mergeCell ref="A43:A49"/>
  </mergeCells>
  <conditionalFormatting sqref="C50">
    <cfRule type="cellIs" dxfId="121" priority="2" stopIfTrue="1" operator="equal">
      <formula>"?"</formula>
    </cfRule>
  </conditionalFormatting>
  <conditionalFormatting sqref="C51">
    <cfRule type="cellIs" dxfId="120" priority="1" stopIfTrue="1" operator="equal">
      <formula>"?"</formula>
    </cfRule>
  </conditionalFormatting>
  <printOptions horizontalCentered="1"/>
  <pageMargins left="1" right="0.15" top="0.72" bottom="0.41" header="0.55000000000000004" footer="0.23"/>
  <pageSetup paperSize="9" scale="12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Q78"/>
  <sheetViews>
    <sheetView zoomScale="90" zoomScaleNormal="90" zoomScaleSheetLayoutView="70" workbookViewId="0">
      <pane xSplit="3" ySplit="7" topLeftCell="D54" activePane="bottomRight" state="frozen"/>
      <selection pane="topRight" activeCell="D1" sqref="D1"/>
      <selection pane="bottomLeft" activeCell="A8" sqref="A8"/>
      <selection pane="bottomRight" activeCell="O52" sqref="O52"/>
    </sheetView>
  </sheetViews>
  <sheetFormatPr defaultRowHeight="12.75"/>
  <cols>
    <col min="1" max="1" width="4.28515625" style="345" customWidth="1"/>
    <col min="2" max="2" width="42.85546875" style="347" customWidth="1"/>
    <col min="3" max="3" width="14.85546875" style="386" customWidth="1"/>
    <col min="4" max="4" width="5.5703125" style="345" customWidth="1"/>
    <col min="5" max="5" width="7.140625" style="387" customWidth="1"/>
    <col min="6" max="6" width="10.140625" style="387" customWidth="1"/>
    <col min="7" max="7" width="12.28515625" style="387" customWidth="1"/>
    <col min="8" max="8" width="6.5703125" style="387" bestFit="1" customWidth="1"/>
    <col min="9" max="9" width="9.85546875" style="387" bestFit="1" customWidth="1"/>
    <col min="10" max="10" width="12.28515625" style="387" customWidth="1"/>
    <col min="11" max="11" width="6.5703125" style="387" bestFit="1" customWidth="1"/>
    <col min="12" max="12" width="9.5703125" style="387" customWidth="1"/>
    <col min="13" max="13" width="12.28515625" style="387" customWidth="1"/>
    <col min="14" max="14" width="29.28515625" style="347" customWidth="1"/>
    <col min="15" max="15" width="13.28515625" style="347" bestFit="1" customWidth="1"/>
    <col min="16" max="16" width="13.140625" style="347" customWidth="1"/>
    <col min="17" max="256" width="9.140625" style="347"/>
    <col min="257" max="257" width="4.28515625" style="347" customWidth="1"/>
    <col min="258" max="258" width="42.85546875" style="347" customWidth="1"/>
    <col min="259" max="259" width="14.85546875" style="347" customWidth="1"/>
    <col min="260" max="260" width="5.5703125" style="347" customWidth="1"/>
    <col min="261" max="261" width="7.140625" style="347" customWidth="1"/>
    <col min="262" max="262" width="10.140625" style="347" customWidth="1"/>
    <col min="263" max="263" width="12.28515625" style="347" customWidth="1"/>
    <col min="264" max="264" width="6.5703125" style="347" bestFit="1" customWidth="1"/>
    <col min="265" max="265" width="9.85546875" style="347" bestFit="1" customWidth="1"/>
    <col min="266" max="266" width="12.28515625" style="347" customWidth="1"/>
    <col min="267" max="267" width="6.5703125" style="347" bestFit="1" customWidth="1"/>
    <col min="268" max="268" width="9.5703125" style="347" customWidth="1"/>
    <col min="269" max="269" width="12.28515625" style="347" customWidth="1"/>
    <col min="270" max="270" width="29.28515625" style="347" customWidth="1"/>
    <col min="271" max="271" width="13.28515625" style="347" bestFit="1" customWidth="1"/>
    <col min="272" max="272" width="13.140625" style="347" customWidth="1"/>
    <col min="273" max="512" width="9.140625" style="347"/>
    <col min="513" max="513" width="4.28515625" style="347" customWidth="1"/>
    <col min="514" max="514" width="42.85546875" style="347" customWidth="1"/>
    <col min="515" max="515" width="14.85546875" style="347" customWidth="1"/>
    <col min="516" max="516" width="5.5703125" style="347" customWidth="1"/>
    <col min="517" max="517" width="7.140625" style="347" customWidth="1"/>
    <col min="518" max="518" width="10.140625" style="347" customWidth="1"/>
    <col min="519" max="519" width="12.28515625" style="347" customWidth="1"/>
    <col min="520" max="520" width="6.5703125" style="347" bestFit="1" customWidth="1"/>
    <col min="521" max="521" width="9.85546875" style="347" bestFit="1" customWidth="1"/>
    <col min="522" max="522" width="12.28515625" style="347" customWidth="1"/>
    <col min="523" max="523" width="6.5703125" style="347" bestFit="1" customWidth="1"/>
    <col min="524" max="524" width="9.5703125" style="347" customWidth="1"/>
    <col min="525" max="525" width="12.28515625" style="347" customWidth="1"/>
    <col min="526" max="526" width="29.28515625" style="347" customWidth="1"/>
    <col min="527" max="527" width="13.28515625" style="347" bestFit="1" customWidth="1"/>
    <col min="528" max="528" width="13.140625" style="347" customWidth="1"/>
    <col min="529" max="768" width="9.140625" style="347"/>
    <col min="769" max="769" width="4.28515625" style="347" customWidth="1"/>
    <col min="770" max="770" width="42.85546875" style="347" customWidth="1"/>
    <col min="771" max="771" width="14.85546875" style="347" customWidth="1"/>
    <col min="772" max="772" width="5.5703125" style="347" customWidth="1"/>
    <col min="773" max="773" width="7.140625" style="347" customWidth="1"/>
    <col min="774" max="774" width="10.140625" style="347" customWidth="1"/>
    <col min="775" max="775" width="12.28515625" style="347" customWidth="1"/>
    <col min="776" max="776" width="6.5703125" style="347" bestFit="1" customWidth="1"/>
    <col min="777" max="777" width="9.85546875" style="347" bestFit="1" customWidth="1"/>
    <col min="778" max="778" width="12.28515625" style="347" customWidth="1"/>
    <col min="779" max="779" width="6.5703125" style="347" bestFit="1" customWidth="1"/>
    <col min="780" max="780" width="9.5703125" style="347" customWidth="1"/>
    <col min="781" max="781" width="12.28515625" style="347" customWidth="1"/>
    <col min="782" max="782" width="29.28515625" style="347" customWidth="1"/>
    <col min="783" max="783" width="13.28515625" style="347" bestFit="1" customWidth="1"/>
    <col min="784" max="784" width="13.140625" style="347" customWidth="1"/>
    <col min="785" max="1024" width="9.140625" style="347"/>
    <col min="1025" max="1025" width="4.28515625" style="347" customWidth="1"/>
    <col min="1026" max="1026" width="42.85546875" style="347" customWidth="1"/>
    <col min="1027" max="1027" width="14.85546875" style="347" customWidth="1"/>
    <col min="1028" max="1028" width="5.5703125" style="347" customWidth="1"/>
    <col min="1029" max="1029" width="7.140625" style="347" customWidth="1"/>
    <col min="1030" max="1030" width="10.140625" style="347" customWidth="1"/>
    <col min="1031" max="1031" width="12.28515625" style="347" customWidth="1"/>
    <col min="1032" max="1032" width="6.5703125" style="347" bestFit="1" customWidth="1"/>
    <col min="1033" max="1033" width="9.85546875" style="347" bestFit="1" customWidth="1"/>
    <col min="1034" max="1034" width="12.28515625" style="347" customWidth="1"/>
    <col min="1035" max="1035" width="6.5703125" style="347" bestFit="1" customWidth="1"/>
    <col min="1036" max="1036" width="9.5703125" style="347" customWidth="1"/>
    <col min="1037" max="1037" width="12.28515625" style="347" customWidth="1"/>
    <col min="1038" max="1038" width="29.28515625" style="347" customWidth="1"/>
    <col min="1039" max="1039" width="13.28515625" style="347" bestFit="1" customWidth="1"/>
    <col min="1040" max="1040" width="13.140625" style="347" customWidth="1"/>
    <col min="1041" max="1280" width="9.140625" style="347"/>
    <col min="1281" max="1281" width="4.28515625" style="347" customWidth="1"/>
    <col min="1282" max="1282" width="42.85546875" style="347" customWidth="1"/>
    <col min="1283" max="1283" width="14.85546875" style="347" customWidth="1"/>
    <col min="1284" max="1284" width="5.5703125" style="347" customWidth="1"/>
    <col min="1285" max="1285" width="7.140625" style="347" customWidth="1"/>
    <col min="1286" max="1286" width="10.140625" style="347" customWidth="1"/>
    <col min="1287" max="1287" width="12.28515625" style="347" customWidth="1"/>
    <col min="1288" max="1288" width="6.5703125" style="347" bestFit="1" customWidth="1"/>
    <col min="1289" max="1289" width="9.85546875" style="347" bestFit="1" customWidth="1"/>
    <col min="1290" max="1290" width="12.28515625" style="347" customWidth="1"/>
    <col min="1291" max="1291" width="6.5703125" style="347" bestFit="1" customWidth="1"/>
    <col min="1292" max="1292" width="9.5703125" style="347" customWidth="1"/>
    <col min="1293" max="1293" width="12.28515625" style="347" customWidth="1"/>
    <col min="1294" max="1294" width="29.28515625" style="347" customWidth="1"/>
    <col min="1295" max="1295" width="13.28515625" style="347" bestFit="1" customWidth="1"/>
    <col min="1296" max="1296" width="13.140625" style="347" customWidth="1"/>
    <col min="1297" max="1536" width="9.140625" style="347"/>
    <col min="1537" max="1537" width="4.28515625" style="347" customWidth="1"/>
    <col min="1538" max="1538" width="42.85546875" style="347" customWidth="1"/>
    <col min="1539" max="1539" width="14.85546875" style="347" customWidth="1"/>
    <col min="1540" max="1540" width="5.5703125" style="347" customWidth="1"/>
    <col min="1541" max="1541" width="7.140625" style="347" customWidth="1"/>
    <col min="1542" max="1542" width="10.140625" style="347" customWidth="1"/>
    <col min="1543" max="1543" width="12.28515625" style="347" customWidth="1"/>
    <col min="1544" max="1544" width="6.5703125" style="347" bestFit="1" customWidth="1"/>
    <col min="1545" max="1545" width="9.85546875" style="347" bestFit="1" customWidth="1"/>
    <col min="1546" max="1546" width="12.28515625" style="347" customWidth="1"/>
    <col min="1547" max="1547" width="6.5703125" style="347" bestFit="1" customWidth="1"/>
    <col min="1548" max="1548" width="9.5703125" style="347" customWidth="1"/>
    <col min="1549" max="1549" width="12.28515625" style="347" customWidth="1"/>
    <col min="1550" max="1550" width="29.28515625" style="347" customWidth="1"/>
    <col min="1551" max="1551" width="13.28515625" style="347" bestFit="1" customWidth="1"/>
    <col min="1552" max="1552" width="13.140625" style="347" customWidth="1"/>
    <col min="1553" max="1792" width="9.140625" style="347"/>
    <col min="1793" max="1793" width="4.28515625" style="347" customWidth="1"/>
    <col min="1794" max="1794" width="42.85546875" style="347" customWidth="1"/>
    <col min="1795" max="1795" width="14.85546875" style="347" customWidth="1"/>
    <col min="1796" max="1796" width="5.5703125" style="347" customWidth="1"/>
    <col min="1797" max="1797" width="7.140625" style="347" customWidth="1"/>
    <col min="1798" max="1798" width="10.140625" style="347" customWidth="1"/>
    <col min="1799" max="1799" width="12.28515625" style="347" customWidth="1"/>
    <col min="1800" max="1800" width="6.5703125" style="347" bestFit="1" customWidth="1"/>
    <col min="1801" max="1801" width="9.85546875" style="347" bestFit="1" customWidth="1"/>
    <col min="1802" max="1802" width="12.28515625" style="347" customWidth="1"/>
    <col min="1803" max="1803" width="6.5703125" style="347" bestFit="1" customWidth="1"/>
    <col min="1804" max="1804" width="9.5703125" style="347" customWidth="1"/>
    <col min="1805" max="1805" width="12.28515625" style="347" customWidth="1"/>
    <col min="1806" max="1806" width="29.28515625" style="347" customWidth="1"/>
    <col min="1807" max="1807" width="13.28515625" style="347" bestFit="1" customWidth="1"/>
    <col min="1808" max="1808" width="13.140625" style="347" customWidth="1"/>
    <col min="1809" max="2048" width="9.140625" style="347"/>
    <col min="2049" max="2049" width="4.28515625" style="347" customWidth="1"/>
    <col min="2050" max="2050" width="42.85546875" style="347" customWidth="1"/>
    <col min="2051" max="2051" width="14.85546875" style="347" customWidth="1"/>
    <col min="2052" max="2052" width="5.5703125" style="347" customWidth="1"/>
    <col min="2053" max="2053" width="7.140625" style="347" customWidth="1"/>
    <col min="2054" max="2054" width="10.140625" style="347" customWidth="1"/>
    <col min="2055" max="2055" width="12.28515625" style="347" customWidth="1"/>
    <col min="2056" max="2056" width="6.5703125" style="347" bestFit="1" customWidth="1"/>
    <col min="2057" max="2057" width="9.85546875" style="347" bestFit="1" customWidth="1"/>
    <col min="2058" max="2058" width="12.28515625" style="347" customWidth="1"/>
    <col min="2059" max="2059" width="6.5703125" style="347" bestFit="1" customWidth="1"/>
    <col min="2060" max="2060" width="9.5703125" style="347" customWidth="1"/>
    <col min="2061" max="2061" width="12.28515625" style="347" customWidth="1"/>
    <col min="2062" max="2062" width="29.28515625" style="347" customWidth="1"/>
    <col min="2063" max="2063" width="13.28515625" style="347" bestFit="1" customWidth="1"/>
    <col min="2064" max="2064" width="13.140625" style="347" customWidth="1"/>
    <col min="2065" max="2304" width="9.140625" style="347"/>
    <col min="2305" max="2305" width="4.28515625" style="347" customWidth="1"/>
    <col min="2306" max="2306" width="42.85546875" style="347" customWidth="1"/>
    <col min="2307" max="2307" width="14.85546875" style="347" customWidth="1"/>
    <col min="2308" max="2308" width="5.5703125" style="347" customWidth="1"/>
    <col min="2309" max="2309" width="7.140625" style="347" customWidth="1"/>
    <col min="2310" max="2310" width="10.140625" style="347" customWidth="1"/>
    <col min="2311" max="2311" width="12.28515625" style="347" customWidth="1"/>
    <col min="2312" max="2312" width="6.5703125" style="347" bestFit="1" customWidth="1"/>
    <col min="2313" max="2313" width="9.85546875" style="347" bestFit="1" customWidth="1"/>
    <col min="2314" max="2314" width="12.28515625" style="347" customWidth="1"/>
    <col min="2315" max="2315" width="6.5703125" style="347" bestFit="1" customWidth="1"/>
    <col min="2316" max="2316" width="9.5703125" style="347" customWidth="1"/>
    <col min="2317" max="2317" width="12.28515625" style="347" customWidth="1"/>
    <col min="2318" max="2318" width="29.28515625" style="347" customWidth="1"/>
    <col min="2319" max="2319" width="13.28515625" style="347" bestFit="1" customWidth="1"/>
    <col min="2320" max="2320" width="13.140625" style="347" customWidth="1"/>
    <col min="2321" max="2560" width="9.140625" style="347"/>
    <col min="2561" max="2561" width="4.28515625" style="347" customWidth="1"/>
    <col min="2562" max="2562" width="42.85546875" style="347" customWidth="1"/>
    <col min="2563" max="2563" width="14.85546875" style="347" customWidth="1"/>
    <col min="2564" max="2564" width="5.5703125" style="347" customWidth="1"/>
    <col min="2565" max="2565" width="7.140625" style="347" customWidth="1"/>
    <col min="2566" max="2566" width="10.140625" style="347" customWidth="1"/>
    <col min="2567" max="2567" width="12.28515625" style="347" customWidth="1"/>
    <col min="2568" max="2568" width="6.5703125" style="347" bestFit="1" customWidth="1"/>
    <col min="2569" max="2569" width="9.85546875" style="347" bestFit="1" customWidth="1"/>
    <col min="2570" max="2570" width="12.28515625" style="347" customWidth="1"/>
    <col min="2571" max="2571" width="6.5703125" style="347" bestFit="1" customWidth="1"/>
    <col min="2572" max="2572" width="9.5703125" style="347" customWidth="1"/>
    <col min="2573" max="2573" width="12.28515625" style="347" customWidth="1"/>
    <col min="2574" max="2574" width="29.28515625" style="347" customWidth="1"/>
    <col min="2575" max="2575" width="13.28515625" style="347" bestFit="1" customWidth="1"/>
    <col min="2576" max="2576" width="13.140625" style="347" customWidth="1"/>
    <col min="2577" max="2816" width="9.140625" style="347"/>
    <col min="2817" max="2817" width="4.28515625" style="347" customWidth="1"/>
    <col min="2818" max="2818" width="42.85546875" style="347" customWidth="1"/>
    <col min="2819" max="2819" width="14.85546875" style="347" customWidth="1"/>
    <col min="2820" max="2820" width="5.5703125" style="347" customWidth="1"/>
    <col min="2821" max="2821" width="7.140625" style="347" customWidth="1"/>
    <col min="2822" max="2822" width="10.140625" style="347" customWidth="1"/>
    <col min="2823" max="2823" width="12.28515625" style="347" customWidth="1"/>
    <col min="2824" max="2824" width="6.5703125" style="347" bestFit="1" customWidth="1"/>
    <col min="2825" max="2825" width="9.85546875" style="347" bestFit="1" customWidth="1"/>
    <col min="2826" max="2826" width="12.28515625" style="347" customWidth="1"/>
    <col min="2827" max="2827" width="6.5703125" style="347" bestFit="1" customWidth="1"/>
    <col min="2828" max="2828" width="9.5703125" style="347" customWidth="1"/>
    <col min="2829" max="2829" width="12.28515625" style="347" customWidth="1"/>
    <col min="2830" max="2830" width="29.28515625" style="347" customWidth="1"/>
    <col min="2831" max="2831" width="13.28515625" style="347" bestFit="1" customWidth="1"/>
    <col min="2832" max="2832" width="13.140625" style="347" customWidth="1"/>
    <col min="2833" max="3072" width="9.140625" style="347"/>
    <col min="3073" max="3073" width="4.28515625" style="347" customWidth="1"/>
    <col min="3074" max="3074" width="42.85546875" style="347" customWidth="1"/>
    <col min="3075" max="3075" width="14.85546875" style="347" customWidth="1"/>
    <col min="3076" max="3076" width="5.5703125" style="347" customWidth="1"/>
    <col min="3077" max="3077" width="7.140625" style="347" customWidth="1"/>
    <col min="3078" max="3078" width="10.140625" style="347" customWidth="1"/>
    <col min="3079" max="3079" width="12.28515625" style="347" customWidth="1"/>
    <col min="3080" max="3080" width="6.5703125" style="347" bestFit="1" customWidth="1"/>
    <col min="3081" max="3081" width="9.85546875" style="347" bestFit="1" customWidth="1"/>
    <col min="3082" max="3082" width="12.28515625" style="347" customWidth="1"/>
    <col min="3083" max="3083" width="6.5703125" style="347" bestFit="1" customWidth="1"/>
    <col min="3084" max="3084" width="9.5703125" style="347" customWidth="1"/>
    <col min="3085" max="3085" width="12.28515625" style="347" customWidth="1"/>
    <col min="3086" max="3086" width="29.28515625" style="347" customWidth="1"/>
    <col min="3087" max="3087" width="13.28515625" style="347" bestFit="1" customWidth="1"/>
    <col min="3088" max="3088" width="13.140625" style="347" customWidth="1"/>
    <col min="3089" max="3328" width="9.140625" style="347"/>
    <col min="3329" max="3329" width="4.28515625" style="347" customWidth="1"/>
    <col min="3330" max="3330" width="42.85546875" style="347" customWidth="1"/>
    <col min="3331" max="3331" width="14.85546875" style="347" customWidth="1"/>
    <col min="3332" max="3332" width="5.5703125" style="347" customWidth="1"/>
    <col min="3333" max="3333" width="7.140625" style="347" customWidth="1"/>
    <col min="3334" max="3334" width="10.140625" style="347" customWidth="1"/>
    <col min="3335" max="3335" width="12.28515625" style="347" customWidth="1"/>
    <col min="3336" max="3336" width="6.5703125" style="347" bestFit="1" customWidth="1"/>
    <col min="3337" max="3337" width="9.85546875" style="347" bestFit="1" customWidth="1"/>
    <col min="3338" max="3338" width="12.28515625" style="347" customWidth="1"/>
    <col min="3339" max="3339" width="6.5703125" style="347" bestFit="1" customWidth="1"/>
    <col min="3340" max="3340" width="9.5703125" style="347" customWidth="1"/>
    <col min="3341" max="3341" width="12.28515625" style="347" customWidth="1"/>
    <col min="3342" max="3342" width="29.28515625" style="347" customWidth="1"/>
    <col min="3343" max="3343" width="13.28515625" style="347" bestFit="1" customWidth="1"/>
    <col min="3344" max="3344" width="13.140625" style="347" customWidth="1"/>
    <col min="3345" max="3584" width="9.140625" style="347"/>
    <col min="3585" max="3585" width="4.28515625" style="347" customWidth="1"/>
    <col min="3586" max="3586" width="42.85546875" style="347" customWidth="1"/>
    <col min="3587" max="3587" width="14.85546875" style="347" customWidth="1"/>
    <col min="3588" max="3588" width="5.5703125" style="347" customWidth="1"/>
    <col min="3589" max="3589" width="7.140625" style="347" customWidth="1"/>
    <col min="3590" max="3590" width="10.140625" style="347" customWidth="1"/>
    <col min="3591" max="3591" width="12.28515625" style="347" customWidth="1"/>
    <col min="3592" max="3592" width="6.5703125" style="347" bestFit="1" customWidth="1"/>
    <col min="3593" max="3593" width="9.85546875" style="347" bestFit="1" customWidth="1"/>
    <col min="3594" max="3594" width="12.28515625" style="347" customWidth="1"/>
    <col min="3595" max="3595" width="6.5703125" style="347" bestFit="1" customWidth="1"/>
    <col min="3596" max="3596" width="9.5703125" style="347" customWidth="1"/>
    <col min="3597" max="3597" width="12.28515625" style="347" customWidth="1"/>
    <col min="3598" max="3598" width="29.28515625" style="347" customWidth="1"/>
    <col min="3599" max="3599" width="13.28515625" style="347" bestFit="1" customWidth="1"/>
    <col min="3600" max="3600" width="13.140625" style="347" customWidth="1"/>
    <col min="3601" max="3840" width="9.140625" style="347"/>
    <col min="3841" max="3841" width="4.28515625" style="347" customWidth="1"/>
    <col min="3842" max="3842" width="42.85546875" style="347" customWidth="1"/>
    <col min="3843" max="3843" width="14.85546875" style="347" customWidth="1"/>
    <col min="3844" max="3844" width="5.5703125" style="347" customWidth="1"/>
    <col min="3845" max="3845" width="7.140625" style="347" customWidth="1"/>
    <col min="3846" max="3846" width="10.140625" style="347" customWidth="1"/>
    <col min="3847" max="3847" width="12.28515625" style="347" customWidth="1"/>
    <col min="3848" max="3848" width="6.5703125" style="347" bestFit="1" customWidth="1"/>
    <col min="3849" max="3849" width="9.85546875" style="347" bestFit="1" customWidth="1"/>
    <col min="3850" max="3850" width="12.28515625" style="347" customWidth="1"/>
    <col min="3851" max="3851" width="6.5703125" style="347" bestFit="1" customWidth="1"/>
    <col min="3852" max="3852" width="9.5703125" style="347" customWidth="1"/>
    <col min="3853" max="3853" width="12.28515625" style="347" customWidth="1"/>
    <col min="3854" max="3854" width="29.28515625" style="347" customWidth="1"/>
    <col min="3855" max="3855" width="13.28515625" style="347" bestFit="1" customWidth="1"/>
    <col min="3856" max="3856" width="13.140625" style="347" customWidth="1"/>
    <col min="3857" max="4096" width="9.140625" style="347"/>
    <col min="4097" max="4097" width="4.28515625" style="347" customWidth="1"/>
    <col min="4098" max="4098" width="42.85546875" style="347" customWidth="1"/>
    <col min="4099" max="4099" width="14.85546875" style="347" customWidth="1"/>
    <col min="4100" max="4100" width="5.5703125" style="347" customWidth="1"/>
    <col min="4101" max="4101" width="7.140625" style="347" customWidth="1"/>
    <col min="4102" max="4102" width="10.140625" style="347" customWidth="1"/>
    <col min="4103" max="4103" width="12.28515625" style="347" customWidth="1"/>
    <col min="4104" max="4104" width="6.5703125" style="347" bestFit="1" customWidth="1"/>
    <col min="4105" max="4105" width="9.85546875" style="347" bestFit="1" customWidth="1"/>
    <col min="4106" max="4106" width="12.28515625" style="347" customWidth="1"/>
    <col min="4107" max="4107" width="6.5703125" style="347" bestFit="1" customWidth="1"/>
    <col min="4108" max="4108" width="9.5703125" style="347" customWidth="1"/>
    <col min="4109" max="4109" width="12.28515625" style="347" customWidth="1"/>
    <col min="4110" max="4110" width="29.28515625" style="347" customWidth="1"/>
    <col min="4111" max="4111" width="13.28515625" style="347" bestFit="1" customWidth="1"/>
    <col min="4112" max="4112" width="13.140625" style="347" customWidth="1"/>
    <col min="4113" max="4352" width="9.140625" style="347"/>
    <col min="4353" max="4353" width="4.28515625" style="347" customWidth="1"/>
    <col min="4354" max="4354" width="42.85546875" style="347" customWidth="1"/>
    <col min="4355" max="4355" width="14.85546875" style="347" customWidth="1"/>
    <col min="4356" max="4356" width="5.5703125" style="347" customWidth="1"/>
    <col min="4357" max="4357" width="7.140625" style="347" customWidth="1"/>
    <col min="4358" max="4358" width="10.140625" style="347" customWidth="1"/>
    <col min="4359" max="4359" width="12.28515625" style="347" customWidth="1"/>
    <col min="4360" max="4360" width="6.5703125" style="347" bestFit="1" customWidth="1"/>
    <col min="4361" max="4361" width="9.85546875" style="347" bestFit="1" customWidth="1"/>
    <col min="4362" max="4362" width="12.28515625" style="347" customWidth="1"/>
    <col min="4363" max="4363" width="6.5703125" style="347" bestFit="1" customWidth="1"/>
    <col min="4364" max="4364" width="9.5703125" style="347" customWidth="1"/>
    <col min="4365" max="4365" width="12.28515625" style="347" customWidth="1"/>
    <col min="4366" max="4366" width="29.28515625" style="347" customWidth="1"/>
    <col min="4367" max="4367" width="13.28515625" style="347" bestFit="1" customWidth="1"/>
    <col min="4368" max="4368" width="13.140625" style="347" customWidth="1"/>
    <col min="4369" max="4608" width="9.140625" style="347"/>
    <col min="4609" max="4609" width="4.28515625" style="347" customWidth="1"/>
    <col min="4610" max="4610" width="42.85546875" style="347" customWidth="1"/>
    <col min="4611" max="4611" width="14.85546875" style="347" customWidth="1"/>
    <col min="4612" max="4612" width="5.5703125" style="347" customWidth="1"/>
    <col min="4613" max="4613" width="7.140625" style="347" customWidth="1"/>
    <col min="4614" max="4614" width="10.140625" style="347" customWidth="1"/>
    <col min="4615" max="4615" width="12.28515625" style="347" customWidth="1"/>
    <col min="4616" max="4616" width="6.5703125" style="347" bestFit="1" customWidth="1"/>
    <col min="4617" max="4617" width="9.85546875" style="347" bestFit="1" customWidth="1"/>
    <col min="4618" max="4618" width="12.28515625" style="347" customWidth="1"/>
    <col min="4619" max="4619" width="6.5703125" style="347" bestFit="1" customWidth="1"/>
    <col min="4620" max="4620" width="9.5703125" style="347" customWidth="1"/>
    <col min="4621" max="4621" width="12.28515625" style="347" customWidth="1"/>
    <col min="4622" max="4622" width="29.28515625" style="347" customWidth="1"/>
    <col min="4623" max="4623" width="13.28515625" style="347" bestFit="1" customWidth="1"/>
    <col min="4624" max="4624" width="13.140625" style="347" customWidth="1"/>
    <col min="4625" max="4864" width="9.140625" style="347"/>
    <col min="4865" max="4865" width="4.28515625" style="347" customWidth="1"/>
    <col min="4866" max="4866" width="42.85546875" style="347" customWidth="1"/>
    <col min="4867" max="4867" width="14.85546875" style="347" customWidth="1"/>
    <col min="4868" max="4868" width="5.5703125" style="347" customWidth="1"/>
    <col min="4869" max="4869" width="7.140625" style="347" customWidth="1"/>
    <col min="4870" max="4870" width="10.140625" style="347" customWidth="1"/>
    <col min="4871" max="4871" width="12.28515625" style="347" customWidth="1"/>
    <col min="4872" max="4872" width="6.5703125" style="347" bestFit="1" customWidth="1"/>
    <col min="4873" max="4873" width="9.85546875" style="347" bestFit="1" customWidth="1"/>
    <col min="4874" max="4874" width="12.28515625" style="347" customWidth="1"/>
    <col min="4875" max="4875" width="6.5703125" style="347" bestFit="1" customWidth="1"/>
    <col min="4876" max="4876" width="9.5703125" style="347" customWidth="1"/>
    <col min="4877" max="4877" width="12.28515625" style="347" customWidth="1"/>
    <col min="4878" max="4878" width="29.28515625" style="347" customWidth="1"/>
    <col min="4879" max="4879" width="13.28515625" style="347" bestFit="1" customWidth="1"/>
    <col min="4880" max="4880" width="13.140625" style="347" customWidth="1"/>
    <col min="4881" max="5120" width="9.140625" style="347"/>
    <col min="5121" max="5121" width="4.28515625" style="347" customWidth="1"/>
    <col min="5122" max="5122" width="42.85546875" style="347" customWidth="1"/>
    <col min="5123" max="5123" width="14.85546875" style="347" customWidth="1"/>
    <col min="5124" max="5124" width="5.5703125" style="347" customWidth="1"/>
    <col min="5125" max="5125" width="7.140625" style="347" customWidth="1"/>
    <col min="5126" max="5126" width="10.140625" style="347" customWidth="1"/>
    <col min="5127" max="5127" width="12.28515625" style="347" customWidth="1"/>
    <col min="5128" max="5128" width="6.5703125" style="347" bestFit="1" customWidth="1"/>
    <col min="5129" max="5129" width="9.85546875" style="347" bestFit="1" customWidth="1"/>
    <col min="5130" max="5130" width="12.28515625" style="347" customWidth="1"/>
    <col min="5131" max="5131" width="6.5703125" style="347" bestFit="1" customWidth="1"/>
    <col min="5132" max="5132" width="9.5703125" style="347" customWidth="1"/>
    <col min="5133" max="5133" width="12.28515625" style="347" customWidth="1"/>
    <col min="5134" max="5134" width="29.28515625" style="347" customWidth="1"/>
    <col min="5135" max="5135" width="13.28515625" style="347" bestFit="1" customWidth="1"/>
    <col min="5136" max="5136" width="13.140625" style="347" customWidth="1"/>
    <col min="5137" max="5376" width="9.140625" style="347"/>
    <col min="5377" max="5377" width="4.28515625" style="347" customWidth="1"/>
    <col min="5378" max="5378" width="42.85546875" style="347" customWidth="1"/>
    <col min="5379" max="5379" width="14.85546875" style="347" customWidth="1"/>
    <col min="5380" max="5380" width="5.5703125" style="347" customWidth="1"/>
    <col min="5381" max="5381" width="7.140625" style="347" customWidth="1"/>
    <col min="5382" max="5382" width="10.140625" style="347" customWidth="1"/>
    <col min="5383" max="5383" width="12.28515625" style="347" customWidth="1"/>
    <col min="5384" max="5384" width="6.5703125" style="347" bestFit="1" customWidth="1"/>
    <col min="5385" max="5385" width="9.85546875" style="347" bestFit="1" customWidth="1"/>
    <col min="5386" max="5386" width="12.28515625" style="347" customWidth="1"/>
    <col min="5387" max="5387" width="6.5703125" style="347" bestFit="1" customWidth="1"/>
    <col min="5388" max="5388" width="9.5703125" style="347" customWidth="1"/>
    <col min="5389" max="5389" width="12.28515625" style="347" customWidth="1"/>
    <col min="5390" max="5390" width="29.28515625" style="347" customWidth="1"/>
    <col min="5391" max="5391" width="13.28515625" style="347" bestFit="1" customWidth="1"/>
    <col min="5392" max="5392" width="13.140625" style="347" customWidth="1"/>
    <col min="5393" max="5632" width="9.140625" style="347"/>
    <col min="5633" max="5633" width="4.28515625" style="347" customWidth="1"/>
    <col min="5634" max="5634" width="42.85546875" style="347" customWidth="1"/>
    <col min="5635" max="5635" width="14.85546875" style="347" customWidth="1"/>
    <col min="5636" max="5636" width="5.5703125" style="347" customWidth="1"/>
    <col min="5637" max="5637" width="7.140625" style="347" customWidth="1"/>
    <col min="5638" max="5638" width="10.140625" style="347" customWidth="1"/>
    <col min="5639" max="5639" width="12.28515625" style="347" customWidth="1"/>
    <col min="5640" max="5640" width="6.5703125" style="347" bestFit="1" customWidth="1"/>
    <col min="5641" max="5641" width="9.85546875" style="347" bestFit="1" customWidth="1"/>
    <col min="5642" max="5642" width="12.28515625" style="347" customWidth="1"/>
    <col min="5643" max="5643" width="6.5703125" style="347" bestFit="1" customWidth="1"/>
    <col min="5644" max="5644" width="9.5703125" style="347" customWidth="1"/>
    <col min="5645" max="5645" width="12.28515625" style="347" customWidth="1"/>
    <col min="5646" max="5646" width="29.28515625" style="347" customWidth="1"/>
    <col min="5647" max="5647" width="13.28515625" style="347" bestFit="1" customWidth="1"/>
    <col min="5648" max="5648" width="13.140625" style="347" customWidth="1"/>
    <col min="5649" max="5888" width="9.140625" style="347"/>
    <col min="5889" max="5889" width="4.28515625" style="347" customWidth="1"/>
    <col min="5890" max="5890" width="42.85546875" style="347" customWidth="1"/>
    <col min="5891" max="5891" width="14.85546875" style="347" customWidth="1"/>
    <col min="5892" max="5892" width="5.5703125" style="347" customWidth="1"/>
    <col min="5893" max="5893" width="7.140625" style="347" customWidth="1"/>
    <col min="5894" max="5894" width="10.140625" style="347" customWidth="1"/>
    <col min="5895" max="5895" width="12.28515625" style="347" customWidth="1"/>
    <col min="5896" max="5896" width="6.5703125" style="347" bestFit="1" customWidth="1"/>
    <col min="5897" max="5897" width="9.85546875" style="347" bestFit="1" customWidth="1"/>
    <col min="5898" max="5898" width="12.28515625" style="347" customWidth="1"/>
    <col min="5899" max="5899" width="6.5703125" style="347" bestFit="1" customWidth="1"/>
    <col min="5900" max="5900" width="9.5703125" style="347" customWidth="1"/>
    <col min="5901" max="5901" width="12.28515625" style="347" customWidth="1"/>
    <col min="5902" max="5902" width="29.28515625" style="347" customWidth="1"/>
    <col min="5903" max="5903" width="13.28515625" style="347" bestFit="1" customWidth="1"/>
    <col min="5904" max="5904" width="13.140625" style="347" customWidth="1"/>
    <col min="5905" max="6144" width="9.140625" style="347"/>
    <col min="6145" max="6145" width="4.28515625" style="347" customWidth="1"/>
    <col min="6146" max="6146" width="42.85546875" style="347" customWidth="1"/>
    <col min="6147" max="6147" width="14.85546875" style="347" customWidth="1"/>
    <col min="6148" max="6148" width="5.5703125" style="347" customWidth="1"/>
    <col min="6149" max="6149" width="7.140625" style="347" customWidth="1"/>
    <col min="6150" max="6150" width="10.140625" style="347" customWidth="1"/>
    <col min="6151" max="6151" width="12.28515625" style="347" customWidth="1"/>
    <col min="6152" max="6152" width="6.5703125" style="347" bestFit="1" customWidth="1"/>
    <col min="6153" max="6153" width="9.85546875" style="347" bestFit="1" customWidth="1"/>
    <col min="6154" max="6154" width="12.28515625" style="347" customWidth="1"/>
    <col min="6155" max="6155" width="6.5703125" style="347" bestFit="1" customWidth="1"/>
    <col min="6156" max="6156" width="9.5703125" style="347" customWidth="1"/>
    <col min="6157" max="6157" width="12.28515625" style="347" customWidth="1"/>
    <col min="6158" max="6158" width="29.28515625" style="347" customWidth="1"/>
    <col min="6159" max="6159" width="13.28515625" style="347" bestFit="1" customWidth="1"/>
    <col min="6160" max="6160" width="13.140625" style="347" customWidth="1"/>
    <col min="6161" max="6400" width="9.140625" style="347"/>
    <col min="6401" max="6401" width="4.28515625" style="347" customWidth="1"/>
    <col min="6402" max="6402" width="42.85546875" style="347" customWidth="1"/>
    <col min="6403" max="6403" width="14.85546875" style="347" customWidth="1"/>
    <col min="6404" max="6404" width="5.5703125" style="347" customWidth="1"/>
    <col min="6405" max="6405" width="7.140625" style="347" customWidth="1"/>
    <col min="6406" max="6406" width="10.140625" style="347" customWidth="1"/>
    <col min="6407" max="6407" width="12.28515625" style="347" customWidth="1"/>
    <col min="6408" max="6408" width="6.5703125" style="347" bestFit="1" customWidth="1"/>
    <col min="6409" max="6409" width="9.85546875" style="347" bestFit="1" customWidth="1"/>
    <col min="6410" max="6410" width="12.28515625" style="347" customWidth="1"/>
    <col min="6411" max="6411" width="6.5703125" style="347" bestFit="1" customWidth="1"/>
    <col min="6412" max="6412" width="9.5703125" style="347" customWidth="1"/>
    <col min="6413" max="6413" width="12.28515625" style="347" customWidth="1"/>
    <col min="6414" max="6414" width="29.28515625" style="347" customWidth="1"/>
    <col min="6415" max="6415" width="13.28515625" style="347" bestFit="1" customWidth="1"/>
    <col min="6416" max="6416" width="13.140625" style="347" customWidth="1"/>
    <col min="6417" max="6656" width="9.140625" style="347"/>
    <col min="6657" max="6657" width="4.28515625" style="347" customWidth="1"/>
    <col min="6658" max="6658" width="42.85546875" style="347" customWidth="1"/>
    <col min="6659" max="6659" width="14.85546875" style="347" customWidth="1"/>
    <col min="6660" max="6660" width="5.5703125" style="347" customWidth="1"/>
    <col min="6661" max="6661" width="7.140625" style="347" customWidth="1"/>
    <col min="6662" max="6662" width="10.140625" style="347" customWidth="1"/>
    <col min="6663" max="6663" width="12.28515625" style="347" customWidth="1"/>
    <col min="6664" max="6664" width="6.5703125" style="347" bestFit="1" customWidth="1"/>
    <col min="6665" max="6665" width="9.85546875" style="347" bestFit="1" customWidth="1"/>
    <col min="6666" max="6666" width="12.28515625" style="347" customWidth="1"/>
    <col min="6667" max="6667" width="6.5703125" style="347" bestFit="1" customWidth="1"/>
    <col min="6668" max="6668" width="9.5703125" style="347" customWidth="1"/>
    <col min="6669" max="6669" width="12.28515625" style="347" customWidth="1"/>
    <col min="6670" max="6670" width="29.28515625" style="347" customWidth="1"/>
    <col min="6671" max="6671" width="13.28515625" style="347" bestFit="1" customWidth="1"/>
    <col min="6672" max="6672" width="13.140625" style="347" customWidth="1"/>
    <col min="6673" max="6912" width="9.140625" style="347"/>
    <col min="6913" max="6913" width="4.28515625" style="347" customWidth="1"/>
    <col min="6914" max="6914" width="42.85546875" style="347" customWidth="1"/>
    <col min="6915" max="6915" width="14.85546875" style="347" customWidth="1"/>
    <col min="6916" max="6916" width="5.5703125" style="347" customWidth="1"/>
    <col min="6917" max="6917" width="7.140625" style="347" customWidth="1"/>
    <col min="6918" max="6918" width="10.140625" style="347" customWidth="1"/>
    <col min="6919" max="6919" width="12.28515625" style="347" customWidth="1"/>
    <col min="6920" max="6920" width="6.5703125" style="347" bestFit="1" customWidth="1"/>
    <col min="6921" max="6921" width="9.85546875" style="347" bestFit="1" customWidth="1"/>
    <col min="6922" max="6922" width="12.28515625" style="347" customWidth="1"/>
    <col min="6923" max="6923" width="6.5703125" style="347" bestFit="1" customWidth="1"/>
    <col min="6924" max="6924" width="9.5703125" style="347" customWidth="1"/>
    <col min="6925" max="6925" width="12.28515625" style="347" customWidth="1"/>
    <col min="6926" max="6926" width="29.28515625" style="347" customWidth="1"/>
    <col min="6927" max="6927" width="13.28515625" style="347" bestFit="1" customWidth="1"/>
    <col min="6928" max="6928" width="13.140625" style="347" customWidth="1"/>
    <col min="6929" max="7168" width="9.140625" style="347"/>
    <col min="7169" max="7169" width="4.28515625" style="347" customWidth="1"/>
    <col min="7170" max="7170" width="42.85546875" style="347" customWidth="1"/>
    <col min="7171" max="7171" width="14.85546875" style="347" customWidth="1"/>
    <col min="7172" max="7172" width="5.5703125" style="347" customWidth="1"/>
    <col min="7173" max="7173" width="7.140625" style="347" customWidth="1"/>
    <col min="7174" max="7174" width="10.140625" style="347" customWidth="1"/>
    <col min="7175" max="7175" width="12.28515625" style="347" customWidth="1"/>
    <col min="7176" max="7176" width="6.5703125" style="347" bestFit="1" customWidth="1"/>
    <col min="7177" max="7177" width="9.85546875" style="347" bestFit="1" customWidth="1"/>
    <col min="7178" max="7178" width="12.28515625" style="347" customWidth="1"/>
    <col min="7179" max="7179" width="6.5703125" style="347" bestFit="1" customWidth="1"/>
    <col min="7180" max="7180" width="9.5703125" style="347" customWidth="1"/>
    <col min="7181" max="7181" width="12.28515625" style="347" customWidth="1"/>
    <col min="7182" max="7182" width="29.28515625" style="347" customWidth="1"/>
    <col min="7183" max="7183" width="13.28515625" style="347" bestFit="1" customWidth="1"/>
    <col min="7184" max="7184" width="13.140625" style="347" customWidth="1"/>
    <col min="7185" max="7424" width="9.140625" style="347"/>
    <col min="7425" max="7425" width="4.28515625" style="347" customWidth="1"/>
    <col min="7426" max="7426" width="42.85546875" style="347" customWidth="1"/>
    <col min="7427" max="7427" width="14.85546875" style="347" customWidth="1"/>
    <col min="7428" max="7428" width="5.5703125" style="347" customWidth="1"/>
    <col min="7429" max="7429" width="7.140625" style="347" customWidth="1"/>
    <col min="7430" max="7430" width="10.140625" style="347" customWidth="1"/>
    <col min="7431" max="7431" width="12.28515625" style="347" customWidth="1"/>
    <col min="7432" max="7432" width="6.5703125" style="347" bestFit="1" customWidth="1"/>
    <col min="7433" max="7433" width="9.85546875" style="347" bestFit="1" customWidth="1"/>
    <col min="7434" max="7434" width="12.28515625" style="347" customWidth="1"/>
    <col min="7435" max="7435" width="6.5703125" style="347" bestFit="1" customWidth="1"/>
    <col min="7436" max="7436" width="9.5703125" style="347" customWidth="1"/>
    <col min="7437" max="7437" width="12.28515625" style="347" customWidth="1"/>
    <col min="7438" max="7438" width="29.28515625" style="347" customWidth="1"/>
    <col min="7439" max="7439" width="13.28515625" style="347" bestFit="1" customWidth="1"/>
    <col min="7440" max="7440" width="13.140625" style="347" customWidth="1"/>
    <col min="7441" max="7680" width="9.140625" style="347"/>
    <col min="7681" max="7681" width="4.28515625" style="347" customWidth="1"/>
    <col min="7682" max="7682" width="42.85546875" style="347" customWidth="1"/>
    <col min="7683" max="7683" width="14.85546875" style="347" customWidth="1"/>
    <col min="7684" max="7684" width="5.5703125" style="347" customWidth="1"/>
    <col min="7685" max="7685" width="7.140625" style="347" customWidth="1"/>
    <col min="7686" max="7686" width="10.140625" style="347" customWidth="1"/>
    <col min="7687" max="7687" width="12.28515625" style="347" customWidth="1"/>
    <col min="7688" max="7688" width="6.5703125" style="347" bestFit="1" customWidth="1"/>
    <col min="7689" max="7689" width="9.85546875" style="347" bestFit="1" customWidth="1"/>
    <col min="7690" max="7690" width="12.28515625" style="347" customWidth="1"/>
    <col min="7691" max="7691" width="6.5703125" style="347" bestFit="1" customWidth="1"/>
    <col min="7692" max="7692" width="9.5703125" style="347" customWidth="1"/>
    <col min="7693" max="7693" width="12.28515625" style="347" customWidth="1"/>
    <col min="7694" max="7694" width="29.28515625" style="347" customWidth="1"/>
    <col min="7695" max="7695" width="13.28515625" style="347" bestFit="1" customWidth="1"/>
    <col min="7696" max="7696" width="13.140625" style="347" customWidth="1"/>
    <col min="7697" max="7936" width="9.140625" style="347"/>
    <col min="7937" max="7937" width="4.28515625" style="347" customWidth="1"/>
    <col min="7938" max="7938" width="42.85546875" style="347" customWidth="1"/>
    <col min="7939" max="7939" width="14.85546875" style="347" customWidth="1"/>
    <col min="7940" max="7940" width="5.5703125" style="347" customWidth="1"/>
    <col min="7941" max="7941" width="7.140625" style="347" customWidth="1"/>
    <col min="7942" max="7942" width="10.140625" style="347" customWidth="1"/>
    <col min="7943" max="7943" width="12.28515625" style="347" customWidth="1"/>
    <col min="7944" max="7944" width="6.5703125" style="347" bestFit="1" customWidth="1"/>
    <col min="7945" max="7945" width="9.85546875" style="347" bestFit="1" customWidth="1"/>
    <col min="7946" max="7946" width="12.28515625" style="347" customWidth="1"/>
    <col min="7947" max="7947" width="6.5703125" style="347" bestFit="1" customWidth="1"/>
    <col min="7948" max="7948" width="9.5703125" style="347" customWidth="1"/>
    <col min="7949" max="7949" width="12.28515625" style="347" customWidth="1"/>
    <col min="7950" max="7950" width="29.28515625" style="347" customWidth="1"/>
    <col min="7951" max="7951" width="13.28515625" style="347" bestFit="1" customWidth="1"/>
    <col min="7952" max="7952" width="13.140625" style="347" customWidth="1"/>
    <col min="7953" max="8192" width="9.140625" style="347"/>
    <col min="8193" max="8193" width="4.28515625" style="347" customWidth="1"/>
    <col min="8194" max="8194" width="42.85546875" style="347" customWidth="1"/>
    <col min="8195" max="8195" width="14.85546875" style="347" customWidth="1"/>
    <col min="8196" max="8196" width="5.5703125" style="347" customWidth="1"/>
    <col min="8197" max="8197" width="7.140625" style="347" customWidth="1"/>
    <col min="8198" max="8198" width="10.140625" style="347" customWidth="1"/>
    <col min="8199" max="8199" width="12.28515625" style="347" customWidth="1"/>
    <col min="8200" max="8200" width="6.5703125" style="347" bestFit="1" customWidth="1"/>
    <col min="8201" max="8201" width="9.85546875" style="347" bestFit="1" customWidth="1"/>
    <col min="8202" max="8202" width="12.28515625" style="347" customWidth="1"/>
    <col min="8203" max="8203" width="6.5703125" style="347" bestFit="1" customWidth="1"/>
    <col min="8204" max="8204" width="9.5703125" style="347" customWidth="1"/>
    <col min="8205" max="8205" width="12.28515625" style="347" customWidth="1"/>
    <col min="8206" max="8206" width="29.28515625" style="347" customWidth="1"/>
    <col min="8207" max="8207" width="13.28515625" style="347" bestFit="1" customWidth="1"/>
    <col min="8208" max="8208" width="13.140625" style="347" customWidth="1"/>
    <col min="8209" max="8448" width="9.140625" style="347"/>
    <col min="8449" max="8449" width="4.28515625" style="347" customWidth="1"/>
    <col min="8450" max="8450" width="42.85546875" style="347" customWidth="1"/>
    <col min="8451" max="8451" width="14.85546875" style="347" customWidth="1"/>
    <col min="8452" max="8452" width="5.5703125" style="347" customWidth="1"/>
    <col min="8453" max="8453" width="7.140625" style="347" customWidth="1"/>
    <col min="8454" max="8454" width="10.140625" style="347" customWidth="1"/>
    <col min="8455" max="8455" width="12.28515625" style="347" customWidth="1"/>
    <col min="8456" max="8456" width="6.5703125" style="347" bestFit="1" customWidth="1"/>
    <col min="8457" max="8457" width="9.85546875" style="347" bestFit="1" customWidth="1"/>
    <col min="8458" max="8458" width="12.28515625" style="347" customWidth="1"/>
    <col min="8459" max="8459" width="6.5703125" style="347" bestFit="1" customWidth="1"/>
    <col min="8460" max="8460" width="9.5703125" style="347" customWidth="1"/>
    <col min="8461" max="8461" width="12.28515625" style="347" customWidth="1"/>
    <col min="8462" max="8462" width="29.28515625" style="347" customWidth="1"/>
    <col min="8463" max="8463" width="13.28515625" style="347" bestFit="1" customWidth="1"/>
    <col min="8464" max="8464" width="13.140625" style="347" customWidth="1"/>
    <col min="8465" max="8704" width="9.140625" style="347"/>
    <col min="8705" max="8705" width="4.28515625" style="347" customWidth="1"/>
    <col min="8706" max="8706" width="42.85546875" style="347" customWidth="1"/>
    <col min="8707" max="8707" width="14.85546875" style="347" customWidth="1"/>
    <col min="8708" max="8708" width="5.5703125" style="347" customWidth="1"/>
    <col min="8709" max="8709" width="7.140625" style="347" customWidth="1"/>
    <col min="8710" max="8710" width="10.140625" style="347" customWidth="1"/>
    <col min="8711" max="8711" width="12.28515625" style="347" customWidth="1"/>
    <col min="8712" max="8712" width="6.5703125" style="347" bestFit="1" customWidth="1"/>
    <col min="8713" max="8713" width="9.85546875" style="347" bestFit="1" customWidth="1"/>
    <col min="8714" max="8714" width="12.28515625" style="347" customWidth="1"/>
    <col min="8715" max="8715" width="6.5703125" style="347" bestFit="1" customWidth="1"/>
    <col min="8716" max="8716" width="9.5703125" style="347" customWidth="1"/>
    <col min="8717" max="8717" width="12.28515625" style="347" customWidth="1"/>
    <col min="8718" max="8718" width="29.28515625" style="347" customWidth="1"/>
    <col min="8719" max="8719" width="13.28515625" style="347" bestFit="1" customWidth="1"/>
    <col min="8720" max="8720" width="13.140625" style="347" customWidth="1"/>
    <col min="8721" max="8960" width="9.140625" style="347"/>
    <col min="8961" max="8961" width="4.28515625" style="347" customWidth="1"/>
    <col min="8962" max="8962" width="42.85546875" style="347" customWidth="1"/>
    <col min="8963" max="8963" width="14.85546875" style="347" customWidth="1"/>
    <col min="8964" max="8964" width="5.5703125" style="347" customWidth="1"/>
    <col min="8965" max="8965" width="7.140625" style="347" customWidth="1"/>
    <col min="8966" max="8966" width="10.140625" style="347" customWidth="1"/>
    <col min="8967" max="8967" width="12.28515625" style="347" customWidth="1"/>
    <col min="8968" max="8968" width="6.5703125" style="347" bestFit="1" customWidth="1"/>
    <col min="8969" max="8969" width="9.85546875" style="347" bestFit="1" customWidth="1"/>
    <col min="8970" max="8970" width="12.28515625" style="347" customWidth="1"/>
    <col min="8971" max="8971" width="6.5703125" style="347" bestFit="1" customWidth="1"/>
    <col min="8972" max="8972" width="9.5703125" style="347" customWidth="1"/>
    <col min="8973" max="8973" width="12.28515625" style="347" customWidth="1"/>
    <col min="8974" max="8974" width="29.28515625" style="347" customWidth="1"/>
    <col min="8975" max="8975" width="13.28515625" style="347" bestFit="1" customWidth="1"/>
    <col min="8976" max="8976" width="13.140625" style="347" customWidth="1"/>
    <col min="8977" max="9216" width="9.140625" style="347"/>
    <col min="9217" max="9217" width="4.28515625" style="347" customWidth="1"/>
    <col min="9218" max="9218" width="42.85546875" style="347" customWidth="1"/>
    <col min="9219" max="9219" width="14.85546875" style="347" customWidth="1"/>
    <col min="9220" max="9220" width="5.5703125" style="347" customWidth="1"/>
    <col min="9221" max="9221" width="7.140625" style="347" customWidth="1"/>
    <col min="9222" max="9222" width="10.140625" style="347" customWidth="1"/>
    <col min="9223" max="9223" width="12.28515625" style="347" customWidth="1"/>
    <col min="9224" max="9224" width="6.5703125" style="347" bestFit="1" customWidth="1"/>
    <col min="9225" max="9225" width="9.85546875" style="347" bestFit="1" customWidth="1"/>
    <col min="9226" max="9226" width="12.28515625" style="347" customWidth="1"/>
    <col min="9227" max="9227" width="6.5703125" style="347" bestFit="1" customWidth="1"/>
    <col min="9228" max="9228" width="9.5703125" style="347" customWidth="1"/>
    <col min="9229" max="9229" width="12.28515625" style="347" customWidth="1"/>
    <col min="9230" max="9230" width="29.28515625" style="347" customWidth="1"/>
    <col min="9231" max="9231" width="13.28515625" style="347" bestFit="1" customWidth="1"/>
    <col min="9232" max="9232" width="13.140625" style="347" customWidth="1"/>
    <col min="9233" max="9472" width="9.140625" style="347"/>
    <col min="9473" max="9473" width="4.28515625" style="347" customWidth="1"/>
    <col min="9474" max="9474" width="42.85546875" style="347" customWidth="1"/>
    <col min="9475" max="9475" width="14.85546875" style="347" customWidth="1"/>
    <col min="9476" max="9476" width="5.5703125" style="347" customWidth="1"/>
    <col min="9477" max="9477" width="7.140625" style="347" customWidth="1"/>
    <col min="9478" max="9478" width="10.140625" style="347" customWidth="1"/>
    <col min="9479" max="9479" width="12.28515625" style="347" customWidth="1"/>
    <col min="9480" max="9480" width="6.5703125" style="347" bestFit="1" customWidth="1"/>
    <col min="9481" max="9481" width="9.85546875" style="347" bestFit="1" customWidth="1"/>
    <col min="9482" max="9482" width="12.28515625" style="347" customWidth="1"/>
    <col min="9483" max="9483" width="6.5703125" style="347" bestFit="1" customWidth="1"/>
    <col min="9484" max="9484" width="9.5703125" style="347" customWidth="1"/>
    <col min="9485" max="9485" width="12.28515625" style="347" customWidth="1"/>
    <col min="9486" max="9486" width="29.28515625" style="347" customWidth="1"/>
    <col min="9487" max="9487" width="13.28515625" style="347" bestFit="1" customWidth="1"/>
    <col min="9488" max="9488" width="13.140625" style="347" customWidth="1"/>
    <col min="9489" max="9728" width="9.140625" style="347"/>
    <col min="9729" max="9729" width="4.28515625" style="347" customWidth="1"/>
    <col min="9730" max="9730" width="42.85546875" style="347" customWidth="1"/>
    <col min="9731" max="9731" width="14.85546875" style="347" customWidth="1"/>
    <col min="9732" max="9732" width="5.5703125" style="347" customWidth="1"/>
    <col min="9733" max="9733" width="7.140625" style="347" customWidth="1"/>
    <col min="9734" max="9734" width="10.140625" style="347" customWidth="1"/>
    <col min="9735" max="9735" width="12.28515625" style="347" customWidth="1"/>
    <col min="9736" max="9736" width="6.5703125" style="347" bestFit="1" customWidth="1"/>
    <col min="9737" max="9737" width="9.85546875" style="347" bestFit="1" customWidth="1"/>
    <col min="9738" max="9738" width="12.28515625" style="347" customWidth="1"/>
    <col min="9739" max="9739" width="6.5703125" style="347" bestFit="1" customWidth="1"/>
    <col min="9740" max="9740" width="9.5703125" style="347" customWidth="1"/>
    <col min="9741" max="9741" width="12.28515625" style="347" customWidth="1"/>
    <col min="9742" max="9742" width="29.28515625" style="347" customWidth="1"/>
    <col min="9743" max="9743" width="13.28515625" style="347" bestFit="1" customWidth="1"/>
    <col min="9744" max="9744" width="13.140625" style="347" customWidth="1"/>
    <col min="9745" max="9984" width="9.140625" style="347"/>
    <col min="9985" max="9985" width="4.28515625" style="347" customWidth="1"/>
    <col min="9986" max="9986" width="42.85546875" style="347" customWidth="1"/>
    <col min="9987" max="9987" width="14.85546875" style="347" customWidth="1"/>
    <col min="9988" max="9988" width="5.5703125" style="347" customWidth="1"/>
    <col min="9989" max="9989" width="7.140625" style="347" customWidth="1"/>
    <col min="9990" max="9990" width="10.140625" style="347" customWidth="1"/>
    <col min="9991" max="9991" width="12.28515625" style="347" customWidth="1"/>
    <col min="9992" max="9992" width="6.5703125" style="347" bestFit="1" customWidth="1"/>
    <col min="9993" max="9993" width="9.85546875" style="347" bestFit="1" customWidth="1"/>
    <col min="9994" max="9994" width="12.28515625" style="347" customWidth="1"/>
    <col min="9995" max="9995" width="6.5703125" style="347" bestFit="1" customWidth="1"/>
    <col min="9996" max="9996" width="9.5703125" style="347" customWidth="1"/>
    <col min="9997" max="9997" width="12.28515625" style="347" customWidth="1"/>
    <col min="9998" max="9998" width="29.28515625" style="347" customWidth="1"/>
    <col min="9999" max="9999" width="13.28515625" style="347" bestFit="1" customWidth="1"/>
    <col min="10000" max="10000" width="13.140625" style="347" customWidth="1"/>
    <col min="10001" max="10240" width="9.140625" style="347"/>
    <col min="10241" max="10241" width="4.28515625" style="347" customWidth="1"/>
    <col min="10242" max="10242" width="42.85546875" style="347" customWidth="1"/>
    <col min="10243" max="10243" width="14.85546875" style="347" customWidth="1"/>
    <col min="10244" max="10244" width="5.5703125" style="347" customWidth="1"/>
    <col min="10245" max="10245" width="7.140625" style="347" customWidth="1"/>
    <col min="10246" max="10246" width="10.140625" style="347" customWidth="1"/>
    <col min="10247" max="10247" width="12.28515625" style="347" customWidth="1"/>
    <col min="10248" max="10248" width="6.5703125" style="347" bestFit="1" customWidth="1"/>
    <col min="10249" max="10249" width="9.85546875" style="347" bestFit="1" customWidth="1"/>
    <col min="10250" max="10250" width="12.28515625" style="347" customWidth="1"/>
    <col min="10251" max="10251" width="6.5703125" style="347" bestFit="1" customWidth="1"/>
    <col min="10252" max="10252" width="9.5703125" style="347" customWidth="1"/>
    <col min="10253" max="10253" width="12.28515625" style="347" customWidth="1"/>
    <col min="10254" max="10254" width="29.28515625" style="347" customWidth="1"/>
    <col min="10255" max="10255" width="13.28515625" style="347" bestFit="1" customWidth="1"/>
    <col min="10256" max="10256" width="13.140625" style="347" customWidth="1"/>
    <col min="10257" max="10496" width="9.140625" style="347"/>
    <col min="10497" max="10497" width="4.28515625" style="347" customWidth="1"/>
    <col min="10498" max="10498" width="42.85546875" style="347" customWidth="1"/>
    <col min="10499" max="10499" width="14.85546875" style="347" customWidth="1"/>
    <col min="10500" max="10500" width="5.5703125" style="347" customWidth="1"/>
    <col min="10501" max="10501" width="7.140625" style="347" customWidth="1"/>
    <col min="10502" max="10502" width="10.140625" style="347" customWidth="1"/>
    <col min="10503" max="10503" width="12.28515625" style="347" customWidth="1"/>
    <col min="10504" max="10504" width="6.5703125" style="347" bestFit="1" customWidth="1"/>
    <col min="10505" max="10505" width="9.85546875" style="347" bestFit="1" customWidth="1"/>
    <col min="10506" max="10506" width="12.28515625" style="347" customWidth="1"/>
    <col min="10507" max="10507" width="6.5703125" style="347" bestFit="1" customWidth="1"/>
    <col min="10508" max="10508" width="9.5703125" style="347" customWidth="1"/>
    <col min="10509" max="10509" width="12.28515625" style="347" customWidth="1"/>
    <col min="10510" max="10510" width="29.28515625" style="347" customWidth="1"/>
    <col min="10511" max="10511" width="13.28515625" style="347" bestFit="1" customWidth="1"/>
    <col min="10512" max="10512" width="13.140625" style="347" customWidth="1"/>
    <col min="10513" max="10752" width="9.140625" style="347"/>
    <col min="10753" max="10753" width="4.28515625" style="347" customWidth="1"/>
    <col min="10754" max="10754" width="42.85546875" style="347" customWidth="1"/>
    <col min="10755" max="10755" width="14.85546875" style="347" customWidth="1"/>
    <col min="10756" max="10756" width="5.5703125" style="347" customWidth="1"/>
    <col min="10757" max="10757" width="7.140625" style="347" customWidth="1"/>
    <col min="10758" max="10758" width="10.140625" style="347" customWidth="1"/>
    <col min="10759" max="10759" width="12.28515625" style="347" customWidth="1"/>
    <col min="10760" max="10760" width="6.5703125" style="347" bestFit="1" customWidth="1"/>
    <col min="10761" max="10761" width="9.85546875" style="347" bestFit="1" customWidth="1"/>
    <col min="10762" max="10762" width="12.28515625" style="347" customWidth="1"/>
    <col min="10763" max="10763" width="6.5703125" style="347" bestFit="1" customWidth="1"/>
    <col min="10764" max="10764" width="9.5703125" style="347" customWidth="1"/>
    <col min="10765" max="10765" width="12.28515625" style="347" customWidth="1"/>
    <col min="10766" max="10766" width="29.28515625" style="347" customWidth="1"/>
    <col min="10767" max="10767" width="13.28515625" style="347" bestFit="1" customWidth="1"/>
    <col min="10768" max="10768" width="13.140625" style="347" customWidth="1"/>
    <col min="10769" max="11008" width="9.140625" style="347"/>
    <col min="11009" max="11009" width="4.28515625" style="347" customWidth="1"/>
    <col min="11010" max="11010" width="42.85546875" style="347" customWidth="1"/>
    <col min="11011" max="11011" width="14.85546875" style="347" customWidth="1"/>
    <col min="11012" max="11012" width="5.5703125" style="347" customWidth="1"/>
    <col min="11013" max="11013" width="7.140625" style="347" customWidth="1"/>
    <col min="11014" max="11014" width="10.140625" style="347" customWidth="1"/>
    <col min="11015" max="11015" width="12.28515625" style="347" customWidth="1"/>
    <col min="11016" max="11016" width="6.5703125" style="347" bestFit="1" customWidth="1"/>
    <col min="11017" max="11017" width="9.85546875" style="347" bestFit="1" customWidth="1"/>
    <col min="11018" max="11018" width="12.28515625" style="347" customWidth="1"/>
    <col min="11019" max="11019" width="6.5703125" style="347" bestFit="1" customWidth="1"/>
    <col min="11020" max="11020" width="9.5703125" style="347" customWidth="1"/>
    <col min="11021" max="11021" width="12.28515625" style="347" customWidth="1"/>
    <col min="11022" max="11022" width="29.28515625" style="347" customWidth="1"/>
    <col min="11023" max="11023" width="13.28515625" style="347" bestFit="1" customWidth="1"/>
    <col min="11024" max="11024" width="13.140625" style="347" customWidth="1"/>
    <col min="11025" max="11264" width="9.140625" style="347"/>
    <col min="11265" max="11265" width="4.28515625" style="347" customWidth="1"/>
    <col min="11266" max="11266" width="42.85546875" style="347" customWidth="1"/>
    <col min="11267" max="11267" width="14.85546875" style="347" customWidth="1"/>
    <col min="11268" max="11268" width="5.5703125" style="347" customWidth="1"/>
    <col min="11269" max="11269" width="7.140625" style="347" customWidth="1"/>
    <col min="11270" max="11270" width="10.140625" style="347" customWidth="1"/>
    <col min="11271" max="11271" width="12.28515625" style="347" customWidth="1"/>
    <col min="11272" max="11272" width="6.5703125" style="347" bestFit="1" customWidth="1"/>
    <col min="11273" max="11273" width="9.85546875" style="347" bestFit="1" customWidth="1"/>
    <col min="11274" max="11274" width="12.28515625" style="347" customWidth="1"/>
    <col min="11275" max="11275" width="6.5703125" style="347" bestFit="1" customWidth="1"/>
    <col min="11276" max="11276" width="9.5703125" style="347" customWidth="1"/>
    <col min="11277" max="11277" width="12.28515625" style="347" customWidth="1"/>
    <col min="11278" max="11278" width="29.28515625" style="347" customWidth="1"/>
    <col min="11279" max="11279" width="13.28515625" style="347" bestFit="1" customWidth="1"/>
    <col min="11280" max="11280" width="13.140625" style="347" customWidth="1"/>
    <col min="11281" max="11520" width="9.140625" style="347"/>
    <col min="11521" max="11521" width="4.28515625" style="347" customWidth="1"/>
    <col min="11522" max="11522" width="42.85546875" style="347" customWidth="1"/>
    <col min="11523" max="11523" width="14.85546875" style="347" customWidth="1"/>
    <col min="11524" max="11524" width="5.5703125" style="347" customWidth="1"/>
    <col min="11525" max="11525" width="7.140625" style="347" customWidth="1"/>
    <col min="11526" max="11526" width="10.140625" style="347" customWidth="1"/>
    <col min="11527" max="11527" width="12.28515625" style="347" customWidth="1"/>
    <col min="11528" max="11528" width="6.5703125" style="347" bestFit="1" customWidth="1"/>
    <col min="11529" max="11529" width="9.85546875" style="347" bestFit="1" customWidth="1"/>
    <col min="11530" max="11530" width="12.28515625" style="347" customWidth="1"/>
    <col min="11531" max="11531" width="6.5703125" style="347" bestFit="1" customWidth="1"/>
    <col min="11532" max="11532" width="9.5703125" style="347" customWidth="1"/>
    <col min="11533" max="11533" width="12.28515625" style="347" customWidth="1"/>
    <col min="11534" max="11534" width="29.28515625" style="347" customWidth="1"/>
    <col min="11535" max="11535" width="13.28515625" style="347" bestFit="1" customWidth="1"/>
    <col min="11536" max="11536" width="13.140625" style="347" customWidth="1"/>
    <col min="11537" max="11776" width="9.140625" style="347"/>
    <col min="11777" max="11777" width="4.28515625" style="347" customWidth="1"/>
    <col min="11778" max="11778" width="42.85546875" style="347" customWidth="1"/>
    <col min="11779" max="11779" width="14.85546875" style="347" customWidth="1"/>
    <col min="11780" max="11780" width="5.5703125" style="347" customWidth="1"/>
    <col min="11781" max="11781" width="7.140625" style="347" customWidth="1"/>
    <col min="11782" max="11782" width="10.140625" style="347" customWidth="1"/>
    <col min="11783" max="11783" width="12.28515625" style="347" customWidth="1"/>
    <col min="11784" max="11784" width="6.5703125" style="347" bestFit="1" customWidth="1"/>
    <col min="11785" max="11785" width="9.85546875" style="347" bestFit="1" customWidth="1"/>
    <col min="11786" max="11786" width="12.28515625" style="347" customWidth="1"/>
    <col min="11787" max="11787" width="6.5703125" style="347" bestFit="1" customWidth="1"/>
    <col min="11788" max="11788" width="9.5703125" style="347" customWidth="1"/>
    <col min="11789" max="11789" width="12.28515625" style="347" customWidth="1"/>
    <col min="11790" max="11790" width="29.28515625" style="347" customWidth="1"/>
    <col min="11791" max="11791" width="13.28515625" style="347" bestFit="1" customWidth="1"/>
    <col min="11792" max="11792" width="13.140625" style="347" customWidth="1"/>
    <col min="11793" max="12032" width="9.140625" style="347"/>
    <col min="12033" max="12033" width="4.28515625" style="347" customWidth="1"/>
    <col min="12034" max="12034" width="42.85546875" style="347" customWidth="1"/>
    <col min="12035" max="12035" width="14.85546875" style="347" customWidth="1"/>
    <col min="12036" max="12036" width="5.5703125" style="347" customWidth="1"/>
    <col min="12037" max="12037" width="7.140625" style="347" customWidth="1"/>
    <col min="12038" max="12038" width="10.140625" style="347" customWidth="1"/>
    <col min="12039" max="12039" width="12.28515625" style="347" customWidth="1"/>
    <col min="12040" max="12040" width="6.5703125" style="347" bestFit="1" customWidth="1"/>
    <col min="12041" max="12041" width="9.85546875" style="347" bestFit="1" customWidth="1"/>
    <col min="12042" max="12042" width="12.28515625" style="347" customWidth="1"/>
    <col min="12043" max="12043" width="6.5703125" style="347" bestFit="1" customWidth="1"/>
    <col min="12044" max="12044" width="9.5703125" style="347" customWidth="1"/>
    <col min="12045" max="12045" width="12.28515625" style="347" customWidth="1"/>
    <col min="12046" max="12046" width="29.28515625" style="347" customWidth="1"/>
    <col min="12047" max="12047" width="13.28515625" style="347" bestFit="1" customWidth="1"/>
    <col min="12048" max="12048" width="13.140625" style="347" customWidth="1"/>
    <col min="12049" max="12288" width="9.140625" style="347"/>
    <col min="12289" max="12289" width="4.28515625" style="347" customWidth="1"/>
    <col min="12290" max="12290" width="42.85546875" style="347" customWidth="1"/>
    <col min="12291" max="12291" width="14.85546875" style="347" customWidth="1"/>
    <col min="12292" max="12292" width="5.5703125" style="347" customWidth="1"/>
    <col min="12293" max="12293" width="7.140625" style="347" customWidth="1"/>
    <col min="12294" max="12294" width="10.140625" style="347" customWidth="1"/>
    <col min="12295" max="12295" width="12.28515625" style="347" customWidth="1"/>
    <col min="12296" max="12296" width="6.5703125" style="347" bestFit="1" customWidth="1"/>
    <col min="12297" max="12297" width="9.85546875" style="347" bestFit="1" customWidth="1"/>
    <col min="12298" max="12298" width="12.28515625" style="347" customWidth="1"/>
    <col min="12299" max="12299" width="6.5703125" style="347" bestFit="1" customWidth="1"/>
    <col min="12300" max="12300" width="9.5703125" style="347" customWidth="1"/>
    <col min="12301" max="12301" width="12.28515625" style="347" customWidth="1"/>
    <col min="12302" max="12302" width="29.28515625" style="347" customWidth="1"/>
    <col min="12303" max="12303" width="13.28515625" style="347" bestFit="1" customWidth="1"/>
    <col min="12304" max="12304" width="13.140625" style="347" customWidth="1"/>
    <col min="12305" max="12544" width="9.140625" style="347"/>
    <col min="12545" max="12545" width="4.28515625" style="347" customWidth="1"/>
    <col min="12546" max="12546" width="42.85546875" style="347" customWidth="1"/>
    <col min="12547" max="12547" width="14.85546875" style="347" customWidth="1"/>
    <col min="12548" max="12548" width="5.5703125" style="347" customWidth="1"/>
    <col min="12549" max="12549" width="7.140625" style="347" customWidth="1"/>
    <col min="12550" max="12550" width="10.140625" style="347" customWidth="1"/>
    <col min="12551" max="12551" width="12.28515625" style="347" customWidth="1"/>
    <col min="12552" max="12552" width="6.5703125" style="347" bestFit="1" customWidth="1"/>
    <col min="12553" max="12553" width="9.85546875" style="347" bestFit="1" customWidth="1"/>
    <col min="12554" max="12554" width="12.28515625" style="347" customWidth="1"/>
    <col min="12555" max="12555" width="6.5703125" style="347" bestFit="1" customWidth="1"/>
    <col min="12556" max="12556" width="9.5703125" style="347" customWidth="1"/>
    <col min="12557" max="12557" width="12.28515625" style="347" customWidth="1"/>
    <col min="12558" max="12558" width="29.28515625" style="347" customWidth="1"/>
    <col min="12559" max="12559" width="13.28515625" style="347" bestFit="1" customWidth="1"/>
    <col min="12560" max="12560" width="13.140625" style="347" customWidth="1"/>
    <col min="12561" max="12800" width="9.140625" style="347"/>
    <col min="12801" max="12801" width="4.28515625" style="347" customWidth="1"/>
    <col min="12802" max="12802" width="42.85546875" style="347" customWidth="1"/>
    <col min="12803" max="12803" width="14.85546875" style="347" customWidth="1"/>
    <col min="12804" max="12804" width="5.5703125" style="347" customWidth="1"/>
    <col min="12805" max="12805" width="7.140625" style="347" customWidth="1"/>
    <col min="12806" max="12806" width="10.140625" style="347" customWidth="1"/>
    <col min="12807" max="12807" width="12.28515625" style="347" customWidth="1"/>
    <col min="12808" max="12808" width="6.5703125" style="347" bestFit="1" customWidth="1"/>
    <col min="12809" max="12809" width="9.85546875" style="347" bestFit="1" customWidth="1"/>
    <col min="12810" max="12810" width="12.28515625" style="347" customWidth="1"/>
    <col min="12811" max="12811" width="6.5703125" style="347" bestFit="1" customWidth="1"/>
    <col min="12812" max="12812" width="9.5703125" style="347" customWidth="1"/>
    <col min="12813" max="12813" width="12.28515625" style="347" customWidth="1"/>
    <col min="12814" max="12814" width="29.28515625" style="347" customWidth="1"/>
    <col min="12815" max="12815" width="13.28515625" style="347" bestFit="1" customWidth="1"/>
    <col min="12816" max="12816" width="13.140625" style="347" customWidth="1"/>
    <col min="12817" max="13056" width="9.140625" style="347"/>
    <col min="13057" max="13057" width="4.28515625" style="347" customWidth="1"/>
    <col min="13058" max="13058" width="42.85546875" style="347" customWidth="1"/>
    <col min="13059" max="13059" width="14.85546875" style="347" customWidth="1"/>
    <col min="13060" max="13060" width="5.5703125" style="347" customWidth="1"/>
    <col min="13061" max="13061" width="7.140625" style="347" customWidth="1"/>
    <col min="13062" max="13062" width="10.140625" style="347" customWidth="1"/>
    <col min="13063" max="13063" width="12.28515625" style="347" customWidth="1"/>
    <col min="13064" max="13064" width="6.5703125" style="347" bestFit="1" customWidth="1"/>
    <col min="13065" max="13065" width="9.85546875" style="347" bestFit="1" customWidth="1"/>
    <col min="13066" max="13066" width="12.28515625" style="347" customWidth="1"/>
    <col min="13067" max="13067" width="6.5703125" style="347" bestFit="1" customWidth="1"/>
    <col min="13068" max="13068" width="9.5703125" style="347" customWidth="1"/>
    <col min="13069" max="13069" width="12.28515625" style="347" customWidth="1"/>
    <col min="13070" max="13070" width="29.28515625" style="347" customWidth="1"/>
    <col min="13071" max="13071" width="13.28515625" style="347" bestFit="1" customWidth="1"/>
    <col min="13072" max="13072" width="13.140625" style="347" customWidth="1"/>
    <col min="13073" max="13312" width="9.140625" style="347"/>
    <col min="13313" max="13313" width="4.28515625" style="347" customWidth="1"/>
    <col min="13314" max="13314" width="42.85546875" style="347" customWidth="1"/>
    <col min="13315" max="13315" width="14.85546875" style="347" customWidth="1"/>
    <col min="13316" max="13316" width="5.5703125" style="347" customWidth="1"/>
    <col min="13317" max="13317" width="7.140625" style="347" customWidth="1"/>
    <col min="13318" max="13318" width="10.140625" style="347" customWidth="1"/>
    <col min="13319" max="13319" width="12.28515625" style="347" customWidth="1"/>
    <col min="13320" max="13320" width="6.5703125" style="347" bestFit="1" customWidth="1"/>
    <col min="13321" max="13321" width="9.85546875" style="347" bestFit="1" customWidth="1"/>
    <col min="13322" max="13322" width="12.28515625" style="347" customWidth="1"/>
    <col min="13323" max="13323" width="6.5703125" style="347" bestFit="1" customWidth="1"/>
    <col min="13324" max="13324" width="9.5703125" style="347" customWidth="1"/>
    <col min="13325" max="13325" width="12.28515625" style="347" customWidth="1"/>
    <col min="13326" max="13326" width="29.28515625" style="347" customWidth="1"/>
    <col min="13327" max="13327" width="13.28515625" style="347" bestFit="1" customWidth="1"/>
    <col min="13328" max="13328" width="13.140625" style="347" customWidth="1"/>
    <col min="13329" max="13568" width="9.140625" style="347"/>
    <col min="13569" max="13569" width="4.28515625" style="347" customWidth="1"/>
    <col min="13570" max="13570" width="42.85546875" style="347" customWidth="1"/>
    <col min="13571" max="13571" width="14.85546875" style="347" customWidth="1"/>
    <col min="13572" max="13572" width="5.5703125" style="347" customWidth="1"/>
    <col min="13573" max="13573" width="7.140625" style="347" customWidth="1"/>
    <col min="13574" max="13574" width="10.140625" style="347" customWidth="1"/>
    <col min="13575" max="13575" width="12.28515625" style="347" customWidth="1"/>
    <col min="13576" max="13576" width="6.5703125" style="347" bestFit="1" customWidth="1"/>
    <col min="13577" max="13577" width="9.85546875" style="347" bestFit="1" customWidth="1"/>
    <col min="13578" max="13578" width="12.28515625" style="347" customWidth="1"/>
    <col min="13579" max="13579" width="6.5703125" style="347" bestFit="1" customWidth="1"/>
    <col min="13580" max="13580" width="9.5703125" style="347" customWidth="1"/>
    <col min="13581" max="13581" width="12.28515625" style="347" customWidth="1"/>
    <col min="13582" max="13582" width="29.28515625" style="347" customWidth="1"/>
    <col min="13583" max="13583" width="13.28515625" style="347" bestFit="1" customWidth="1"/>
    <col min="13584" max="13584" width="13.140625" style="347" customWidth="1"/>
    <col min="13585" max="13824" width="9.140625" style="347"/>
    <col min="13825" max="13825" width="4.28515625" style="347" customWidth="1"/>
    <col min="13826" max="13826" width="42.85546875" style="347" customWidth="1"/>
    <col min="13827" max="13827" width="14.85546875" style="347" customWidth="1"/>
    <col min="13828" max="13828" width="5.5703125" style="347" customWidth="1"/>
    <col min="13829" max="13829" width="7.140625" style="347" customWidth="1"/>
    <col min="13830" max="13830" width="10.140625" style="347" customWidth="1"/>
    <col min="13831" max="13831" width="12.28515625" style="347" customWidth="1"/>
    <col min="13832" max="13832" width="6.5703125" style="347" bestFit="1" customWidth="1"/>
    <col min="13833" max="13833" width="9.85546875" style="347" bestFit="1" customWidth="1"/>
    <col min="13834" max="13834" width="12.28515625" style="347" customWidth="1"/>
    <col min="13835" max="13835" width="6.5703125" style="347" bestFit="1" customWidth="1"/>
    <col min="13836" max="13836" width="9.5703125" style="347" customWidth="1"/>
    <col min="13837" max="13837" width="12.28515625" style="347" customWidth="1"/>
    <col min="13838" max="13838" width="29.28515625" style="347" customWidth="1"/>
    <col min="13839" max="13839" width="13.28515625" style="347" bestFit="1" customWidth="1"/>
    <col min="13840" max="13840" width="13.140625" style="347" customWidth="1"/>
    <col min="13841" max="14080" width="9.140625" style="347"/>
    <col min="14081" max="14081" width="4.28515625" style="347" customWidth="1"/>
    <col min="14082" max="14082" width="42.85546875" style="347" customWidth="1"/>
    <col min="14083" max="14083" width="14.85546875" style="347" customWidth="1"/>
    <col min="14084" max="14084" width="5.5703125" style="347" customWidth="1"/>
    <col min="14085" max="14085" width="7.140625" style="347" customWidth="1"/>
    <col min="14086" max="14086" width="10.140625" style="347" customWidth="1"/>
    <col min="14087" max="14087" width="12.28515625" style="347" customWidth="1"/>
    <col min="14088" max="14088" width="6.5703125" style="347" bestFit="1" customWidth="1"/>
    <col min="14089" max="14089" width="9.85546875" style="347" bestFit="1" customWidth="1"/>
    <col min="14090" max="14090" width="12.28515625" style="347" customWidth="1"/>
    <col min="14091" max="14091" width="6.5703125" style="347" bestFit="1" customWidth="1"/>
    <col min="14092" max="14092" width="9.5703125" style="347" customWidth="1"/>
    <col min="14093" max="14093" width="12.28515625" style="347" customWidth="1"/>
    <col min="14094" max="14094" width="29.28515625" style="347" customWidth="1"/>
    <col min="14095" max="14095" width="13.28515625" style="347" bestFit="1" customWidth="1"/>
    <col min="14096" max="14096" width="13.140625" style="347" customWidth="1"/>
    <col min="14097" max="14336" width="9.140625" style="347"/>
    <col min="14337" max="14337" width="4.28515625" style="347" customWidth="1"/>
    <col min="14338" max="14338" width="42.85546875" style="347" customWidth="1"/>
    <col min="14339" max="14339" width="14.85546875" style="347" customWidth="1"/>
    <col min="14340" max="14340" width="5.5703125" style="347" customWidth="1"/>
    <col min="14341" max="14341" width="7.140625" style="347" customWidth="1"/>
    <col min="14342" max="14342" width="10.140625" style="347" customWidth="1"/>
    <col min="14343" max="14343" width="12.28515625" style="347" customWidth="1"/>
    <col min="14344" max="14344" width="6.5703125" style="347" bestFit="1" customWidth="1"/>
    <col min="14345" max="14345" width="9.85546875" style="347" bestFit="1" customWidth="1"/>
    <col min="14346" max="14346" width="12.28515625" style="347" customWidth="1"/>
    <col min="14347" max="14347" width="6.5703125" style="347" bestFit="1" customWidth="1"/>
    <col min="14348" max="14348" width="9.5703125" style="347" customWidth="1"/>
    <col min="14349" max="14349" width="12.28515625" style="347" customWidth="1"/>
    <col min="14350" max="14350" width="29.28515625" style="347" customWidth="1"/>
    <col min="14351" max="14351" width="13.28515625" style="347" bestFit="1" customWidth="1"/>
    <col min="14352" max="14352" width="13.140625" style="347" customWidth="1"/>
    <col min="14353" max="14592" width="9.140625" style="347"/>
    <col min="14593" max="14593" width="4.28515625" style="347" customWidth="1"/>
    <col min="14594" max="14594" width="42.85546875" style="347" customWidth="1"/>
    <col min="14595" max="14595" width="14.85546875" style="347" customWidth="1"/>
    <col min="14596" max="14596" width="5.5703125" style="347" customWidth="1"/>
    <col min="14597" max="14597" width="7.140625" style="347" customWidth="1"/>
    <col min="14598" max="14598" width="10.140625" style="347" customWidth="1"/>
    <col min="14599" max="14599" width="12.28515625" style="347" customWidth="1"/>
    <col min="14600" max="14600" width="6.5703125" style="347" bestFit="1" customWidth="1"/>
    <col min="14601" max="14601" width="9.85546875" style="347" bestFit="1" customWidth="1"/>
    <col min="14602" max="14602" width="12.28515625" style="347" customWidth="1"/>
    <col min="14603" max="14603" width="6.5703125" style="347" bestFit="1" customWidth="1"/>
    <col min="14604" max="14604" width="9.5703125" style="347" customWidth="1"/>
    <col min="14605" max="14605" width="12.28515625" style="347" customWidth="1"/>
    <col min="14606" max="14606" width="29.28515625" style="347" customWidth="1"/>
    <col min="14607" max="14607" width="13.28515625" style="347" bestFit="1" customWidth="1"/>
    <col min="14608" max="14608" width="13.140625" style="347" customWidth="1"/>
    <col min="14609" max="14848" width="9.140625" style="347"/>
    <col min="14849" max="14849" width="4.28515625" style="347" customWidth="1"/>
    <col min="14850" max="14850" width="42.85546875" style="347" customWidth="1"/>
    <col min="14851" max="14851" width="14.85546875" style="347" customWidth="1"/>
    <col min="14852" max="14852" width="5.5703125" style="347" customWidth="1"/>
    <col min="14853" max="14853" width="7.140625" style="347" customWidth="1"/>
    <col min="14854" max="14854" width="10.140625" style="347" customWidth="1"/>
    <col min="14855" max="14855" width="12.28515625" style="347" customWidth="1"/>
    <col min="14856" max="14856" width="6.5703125" style="347" bestFit="1" customWidth="1"/>
    <col min="14857" max="14857" width="9.85546875" style="347" bestFit="1" customWidth="1"/>
    <col min="14858" max="14858" width="12.28515625" style="347" customWidth="1"/>
    <col min="14859" max="14859" width="6.5703125" style="347" bestFit="1" customWidth="1"/>
    <col min="14860" max="14860" width="9.5703125" style="347" customWidth="1"/>
    <col min="14861" max="14861" width="12.28515625" style="347" customWidth="1"/>
    <col min="14862" max="14862" width="29.28515625" style="347" customWidth="1"/>
    <col min="14863" max="14863" width="13.28515625" style="347" bestFit="1" customWidth="1"/>
    <col min="14864" max="14864" width="13.140625" style="347" customWidth="1"/>
    <col min="14865" max="15104" width="9.140625" style="347"/>
    <col min="15105" max="15105" width="4.28515625" style="347" customWidth="1"/>
    <col min="15106" max="15106" width="42.85546875" style="347" customWidth="1"/>
    <col min="15107" max="15107" width="14.85546875" style="347" customWidth="1"/>
    <col min="15108" max="15108" width="5.5703125" style="347" customWidth="1"/>
    <col min="15109" max="15109" width="7.140625" style="347" customWidth="1"/>
    <col min="15110" max="15110" width="10.140625" style="347" customWidth="1"/>
    <col min="15111" max="15111" width="12.28515625" style="347" customWidth="1"/>
    <col min="15112" max="15112" width="6.5703125" style="347" bestFit="1" customWidth="1"/>
    <col min="15113" max="15113" width="9.85546875" style="347" bestFit="1" customWidth="1"/>
    <col min="15114" max="15114" width="12.28515625" style="347" customWidth="1"/>
    <col min="15115" max="15115" width="6.5703125" style="347" bestFit="1" customWidth="1"/>
    <col min="15116" max="15116" width="9.5703125" style="347" customWidth="1"/>
    <col min="15117" max="15117" width="12.28515625" style="347" customWidth="1"/>
    <col min="15118" max="15118" width="29.28515625" style="347" customWidth="1"/>
    <col min="15119" max="15119" width="13.28515625" style="347" bestFit="1" customWidth="1"/>
    <col min="15120" max="15120" width="13.140625" style="347" customWidth="1"/>
    <col min="15121" max="15360" width="9.140625" style="347"/>
    <col min="15361" max="15361" width="4.28515625" style="347" customWidth="1"/>
    <col min="15362" max="15362" width="42.85546875" style="347" customWidth="1"/>
    <col min="15363" max="15363" width="14.85546875" style="347" customWidth="1"/>
    <col min="15364" max="15364" width="5.5703125" style="347" customWidth="1"/>
    <col min="15365" max="15365" width="7.140625" style="347" customWidth="1"/>
    <col min="15366" max="15366" width="10.140625" style="347" customWidth="1"/>
    <col min="15367" max="15367" width="12.28515625" style="347" customWidth="1"/>
    <col min="15368" max="15368" width="6.5703125" style="347" bestFit="1" customWidth="1"/>
    <col min="15369" max="15369" width="9.85546875" style="347" bestFit="1" customWidth="1"/>
    <col min="15370" max="15370" width="12.28515625" style="347" customWidth="1"/>
    <col min="15371" max="15371" width="6.5703125" style="347" bestFit="1" customWidth="1"/>
    <col min="15372" max="15372" width="9.5703125" style="347" customWidth="1"/>
    <col min="15373" max="15373" width="12.28515625" style="347" customWidth="1"/>
    <col min="15374" max="15374" width="29.28515625" style="347" customWidth="1"/>
    <col min="15375" max="15375" width="13.28515625" style="347" bestFit="1" customWidth="1"/>
    <col min="15376" max="15376" width="13.140625" style="347" customWidth="1"/>
    <col min="15377" max="15616" width="9.140625" style="347"/>
    <col min="15617" max="15617" width="4.28515625" style="347" customWidth="1"/>
    <col min="15618" max="15618" width="42.85546875" style="347" customWidth="1"/>
    <col min="15619" max="15619" width="14.85546875" style="347" customWidth="1"/>
    <col min="15620" max="15620" width="5.5703125" style="347" customWidth="1"/>
    <col min="15621" max="15621" width="7.140625" style="347" customWidth="1"/>
    <col min="15622" max="15622" width="10.140625" style="347" customWidth="1"/>
    <col min="15623" max="15623" width="12.28515625" style="347" customWidth="1"/>
    <col min="15624" max="15624" width="6.5703125" style="347" bestFit="1" customWidth="1"/>
    <col min="15625" max="15625" width="9.85546875" style="347" bestFit="1" customWidth="1"/>
    <col min="15626" max="15626" width="12.28515625" style="347" customWidth="1"/>
    <col min="15627" max="15627" width="6.5703125" style="347" bestFit="1" customWidth="1"/>
    <col min="15628" max="15628" width="9.5703125" style="347" customWidth="1"/>
    <col min="15629" max="15629" width="12.28515625" style="347" customWidth="1"/>
    <col min="15630" max="15630" width="29.28515625" style="347" customWidth="1"/>
    <col min="15631" max="15631" width="13.28515625" style="347" bestFit="1" customWidth="1"/>
    <col min="15632" max="15632" width="13.140625" style="347" customWidth="1"/>
    <col min="15633" max="15872" width="9.140625" style="347"/>
    <col min="15873" max="15873" width="4.28515625" style="347" customWidth="1"/>
    <col min="15874" max="15874" width="42.85546875" style="347" customWidth="1"/>
    <col min="15875" max="15875" width="14.85546875" style="347" customWidth="1"/>
    <col min="15876" max="15876" width="5.5703125" style="347" customWidth="1"/>
    <col min="15877" max="15877" width="7.140625" style="347" customWidth="1"/>
    <col min="15878" max="15878" width="10.140625" style="347" customWidth="1"/>
    <col min="15879" max="15879" width="12.28515625" style="347" customWidth="1"/>
    <col min="15880" max="15880" width="6.5703125" style="347" bestFit="1" customWidth="1"/>
    <col min="15881" max="15881" width="9.85546875" style="347" bestFit="1" customWidth="1"/>
    <col min="15882" max="15882" width="12.28515625" style="347" customWidth="1"/>
    <col min="15883" max="15883" width="6.5703125" style="347" bestFit="1" customWidth="1"/>
    <col min="15884" max="15884" width="9.5703125" style="347" customWidth="1"/>
    <col min="15885" max="15885" width="12.28515625" style="347" customWidth="1"/>
    <col min="15886" max="15886" width="29.28515625" style="347" customWidth="1"/>
    <col min="15887" max="15887" width="13.28515625" style="347" bestFit="1" customWidth="1"/>
    <col min="15888" max="15888" width="13.140625" style="347" customWidth="1"/>
    <col min="15889" max="16128" width="9.140625" style="347"/>
    <col min="16129" max="16129" width="4.28515625" style="347" customWidth="1"/>
    <col min="16130" max="16130" width="42.85546875" style="347" customWidth="1"/>
    <col min="16131" max="16131" width="14.85546875" style="347" customWidth="1"/>
    <col min="16132" max="16132" width="5.5703125" style="347" customWidth="1"/>
    <col min="16133" max="16133" width="7.140625" style="347" customWidth="1"/>
    <col min="16134" max="16134" width="10.140625" style="347" customWidth="1"/>
    <col min="16135" max="16135" width="12.28515625" style="347" customWidth="1"/>
    <col min="16136" max="16136" width="6.5703125" style="347" bestFit="1" customWidth="1"/>
    <col min="16137" max="16137" width="9.85546875" style="347" bestFit="1" customWidth="1"/>
    <col min="16138" max="16138" width="12.28515625" style="347" customWidth="1"/>
    <col min="16139" max="16139" width="6.5703125" style="347" bestFit="1" customWidth="1"/>
    <col min="16140" max="16140" width="9.5703125" style="347" customWidth="1"/>
    <col min="16141" max="16141" width="12.28515625" style="347" customWidth="1"/>
    <col min="16142" max="16142" width="29.28515625" style="347" customWidth="1"/>
    <col min="16143" max="16143" width="13.28515625" style="347" bestFit="1" customWidth="1"/>
    <col min="16144" max="16144" width="13.140625" style="347" customWidth="1"/>
    <col min="16145" max="16384" width="9.140625" style="347"/>
  </cols>
  <sheetData>
    <row r="1" spans="1:15" ht="18" customHeight="1">
      <c r="B1" s="346"/>
      <c r="C1" s="3026" t="s">
        <v>1465</v>
      </c>
      <c r="D1" s="3026"/>
      <c r="E1" s="3026"/>
      <c r="F1" s="3026"/>
      <c r="G1" s="3026"/>
      <c r="H1" s="346"/>
      <c r="I1" s="346"/>
      <c r="J1" s="346"/>
      <c r="K1" s="346"/>
      <c r="L1" s="346"/>
      <c r="M1" s="346"/>
    </row>
    <row r="2" spans="1:15" ht="18" customHeight="1">
      <c r="A2" s="348"/>
      <c r="B2" s="348"/>
      <c r="C2" s="348"/>
      <c r="D2" s="348"/>
      <c r="E2" s="348"/>
      <c r="F2" s="348"/>
      <c r="G2" s="348"/>
      <c r="H2" s="348"/>
      <c r="I2" s="348"/>
      <c r="J2" s="1085" t="s">
        <v>89</v>
      </c>
      <c r="K2" s="348"/>
      <c r="L2" s="348"/>
      <c r="M2" s="348"/>
    </row>
    <row r="3" spans="1:15" ht="40.5" customHeight="1">
      <c r="B3" s="3027" t="s">
        <v>1419</v>
      </c>
      <c r="C3" s="3027"/>
      <c r="D3" s="3027"/>
      <c r="E3" s="3027"/>
      <c r="F3" s="3027"/>
      <c r="G3" s="3027"/>
      <c r="H3" s="3027"/>
      <c r="I3" s="3027"/>
      <c r="J3" s="3027"/>
      <c r="K3" s="349"/>
      <c r="L3" s="349"/>
      <c r="M3" s="349"/>
    </row>
    <row r="4" spans="1:15" ht="15.75" customHeight="1">
      <c r="A4" s="350"/>
      <c r="B4" s="351"/>
      <c r="C4" s="352"/>
      <c r="D4" s="350"/>
      <c r="E4" s="350"/>
      <c r="F4" s="350"/>
      <c r="G4" s="350"/>
      <c r="H4" s="353"/>
      <c r="I4" s="353"/>
      <c r="K4" s="354"/>
      <c r="L4" s="354"/>
      <c r="M4" s="354"/>
    </row>
    <row r="5" spans="1:15" ht="33.75" customHeight="1">
      <c r="A5" s="3028" t="s">
        <v>1420</v>
      </c>
      <c r="B5" s="3028" t="s">
        <v>3</v>
      </c>
      <c r="C5" s="3029" t="s">
        <v>1421</v>
      </c>
      <c r="D5" s="3028" t="s">
        <v>5</v>
      </c>
      <c r="E5" s="3031" t="s">
        <v>1422</v>
      </c>
      <c r="F5" s="3031"/>
      <c r="G5" s="3031"/>
      <c r="H5" s="3031" t="s">
        <v>1423</v>
      </c>
      <c r="I5" s="3031"/>
      <c r="J5" s="3031"/>
      <c r="K5" s="3033" t="s">
        <v>94</v>
      </c>
      <c r="L5" s="3034"/>
      <c r="M5" s="3035"/>
      <c r="O5" s="355"/>
    </row>
    <row r="6" spans="1:15" s="357" customFormat="1" ht="18" customHeight="1">
      <c r="A6" s="3028"/>
      <c r="B6" s="3028"/>
      <c r="C6" s="3030"/>
      <c r="D6" s="3028"/>
      <c r="E6" s="356" t="s">
        <v>95</v>
      </c>
      <c r="F6" s="356" t="s">
        <v>9</v>
      </c>
      <c r="G6" s="356" t="s">
        <v>10</v>
      </c>
      <c r="H6" s="356" t="s">
        <v>95</v>
      </c>
      <c r="I6" s="356" t="s">
        <v>9</v>
      </c>
      <c r="J6" s="356" t="s">
        <v>10</v>
      </c>
      <c r="K6" s="356" t="s">
        <v>95</v>
      </c>
      <c r="L6" s="356" t="s">
        <v>96</v>
      </c>
      <c r="M6" s="356" t="s">
        <v>10</v>
      </c>
    </row>
    <row r="7" spans="1:15" s="357" customFormat="1" ht="15.75">
      <c r="A7" s="358">
        <v>1</v>
      </c>
      <c r="B7" s="358">
        <v>2</v>
      </c>
      <c r="C7" s="359">
        <v>3</v>
      </c>
      <c r="D7" s="358">
        <v>4</v>
      </c>
      <c r="E7" s="360">
        <v>5</v>
      </c>
      <c r="F7" s="360">
        <v>6</v>
      </c>
      <c r="G7" s="360">
        <v>7</v>
      </c>
      <c r="H7" s="360">
        <v>8</v>
      </c>
      <c r="I7" s="360">
        <v>9</v>
      </c>
      <c r="J7" s="360">
        <v>10</v>
      </c>
      <c r="K7" s="360">
        <v>11</v>
      </c>
      <c r="L7" s="360">
        <v>12</v>
      </c>
      <c r="M7" s="360">
        <v>13</v>
      </c>
      <c r="O7" s="361"/>
    </row>
    <row r="8" spans="1:15" ht="21" customHeight="1">
      <c r="A8" s="380">
        <v>1</v>
      </c>
      <c r="B8" s="1051" t="s">
        <v>1424</v>
      </c>
      <c r="C8" s="1052">
        <v>7130800033</v>
      </c>
      <c r="D8" s="380" t="s">
        <v>12</v>
      </c>
      <c r="E8" s="1053">
        <v>10</v>
      </c>
      <c r="F8" s="1054">
        <f>VLOOKUP(C8,'SOR RATE'!A196:D196,4,0)</f>
        <v>4451.53</v>
      </c>
      <c r="G8" s="1054">
        <f>F8*E8</f>
        <v>44515.299999999996</v>
      </c>
      <c r="H8" s="1054"/>
      <c r="I8" s="1054"/>
      <c r="J8" s="1054"/>
      <c r="K8" s="1054"/>
      <c r="L8" s="1054"/>
      <c r="M8" s="1054"/>
    </row>
    <row r="9" spans="1:15" ht="36.75" customHeight="1">
      <c r="A9" s="380" t="s">
        <v>1425</v>
      </c>
      <c r="B9" s="1051" t="s">
        <v>1426</v>
      </c>
      <c r="C9" s="1052">
        <v>7130601958</v>
      </c>
      <c r="D9" s="380" t="s">
        <v>26</v>
      </c>
      <c r="E9" s="1054"/>
      <c r="F9" s="1054"/>
      <c r="G9" s="1054"/>
      <c r="H9" s="1053">
        <v>4823</v>
      </c>
      <c r="I9" s="1055">
        <f>VLOOKUP(C9,'SOR RATE'!A:D,4,0)/1000</f>
        <v>64.326520000000002</v>
      </c>
      <c r="J9" s="1054">
        <f>I9*H9</f>
        <v>310246.80596000003</v>
      </c>
      <c r="K9" s="1054"/>
      <c r="L9" s="1054"/>
      <c r="M9" s="1054"/>
    </row>
    <row r="10" spans="1:15" ht="23.25" customHeight="1">
      <c r="A10" s="380" t="s">
        <v>184</v>
      </c>
      <c r="B10" s="1051" t="s">
        <v>98</v>
      </c>
      <c r="C10" s="1052">
        <v>7130800002</v>
      </c>
      <c r="D10" s="380" t="s">
        <v>12</v>
      </c>
      <c r="E10" s="1054"/>
      <c r="F10" s="1054"/>
      <c r="G10" s="1054"/>
      <c r="H10" s="1053"/>
      <c r="I10" s="1055"/>
      <c r="J10" s="1054"/>
      <c r="K10" s="1053">
        <v>10</v>
      </c>
      <c r="L10" s="1056">
        <f>VLOOKUP(C10,'SOR RATE'!A:D,4,0)</f>
        <v>7656.89</v>
      </c>
      <c r="M10" s="1054">
        <f>K10*L10</f>
        <v>76568.900000000009</v>
      </c>
      <c r="O10" s="355"/>
    </row>
    <row r="11" spans="1:15" ht="19.5" customHeight="1">
      <c r="A11" s="1052">
        <v>4</v>
      </c>
      <c r="B11" s="1051" t="s">
        <v>1427</v>
      </c>
      <c r="C11" s="1052">
        <v>7130810595</v>
      </c>
      <c r="D11" s="1057" t="s">
        <v>12</v>
      </c>
      <c r="E11" s="1058">
        <v>10</v>
      </c>
      <c r="F11" s="1056">
        <f>VLOOKUP(C11,'SOR RATE'!A:D,4,0)</f>
        <v>3070.95</v>
      </c>
      <c r="G11" s="1056">
        <f>F11*E11</f>
        <v>30709.5</v>
      </c>
      <c r="H11" s="1058">
        <v>10</v>
      </c>
      <c r="I11" s="1059">
        <f>VLOOKUP(C11,'SOR RATE'!A:D,4,0)</f>
        <v>3070.95</v>
      </c>
      <c r="J11" s="1056">
        <f>I11*H11</f>
        <v>30709.5</v>
      </c>
      <c r="K11" s="1058">
        <v>10</v>
      </c>
      <c r="L11" s="1056">
        <f>VLOOKUP(C11,'SOR RATE'!A:D,4,0)</f>
        <v>3070.95</v>
      </c>
      <c r="M11" s="1056">
        <f>K11*L11</f>
        <v>30709.5</v>
      </c>
    </row>
    <row r="12" spans="1:15" ht="20.25" customHeight="1">
      <c r="A12" s="3036">
        <v>5</v>
      </c>
      <c r="B12" s="1051" t="s">
        <v>99</v>
      </c>
      <c r="C12" s="1060"/>
      <c r="D12" s="1060"/>
      <c r="E12" s="1061"/>
      <c r="F12" s="1061"/>
      <c r="G12" s="1061"/>
      <c r="H12" s="1061"/>
      <c r="I12" s="1061"/>
      <c r="J12" s="1061"/>
      <c r="K12" s="1062"/>
      <c r="L12" s="1063"/>
      <c r="M12" s="1064"/>
    </row>
    <row r="13" spans="1:15" ht="18.75" customHeight="1">
      <c r="A13" s="3037"/>
      <c r="B13" s="1051" t="s">
        <v>1428</v>
      </c>
      <c r="C13" s="1052">
        <v>7130810193</v>
      </c>
      <c r="D13" s="380" t="s">
        <v>15</v>
      </c>
      <c r="E13" s="1065">
        <v>10</v>
      </c>
      <c r="F13" s="1066">
        <f>VLOOKUP(C13,'SOR RATE'!A:D,4,0)</f>
        <v>369.79</v>
      </c>
      <c r="G13" s="1066">
        <f>F13*E13</f>
        <v>3697.9</v>
      </c>
      <c r="H13" s="1066"/>
      <c r="I13" s="1066"/>
      <c r="J13" s="1066"/>
      <c r="K13" s="1065">
        <v>10</v>
      </c>
      <c r="L13" s="1066">
        <f>VLOOKUP(C13,'SOR RATE'!A:D,4,0)</f>
        <v>369.79</v>
      </c>
      <c r="M13" s="1066">
        <f>K13*L13</f>
        <v>3697.9</v>
      </c>
    </row>
    <row r="14" spans="1:15" ht="18.75" customHeight="1">
      <c r="A14" s="3037"/>
      <c r="B14" s="1051" t="s">
        <v>1429</v>
      </c>
      <c r="C14" s="1052">
        <v>7130810692</v>
      </c>
      <c r="D14" s="380" t="s">
        <v>15</v>
      </c>
      <c r="E14" s="1053"/>
      <c r="F14" s="1054"/>
      <c r="G14" s="1054"/>
      <c r="H14" s="1053">
        <v>10</v>
      </c>
      <c r="I14" s="1055">
        <f>VLOOKUP(C14,'SOR RATE'!A:D,4,0)</f>
        <v>410.25</v>
      </c>
      <c r="J14" s="1054">
        <f t="shared" ref="J14" si="0">I14*H14</f>
        <v>4102.5</v>
      </c>
      <c r="K14" s="1053"/>
      <c r="L14" s="1054"/>
      <c r="M14" s="1054"/>
    </row>
    <row r="15" spans="1:15" ht="20.25" customHeight="1">
      <c r="A15" s="1052">
        <v>6</v>
      </c>
      <c r="B15" s="1051" t="s">
        <v>1430</v>
      </c>
      <c r="C15" s="1052">
        <v>7130810676</v>
      </c>
      <c r="D15" s="380" t="s">
        <v>12</v>
      </c>
      <c r="E15" s="1053">
        <v>10</v>
      </c>
      <c r="F15" s="1054">
        <f>VLOOKUP(C15,'SOR RATE'!A:D,4,0)</f>
        <v>510.95</v>
      </c>
      <c r="G15" s="1054">
        <f t="shared" ref="G15:G21" si="1">F15*E15</f>
        <v>5109.5</v>
      </c>
      <c r="H15" s="1053">
        <v>10</v>
      </c>
      <c r="I15" s="1055">
        <f>VLOOKUP(C15,'SOR RATE'!A:D,4,0)</f>
        <v>510.95</v>
      </c>
      <c r="J15" s="1054">
        <f t="shared" ref="J15:J20" si="2">I15*H15</f>
        <v>5109.5</v>
      </c>
      <c r="K15" s="1053">
        <v>10</v>
      </c>
      <c r="L15" s="1054">
        <f>VLOOKUP(C15,'SOR RATE'!A:D,4,0)</f>
        <v>510.95</v>
      </c>
      <c r="M15" s="1054">
        <f>K15*L15</f>
        <v>5109.5</v>
      </c>
    </row>
    <row r="16" spans="1:15" ht="36" customHeight="1">
      <c r="A16" s="1052">
        <v>7</v>
      </c>
      <c r="B16" s="1051" t="s">
        <v>1431</v>
      </c>
      <c r="C16" s="1052">
        <v>7130870013</v>
      </c>
      <c r="D16" s="380" t="s">
        <v>12</v>
      </c>
      <c r="E16" s="1053">
        <v>10</v>
      </c>
      <c r="F16" s="1054">
        <f>VLOOKUP(C16,'SOR RATE'!A:D,4,0)</f>
        <v>152.88999999999999</v>
      </c>
      <c r="G16" s="1054">
        <f t="shared" si="1"/>
        <v>1528.8999999999999</v>
      </c>
      <c r="H16" s="1053">
        <v>10</v>
      </c>
      <c r="I16" s="1055">
        <f>VLOOKUP(C16,'SOR RATE'!A:D,4,0)</f>
        <v>152.88999999999999</v>
      </c>
      <c r="J16" s="1054">
        <f t="shared" si="2"/>
        <v>1528.8999999999999</v>
      </c>
      <c r="K16" s="1053">
        <v>10</v>
      </c>
      <c r="L16" s="1054">
        <f>VLOOKUP(C16,'SOR RATE'!A:D,4,0)</f>
        <v>152.88999999999999</v>
      </c>
      <c r="M16" s="1054">
        <f t="shared" ref="M16" si="3">K16*L16</f>
        <v>1528.8999999999999</v>
      </c>
    </row>
    <row r="17" spans="1:16" ht="20.25" customHeight="1">
      <c r="A17" s="1052">
        <v>8</v>
      </c>
      <c r="B17" s="1051" t="s">
        <v>1432</v>
      </c>
      <c r="C17" s="1052">
        <v>7130820009</v>
      </c>
      <c r="D17" s="380" t="s">
        <v>12</v>
      </c>
      <c r="E17" s="1053">
        <v>30</v>
      </c>
      <c r="F17" s="1054">
        <f>VLOOKUP(C17,'SOR RATE'!A:D,4,0)</f>
        <v>288.23</v>
      </c>
      <c r="G17" s="1054">
        <f t="shared" si="1"/>
        <v>8646.9000000000015</v>
      </c>
      <c r="H17" s="1053">
        <v>30</v>
      </c>
      <c r="I17" s="1055">
        <f>VLOOKUP(C17,'SOR RATE'!A:D,4,0)</f>
        <v>288.23</v>
      </c>
      <c r="J17" s="1054">
        <f t="shared" si="2"/>
        <v>8646.9000000000015</v>
      </c>
      <c r="K17" s="1053">
        <v>30</v>
      </c>
      <c r="L17" s="1054">
        <f>VLOOKUP(C17,'SOR RATE'!A:D,4,0)</f>
        <v>288.23</v>
      </c>
      <c r="M17" s="1054">
        <f>K17*L17</f>
        <v>8646.9000000000015</v>
      </c>
      <c r="O17" s="362"/>
    </row>
    <row r="18" spans="1:16" ht="36.75" customHeight="1">
      <c r="A18" s="1052">
        <v>9</v>
      </c>
      <c r="B18" s="1051" t="s">
        <v>1433</v>
      </c>
      <c r="C18" s="1052">
        <v>7130830060</v>
      </c>
      <c r="D18" s="380" t="s">
        <v>21</v>
      </c>
      <c r="E18" s="1053">
        <v>3100</v>
      </c>
      <c r="F18" s="1054">
        <f>VLOOKUP(C18,'SOR RATE'!A:D,4,0)/1000</f>
        <v>70.920659999999998</v>
      </c>
      <c r="G18" s="1054">
        <f t="shared" si="1"/>
        <v>219854.046</v>
      </c>
      <c r="H18" s="1053">
        <v>3100</v>
      </c>
      <c r="I18" s="1055">
        <f>VLOOKUP(C18,'SOR RATE'!A:D,4,0)/1000</f>
        <v>70.920659999999998</v>
      </c>
      <c r="J18" s="1054">
        <f t="shared" si="2"/>
        <v>219854.046</v>
      </c>
      <c r="K18" s="1053">
        <v>3100</v>
      </c>
      <c r="L18" s="1054">
        <f>VLOOKUP(C18,'SOR RATE'!A:D,4,0)/1000</f>
        <v>70.920659999999998</v>
      </c>
      <c r="M18" s="1054">
        <f>K18*L18</f>
        <v>219854.046</v>
      </c>
      <c r="O18" s="363"/>
    </row>
    <row r="19" spans="1:16" ht="35.25" customHeight="1">
      <c r="A19" s="1052">
        <v>10</v>
      </c>
      <c r="B19" s="1051" t="s">
        <v>1434</v>
      </c>
      <c r="C19" s="1052">
        <v>7130830050</v>
      </c>
      <c r="D19" s="380" t="s">
        <v>12</v>
      </c>
      <c r="E19" s="1053">
        <v>6</v>
      </c>
      <c r="F19" s="1054">
        <f>VLOOKUP(C19,'SOR RATE'!A:D,4,0)</f>
        <v>46.85</v>
      </c>
      <c r="G19" s="1054">
        <f t="shared" si="1"/>
        <v>281.10000000000002</v>
      </c>
      <c r="H19" s="1053">
        <v>6</v>
      </c>
      <c r="I19" s="1055">
        <f>VLOOKUP(C19,'SOR RATE'!A:D,4,0)</f>
        <v>46.85</v>
      </c>
      <c r="J19" s="1054">
        <f t="shared" si="2"/>
        <v>281.10000000000002</v>
      </c>
      <c r="K19" s="1053">
        <v>6</v>
      </c>
      <c r="L19" s="1054">
        <f>VLOOKUP(C19,'SOR RATE'!A:D,4,0)</f>
        <v>46.85</v>
      </c>
      <c r="M19" s="1054">
        <f>K19*L19</f>
        <v>281.10000000000002</v>
      </c>
      <c r="N19" s="364"/>
      <c r="O19" s="355"/>
    </row>
    <row r="20" spans="1:16" ht="20.25" customHeight="1">
      <c r="A20" s="3038">
        <v>11</v>
      </c>
      <c r="B20" s="1051" t="s">
        <v>1435</v>
      </c>
      <c r="C20" s="1052">
        <v>7130860033</v>
      </c>
      <c r="D20" s="380" t="s">
        <v>12</v>
      </c>
      <c r="E20" s="1053">
        <v>3</v>
      </c>
      <c r="F20" s="1054">
        <f>VLOOKUP(C20,'SOR RATE'!A:D,4,0)</f>
        <v>1031.6600000000001</v>
      </c>
      <c r="G20" s="1054">
        <f t="shared" si="1"/>
        <v>3094.9800000000005</v>
      </c>
      <c r="H20" s="1053">
        <v>3</v>
      </c>
      <c r="I20" s="1055">
        <f>VLOOKUP(C20,'SOR RATE'!A:D,4,0)</f>
        <v>1031.6600000000001</v>
      </c>
      <c r="J20" s="1054">
        <f t="shared" si="2"/>
        <v>3094.9800000000005</v>
      </c>
      <c r="K20" s="1053">
        <v>3</v>
      </c>
      <c r="L20" s="1054">
        <f>VLOOKUP(C20,'SOR RATE'!A:D,4,0)</f>
        <v>1031.6600000000001</v>
      </c>
      <c r="M20" s="1054">
        <f>K20*L20</f>
        <v>3094.9800000000005</v>
      </c>
    </row>
    <row r="21" spans="1:16" ht="21.75" customHeight="1">
      <c r="A21" s="3039"/>
      <c r="B21" s="1051" t="s">
        <v>1436</v>
      </c>
      <c r="C21" s="1052">
        <v>7130810193</v>
      </c>
      <c r="D21" s="380" t="s">
        <v>15</v>
      </c>
      <c r="E21" s="1053">
        <v>3</v>
      </c>
      <c r="F21" s="1054">
        <f>VLOOKUP(C21,'SOR RATE'!A:D,4,0)</f>
        <v>369.79</v>
      </c>
      <c r="G21" s="1054">
        <f t="shared" si="1"/>
        <v>1109.3700000000001</v>
      </c>
      <c r="H21" s="1054"/>
      <c r="I21" s="1054"/>
      <c r="J21" s="1054"/>
      <c r="K21" s="1053">
        <v>3</v>
      </c>
      <c r="L21" s="1054">
        <f>VLOOKUP(C21,'SOR RATE'!A:D,4,0)</f>
        <v>369.79</v>
      </c>
      <c r="M21" s="1054">
        <f>K21*L21</f>
        <v>1109.3700000000001</v>
      </c>
    </row>
    <row r="22" spans="1:16" ht="20.25" customHeight="1">
      <c r="A22" s="3039"/>
      <c r="B22" s="1051" t="s">
        <v>1437</v>
      </c>
      <c r="C22" s="1052">
        <v>7130810692</v>
      </c>
      <c r="D22" s="380" t="s">
        <v>15</v>
      </c>
      <c r="E22" s="1053"/>
      <c r="F22" s="1054"/>
      <c r="G22" s="1054"/>
      <c r="H22" s="1053">
        <v>3</v>
      </c>
      <c r="I22" s="1055">
        <f>VLOOKUP(C22,'SOR RATE'!A:D,4,0)</f>
        <v>410.25</v>
      </c>
      <c r="J22" s="1054">
        <f t="shared" ref="J22:J29" si="4">I22*H22</f>
        <v>1230.75</v>
      </c>
      <c r="K22" s="1054"/>
      <c r="L22" s="1054"/>
      <c r="M22" s="1054"/>
    </row>
    <row r="23" spans="1:16" ht="22.5" customHeight="1">
      <c r="A23" s="3040"/>
      <c r="B23" s="1051" t="s">
        <v>1438</v>
      </c>
      <c r="C23" s="1052">
        <v>7130860076</v>
      </c>
      <c r="D23" s="380" t="s">
        <v>26</v>
      </c>
      <c r="E23" s="1067">
        <v>25.5</v>
      </c>
      <c r="F23" s="1054">
        <f>VLOOKUP(C23,'SOR RATE'!A:D,4,0)/1000</f>
        <v>92.856940000000009</v>
      </c>
      <c r="G23" s="1054">
        <f t="shared" ref="G23:G29" si="5">F23*E23</f>
        <v>2367.8519700000002</v>
      </c>
      <c r="H23" s="1067">
        <f>+E23</f>
        <v>25.5</v>
      </c>
      <c r="I23" s="1055">
        <f>VLOOKUP(C23,'SOR RATE'!A:D,4,0)/1000</f>
        <v>92.856940000000009</v>
      </c>
      <c r="J23" s="1054">
        <f t="shared" si="4"/>
        <v>2367.8519700000002</v>
      </c>
      <c r="K23" s="1067">
        <v>25.5</v>
      </c>
      <c r="L23" s="1054">
        <f>VLOOKUP(C23,'SOR RATE'!A:D,4,0)/1000</f>
        <v>92.856940000000009</v>
      </c>
      <c r="M23" s="1054">
        <f t="shared" ref="M23:M29" si="6">K23*L23</f>
        <v>2367.8519700000002</v>
      </c>
    </row>
    <row r="24" spans="1:16" ht="80.25" customHeight="1">
      <c r="A24" s="1068">
        <v>12</v>
      </c>
      <c r="B24" s="1069" t="s">
        <v>1439</v>
      </c>
      <c r="C24" s="1052">
        <v>7130200202</v>
      </c>
      <c r="D24" s="1070" t="s">
        <v>1440</v>
      </c>
      <c r="E24" s="1071">
        <f>(10*0.05)+(5*0.3)</f>
        <v>2</v>
      </c>
      <c r="F24" s="1054">
        <f>VLOOKUP(C24,'SOR RATE'!A:D,4,0)</f>
        <v>2970</v>
      </c>
      <c r="G24" s="1054">
        <f t="shared" si="5"/>
        <v>5940</v>
      </c>
      <c r="H24" s="1071">
        <f>(10*0.65)+(5*0.3)</f>
        <v>8</v>
      </c>
      <c r="I24" s="1055">
        <f>VLOOKUP(C24,'SOR RATE'!A:D,4,0)</f>
        <v>2970</v>
      </c>
      <c r="J24" s="1054">
        <f t="shared" si="4"/>
        <v>23760</v>
      </c>
      <c r="K24" s="1071">
        <f>(10*0.55)+(5*0.3)</f>
        <v>7</v>
      </c>
      <c r="L24" s="1054">
        <f>VLOOKUP(C24,'SOR RATE'!A:D,4,0)</f>
        <v>2970</v>
      </c>
      <c r="M24" s="1054">
        <f t="shared" si="6"/>
        <v>20790</v>
      </c>
      <c r="N24" s="365" t="s">
        <v>47</v>
      </c>
      <c r="O24" s="366"/>
    </row>
    <row r="25" spans="1:16" ht="17.25" customHeight="1">
      <c r="A25" s="1052">
        <v>13</v>
      </c>
      <c r="B25" s="1051" t="s">
        <v>28</v>
      </c>
      <c r="C25" s="1052">
        <v>7130211158</v>
      </c>
      <c r="D25" s="380" t="s">
        <v>29</v>
      </c>
      <c r="E25" s="1067">
        <v>1.4</v>
      </c>
      <c r="F25" s="1054">
        <f>VLOOKUP(C25,'SOR RATE'!A:D,4,0)</f>
        <v>193.62</v>
      </c>
      <c r="G25" s="1054">
        <f t="shared" si="5"/>
        <v>271.06799999999998</v>
      </c>
      <c r="H25" s="1053">
        <v>6</v>
      </c>
      <c r="I25" s="1055">
        <f>VLOOKUP(C25,'SOR RATE'!A:D,4,0)</f>
        <v>193.62</v>
      </c>
      <c r="J25" s="1054">
        <f t="shared" si="4"/>
        <v>1161.72</v>
      </c>
      <c r="K25" s="1067">
        <v>1.4</v>
      </c>
      <c r="L25" s="1054">
        <f>VLOOKUP(C25,'SOR RATE'!A:D,4,0)</f>
        <v>193.62</v>
      </c>
      <c r="M25" s="1054">
        <f t="shared" si="6"/>
        <v>271.06799999999998</v>
      </c>
    </row>
    <row r="26" spans="1:16" ht="17.25" customHeight="1">
      <c r="A26" s="1052">
        <v>14</v>
      </c>
      <c r="B26" s="1051" t="s">
        <v>30</v>
      </c>
      <c r="C26" s="1052">
        <v>7130210809</v>
      </c>
      <c r="D26" s="380" t="s">
        <v>29</v>
      </c>
      <c r="E26" s="1067">
        <v>1.5</v>
      </c>
      <c r="F26" s="1054">
        <f>VLOOKUP(C26,'SOR RATE'!A:D,4,0)</f>
        <v>432.63</v>
      </c>
      <c r="G26" s="1054">
        <f t="shared" si="5"/>
        <v>648.94499999999994</v>
      </c>
      <c r="H26" s="1053">
        <v>6</v>
      </c>
      <c r="I26" s="1055">
        <f>VLOOKUP(C26,'SOR RATE'!A:D,4,0)</f>
        <v>432.63</v>
      </c>
      <c r="J26" s="1054">
        <f t="shared" si="4"/>
        <v>2595.7799999999997</v>
      </c>
      <c r="K26" s="1067">
        <v>1.5</v>
      </c>
      <c r="L26" s="1054">
        <f>VLOOKUP(C26,'SOR RATE'!A:D,4,0)</f>
        <v>432.63</v>
      </c>
      <c r="M26" s="1054">
        <f t="shared" si="6"/>
        <v>648.94499999999994</v>
      </c>
    </row>
    <row r="27" spans="1:16" ht="20.25" customHeight="1">
      <c r="A27" s="1052">
        <v>15</v>
      </c>
      <c r="B27" s="1051" t="s">
        <v>1441</v>
      </c>
      <c r="C27" s="1052">
        <v>7130610206</v>
      </c>
      <c r="D27" s="380" t="s">
        <v>26</v>
      </c>
      <c r="E27" s="1053">
        <v>20</v>
      </c>
      <c r="F27" s="1054">
        <f>VLOOKUP(C27,'SOR RATE'!A:D,4,0)/1000</f>
        <v>97.233429999999998</v>
      </c>
      <c r="G27" s="1054">
        <f t="shared" si="5"/>
        <v>1944.6686</v>
      </c>
      <c r="H27" s="1053">
        <v>20</v>
      </c>
      <c r="I27" s="1055">
        <f>VLOOKUP(C27,'SOR RATE'!A:D,4,0)/1000</f>
        <v>97.233429999999998</v>
      </c>
      <c r="J27" s="1054">
        <f t="shared" si="4"/>
        <v>1944.6686</v>
      </c>
      <c r="K27" s="1053">
        <v>20</v>
      </c>
      <c r="L27" s="1054">
        <f>VLOOKUP(C27,'SOR RATE'!A:D,4,0)/1000</f>
        <v>97.233429999999998</v>
      </c>
      <c r="M27" s="1054">
        <f t="shared" si="6"/>
        <v>1944.6686</v>
      </c>
      <c r="N27" s="367"/>
      <c r="O27" s="85"/>
      <c r="P27" s="85"/>
    </row>
    <row r="28" spans="1:16" ht="19.5" customHeight="1">
      <c r="A28" s="1052">
        <v>16</v>
      </c>
      <c r="B28" s="1051" t="s">
        <v>32</v>
      </c>
      <c r="C28" s="1052">
        <v>7130880041</v>
      </c>
      <c r="D28" s="380" t="s">
        <v>12</v>
      </c>
      <c r="E28" s="1053">
        <v>10</v>
      </c>
      <c r="F28" s="1054">
        <f>VLOOKUP(C28,'SOR RATE'!A:D,4,0)</f>
        <v>113.77</v>
      </c>
      <c r="G28" s="1054">
        <f t="shared" si="5"/>
        <v>1137.7</v>
      </c>
      <c r="H28" s="1053">
        <v>10</v>
      </c>
      <c r="I28" s="1055">
        <f>VLOOKUP(C28,'SOR RATE'!A:D,4,0)</f>
        <v>113.77</v>
      </c>
      <c r="J28" s="1054">
        <f t="shared" si="4"/>
        <v>1137.7</v>
      </c>
      <c r="K28" s="1053">
        <v>10</v>
      </c>
      <c r="L28" s="1054">
        <f>VLOOKUP(C28,'SOR RATE'!A:D,4,0)</f>
        <v>113.77</v>
      </c>
      <c r="M28" s="1054">
        <f t="shared" si="6"/>
        <v>1137.7</v>
      </c>
      <c r="O28" s="368"/>
    </row>
    <row r="29" spans="1:16" ht="20.25" customHeight="1">
      <c r="A29" s="1052">
        <v>17</v>
      </c>
      <c r="B29" s="1051" t="s">
        <v>1442</v>
      </c>
      <c r="C29" s="1052">
        <v>7130830006</v>
      </c>
      <c r="D29" s="380" t="s">
        <v>26</v>
      </c>
      <c r="E29" s="1067">
        <v>3.5</v>
      </c>
      <c r="F29" s="1054">
        <f>VLOOKUP(C29,'SOR RATE'!A:D,4,0)</f>
        <v>201.5</v>
      </c>
      <c r="G29" s="1054">
        <f t="shared" si="5"/>
        <v>705.25</v>
      </c>
      <c r="H29" s="1067">
        <v>3.5</v>
      </c>
      <c r="I29" s="1055">
        <f>VLOOKUP(C29,'SOR RATE'!A:D,4,0)</f>
        <v>201.5</v>
      </c>
      <c r="J29" s="1054">
        <f t="shared" si="4"/>
        <v>705.25</v>
      </c>
      <c r="K29" s="1067">
        <v>3.5</v>
      </c>
      <c r="L29" s="1054">
        <f>VLOOKUP(C29,'SOR RATE'!A:D,4,0)</f>
        <v>201.5</v>
      </c>
      <c r="M29" s="1054">
        <f t="shared" si="6"/>
        <v>705.25</v>
      </c>
    </row>
    <row r="30" spans="1:16" ht="15.75" customHeight="1">
      <c r="A30" s="3038">
        <v>18</v>
      </c>
      <c r="B30" s="1051" t="s">
        <v>1443</v>
      </c>
      <c r="C30" s="1052"/>
      <c r="D30" s="380" t="s">
        <v>26</v>
      </c>
      <c r="E30" s="1053">
        <v>17</v>
      </c>
      <c r="F30" s="1054"/>
      <c r="G30" s="1054"/>
      <c r="H30" s="1053">
        <v>17</v>
      </c>
      <c r="I30" s="1054"/>
      <c r="J30" s="1054"/>
      <c r="K30" s="1053">
        <v>18</v>
      </c>
      <c r="L30" s="1054"/>
      <c r="M30" s="1054"/>
    </row>
    <row r="31" spans="1:16" ht="15" customHeight="1">
      <c r="A31" s="3039"/>
      <c r="B31" s="1051" t="s">
        <v>111</v>
      </c>
      <c r="C31" s="1052">
        <v>7130620614</v>
      </c>
      <c r="D31" s="380" t="s">
        <v>26</v>
      </c>
      <c r="E31" s="1053"/>
      <c r="F31" s="1054">
        <f>VLOOKUP(C31,'SOR RATE'!A:D,4,0)</f>
        <v>85.77</v>
      </c>
      <c r="G31" s="1054"/>
      <c r="H31" s="1053">
        <v>7</v>
      </c>
      <c r="I31" s="1055">
        <f>VLOOKUP(C31,'SOR RATE'!A:D,4,0)</f>
        <v>85.77</v>
      </c>
      <c r="J31" s="1054">
        <f>I31*H31</f>
        <v>600.39</v>
      </c>
      <c r="K31" s="1054"/>
      <c r="L31" s="1054">
        <f>VLOOKUP(C31,'SOR RATE'!A:D,4,0)</f>
        <v>85.77</v>
      </c>
      <c r="M31" s="1054"/>
    </row>
    <row r="32" spans="1:16" ht="15" customHeight="1">
      <c r="A32" s="3039"/>
      <c r="B32" s="1051" t="s">
        <v>36</v>
      </c>
      <c r="C32" s="1052">
        <v>7130620619</v>
      </c>
      <c r="D32" s="380" t="s">
        <v>26</v>
      </c>
      <c r="E32" s="1053">
        <v>3</v>
      </c>
      <c r="F32" s="1054">
        <f>VLOOKUP(C32,'SOR RATE'!A:D,4,0)</f>
        <v>85.77</v>
      </c>
      <c r="G32" s="1054">
        <f>F32*E32</f>
        <v>257.31</v>
      </c>
      <c r="H32" s="1054"/>
      <c r="I32" s="1055">
        <f>VLOOKUP(C32,'SOR RATE'!A:D,4,0)</f>
        <v>85.77</v>
      </c>
      <c r="J32" s="1056"/>
      <c r="K32" s="1067">
        <v>3.5</v>
      </c>
      <c r="L32" s="1054">
        <f>VLOOKUP(C32,'SOR RATE'!A:D,4,0)</f>
        <v>85.77</v>
      </c>
      <c r="M32" s="1054">
        <f>K32*L32</f>
        <v>300.19499999999999</v>
      </c>
    </row>
    <row r="33" spans="1:17" ht="16.5" customHeight="1">
      <c r="A33" s="3039"/>
      <c r="B33" s="1051" t="s">
        <v>112</v>
      </c>
      <c r="C33" s="1052">
        <v>7130620625</v>
      </c>
      <c r="D33" s="380" t="s">
        <v>26</v>
      </c>
      <c r="E33" s="1053"/>
      <c r="F33" s="1054">
        <f>VLOOKUP(C33,'SOR RATE'!A:D,4,0)</f>
        <v>84.32</v>
      </c>
      <c r="G33" s="1054"/>
      <c r="H33" s="1053">
        <v>10</v>
      </c>
      <c r="I33" s="1055">
        <f>VLOOKUP(C33,'SOR RATE'!A:D,4,0)</f>
        <v>84.32</v>
      </c>
      <c r="J33" s="1054">
        <f>I33*H33</f>
        <v>843.19999999999993</v>
      </c>
      <c r="K33" s="1067"/>
      <c r="L33" s="1054">
        <f>VLOOKUP(C33,'SOR RATE'!A:D,4,0)</f>
        <v>84.32</v>
      </c>
      <c r="M33" s="1054"/>
    </row>
    <row r="34" spans="1:17" ht="18.75" customHeight="1">
      <c r="A34" s="3040"/>
      <c r="B34" s="1051" t="s">
        <v>37</v>
      </c>
      <c r="C34" s="1052">
        <v>7130620627</v>
      </c>
      <c r="D34" s="380" t="s">
        <v>26</v>
      </c>
      <c r="E34" s="1053">
        <v>14</v>
      </c>
      <c r="F34" s="1054">
        <f>VLOOKUP(C34,'SOR RATE'!A:D,4,0)</f>
        <v>84.32</v>
      </c>
      <c r="G34" s="1054">
        <f>F34*E34</f>
        <v>1180.48</v>
      </c>
      <c r="H34" s="1053"/>
      <c r="I34" s="1055">
        <f>VLOOKUP(C34,'SOR RATE'!A:D,4,0)</f>
        <v>84.32</v>
      </c>
      <c r="J34" s="1054"/>
      <c r="K34" s="1067">
        <v>14.5</v>
      </c>
      <c r="L34" s="1054">
        <f>VLOOKUP(C34,'SOR RATE'!A:D,4,0)</f>
        <v>84.32</v>
      </c>
      <c r="M34" s="1054">
        <f>K34*L34</f>
        <v>1222.6399999999999</v>
      </c>
    </row>
    <row r="35" spans="1:17" ht="18.75" customHeight="1">
      <c r="A35" s="3038">
        <v>19</v>
      </c>
      <c r="B35" s="1051" t="s">
        <v>1444</v>
      </c>
      <c r="C35" s="1052"/>
      <c r="D35" s="909" t="s">
        <v>1445</v>
      </c>
      <c r="E35" s="1054"/>
      <c r="F35" s="1072"/>
      <c r="G35" s="356">
        <f>SUM(G36:G44)</f>
        <v>15648.123939999999</v>
      </c>
      <c r="H35" s="1054"/>
      <c r="I35" s="356"/>
      <c r="J35" s="356">
        <f>SUM(J36:J44)</f>
        <v>15648.123939999999</v>
      </c>
      <c r="K35" s="1054"/>
      <c r="L35" s="1054"/>
      <c r="M35" s="356">
        <f>SUM(M36:M44)</f>
        <v>15648.123939999999</v>
      </c>
    </row>
    <row r="36" spans="1:17" ht="18.75" customHeight="1">
      <c r="A36" s="3039"/>
      <c r="B36" s="1051" t="s">
        <v>1446</v>
      </c>
      <c r="C36" s="1052">
        <v>7130870045</v>
      </c>
      <c r="D36" s="380" t="s">
        <v>26</v>
      </c>
      <c r="E36" s="1052">
        <v>49</v>
      </c>
      <c r="F36" s="1054">
        <f>VLOOKUP(C36,'SOR RATE'!A:D,4,0)/1000</f>
        <v>80.521839999999997</v>
      </c>
      <c r="G36" s="1054">
        <f>F36*E36</f>
        <v>3945.5701599999998</v>
      </c>
      <c r="H36" s="1052">
        <v>49</v>
      </c>
      <c r="I36" s="1055">
        <f>VLOOKUP(C36,'SOR RATE'!A:D,4,0)/1000</f>
        <v>80.521839999999997</v>
      </c>
      <c r="J36" s="1054">
        <f t="shared" ref="J36:J44" si="7">I36*H36</f>
        <v>3945.5701599999998</v>
      </c>
      <c r="K36" s="1053">
        <v>49</v>
      </c>
      <c r="L36" s="1054">
        <f>VLOOKUP(C36,'SOR RATE'!A:D,4,0)/1000</f>
        <v>80.521839999999997</v>
      </c>
      <c r="M36" s="1054">
        <f t="shared" ref="M36:M44" si="8">K36*L36</f>
        <v>3945.5701599999998</v>
      </c>
    </row>
    <row r="37" spans="1:17" ht="17.25" customHeight="1">
      <c r="A37" s="3039"/>
      <c r="B37" s="1051" t="s">
        <v>1447</v>
      </c>
      <c r="C37" s="1052">
        <v>7130870043</v>
      </c>
      <c r="D37" s="380" t="s">
        <v>26</v>
      </c>
      <c r="E37" s="1052">
        <v>20</v>
      </c>
      <c r="F37" s="1054">
        <f>VLOOKUP(C37,'SOR RATE'!A:D,4,0)/1000</f>
        <v>80.521839999999997</v>
      </c>
      <c r="G37" s="1054">
        <f>F37*E37</f>
        <v>1610.4367999999999</v>
      </c>
      <c r="H37" s="1052">
        <v>20</v>
      </c>
      <c r="I37" s="1055">
        <f>VLOOKUP(C37,'SOR RATE'!A:D,4,0)/1000</f>
        <v>80.521839999999997</v>
      </c>
      <c r="J37" s="1054">
        <f t="shared" si="7"/>
        <v>1610.4367999999999</v>
      </c>
      <c r="K37" s="1053">
        <v>20</v>
      </c>
      <c r="L37" s="1054">
        <f>VLOOKUP(C37,'SOR RATE'!A:D,4,0)/1000</f>
        <v>80.521839999999997</v>
      </c>
      <c r="M37" s="1054">
        <f t="shared" si="8"/>
        <v>1610.4367999999999</v>
      </c>
    </row>
    <row r="38" spans="1:17" ht="17.25" customHeight="1">
      <c r="A38" s="3039"/>
      <c r="B38" s="1051" t="s">
        <v>1448</v>
      </c>
      <c r="C38" s="1052">
        <v>7130897759</v>
      </c>
      <c r="D38" s="380" t="s">
        <v>40</v>
      </c>
      <c r="E38" s="1052">
        <v>1</v>
      </c>
      <c r="F38" s="1054">
        <f>VLOOKUP(C38,'SOR RATE'!A:D,4,0)</f>
        <v>4365.4399999999996</v>
      </c>
      <c r="G38" s="1054">
        <f t="shared" ref="G38" si="9">F38*E38</f>
        <v>4365.4399999999996</v>
      </c>
      <c r="H38" s="1052">
        <v>1</v>
      </c>
      <c r="I38" s="1055">
        <f>VLOOKUP(C38,'SOR RATE'!A:D,4,0)</f>
        <v>4365.4399999999996</v>
      </c>
      <c r="J38" s="1054">
        <f t="shared" si="7"/>
        <v>4365.4399999999996</v>
      </c>
      <c r="K38" s="1053">
        <v>1</v>
      </c>
      <c r="L38" s="1054">
        <f>VLOOKUP(C38,'SOR RATE'!A:D,4,0)</f>
        <v>4365.4399999999996</v>
      </c>
      <c r="M38" s="1054">
        <f t="shared" si="8"/>
        <v>4365.4399999999996</v>
      </c>
    </row>
    <row r="39" spans="1:17" ht="18.75" customHeight="1">
      <c r="A39" s="3039"/>
      <c r="B39" s="1051" t="s">
        <v>1449</v>
      </c>
      <c r="C39" s="1052">
        <v>7130810692</v>
      </c>
      <c r="D39" s="380" t="s">
        <v>15</v>
      </c>
      <c r="E39" s="1052">
        <v>3</v>
      </c>
      <c r="F39" s="1054">
        <f>VLOOKUP(C39,'SOR RATE'!A:D,4,0)</f>
        <v>410.25</v>
      </c>
      <c r="G39" s="1054">
        <f t="shared" ref="G39:G44" si="10">F39*E39</f>
        <v>1230.75</v>
      </c>
      <c r="H39" s="1052">
        <v>3</v>
      </c>
      <c r="I39" s="1055">
        <f>VLOOKUP(C39,'SOR RATE'!A:D,4,0)</f>
        <v>410.25</v>
      </c>
      <c r="J39" s="1054">
        <f t="shared" si="7"/>
        <v>1230.75</v>
      </c>
      <c r="K39" s="1053">
        <v>3</v>
      </c>
      <c r="L39" s="1054">
        <f>VLOOKUP(C39,'SOR RATE'!A:D,4,0)</f>
        <v>410.25</v>
      </c>
      <c r="M39" s="1054">
        <f t="shared" si="8"/>
        <v>1230.75</v>
      </c>
      <c r="O39" s="369"/>
    </row>
    <row r="40" spans="1:17" ht="19.5" customHeight="1">
      <c r="A40" s="3039"/>
      <c r="B40" s="1051" t="s">
        <v>1450</v>
      </c>
      <c r="C40" s="1052">
        <v>7130620625</v>
      </c>
      <c r="D40" s="380" t="s">
        <v>1451</v>
      </c>
      <c r="E40" s="1067">
        <v>1.2</v>
      </c>
      <c r="F40" s="1054">
        <f>VLOOKUP(C40,'SOR RATE'!A:D,4,0)</f>
        <v>84.32</v>
      </c>
      <c r="G40" s="1054">
        <f t="shared" si="10"/>
        <v>101.18399999999998</v>
      </c>
      <c r="H40" s="1067">
        <v>1.2</v>
      </c>
      <c r="I40" s="1055">
        <f>VLOOKUP(C40,'SOR RATE'!A:D,4,0)</f>
        <v>84.32</v>
      </c>
      <c r="J40" s="1054">
        <f t="shared" si="7"/>
        <v>101.18399999999998</v>
      </c>
      <c r="K40" s="1067">
        <v>1.2</v>
      </c>
      <c r="L40" s="1054">
        <f>VLOOKUP(C40,'SOR RATE'!A:D,4,0)</f>
        <v>84.32</v>
      </c>
      <c r="M40" s="1054">
        <f t="shared" si="8"/>
        <v>101.18399999999998</v>
      </c>
    </row>
    <row r="41" spans="1:17" ht="18" customHeight="1">
      <c r="A41" s="3039"/>
      <c r="B41" s="1051" t="s">
        <v>1452</v>
      </c>
      <c r="C41" s="1052">
        <v>7130620013</v>
      </c>
      <c r="D41" s="380" t="s">
        <v>12</v>
      </c>
      <c r="E41" s="1052">
        <v>4</v>
      </c>
      <c r="F41" s="1054">
        <f>VLOOKUP(C41,'SOR RATE'!A:D,4,0)</f>
        <v>156.05000000000001</v>
      </c>
      <c r="G41" s="1054">
        <f t="shared" si="10"/>
        <v>624.20000000000005</v>
      </c>
      <c r="H41" s="1052">
        <v>4</v>
      </c>
      <c r="I41" s="1055">
        <f>VLOOKUP(C41,'SOR RATE'!A:D,4,0)</f>
        <v>156.05000000000001</v>
      </c>
      <c r="J41" s="1054">
        <f t="shared" si="7"/>
        <v>624.20000000000005</v>
      </c>
      <c r="K41" s="1053">
        <v>4</v>
      </c>
      <c r="L41" s="1054">
        <f>VLOOKUP(C41,'SOR RATE'!A:D,4,0)</f>
        <v>156.05000000000001</v>
      </c>
      <c r="M41" s="1054">
        <f t="shared" si="8"/>
        <v>624.20000000000005</v>
      </c>
    </row>
    <row r="42" spans="1:17" ht="18" customHeight="1">
      <c r="A42" s="3039"/>
      <c r="B42" s="1051" t="s">
        <v>1453</v>
      </c>
      <c r="C42" s="1052">
        <v>7130860033</v>
      </c>
      <c r="D42" s="380" t="s">
        <v>12</v>
      </c>
      <c r="E42" s="1052">
        <v>2</v>
      </c>
      <c r="F42" s="1054">
        <f>VLOOKUP(C42,'SOR RATE'!A:D,4,0)</f>
        <v>1031.6600000000001</v>
      </c>
      <c r="G42" s="1054">
        <f t="shared" si="10"/>
        <v>2063.3200000000002</v>
      </c>
      <c r="H42" s="1052">
        <v>2</v>
      </c>
      <c r="I42" s="1055">
        <f>VLOOKUP(C42,'SOR RATE'!A:D,4,0)</f>
        <v>1031.6600000000001</v>
      </c>
      <c r="J42" s="1054">
        <f t="shared" si="7"/>
        <v>2063.3200000000002</v>
      </c>
      <c r="K42" s="1053">
        <v>2</v>
      </c>
      <c r="L42" s="1054">
        <f>VLOOKUP(C42,'SOR RATE'!A:D,4,0)</f>
        <v>1031.6600000000001</v>
      </c>
      <c r="M42" s="1054">
        <f t="shared" si="8"/>
        <v>2063.3200000000002</v>
      </c>
    </row>
    <row r="43" spans="1:17" ht="21" customHeight="1">
      <c r="A43" s="3039"/>
      <c r="B43" s="1051" t="s">
        <v>1454</v>
      </c>
      <c r="C43" s="1052">
        <v>7130860076</v>
      </c>
      <c r="D43" s="380" t="s">
        <v>26</v>
      </c>
      <c r="E43" s="1052">
        <v>17</v>
      </c>
      <c r="F43" s="1054">
        <f>VLOOKUP(C43,'SOR RATE'!A:D,4,0)/1000</f>
        <v>92.856940000000009</v>
      </c>
      <c r="G43" s="1054">
        <f t="shared" si="10"/>
        <v>1578.5679800000003</v>
      </c>
      <c r="H43" s="1052">
        <v>17</v>
      </c>
      <c r="I43" s="1055">
        <f>VLOOKUP(C43,'SOR RATE'!A:D,4,0)/1000</f>
        <v>92.856940000000009</v>
      </c>
      <c r="J43" s="1054">
        <f t="shared" si="7"/>
        <v>1578.5679800000003</v>
      </c>
      <c r="K43" s="1053">
        <v>17</v>
      </c>
      <c r="L43" s="1054">
        <f>VLOOKUP(C43,'SOR RATE'!A:D,4,0)/1000</f>
        <v>92.856940000000009</v>
      </c>
      <c r="M43" s="1054">
        <f t="shared" si="8"/>
        <v>1578.5679800000003</v>
      </c>
      <c r="O43" s="376"/>
    </row>
    <row r="44" spans="1:17" ht="18.75" customHeight="1">
      <c r="A44" s="3040"/>
      <c r="B44" s="1051" t="s">
        <v>1455</v>
      </c>
      <c r="C44" s="1052">
        <v>7130620619</v>
      </c>
      <c r="D44" s="380" t="s">
        <v>26</v>
      </c>
      <c r="E44" s="1052">
        <v>1.5</v>
      </c>
      <c r="F44" s="1054">
        <f>VLOOKUP(C44,'SOR RATE'!A:D,4,0)</f>
        <v>85.77</v>
      </c>
      <c r="G44" s="1054">
        <f t="shared" si="10"/>
        <v>128.655</v>
      </c>
      <c r="H44" s="1052">
        <v>1.5</v>
      </c>
      <c r="I44" s="1055">
        <f>VLOOKUP(C44,'SOR RATE'!A:D,4,0)</f>
        <v>85.77</v>
      </c>
      <c r="J44" s="1054">
        <f t="shared" si="7"/>
        <v>128.655</v>
      </c>
      <c r="K44" s="1067">
        <v>1.5</v>
      </c>
      <c r="L44" s="1054">
        <f>VLOOKUP(C44,'SOR RATE'!A:D,4,0)</f>
        <v>85.77</v>
      </c>
      <c r="M44" s="1054">
        <f t="shared" si="8"/>
        <v>128.655</v>
      </c>
    </row>
    <row r="45" spans="1:17" s="371" customFormat="1" ht="31.5">
      <c r="A45" s="1073">
        <v>20</v>
      </c>
      <c r="B45" s="1074" t="s">
        <v>48</v>
      </c>
      <c r="C45" s="910"/>
      <c r="D45" s="910"/>
      <c r="E45" s="911"/>
      <c r="F45" s="356"/>
      <c r="G45" s="356">
        <f>SUM(G8:G35)</f>
        <v>348648.89350999997</v>
      </c>
      <c r="H45" s="1064"/>
      <c r="I45" s="911"/>
      <c r="J45" s="356">
        <f>SUM(J8:J35)</f>
        <v>635569.66646999982</v>
      </c>
      <c r="K45" s="356"/>
      <c r="L45" s="356"/>
      <c r="M45" s="356">
        <f>SUM(M8:M35)</f>
        <v>395637.53851000004</v>
      </c>
      <c r="N45" s="364"/>
      <c r="O45" s="355"/>
      <c r="P45" s="370"/>
    </row>
    <row r="46" spans="1:17" s="371" customFormat="1" ht="31.5">
      <c r="A46" s="1073">
        <v>21</v>
      </c>
      <c r="B46" s="1074" t="s">
        <v>49</v>
      </c>
      <c r="C46" s="1075"/>
      <c r="D46" s="910"/>
      <c r="E46" s="911"/>
      <c r="F46" s="356"/>
      <c r="G46" s="356">
        <f>G45/1.18</f>
        <v>295465.16399152542</v>
      </c>
      <c r="H46" s="1063"/>
      <c r="I46" s="911"/>
      <c r="J46" s="356">
        <f>J45/1.18</f>
        <v>538618.36141525407</v>
      </c>
      <c r="K46" s="356"/>
      <c r="L46" s="356"/>
      <c r="M46" s="356">
        <f>M45/1.18</f>
        <v>335286.04958474584</v>
      </c>
      <c r="N46" s="364"/>
      <c r="O46" s="355"/>
      <c r="P46" s="370"/>
    </row>
    <row r="47" spans="1:17" ht="33" customHeight="1">
      <c r="A47" s="1052">
        <v>22</v>
      </c>
      <c r="B47" s="1051" t="s">
        <v>50</v>
      </c>
      <c r="C47" s="1060"/>
      <c r="D47" s="1076"/>
      <c r="E47" s="1076"/>
      <c r="F47" s="1052">
        <v>7.4999999999999997E-2</v>
      </c>
      <c r="G47" s="1054">
        <f>G45*F47</f>
        <v>26148.667013249997</v>
      </c>
      <c r="H47" s="1061"/>
      <c r="I47" s="1052">
        <v>7.4999999999999997E-2</v>
      </c>
      <c r="J47" s="1054">
        <f>J45*I47</f>
        <v>47667.724985249988</v>
      </c>
      <c r="K47" s="1054"/>
      <c r="L47" s="1077">
        <v>7.4999999999999997E-2</v>
      </c>
      <c r="M47" s="1054">
        <f>M45*L47</f>
        <v>29672.815388250001</v>
      </c>
      <c r="N47" s="87"/>
      <c r="O47" s="371"/>
      <c r="P47" s="364"/>
    </row>
    <row r="48" spans="1:17" ht="35.25" customHeight="1">
      <c r="A48" s="1052">
        <v>23</v>
      </c>
      <c r="B48" s="1051" t="s">
        <v>1456</v>
      </c>
      <c r="C48" s="1052"/>
      <c r="D48" s="380" t="s">
        <v>12</v>
      </c>
      <c r="E48" s="1053">
        <v>10</v>
      </c>
      <c r="F48" s="1054">
        <f>424.920563407448*1.043</f>
        <v>443.19214763396826</v>
      </c>
      <c r="G48" s="1054">
        <f>F48*E48</f>
        <v>4431.9214763396831</v>
      </c>
      <c r="H48" s="1067">
        <v>0</v>
      </c>
      <c r="I48" s="1054">
        <v>0</v>
      </c>
      <c r="J48" s="1054">
        <v>0</v>
      </c>
      <c r="K48" s="1067">
        <v>0</v>
      </c>
      <c r="L48" s="1054">
        <v>0</v>
      </c>
      <c r="M48" s="1054">
        <v>0</v>
      </c>
      <c r="N48" s="372"/>
      <c r="O48" s="371"/>
      <c r="P48" s="364"/>
      <c r="Q48" s="373"/>
    </row>
    <row r="49" spans="1:17" s="357" customFormat="1" ht="30.75" customHeight="1">
      <c r="A49" s="1052">
        <v>24</v>
      </c>
      <c r="B49" s="1051" t="s">
        <v>1457</v>
      </c>
      <c r="C49" s="910"/>
      <c r="D49" s="1078"/>
      <c r="E49" s="356"/>
      <c r="F49" s="356"/>
      <c r="G49" s="1054">
        <v>52380.800000000003</v>
      </c>
      <c r="H49" s="1054"/>
      <c r="I49" s="1054"/>
      <c r="J49" s="1054">
        <v>55716.47</v>
      </c>
      <c r="K49" s="1054"/>
      <c r="L49" s="1054"/>
      <c r="M49" s="1054">
        <v>56084.13</v>
      </c>
      <c r="N49" s="374"/>
      <c r="O49" s="372"/>
      <c r="P49" s="364"/>
      <c r="Q49" s="1083"/>
    </row>
    <row r="50" spans="1:17" s="357" customFormat="1" ht="20.25" customHeight="1">
      <c r="A50" s="1052">
        <v>25</v>
      </c>
      <c r="B50" s="1079" t="s">
        <v>82</v>
      </c>
      <c r="C50" s="910"/>
      <c r="D50" s="1080" t="s">
        <v>76</v>
      </c>
      <c r="E50" s="1071">
        <f>(10*0.05)+(5*0.3)</f>
        <v>2</v>
      </c>
      <c r="F50" s="1054">
        <f>665.173187113158*1.043</f>
        <v>693.77563415902364</v>
      </c>
      <c r="G50" s="1054">
        <f>E50*F50</f>
        <v>1387.5512683180473</v>
      </c>
      <c r="H50" s="1071">
        <f>(10*0.65)+(5*0.3)</f>
        <v>8</v>
      </c>
      <c r="I50" s="1054">
        <f>665.173187113158*1.043</f>
        <v>693.77563415902364</v>
      </c>
      <c r="J50" s="1054">
        <f>H50*I50</f>
        <v>5550.2050732721891</v>
      </c>
      <c r="K50" s="1071">
        <f>(10*0.55)+(5*0.3)</f>
        <v>7</v>
      </c>
      <c r="L50" s="1054">
        <f>665.173187113158*1.043</f>
        <v>693.77563415902364</v>
      </c>
      <c r="M50" s="1054">
        <f>K50*L50</f>
        <v>4856.4294391131652</v>
      </c>
      <c r="N50" s="375"/>
      <c r="O50" s="1084"/>
      <c r="P50" s="633"/>
      <c r="Q50" s="803"/>
    </row>
    <row r="51" spans="1:17" ht="32.25" customHeight="1">
      <c r="A51" s="1052">
        <v>26</v>
      </c>
      <c r="B51" s="1051" t="s">
        <v>1604</v>
      </c>
      <c r="C51" s="1052"/>
      <c r="D51" s="380"/>
      <c r="E51" s="1054"/>
      <c r="F51" s="1054"/>
      <c r="G51" s="1081">
        <f>G46*0.04</f>
        <v>11818.606559661017</v>
      </c>
      <c r="H51" s="1054"/>
      <c r="I51" s="1054"/>
      <c r="J51" s="1081">
        <f>J46*0.04</f>
        <v>21544.734456610164</v>
      </c>
      <c r="K51" s="1054"/>
      <c r="L51" s="1054"/>
      <c r="M51" s="1081">
        <f>M46*0.04</f>
        <v>13411.441983389834</v>
      </c>
      <c r="N51" s="814" t="s">
        <v>1827</v>
      </c>
      <c r="O51" s="93"/>
      <c r="P51" s="633"/>
      <c r="Q51" s="526"/>
    </row>
    <row r="52" spans="1:17" ht="51.75" customHeight="1">
      <c r="A52" s="1052">
        <v>27</v>
      </c>
      <c r="B52" s="1051" t="s">
        <v>1458</v>
      </c>
      <c r="C52" s="1052"/>
      <c r="D52" s="380"/>
      <c r="E52" s="1054"/>
      <c r="F52" s="1054"/>
      <c r="G52" s="1081">
        <f>(G45+G47+G48+G49+G50+G51)*0.125</f>
        <v>55602.054978446089</v>
      </c>
      <c r="H52" s="1081"/>
      <c r="I52" s="1081"/>
      <c r="J52" s="1081">
        <f>(J45+J47+J48+J49+J50+J51)*0.125</f>
        <v>95756.100123141528</v>
      </c>
      <c r="K52" s="1081"/>
      <c r="L52" s="1081"/>
      <c r="M52" s="1081">
        <f>(M45+M47+M48+M49+M50+M51)*0.125</f>
        <v>62457.794415094133</v>
      </c>
      <c r="N52" s="376"/>
      <c r="O52" s="93"/>
      <c r="P52" s="633"/>
      <c r="Q52" s="804"/>
    </row>
    <row r="53" spans="1:17" ht="33.75" customHeight="1">
      <c r="A53" s="910">
        <v>28</v>
      </c>
      <c r="B53" s="1082" t="s">
        <v>1459</v>
      </c>
      <c r="C53" s="1052"/>
      <c r="D53" s="380"/>
      <c r="E53" s="1054"/>
      <c r="F53" s="1054"/>
      <c r="G53" s="356">
        <f>G46+G47+G48+G49+G50+G51+G52</f>
        <v>447234.76528754027</v>
      </c>
      <c r="H53" s="356"/>
      <c r="I53" s="356"/>
      <c r="J53" s="356">
        <f>J46+J47+J48+J49+J50+J51+J52</f>
        <v>764853.59605352802</v>
      </c>
      <c r="K53" s="356"/>
      <c r="L53" s="356"/>
      <c r="M53" s="356">
        <f>M46+M47+M48+M49+M50+M51+M52</f>
        <v>501768.66081059299</v>
      </c>
      <c r="N53" s="377"/>
      <c r="O53" s="376"/>
    </row>
    <row r="54" spans="1:17" ht="18.75" customHeight="1">
      <c r="A54" s="1052">
        <v>29</v>
      </c>
      <c r="B54" s="1051" t="s">
        <v>1460</v>
      </c>
      <c r="C54" s="1052"/>
      <c r="D54" s="380"/>
      <c r="E54" s="1054"/>
      <c r="F54" s="1054">
        <v>0.09</v>
      </c>
      <c r="G54" s="1054">
        <f>G53*F54</f>
        <v>40251.128875878625</v>
      </c>
      <c r="H54" s="356"/>
      <c r="I54" s="1054">
        <v>0.09</v>
      </c>
      <c r="J54" s="1054">
        <f>J53*I54</f>
        <v>68836.823644817516</v>
      </c>
      <c r="K54" s="356"/>
      <c r="L54" s="1054">
        <v>0.09</v>
      </c>
      <c r="M54" s="1054">
        <f>M53*L54</f>
        <v>45159.179472953365</v>
      </c>
      <c r="N54" s="377"/>
      <c r="O54" s="377"/>
    </row>
    <row r="55" spans="1:17" ht="18.75" customHeight="1">
      <c r="A55" s="1052">
        <v>30</v>
      </c>
      <c r="B55" s="1051" t="s">
        <v>1461</v>
      </c>
      <c r="C55" s="1052"/>
      <c r="D55" s="380"/>
      <c r="E55" s="1054"/>
      <c r="F55" s="1054">
        <v>0.09</v>
      </c>
      <c r="G55" s="1054">
        <f>G53*F55</f>
        <v>40251.128875878625</v>
      </c>
      <c r="H55" s="1054"/>
      <c r="I55" s="1054">
        <v>0.09</v>
      </c>
      <c r="J55" s="1054">
        <f>J53*I55</f>
        <v>68836.823644817516</v>
      </c>
      <c r="K55" s="1054"/>
      <c r="L55" s="1054">
        <v>0.09</v>
      </c>
      <c r="M55" s="1054">
        <f>M53*L55</f>
        <v>45159.179472953365</v>
      </c>
      <c r="N55" s="378"/>
      <c r="O55" s="377"/>
    </row>
    <row r="56" spans="1:17" ht="33" customHeight="1">
      <c r="A56" s="1052">
        <v>31</v>
      </c>
      <c r="B56" s="1051" t="s">
        <v>1462</v>
      </c>
      <c r="C56" s="1052"/>
      <c r="D56" s="380"/>
      <c r="E56" s="1054"/>
      <c r="F56" s="1054"/>
      <c r="G56" s="1054">
        <f>G53+G54+G55</f>
        <v>527737.02303929755</v>
      </c>
      <c r="H56" s="1054"/>
      <c r="I56" s="1054"/>
      <c r="J56" s="1054">
        <f>J53+J54+J55</f>
        <v>902527.24334316305</v>
      </c>
      <c r="K56" s="1054"/>
      <c r="L56" s="1054"/>
      <c r="M56" s="1054">
        <f>M53+M54+M55</f>
        <v>592087.01975649968</v>
      </c>
    </row>
    <row r="57" spans="1:17" s="357" customFormat="1" ht="37.5" customHeight="1">
      <c r="A57" s="910">
        <v>32</v>
      </c>
      <c r="B57" s="1082" t="s">
        <v>59</v>
      </c>
      <c r="C57" s="910"/>
      <c r="D57" s="909"/>
      <c r="E57" s="356"/>
      <c r="F57" s="356"/>
      <c r="G57" s="356">
        <f>ROUND(G56,0)</f>
        <v>527737</v>
      </c>
      <c r="H57" s="356"/>
      <c r="I57" s="356"/>
      <c r="J57" s="356">
        <f>ROUND(J56,0)</f>
        <v>902527</v>
      </c>
      <c r="K57" s="356"/>
      <c r="L57" s="356"/>
      <c r="M57" s="356">
        <f>ROUND(M56,0)</f>
        <v>592087</v>
      </c>
    </row>
    <row r="58" spans="1:17" ht="18.75" customHeight="1">
      <c r="A58" s="3041" t="s">
        <v>1463</v>
      </c>
      <c r="B58" s="3041"/>
      <c r="C58" s="379"/>
      <c r="D58" s="362"/>
      <c r="E58" s="372"/>
      <c r="F58" s="372"/>
      <c r="G58" s="372"/>
      <c r="H58" s="372"/>
      <c r="I58" s="372"/>
      <c r="J58" s="372"/>
      <c r="K58" s="372"/>
      <c r="L58" s="372"/>
      <c r="M58" s="372"/>
    </row>
    <row r="59" spans="1:17" ht="18.75" customHeight="1">
      <c r="A59" s="380">
        <v>1</v>
      </c>
      <c r="B59" s="3032" t="s">
        <v>1464</v>
      </c>
      <c r="C59" s="3032"/>
      <c r="D59" s="3032"/>
      <c r="E59" s="3032"/>
      <c r="F59" s="3032"/>
      <c r="G59" s="3032"/>
      <c r="H59" s="3032"/>
      <c r="I59" s="3032"/>
      <c r="J59" s="3032"/>
      <c r="K59" s="381"/>
      <c r="L59" s="381"/>
      <c r="M59" s="381"/>
    </row>
    <row r="60" spans="1:17" ht="16.5" customHeight="1">
      <c r="A60" s="380">
        <v>2</v>
      </c>
      <c r="B60" s="3032" t="s">
        <v>61</v>
      </c>
      <c r="C60" s="3032"/>
      <c r="D60" s="3032"/>
      <c r="E60" s="3032"/>
      <c r="F60" s="3032"/>
      <c r="G60" s="3032"/>
      <c r="H60" s="3032"/>
      <c r="I60" s="3032"/>
      <c r="J60" s="3032"/>
      <c r="K60" s="381"/>
      <c r="L60" s="381"/>
      <c r="M60" s="381"/>
    </row>
    <row r="61" spans="1:17" ht="27.75" customHeight="1">
      <c r="A61" s="382"/>
      <c r="B61" s="383"/>
      <c r="C61" s="383"/>
      <c r="D61" s="383"/>
      <c r="E61" s="383"/>
      <c r="F61" s="383"/>
      <c r="G61" s="384"/>
      <c r="H61" s="385"/>
      <c r="I61" s="385"/>
      <c r="J61" s="385"/>
      <c r="K61" s="385"/>
      <c r="L61" s="385"/>
      <c r="M61" s="385"/>
    </row>
    <row r="62" spans="1:17" ht="17.25" customHeight="1">
      <c r="G62" s="388"/>
      <c r="H62" s="389"/>
      <c r="I62" s="388"/>
      <c r="J62" s="388"/>
      <c r="K62" s="388"/>
      <c r="L62" s="388"/>
      <c r="M62" s="388"/>
    </row>
    <row r="78" spans="14:15">
      <c r="N78" s="387"/>
      <c r="O78" s="387"/>
    </row>
  </sheetData>
  <mergeCells count="16">
    <mergeCell ref="B59:J59"/>
    <mergeCell ref="B60:J60"/>
    <mergeCell ref="K5:M5"/>
    <mergeCell ref="A12:A14"/>
    <mergeCell ref="A20:A23"/>
    <mergeCell ref="A30:A34"/>
    <mergeCell ref="A35:A44"/>
    <mergeCell ref="A58:B58"/>
    <mergeCell ref="C1:G1"/>
    <mergeCell ref="B3:J3"/>
    <mergeCell ref="A5:A6"/>
    <mergeCell ref="B5:B6"/>
    <mergeCell ref="C5:C6"/>
    <mergeCell ref="D5:D6"/>
    <mergeCell ref="E5:G5"/>
    <mergeCell ref="H5:J5"/>
  </mergeCells>
  <conditionalFormatting sqref="B45">
    <cfRule type="cellIs" dxfId="152" priority="2" stopIfTrue="1" operator="equal">
      <formula>"?"</formula>
    </cfRule>
  </conditionalFormatting>
  <conditionalFormatting sqref="B46">
    <cfRule type="cellIs" dxfId="151" priority="1" stopIfTrue="1" operator="equal">
      <formula>"?"</formula>
    </cfRule>
  </conditionalFormatting>
  <printOptions horizontalCentered="1" gridLines="1"/>
  <pageMargins left="0.68" right="0" top="0.68" bottom="0.38" header="0.51" footer="0"/>
  <pageSetup paperSize="9" scale="90" fitToHeight="3" orientation="landscape" r:id="rId1"/>
  <headerFooter alignWithMargins="0"/>
  <rowBreaks count="2" manualBreakCount="2">
    <brk id="21" max="14" man="1"/>
    <brk id="43" max="16383"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L52"/>
  <sheetViews>
    <sheetView workbookViewId="0">
      <pane xSplit="2" ySplit="7" topLeftCell="C41" activePane="bottomRight" state="frozen"/>
      <selection pane="topRight" activeCell="C1" sqref="C1"/>
      <selection pane="bottomLeft" activeCell="A8" sqref="A8"/>
      <selection pane="bottomRight" activeCell="J10" sqref="J10"/>
    </sheetView>
  </sheetViews>
  <sheetFormatPr defaultRowHeight="12.75"/>
  <cols>
    <col min="1" max="1" width="5.140625" style="746" customWidth="1"/>
    <col min="2" max="2" width="54.28515625" style="713" customWidth="1"/>
    <col min="3" max="3" width="12.85546875" style="4" customWidth="1"/>
    <col min="4" max="4" width="5.5703125" style="753" customWidth="1"/>
    <col min="5" max="5" width="10.28515625" style="4" customWidth="1"/>
    <col min="6" max="6" width="6.140625" style="4" customWidth="1"/>
    <col min="7" max="7" width="11.140625" style="4" customWidth="1"/>
    <col min="8" max="8" width="21.42578125" style="4" customWidth="1"/>
    <col min="9" max="9" width="9.140625" style="4"/>
    <col min="10" max="10" width="12.42578125" style="4" bestFit="1" customWidth="1"/>
    <col min="11" max="11" width="10.7109375" style="4" customWidth="1"/>
    <col min="12" max="256" width="9.140625" style="4"/>
    <col min="257" max="257" width="5.140625" style="4" customWidth="1"/>
    <col min="258" max="258" width="54.28515625" style="4" customWidth="1"/>
    <col min="259" max="259" width="12.85546875" style="4" customWidth="1"/>
    <col min="260" max="260" width="5.5703125" style="4" customWidth="1"/>
    <col min="261" max="261" width="10.28515625" style="4" customWidth="1"/>
    <col min="262" max="262" width="6.140625" style="4" customWidth="1"/>
    <col min="263" max="263" width="11.140625" style="4" customWidth="1"/>
    <col min="264" max="264" width="21.42578125" style="4" customWidth="1"/>
    <col min="265" max="265" width="9.140625" style="4"/>
    <col min="266" max="266" width="12.42578125" style="4" bestFit="1" customWidth="1"/>
    <col min="267" max="512" width="9.140625" style="4"/>
    <col min="513" max="513" width="5.140625" style="4" customWidth="1"/>
    <col min="514" max="514" width="54.28515625" style="4" customWidth="1"/>
    <col min="515" max="515" width="12.85546875" style="4" customWidth="1"/>
    <col min="516" max="516" width="5.5703125" style="4" customWidth="1"/>
    <col min="517" max="517" width="10.28515625" style="4" customWidth="1"/>
    <col min="518" max="518" width="6.140625" style="4" customWidth="1"/>
    <col min="519" max="519" width="11.140625" style="4" customWidth="1"/>
    <col min="520" max="520" width="21.42578125" style="4" customWidth="1"/>
    <col min="521" max="521" width="9.140625" style="4"/>
    <col min="522" max="522" width="12.42578125" style="4" bestFit="1" customWidth="1"/>
    <col min="523" max="768" width="9.140625" style="4"/>
    <col min="769" max="769" width="5.140625" style="4" customWidth="1"/>
    <col min="770" max="770" width="54.28515625" style="4" customWidth="1"/>
    <col min="771" max="771" width="12.85546875" style="4" customWidth="1"/>
    <col min="772" max="772" width="5.5703125" style="4" customWidth="1"/>
    <col min="773" max="773" width="10.28515625" style="4" customWidth="1"/>
    <col min="774" max="774" width="6.140625" style="4" customWidth="1"/>
    <col min="775" max="775" width="11.140625" style="4" customWidth="1"/>
    <col min="776" max="776" width="21.42578125" style="4" customWidth="1"/>
    <col min="777" max="777" width="9.140625" style="4"/>
    <col min="778" max="778" width="12.42578125" style="4" bestFit="1" customWidth="1"/>
    <col min="779" max="1024" width="9.140625" style="4"/>
    <col min="1025" max="1025" width="5.140625" style="4" customWidth="1"/>
    <col min="1026" max="1026" width="54.28515625" style="4" customWidth="1"/>
    <col min="1027" max="1027" width="12.85546875" style="4" customWidth="1"/>
    <col min="1028" max="1028" width="5.5703125" style="4" customWidth="1"/>
    <col min="1029" max="1029" width="10.28515625" style="4" customWidth="1"/>
    <col min="1030" max="1030" width="6.140625" style="4" customWidth="1"/>
    <col min="1031" max="1031" width="11.140625" style="4" customWidth="1"/>
    <col min="1032" max="1032" width="21.42578125" style="4" customWidth="1"/>
    <col min="1033" max="1033" width="9.140625" style="4"/>
    <col min="1034" max="1034" width="12.42578125" style="4" bestFit="1" customWidth="1"/>
    <col min="1035" max="1280" width="9.140625" style="4"/>
    <col min="1281" max="1281" width="5.140625" style="4" customWidth="1"/>
    <col min="1282" max="1282" width="54.28515625" style="4" customWidth="1"/>
    <col min="1283" max="1283" width="12.85546875" style="4" customWidth="1"/>
    <col min="1284" max="1284" width="5.5703125" style="4" customWidth="1"/>
    <col min="1285" max="1285" width="10.28515625" style="4" customWidth="1"/>
    <col min="1286" max="1286" width="6.140625" style="4" customWidth="1"/>
    <col min="1287" max="1287" width="11.140625" style="4" customWidth="1"/>
    <col min="1288" max="1288" width="21.42578125" style="4" customWidth="1"/>
    <col min="1289" max="1289" width="9.140625" style="4"/>
    <col min="1290" max="1290" width="12.42578125" style="4" bestFit="1" customWidth="1"/>
    <col min="1291" max="1536" width="9.140625" style="4"/>
    <col min="1537" max="1537" width="5.140625" style="4" customWidth="1"/>
    <col min="1538" max="1538" width="54.28515625" style="4" customWidth="1"/>
    <col min="1539" max="1539" width="12.85546875" style="4" customWidth="1"/>
    <col min="1540" max="1540" width="5.5703125" style="4" customWidth="1"/>
    <col min="1541" max="1541" width="10.28515625" style="4" customWidth="1"/>
    <col min="1542" max="1542" width="6.140625" style="4" customWidth="1"/>
    <col min="1543" max="1543" width="11.140625" style="4" customWidth="1"/>
    <col min="1544" max="1544" width="21.42578125" style="4" customWidth="1"/>
    <col min="1545" max="1545" width="9.140625" style="4"/>
    <col min="1546" max="1546" width="12.42578125" style="4" bestFit="1" customWidth="1"/>
    <col min="1547" max="1792" width="9.140625" style="4"/>
    <col min="1793" max="1793" width="5.140625" style="4" customWidth="1"/>
    <col min="1794" max="1794" width="54.28515625" style="4" customWidth="1"/>
    <col min="1795" max="1795" width="12.85546875" style="4" customWidth="1"/>
    <col min="1796" max="1796" width="5.5703125" style="4" customWidth="1"/>
    <col min="1797" max="1797" width="10.28515625" style="4" customWidth="1"/>
    <col min="1798" max="1798" width="6.140625" style="4" customWidth="1"/>
    <col min="1799" max="1799" width="11.140625" style="4" customWidth="1"/>
    <col min="1800" max="1800" width="21.42578125" style="4" customWidth="1"/>
    <col min="1801" max="1801" width="9.140625" style="4"/>
    <col min="1802" max="1802" width="12.42578125" style="4" bestFit="1" customWidth="1"/>
    <col min="1803" max="2048" width="9.140625" style="4"/>
    <col min="2049" max="2049" width="5.140625" style="4" customWidth="1"/>
    <col min="2050" max="2050" width="54.28515625" style="4" customWidth="1"/>
    <col min="2051" max="2051" width="12.85546875" style="4" customWidth="1"/>
    <col min="2052" max="2052" width="5.5703125" style="4" customWidth="1"/>
    <col min="2053" max="2053" width="10.28515625" style="4" customWidth="1"/>
    <col min="2054" max="2054" width="6.140625" style="4" customWidth="1"/>
    <col min="2055" max="2055" width="11.140625" style="4" customWidth="1"/>
    <col min="2056" max="2056" width="21.42578125" style="4" customWidth="1"/>
    <col min="2057" max="2057" width="9.140625" style="4"/>
    <col min="2058" max="2058" width="12.42578125" style="4" bestFit="1" customWidth="1"/>
    <col min="2059" max="2304" width="9.140625" style="4"/>
    <col min="2305" max="2305" width="5.140625" style="4" customWidth="1"/>
    <col min="2306" max="2306" width="54.28515625" style="4" customWidth="1"/>
    <col min="2307" max="2307" width="12.85546875" style="4" customWidth="1"/>
    <col min="2308" max="2308" width="5.5703125" style="4" customWidth="1"/>
    <col min="2309" max="2309" width="10.28515625" style="4" customWidth="1"/>
    <col min="2310" max="2310" width="6.140625" style="4" customWidth="1"/>
    <col min="2311" max="2311" width="11.140625" style="4" customWidth="1"/>
    <col min="2312" max="2312" width="21.42578125" style="4" customWidth="1"/>
    <col min="2313" max="2313" width="9.140625" style="4"/>
    <col min="2314" max="2314" width="12.42578125" style="4" bestFit="1" customWidth="1"/>
    <col min="2315" max="2560" width="9.140625" style="4"/>
    <col min="2561" max="2561" width="5.140625" style="4" customWidth="1"/>
    <col min="2562" max="2562" width="54.28515625" style="4" customWidth="1"/>
    <col min="2563" max="2563" width="12.85546875" style="4" customWidth="1"/>
    <col min="2564" max="2564" width="5.5703125" style="4" customWidth="1"/>
    <col min="2565" max="2565" width="10.28515625" style="4" customWidth="1"/>
    <col min="2566" max="2566" width="6.140625" style="4" customWidth="1"/>
    <col min="2567" max="2567" width="11.140625" style="4" customWidth="1"/>
    <col min="2568" max="2568" width="21.42578125" style="4" customWidth="1"/>
    <col min="2569" max="2569" width="9.140625" style="4"/>
    <col min="2570" max="2570" width="12.42578125" style="4" bestFit="1" customWidth="1"/>
    <col min="2571" max="2816" width="9.140625" style="4"/>
    <col min="2817" max="2817" width="5.140625" style="4" customWidth="1"/>
    <col min="2818" max="2818" width="54.28515625" style="4" customWidth="1"/>
    <col min="2819" max="2819" width="12.85546875" style="4" customWidth="1"/>
    <col min="2820" max="2820" width="5.5703125" style="4" customWidth="1"/>
    <col min="2821" max="2821" width="10.28515625" style="4" customWidth="1"/>
    <col min="2822" max="2822" width="6.140625" style="4" customWidth="1"/>
    <col min="2823" max="2823" width="11.140625" style="4" customWidth="1"/>
    <col min="2824" max="2824" width="21.42578125" style="4" customWidth="1"/>
    <col min="2825" max="2825" width="9.140625" style="4"/>
    <col min="2826" max="2826" width="12.42578125" style="4" bestFit="1" customWidth="1"/>
    <col min="2827" max="3072" width="9.140625" style="4"/>
    <col min="3073" max="3073" width="5.140625" style="4" customWidth="1"/>
    <col min="3074" max="3074" width="54.28515625" style="4" customWidth="1"/>
    <col min="3075" max="3075" width="12.85546875" style="4" customWidth="1"/>
    <col min="3076" max="3076" width="5.5703125" style="4" customWidth="1"/>
    <col min="3077" max="3077" width="10.28515625" style="4" customWidth="1"/>
    <col min="3078" max="3078" width="6.140625" style="4" customWidth="1"/>
    <col min="3079" max="3079" width="11.140625" style="4" customWidth="1"/>
    <col min="3080" max="3080" width="21.42578125" style="4" customWidth="1"/>
    <col min="3081" max="3081" width="9.140625" style="4"/>
    <col min="3082" max="3082" width="12.42578125" style="4" bestFit="1" customWidth="1"/>
    <col min="3083" max="3328" width="9.140625" style="4"/>
    <col min="3329" max="3329" width="5.140625" style="4" customWidth="1"/>
    <col min="3330" max="3330" width="54.28515625" style="4" customWidth="1"/>
    <col min="3331" max="3331" width="12.85546875" style="4" customWidth="1"/>
    <col min="3332" max="3332" width="5.5703125" style="4" customWidth="1"/>
    <col min="3333" max="3333" width="10.28515625" style="4" customWidth="1"/>
    <col min="3334" max="3334" width="6.140625" style="4" customWidth="1"/>
    <col min="3335" max="3335" width="11.140625" style="4" customWidth="1"/>
    <col min="3336" max="3336" width="21.42578125" style="4" customWidth="1"/>
    <col min="3337" max="3337" width="9.140625" style="4"/>
    <col min="3338" max="3338" width="12.42578125" style="4" bestFit="1" customWidth="1"/>
    <col min="3339" max="3584" width="9.140625" style="4"/>
    <col min="3585" max="3585" width="5.140625" style="4" customWidth="1"/>
    <col min="3586" max="3586" width="54.28515625" style="4" customWidth="1"/>
    <col min="3587" max="3587" width="12.85546875" style="4" customWidth="1"/>
    <col min="3588" max="3588" width="5.5703125" style="4" customWidth="1"/>
    <col min="3589" max="3589" width="10.28515625" style="4" customWidth="1"/>
    <col min="3590" max="3590" width="6.140625" style="4" customWidth="1"/>
    <col min="3591" max="3591" width="11.140625" style="4" customWidth="1"/>
    <col min="3592" max="3592" width="21.42578125" style="4" customWidth="1"/>
    <col min="3593" max="3593" width="9.140625" style="4"/>
    <col min="3594" max="3594" width="12.42578125" style="4" bestFit="1" customWidth="1"/>
    <col min="3595" max="3840" width="9.140625" style="4"/>
    <col min="3841" max="3841" width="5.140625" style="4" customWidth="1"/>
    <col min="3842" max="3842" width="54.28515625" style="4" customWidth="1"/>
    <col min="3843" max="3843" width="12.85546875" style="4" customWidth="1"/>
    <col min="3844" max="3844" width="5.5703125" style="4" customWidth="1"/>
    <col min="3845" max="3845" width="10.28515625" style="4" customWidth="1"/>
    <col min="3846" max="3846" width="6.140625" style="4" customWidth="1"/>
    <col min="3847" max="3847" width="11.140625" style="4" customWidth="1"/>
    <col min="3848" max="3848" width="21.42578125" style="4" customWidth="1"/>
    <col min="3849" max="3849" width="9.140625" style="4"/>
    <col min="3850" max="3850" width="12.42578125" style="4" bestFit="1" customWidth="1"/>
    <col min="3851" max="4096" width="9.140625" style="4"/>
    <col min="4097" max="4097" width="5.140625" style="4" customWidth="1"/>
    <col min="4098" max="4098" width="54.28515625" style="4" customWidth="1"/>
    <col min="4099" max="4099" width="12.85546875" style="4" customWidth="1"/>
    <col min="4100" max="4100" width="5.5703125" style="4" customWidth="1"/>
    <col min="4101" max="4101" width="10.28515625" style="4" customWidth="1"/>
    <col min="4102" max="4102" width="6.140625" style="4" customWidth="1"/>
    <col min="4103" max="4103" width="11.140625" style="4" customWidth="1"/>
    <col min="4104" max="4104" width="21.42578125" style="4" customWidth="1"/>
    <col min="4105" max="4105" width="9.140625" style="4"/>
    <col min="4106" max="4106" width="12.42578125" style="4" bestFit="1" customWidth="1"/>
    <col min="4107" max="4352" width="9.140625" style="4"/>
    <col min="4353" max="4353" width="5.140625" style="4" customWidth="1"/>
    <col min="4354" max="4354" width="54.28515625" style="4" customWidth="1"/>
    <col min="4355" max="4355" width="12.85546875" style="4" customWidth="1"/>
    <col min="4356" max="4356" width="5.5703125" style="4" customWidth="1"/>
    <col min="4357" max="4357" width="10.28515625" style="4" customWidth="1"/>
    <col min="4358" max="4358" width="6.140625" style="4" customWidth="1"/>
    <col min="4359" max="4359" width="11.140625" style="4" customWidth="1"/>
    <col min="4360" max="4360" width="21.42578125" style="4" customWidth="1"/>
    <col min="4361" max="4361" width="9.140625" style="4"/>
    <col min="4362" max="4362" width="12.42578125" style="4" bestFit="1" customWidth="1"/>
    <col min="4363" max="4608" width="9.140625" style="4"/>
    <col min="4609" max="4609" width="5.140625" style="4" customWidth="1"/>
    <col min="4610" max="4610" width="54.28515625" style="4" customWidth="1"/>
    <col min="4611" max="4611" width="12.85546875" style="4" customWidth="1"/>
    <col min="4612" max="4612" width="5.5703125" style="4" customWidth="1"/>
    <col min="4613" max="4613" width="10.28515625" style="4" customWidth="1"/>
    <col min="4614" max="4614" width="6.140625" style="4" customWidth="1"/>
    <col min="4615" max="4615" width="11.140625" style="4" customWidth="1"/>
    <col min="4616" max="4616" width="21.42578125" style="4" customWidth="1"/>
    <col min="4617" max="4617" width="9.140625" style="4"/>
    <col min="4618" max="4618" width="12.42578125" style="4" bestFit="1" customWidth="1"/>
    <col min="4619" max="4864" width="9.140625" style="4"/>
    <col min="4865" max="4865" width="5.140625" style="4" customWidth="1"/>
    <col min="4866" max="4866" width="54.28515625" style="4" customWidth="1"/>
    <col min="4867" max="4867" width="12.85546875" style="4" customWidth="1"/>
    <col min="4868" max="4868" width="5.5703125" style="4" customWidth="1"/>
    <col min="4869" max="4869" width="10.28515625" style="4" customWidth="1"/>
    <col min="4870" max="4870" width="6.140625" style="4" customWidth="1"/>
    <col min="4871" max="4871" width="11.140625" style="4" customWidth="1"/>
    <col min="4872" max="4872" width="21.42578125" style="4" customWidth="1"/>
    <col min="4873" max="4873" width="9.140625" style="4"/>
    <col min="4874" max="4874" width="12.42578125" style="4" bestFit="1" customWidth="1"/>
    <col min="4875" max="5120" width="9.140625" style="4"/>
    <col min="5121" max="5121" width="5.140625" style="4" customWidth="1"/>
    <col min="5122" max="5122" width="54.28515625" style="4" customWidth="1"/>
    <col min="5123" max="5123" width="12.85546875" style="4" customWidth="1"/>
    <col min="5124" max="5124" width="5.5703125" style="4" customWidth="1"/>
    <col min="5125" max="5125" width="10.28515625" style="4" customWidth="1"/>
    <col min="5126" max="5126" width="6.140625" style="4" customWidth="1"/>
    <col min="5127" max="5127" width="11.140625" style="4" customWidth="1"/>
    <col min="5128" max="5128" width="21.42578125" style="4" customWidth="1"/>
    <col min="5129" max="5129" width="9.140625" style="4"/>
    <col min="5130" max="5130" width="12.42578125" style="4" bestFit="1" customWidth="1"/>
    <col min="5131" max="5376" width="9.140625" style="4"/>
    <col min="5377" max="5377" width="5.140625" style="4" customWidth="1"/>
    <col min="5378" max="5378" width="54.28515625" style="4" customWidth="1"/>
    <col min="5379" max="5379" width="12.85546875" style="4" customWidth="1"/>
    <col min="5380" max="5380" width="5.5703125" style="4" customWidth="1"/>
    <col min="5381" max="5381" width="10.28515625" style="4" customWidth="1"/>
    <col min="5382" max="5382" width="6.140625" style="4" customWidth="1"/>
    <col min="5383" max="5383" width="11.140625" style="4" customWidth="1"/>
    <col min="5384" max="5384" width="21.42578125" style="4" customWidth="1"/>
    <col min="5385" max="5385" width="9.140625" style="4"/>
    <col min="5386" max="5386" width="12.42578125" style="4" bestFit="1" customWidth="1"/>
    <col min="5387" max="5632" width="9.140625" style="4"/>
    <col min="5633" max="5633" width="5.140625" style="4" customWidth="1"/>
    <col min="5634" max="5634" width="54.28515625" style="4" customWidth="1"/>
    <col min="5635" max="5635" width="12.85546875" style="4" customWidth="1"/>
    <col min="5636" max="5636" width="5.5703125" style="4" customWidth="1"/>
    <col min="5637" max="5637" width="10.28515625" style="4" customWidth="1"/>
    <col min="5638" max="5638" width="6.140625" style="4" customWidth="1"/>
    <col min="5639" max="5639" width="11.140625" style="4" customWidth="1"/>
    <col min="5640" max="5640" width="21.42578125" style="4" customWidth="1"/>
    <col min="5641" max="5641" width="9.140625" style="4"/>
    <col min="5642" max="5642" width="12.42578125" style="4" bestFit="1" customWidth="1"/>
    <col min="5643" max="5888" width="9.140625" style="4"/>
    <col min="5889" max="5889" width="5.140625" style="4" customWidth="1"/>
    <col min="5890" max="5890" width="54.28515625" style="4" customWidth="1"/>
    <col min="5891" max="5891" width="12.85546875" style="4" customWidth="1"/>
    <col min="5892" max="5892" width="5.5703125" style="4" customWidth="1"/>
    <col min="5893" max="5893" width="10.28515625" style="4" customWidth="1"/>
    <col min="5894" max="5894" width="6.140625" style="4" customWidth="1"/>
    <col min="5895" max="5895" width="11.140625" style="4" customWidth="1"/>
    <col min="5896" max="5896" width="21.42578125" style="4" customWidth="1"/>
    <col min="5897" max="5897" width="9.140625" style="4"/>
    <col min="5898" max="5898" width="12.42578125" style="4" bestFit="1" customWidth="1"/>
    <col min="5899" max="6144" width="9.140625" style="4"/>
    <col min="6145" max="6145" width="5.140625" style="4" customWidth="1"/>
    <col min="6146" max="6146" width="54.28515625" style="4" customWidth="1"/>
    <col min="6147" max="6147" width="12.85546875" style="4" customWidth="1"/>
    <col min="6148" max="6148" width="5.5703125" style="4" customWidth="1"/>
    <col min="6149" max="6149" width="10.28515625" style="4" customWidth="1"/>
    <col min="6150" max="6150" width="6.140625" style="4" customWidth="1"/>
    <col min="6151" max="6151" width="11.140625" style="4" customWidth="1"/>
    <col min="6152" max="6152" width="21.42578125" style="4" customWidth="1"/>
    <col min="6153" max="6153" width="9.140625" style="4"/>
    <col min="6154" max="6154" width="12.42578125" style="4" bestFit="1" customWidth="1"/>
    <col min="6155" max="6400" width="9.140625" style="4"/>
    <col min="6401" max="6401" width="5.140625" style="4" customWidth="1"/>
    <col min="6402" max="6402" width="54.28515625" style="4" customWidth="1"/>
    <col min="6403" max="6403" width="12.85546875" style="4" customWidth="1"/>
    <col min="6404" max="6404" width="5.5703125" style="4" customWidth="1"/>
    <col min="6405" max="6405" width="10.28515625" style="4" customWidth="1"/>
    <col min="6406" max="6406" width="6.140625" style="4" customWidth="1"/>
    <col min="6407" max="6407" width="11.140625" style="4" customWidth="1"/>
    <col min="6408" max="6408" width="21.42578125" style="4" customWidth="1"/>
    <col min="6409" max="6409" width="9.140625" style="4"/>
    <col min="6410" max="6410" width="12.42578125" style="4" bestFit="1" customWidth="1"/>
    <col min="6411" max="6656" width="9.140625" style="4"/>
    <col min="6657" max="6657" width="5.140625" style="4" customWidth="1"/>
    <col min="6658" max="6658" width="54.28515625" style="4" customWidth="1"/>
    <col min="6659" max="6659" width="12.85546875" style="4" customWidth="1"/>
    <col min="6660" max="6660" width="5.5703125" style="4" customWidth="1"/>
    <col min="6661" max="6661" width="10.28515625" style="4" customWidth="1"/>
    <col min="6662" max="6662" width="6.140625" style="4" customWidth="1"/>
    <col min="6663" max="6663" width="11.140625" style="4" customWidth="1"/>
    <col min="6664" max="6664" width="21.42578125" style="4" customWidth="1"/>
    <col min="6665" max="6665" width="9.140625" style="4"/>
    <col min="6666" max="6666" width="12.42578125" style="4" bestFit="1" customWidth="1"/>
    <col min="6667" max="6912" width="9.140625" style="4"/>
    <col min="6913" max="6913" width="5.140625" style="4" customWidth="1"/>
    <col min="6914" max="6914" width="54.28515625" style="4" customWidth="1"/>
    <col min="6915" max="6915" width="12.85546875" style="4" customWidth="1"/>
    <col min="6916" max="6916" width="5.5703125" style="4" customWidth="1"/>
    <col min="6917" max="6917" width="10.28515625" style="4" customWidth="1"/>
    <col min="6918" max="6918" width="6.140625" style="4" customWidth="1"/>
    <col min="6919" max="6919" width="11.140625" style="4" customWidth="1"/>
    <col min="6920" max="6920" width="21.42578125" style="4" customWidth="1"/>
    <col min="6921" max="6921" width="9.140625" style="4"/>
    <col min="6922" max="6922" width="12.42578125" style="4" bestFit="1" customWidth="1"/>
    <col min="6923" max="7168" width="9.140625" style="4"/>
    <col min="7169" max="7169" width="5.140625" style="4" customWidth="1"/>
    <col min="7170" max="7170" width="54.28515625" style="4" customWidth="1"/>
    <col min="7171" max="7171" width="12.85546875" style="4" customWidth="1"/>
    <col min="7172" max="7172" width="5.5703125" style="4" customWidth="1"/>
    <col min="7173" max="7173" width="10.28515625" style="4" customWidth="1"/>
    <col min="7174" max="7174" width="6.140625" style="4" customWidth="1"/>
    <col min="7175" max="7175" width="11.140625" style="4" customWidth="1"/>
    <col min="7176" max="7176" width="21.42578125" style="4" customWidth="1"/>
    <col min="7177" max="7177" width="9.140625" style="4"/>
    <col min="7178" max="7178" width="12.42578125" style="4" bestFit="1" customWidth="1"/>
    <col min="7179" max="7424" width="9.140625" style="4"/>
    <col min="7425" max="7425" width="5.140625" style="4" customWidth="1"/>
    <col min="7426" max="7426" width="54.28515625" style="4" customWidth="1"/>
    <col min="7427" max="7427" width="12.85546875" style="4" customWidth="1"/>
    <col min="7428" max="7428" width="5.5703125" style="4" customWidth="1"/>
    <col min="7429" max="7429" width="10.28515625" style="4" customWidth="1"/>
    <col min="7430" max="7430" width="6.140625" style="4" customWidth="1"/>
    <col min="7431" max="7431" width="11.140625" style="4" customWidth="1"/>
    <col min="7432" max="7432" width="21.42578125" style="4" customWidth="1"/>
    <col min="7433" max="7433" width="9.140625" style="4"/>
    <col min="7434" max="7434" width="12.42578125" style="4" bestFit="1" customWidth="1"/>
    <col min="7435" max="7680" width="9.140625" style="4"/>
    <col min="7681" max="7681" width="5.140625" style="4" customWidth="1"/>
    <col min="7682" max="7682" width="54.28515625" style="4" customWidth="1"/>
    <col min="7683" max="7683" width="12.85546875" style="4" customWidth="1"/>
    <col min="7684" max="7684" width="5.5703125" style="4" customWidth="1"/>
    <col min="7685" max="7685" width="10.28515625" style="4" customWidth="1"/>
    <col min="7686" max="7686" width="6.140625" style="4" customWidth="1"/>
    <col min="7687" max="7687" width="11.140625" style="4" customWidth="1"/>
    <col min="7688" max="7688" width="21.42578125" style="4" customWidth="1"/>
    <col min="7689" max="7689" width="9.140625" style="4"/>
    <col min="7690" max="7690" width="12.42578125" style="4" bestFit="1" customWidth="1"/>
    <col min="7691" max="7936" width="9.140625" style="4"/>
    <col min="7937" max="7937" width="5.140625" style="4" customWidth="1"/>
    <col min="7938" max="7938" width="54.28515625" style="4" customWidth="1"/>
    <col min="7939" max="7939" width="12.85546875" style="4" customWidth="1"/>
    <col min="7940" max="7940" width="5.5703125" style="4" customWidth="1"/>
    <col min="7941" max="7941" width="10.28515625" style="4" customWidth="1"/>
    <col min="7942" max="7942" width="6.140625" style="4" customWidth="1"/>
    <col min="7943" max="7943" width="11.140625" style="4" customWidth="1"/>
    <col min="7944" max="7944" width="21.42578125" style="4" customWidth="1"/>
    <col min="7945" max="7945" width="9.140625" style="4"/>
    <col min="7946" max="7946" width="12.42578125" style="4" bestFit="1" customWidth="1"/>
    <col min="7947" max="8192" width="9.140625" style="4"/>
    <col min="8193" max="8193" width="5.140625" style="4" customWidth="1"/>
    <col min="8194" max="8194" width="54.28515625" style="4" customWidth="1"/>
    <col min="8195" max="8195" width="12.85546875" style="4" customWidth="1"/>
    <col min="8196" max="8196" width="5.5703125" style="4" customWidth="1"/>
    <col min="8197" max="8197" width="10.28515625" style="4" customWidth="1"/>
    <col min="8198" max="8198" width="6.140625" style="4" customWidth="1"/>
    <col min="8199" max="8199" width="11.140625" style="4" customWidth="1"/>
    <col min="8200" max="8200" width="21.42578125" style="4" customWidth="1"/>
    <col min="8201" max="8201" width="9.140625" style="4"/>
    <col min="8202" max="8202" width="12.42578125" style="4" bestFit="1" customWidth="1"/>
    <col min="8203" max="8448" width="9.140625" style="4"/>
    <col min="8449" max="8449" width="5.140625" style="4" customWidth="1"/>
    <col min="8450" max="8450" width="54.28515625" style="4" customWidth="1"/>
    <col min="8451" max="8451" width="12.85546875" style="4" customWidth="1"/>
    <col min="8452" max="8452" width="5.5703125" style="4" customWidth="1"/>
    <col min="8453" max="8453" width="10.28515625" style="4" customWidth="1"/>
    <col min="8454" max="8454" width="6.140625" style="4" customWidth="1"/>
    <col min="8455" max="8455" width="11.140625" style="4" customWidth="1"/>
    <col min="8456" max="8456" width="21.42578125" style="4" customWidth="1"/>
    <col min="8457" max="8457" width="9.140625" style="4"/>
    <col min="8458" max="8458" width="12.42578125" style="4" bestFit="1" customWidth="1"/>
    <col min="8459" max="8704" width="9.140625" style="4"/>
    <col min="8705" max="8705" width="5.140625" style="4" customWidth="1"/>
    <col min="8706" max="8706" width="54.28515625" style="4" customWidth="1"/>
    <col min="8707" max="8707" width="12.85546875" style="4" customWidth="1"/>
    <col min="8708" max="8708" width="5.5703125" style="4" customWidth="1"/>
    <col min="8709" max="8709" width="10.28515625" style="4" customWidth="1"/>
    <col min="8710" max="8710" width="6.140625" style="4" customWidth="1"/>
    <col min="8711" max="8711" width="11.140625" style="4" customWidth="1"/>
    <col min="8712" max="8712" width="21.42578125" style="4" customWidth="1"/>
    <col min="8713" max="8713" width="9.140625" style="4"/>
    <col min="8714" max="8714" width="12.42578125" style="4" bestFit="1" customWidth="1"/>
    <col min="8715" max="8960" width="9.140625" style="4"/>
    <col min="8961" max="8961" width="5.140625" style="4" customWidth="1"/>
    <col min="8962" max="8962" width="54.28515625" style="4" customWidth="1"/>
    <col min="8963" max="8963" width="12.85546875" style="4" customWidth="1"/>
    <col min="8964" max="8964" width="5.5703125" style="4" customWidth="1"/>
    <col min="8965" max="8965" width="10.28515625" style="4" customWidth="1"/>
    <col min="8966" max="8966" width="6.140625" style="4" customWidth="1"/>
    <col min="8967" max="8967" width="11.140625" style="4" customWidth="1"/>
    <col min="8968" max="8968" width="21.42578125" style="4" customWidth="1"/>
    <col min="8969" max="8969" width="9.140625" style="4"/>
    <col min="8970" max="8970" width="12.42578125" style="4" bestFit="1" customWidth="1"/>
    <col min="8971" max="9216" width="9.140625" style="4"/>
    <col min="9217" max="9217" width="5.140625" style="4" customWidth="1"/>
    <col min="9218" max="9218" width="54.28515625" style="4" customWidth="1"/>
    <col min="9219" max="9219" width="12.85546875" style="4" customWidth="1"/>
    <col min="9220" max="9220" width="5.5703125" style="4" customWidth="1"/>
    <col min="9221" max="9221" width="10.28515625" style="4" customWidth="1"/>
    <col min="9222" max="9222" width="6.140625" style="4" customWidth="1"/>
    <col min="9223" max="9223" width="11.140625" style="4" customWidth="1"/>
    <col min="9224" max="9224" width="21.42578125" style="4" customWidth="1"/>
    <col min="9225" max="9225" width="9.140625" style="4"/>
    <col min="9226" max="9226" width="12.42578125" style="4" bestFit="1" customWidth="1"/>
    <col min="9227" max="9472" width="9.140625" style="4"/>
    <col min="9473" max="9473" width="5.140625" style="4" customWidth="1"/>
    <col min="9474" max="9474" width="54.28515625" style="4" customWidth="1"/>
    <col min="9475" max="9475" width="12.85546875" style="4" customWidth="1"/>
    <col min="9476" max="9476" width="5.5703125" style="4" customWidth="1"/>
    <col min="9477" max="9477" width="10.28515625" style="4" customWidth="1"/>
    <col min="9478" max="9478" width="6.140625" style="4" customWidth="1"/>
    <col min="9479" max="9479" width="11.140625" style="4" customWidth="1"/>
    <col min="9480" max="9480" width="21.42578125" style="4" customWidth="1"/>
    <col min="9481" max="9481" width="9.140625" style="4"/>
    <col min="9482" max="9482" width="12.42578125" style="4" bestFit="1" customWidth="1"/>
    <col min="9483" max="9728" width="9.140625" style="4"/>
    <col min="9729" max="9729" width="5.140625" style="4" customWidth="1"/>
    <col min="9730" max="9730" width="54.28515625" style="4" customWidth="1"/>
    <col min="9731" max="9731" width="12.85546875" style="4" customWidth="1"/>
    <col min="9732" max="9732" width="5.5703125" style="4" customWidth="1"/>
    <col min="9733" max="9733" width="10.28515625" style="4" customWidth="1"/>
    <col min="9734" max="9734" width="6.140625" style="4" customWidth="1"/>
    <col min="9735" max="9735" width="11.140625" style="4" customWidth="1"/>
    <col min="9736" max="9736" width="21.42578125" style="4" customWidth="1"/>
    <col min="9737" max="9737" width="9.140625" style="4"/>
    <col min="9738" max="9738" width="12.42578125" style="4" bestFit="1" customWidth="1"/>
    <col min="9739" max="9984" width="9.140625" style="4"/>
    <col min="9985" max="9985" width="5.140625" style="4" customWidth="1"/>
    <col min="9986" max="9986" width="54.28515625" style="4" customWidth="1"/>
    <col min="9987" max="9987" width="12.85546875" style="4" customWidth="1"/>
    <col min="9988" max="9988" width="5.5703125" style="4" customWidth="1"/>
    <col min="9989" max="9989" width="10.28515625" style="4" customWidth="1"/>
    <col min="9990" max="9990" width="6.140625" style="4" customWidth="1"/>
    <col min="9991" max="9991" width="11.140625" style="4" customWidth="1"/>
    <col min="9992" max="9992" width="21.42578125" style="4" customWidth="1"/>
    <col min="9993" max="9993" width="9.140625" style="4"/>
    <col min="9994" max="9994" width="12.42578125" style="4" bestFit="1" customWidth="1"/>
    <col min="9995" max="10240" width="9.140625" style="4"/>
    <col min="10241" max="10241" width="5.140625" style="4" customWidth="1"/>
    <col min="10242" max="10242" width="54.28515625" style="4" customWidth="1"/>
    <col min="10243" max="10243" width="12.85546875" style="4" customWidth="1"/>
    <col min="10244" max="10244" width="5.5703125" style="4" customWidth="1"/>
    <col min="10245" max="10245" width="10.28515625" style="4" customWidth="1"/>
    <col min="10246" max="10246" width="6.140625" style="4" customWidth="1"/>
    <col min="10247" max="10247" width="11.140625" style="4" customWidth="1"/>
    <col min="10248" max="10248" width="21.42578125" style="4" customWidth="1"/>
    <col min="10249" max="10249" width="9.140625" style="4"/>
    <col min="10250" max="10250" width="12.42578125" style="4" bestFit="1" customWidth="1"/>
    <col min="10251" max="10496" width="9.140625" style="4"/>
    <col min="10497" max="10497" width="5.140625" style="4" customWidth="1"/>
    <col min="10498" max="10498" width="54.28515625" style="4" customWidth="1"/>
    <col min="10499" max="10499" width="12.85546875" style="4" customWidth="1"/>
    <col min="10500" max="10500" width="5.5703125" style="4" customWidth="1"/>
    <col min="10501" max="10501" width="10.28515625" style="4" customWidth="1"/>
    <col min="10502" max="10502" width="6.140625" style="4" customWidth="1"/>
    <col min="10503" max="10503" width="11.140625" style="4" customWidth="1"/>
    <col min="10504" max="10504" width="21.42578125" style="4" customWidth="1"/>
    <col min="10505" max="10505" width="9.140625" style="4"/>
    <col min="10506" max="10506" width="12.42578125" style="4" bestFit="1" customWidth="1"/>
    <col min="10507" max="10752" width="9.140625" style="4"/>
    <col min="10753" max="10753" width="5.140625" style="4" customWidth="1"/>
    <col min="10754" max="10754" width="54.28515625" style="4" customWidth="1"/>
    <col min="10755" max="10755" width="12.85546875" style="4" customWidth="1"/>
    <col min="10756" max="10756" width="5.5703125" style="4" customWidth="1"/>
    <col min="10757" max="10757" width="10.28515625" style="4" customWidth="1"/>
    <col min="10758" max="10758" width="6.140625" style="4" customWidth="1"/>
    <col min="10759" max="10759" width="11.140625" style="4" customWidth="1"/>
    <col min="10760" max="10760" width="21.42578125" style="4" customWidth="1"/>
    <col min="10761" max="10761" width="9.140625" style="4"/>
    <col min="10762" max="10762" width="12.42578125" style="4" bestFit="1" customWidth="1"/>
    <col min="10763" max="11008" width="9.140625" style="4"/>
    <col min="11009" max="11009" width="5.140625" style="4" customWidth="1"/>
    <col min="11010" max="11010" width="54.28515625" style="4" customWidth="1"/>
    <col min="11011" max="11011" width="12.85546875" style="4" customWidth="1"/>
    <col min="11012" max="11012" width="5.5703125" style="4" customWidth="1"/>
    <col min="11013" max="11013" width="10.28515625" style="4" customWidth="1"/>
    <col min="11014" max="11014" width="6.140625" style="4" customWidth="1"/>
    <col min="11015" max="11015" width="11.140625" style="4" customWidth="1"/>
    <col min="11016" max="11016" width="21.42578125" style="4" customWidth="1"/>
    <col min="11017" max="11017" width="9.140625" style="4"/>
    <col min="11018" max="11018" width="12.42578125" style="4" bestFit="1" customWidth="1"/>
    <col min="11019" max="11264" width="9.140625" style="4"/>
    <col min="11265" max="11265" width="5.140625" style="4" customWidth="1"/>
    <col min="11266" max="11266" width="54.28515625" style="4" customWidth="1"/>
    <col min="11267" max="11267" width="12.85546875" style="4" customWidth="1"/>
    <col min="11268" max="11268" width="5.5703125" style="4" customWidth="1"/>
    <col min="11269" max="11269" width="10.28515625" style="4" customWidth="1"/>
    <col min="11270" max="11270" width="6.140625" style="4" customWidth="1"/>
    <col min="11271" max="11271" width="11.140625" style="4" customWidth="1"/>
    <col min="11272" max="11272" width="21.42578125" style="4" customWidth="1"/>
    <col min="11273" max="11273" width="9.140625" style="4"/>
    <col min="11274" max="11274" width="12.42578125" style="4" bestFit="1" customWidth="1"/>
    <col min="11275" max="11520" width="9.140625" style="4"/>
    <col min="11521" max="11521" width="5.140625" style="4" customWidth="1"/>
    <col min="11522" max="11522" width="54.28515625" style="4" customWidth="1"/>
    <col min="11523" max="11523" width="12.85546875" style="4" customWidth="1"/>
    <col min="11524" max="11524" width="5.5703125" style="4" customWidth="1"/>
    <col min="11525" max="11525" width="10.28515625" style="4" customWidth="1"/>
    <col min="11526" max="11526" width="6.140625" style="4" customWidth="1"/>
    <col min="11527" max="11527" width="11.140625" style="4" customWidth="1"/>
    <col min="11528" max="11528" width="21.42578125" style="4" customWidth="1"/>
    <col min="11529" max="11529" width="9.140625" style="4"/>
    <col min="11530" max="11530" width="12.42578125" style="4" bestFit="1" customWidth="1"/>
    <col min="11531" max="11776" width="9.140625" style="4"/>
    <col min="11777" max="11777" width="5.140625" style="4" customWidth="1"/>
    <col min="11778" max="11778" width="54.28515625" style="4" customWidth="1"/>
    <col min="11779" max="11779" width="12.85546875" style="4" customWidth="1"/>
    <col min="11780" max="11780" width="5.5703125" style="4" customWidth="1"/>
    <col min="11781" max="11781" width="10.28515625" style="4" customWidth="1"/>
    <col min="11782" max="11782" width="6.140625" style="4" customWidth="1"/>
    <col min="11783" max="11783" width="11.140625" style="4" customWidth="1"/>
    <col min="11784" max="11784" width="21.42578125" style="4" customWidth="1"/>
    <col min="11785" max="11785" width="9.140625" style="4"/>
    <col min="11786" max="11786" width="12.42578125" style="4" bestFit="1" customWidth="1"/>
    <col min="11787" max="12032" width="9.140625" style="4"/>
    <col min="12033" max="12033" width="5.140625" style="4" customWidth="1"/>
    <col min="12034" max="12034" width="54.28515625" style="4" customWidth="1"/>
    <col min="12035" max="12035" width="12.85546875" style="4" customWidth="1"/>
    <col min="12036" max="12036" width="5.5703125" style="4" customWidth="1"/>
    <col min="12037" max="12037" width="10.28515625" style="4" customWidth="1"/>
    <col min="12038" max="12038" width="6.140625" style="4" customWidth="1"/>
    <col min="12039" max="12039" width="11.140625" style="4" customWidth="1"/>
    <col min="12040" max="12040" width="21.42578125" style="4" customWidth="1"/>
    <col min="12041" max="12041" width="9.140625" style="4"/>
    <col min="12042" max="12042" width="12.42578125" style="4" bestFit="1" customWidth="1"/>
    <col min="12043" max="12288" width="9.140625" style="4"/>
    <col min="12289" max="12289" width="5.140625" style="4" customWidth="1"/>
    <col min="12290" max="12290" width="54.28515625" style="4" customWidth="1"/>
    <col min="12291" max="12291" width="12.85546875" style="4" customWidth="1"/>
    <col min="12292" max="12292" width="5.5703125" style="4" customWidth="1"/>
    <col min="12293" max="12293" width="10.28515625" style="4" customWidth="1"/>
    <col min="12294" max="12294" width="6.140625" style="4" customWidth="1"/>
    <col min="12295" max="12295" width="11.140625" style="4" customWidth="1"/>
    <col min="12296" max="12296" width="21.42578125" style="4" customWidth="1"/>
    <col min="12297" max="12297" width="9.140625" style="4"/>
    <col min="12298" max="12298" width="12.42578125" style="4" bestFit="1" customWidth="1"/>
    <col min="12299" max="12544" width="9.140625" style="4"/>
    <col min="12545" max="12545" width="5.140625" style="4" customWidth="1"/>
    <col min="12546" max="12546" width="54.28515625" style="4" customWidth="1"/>
    <col min="12547" max="12547" width="12.85546875" style="4" customWidth="1"/>
    <col min="12548" max="12548" width="5.5703125" style="4" customWidth="1"/>
    <col min="12549" max="12549" width="10.28515625" style="4" customWidth="1"/>
    <col min="12550" max="12550" width="6.140625" style="4" customWidth="1"/>
    <col min="12551" max="12551" width="11.140625" style="4" customWidth="1"/>
    <col min="12552" max="12552" width="21.42578125" style="4" customWidth="1"/>
    <col min="12553" max="12553" width="9.140625" style="4"/>
    <col min="12554" max="12554" width="12.42578125" style="4" bestFit="1" customWidth="1"/>
    <col min="12555" max="12800" width="9.140625" style="4"/>
    <col min="12801" max="12801" width="5.140625" style="4" customWidth="1"/>
    <col min="12802" max="12802" width="54.28515625" style="4" customWidth="1"/>
    <col min="12803" max="12803" width="12.85546875" style="4" customWidth="1"/>
    <col min="12804" max="12804" width="5.5703125" style="4" customWidth="1"/>
    <col min="12805" max="12805" width="10.28515625" style="4" customWidth="1"/>
    <col min="12806" max="12806" width="6.140625" style="4" customWidth="1"/>
    <col min="12807" max="12807" width="11.140625" style="4" customWidth="1"/>
    <col min="12808" max="12808" width="21.42578125" style="4" customWidth="1"/>
    <col min="12809" max="12809" width="9.140625" style="4"/>
    <col min="12810" max="12810" width="12.42578125" style="4" bestFit="1" customWidth="1"/>
    <col min="12811" max="13056" width="9.140625" style="4"/>
    <col min="13057" max="13057" width="5.140625" style="4" customWidth="1"/>
    <col min="13058" max="13058" width="54.28515625" style="4" customWidth="1"/>
    <col min="13059" max="13059" width="12.85546875" style="4" customWidth="1"/>
    <col min="13060" max="13060" width="5.5703125" style="4" customWidth="1"/>
    <col min="13061" max="13061" width="10.28515625" style="4" customWidth="1"/>
    <col min="13062" max="13062" width="6.140625" style="4" customWidth="1"/>
    <col min="13063" max="13063" width="11.140625" style="4" customWidth="1"/>
    <col min="13064" max="13064" width="21.42578125" style="4" customWidth="1"/>
    <col min="13065" max="13065" width="9.140625" style="4"/>
    <col min="13066" max="13066" width="12.42578125" style="4" bestFit="1" customWidth="1"/>
    <col min="13067" max="13312" width="9.140625" style="4"/>
    <col min="13313" max="13313" width="5.140625" style="4" customWidth="1"/>
    <col min="13314" max="13314" width="54.28515625" style="4" customWidth="1"/>
    <col min="13315" max="13315" width="12.85546875" style="4" customWidth="1"/>
    <col min="13316" max="13316" width="5.5703125" style="4" customWidth="1"/>
    <col min="13317" max="13317" width="10.28515625" style="4" customWidth="1"/>
    <col min="13318" max="13318" width="6.140625" style="4" customWidth="1"/>
    <col min="13319" max="13319" width="11.140625" style="4" customWidth="1"/>
    <col min="13320" max="13320" width="21.42578125" style="4" customWidth="1"/>
    <col min="13321" max="13321" width="9.140625" style="4"/>
    <col min="13322" max="13322" width="12.42578125" style="4" bestFit="1" customWidth="1"/>
    <col min="13323" max="13568" width="9.140625" style="4"/>
    <col min="13569" max="13569" width="5.140625" style="4" customWidth="1"/>
    <col min="13570" max="13570" width="54.28515625" style="4" customWidth="1"/>
    <col min="13571" max="13571" width="12.85546875" style="4" customWidth="1"/>
    <col min="13572" max="13572" width="5.5703125" style="4" customWidth="1"/>
    <col min="13573" max="13573" width="10.28515625" style="4" customWidth="1"/>
    <col min="13574" max="13574" width="6.140625" style="4" customWidth="1"/>
    <col min="13575" max="13575" width="11.140625" style="4" customWidth="1"/>
    <col min="13576" max="13576" width="21.42578125" style="4" customWidth="1"/>
    <col min="13577" max="13577" width="9.140625" style="4"/>
    <col min="13578" max="13578" width="12.42578125" style="4" bestFit="1" customWidth="1"/>
    <col min="13579" max="13824" width="9.140625" style="4"/>
    <col min="13825" max="13825" width="5.140625" style="4" customWidth="1"/>
    <col min="13826" max="13826" width="54.28515625" style="4" customWidth="1"/>
    <col min="13827" max="13827" width="12.85546875" style="4" customWidth="1"/>
    <col min="13828" max="13828" width="5.5703125" style="4" customWidth="1"/>
    <col min="13829" max="13829" width="10.28515625" style="4" customWidth="1"/>
    <col min="13830" max="13830" width="6.140625" style="4" customWidth="1"/>
    <col min="13831" max="13831" width="11.140625" style="4" customWidth="1"/>
    <col min="13832" max="13832" width="21.42578125" style="4" customWidth="1"/>
    <col min="13833" max="13833" width="9.140625" style="4"/>
    <col min="13834" max="13834" width="12.42578125" style="4" bestFit="1" customWidth="1"/>
    <col min="13835" max="14080" width="9.140625" style="4"/>
    <col min="14081" max="14081" width="5.140625" style="4" customWidth="1"/>
    <col min="14082" max="14082" width="54.28515625" style="4" customWidth="1"/>
    <col min="14083" max="14083" width="12.85546875" style="4" customWidth="1"/>
    <col min="14084" max="14084" width="5.5703125" style="4" customWidth="1"/>
    <col min="14085" max="14085" width="10.28515625" style="4" customWidth="1"/>
    <col min="14086" max="14086" width="6.140625" style="4" customWidth="1"/>
    <col min="14087" max="14087" width="11.140625" style="4" customWidth="1"/>
    <col min="14088" max="14088" width="21.42578125" style="4" customWidth="1"/>
    <col min="14089" max="14089" width="9.140625" style="4"/>
    <col min="14090" max="14090" width="12.42578125" style="4" bestFit="1" customWidth="1"/>
    <col min="14091" max="14336" width="9.140625" style="4"/>
    <col min="14337" max="14337" width="5.140625" style="4" customWidth="1"/>
    <col min="14338" max="14338" width="54.28515625" style="4" customWidth="1"/>
    <col min="14339" max="14339" width="12.85546875" style="4" customWidth="1"/>
    <col min="14340" max="14340" width="5.5703125" style="4" customWidth="1"/>
    <col min="14341" max="14341" width="10.28515625" style="4" customWidth="1"/>
    <col min="14342" max="14342" width="6.140625" style="4" customWidth="1"/>
    <col min="14343" max="14343" width="11.140625" style="4" customWidth="1"/>
    <col min="14344" max="14344" width="21.42578125" style="4" customWidth="1"/>
    <col min="14345" max="14345" width="9.140625" style="4"/>
    <col min="14346" max="14346" width="12.42578125" style="4" bestFit="1" customWidth="1"/>
    <col min="14347" max="14592" width="9.140625" style="4"/>
    <col min="14593" max="14593" width="5.140625" style="4" customWidth="1"/>
    <col min="14594" max="14594" width="54.28515625" style="4" customWidth="1"/>
    <col min="14595" max="14595" width="12.85546875" style="4" customWidth="1"/>
    <col min="14596" max="14596" width="5.5703125" style="4" customWidth="1"/>
    <col min="14597" max="14597" width="10.28515625" style="4" customWidth="1"/>
    <col min="14598" max="14598" width="6.140625" style="4" customWidth="1"/>
    <col min="14599" max="14599" width="11.140625" style="4" customWidth="1"/>
    <col min="14600" max="14600" width="21.42578125" style="4" customWidth="1"/>
    <col min="14601" max="14601" width="9.140625" style="4"/>
    <col min="14602" max="14602" width="12.42578125" style="4" bestFit="1" customWidth="1"/>
    <col min="14603" max="14848" width="9.140625" style="4"/>
    <col min="14849" max="14849" width="5.140625" style="4" customWidth="1"/>
    <col min="14850" max="14850" width="54.28515625" style="4" customWidth="1"/>
    <col min="14851" max="14851" width="12.85546875" style="4" customWidth="1"/>
    <col min="14852" max="14852" width="5.5703125" style="4" customWidth="1"/>
    <col min="14853" max="14853" width="10.28515625" style="4" customWidth="1"/>
    <col min="14854" max="14854" width="6.140625" style="4" customWidth="1"/>
    <col min="14855" max="14855" width="11.140625" style="4" customWidth="1"/>
    <col min="14856" max="14856" width="21.42578125" style="4" customWidth="1"/>
    <col min="14857" max="14857" width="9.140625" style="4"/>
    <col min="14858" max="14858" width="12.42578125" style="4" bestFit="1" customWidth="1"/>
    <col min="14859" max="15104" width="9.140625" style="4"/>
    <col min="15105" max="15105" width="5.140625" style="4" customWidth="1"/>
    <col min="15106" max="15106" width="54.28515625" style="4" customWidth="1"/>
    <col min="15107" max="15107" width="12.85546875" style="4" customWidth="1"/>
    <col min="15108" max="15108" width="5.5703125" style="4" customWidth="1"/>
    <col min="15109" max="15109" width="10.28515625" style="4" customWidth="1"/>
    <col min="15110" max="15110" width="6.140625" style="4" customWidth="1"/>
    <col min="15111" max="15111" width="11.140625" style="4" customWidth="1"/>
    <col min="15112" max="15112" width="21.42578125" style="4" customWidth="1"/>
    <col min="15113" max="15113" width="9.140625" style="4"/>
    <col min="15114" max="15114" width="12.42578125" style="4" bestFit="1" customWidth="1"/>
    <col min="15115" max="15360" width="9.140625" style="4"/>
    <col min="15361" max="15361" width="5.140625" style="4" customWidth="1"/>
    <col min="15362" max="15362" width="54.28515625" style="4" customWidth="1"/>
    <col min="15363" max="15363" width="12.85546875" style="4" customWidth="1"/>
    <col min="15364" max="15364" width="5.5703125" style="4" customWidth="1"/>
    <col min="15365" max="15365" width="10.28515625" style="4" customWidth="1"/>
    <col min="15366" max="15366" width="6.140625" style="4" customWidth="1"/>
    <col min="15367" max="15367" width="11.140625" style="4" customWidth="1"/>
    <col min="15368" max="15368" width="21.42578125" style="4" customWidth="1"/>
    <col min="15369" max="15369" width="9.140625" style="4"/>
    <col min="15370" max="15370" width="12.42578125" style="4" bestFit="1" customWidth="1"/>
    <col min="15371" max="15616" width="9.140625" style="4"/>
    <col min="15617" max="15617" width="5.140625" style="4" customWidth="1"/>
    <col min="15618" max="15618" width="54.28515625" style="4" customWidth="1"/>
    <col min="15619" max="15619" width="12.85546875" style="4" customWidth="1"/>
    <col min="15620" max="15620" width="5.5703125" style="4" customWidth="1"/>
    <col min="15621" max="15621" width="10.28515625" style="4" customWidth="1"/>
    <col min="15622" max="15622" width="6.140625" style="4" customWidth="1"/>
    <col min="15623" max="15623" width="11.140625" style="4" customWidth="1"/>
    <col min="15624" max="15624" width="21.42578125" style="4" customWidth="1"/>
    <col min="15625" max="15625" width="9.140625" style="4"/>
    <col min="15626" max="15626" width="12.42578125" style="4" bestFit="1" customWidth="1"/>
    <col min="15627" max="15872" width="9.140625" style="4"/>
    <col min="15873" max="15873" width="5.140625" style="4" customWidth="1"/>
    <col min="15874" max="15874" width="54.28515625" style="4" customWidth="1"/>
    <col min="15875" max="15875" width="12.85546875" style="4" customWidth="1"/>
    <col min="15876" max="15876" width="5.5703125" style="4" customWidth="1"/>
    <col min="15877" max="15877" width="10.28515625" style="4" customWidth="1"/>
    <col min="15878" max="15878" width="6.140625" style="4" customWidth="1"/>
    <col min="15879" max="15879" width="11.140625" style="4" customWidth="1"/>
    <col min="15880" max="15880" width="21.42578125" style="4" customWidth="1"/>
    <col min="15881" max="15881" width="9.140625" style="4"/>
    <col min="15882" max="15882" width="12.42578125" style="4" bestFit="1" customWidth="1"/>
    <col min="15883" max="16128" width="9.140625" style="4"/>
    <col min="16129" max="16129" width="5.140625" style="4" customWidth="1"/>
    <col min="16130" max="16130" width="54.28515625" style="4" customWidth="1"/>
    <col min="16131" max="16131" width="12.85546875" style="4" customWidth="1"/>
    <col min="16132" max="16132" width="5.5703125" style="4" customWidth="1"/>
    <col min="16133" max="16133" width="10.28515625" style="4" customWidth="1"/>
    <col min="16134" max="16134" width="6.140625" style="4" customWidth="1"/>
    <col min="16135" max="16135" width="11.140625" style="4" customWidth="1"/>
    <col min="16136" max="16136" width="21.42578125" style="4" customWidth="1"/>
    <col min="16137" max="16137" width="9.140625" style="4"/>
    <col min="16138" max="16138" width="12.42578125" style="4" bestFit="1" customWidth="1"/>
    <col min="16139" max="16384" width="9.140625" style="4"/>
  </cols>
  <sheetData>
    <row r="1" spans="1:9" ht="18">
      <c r="B1" s="3047" t="s">
        <v>2165</v>
      </c>
      <c r="C1" s="3047"/>
      <c r="D1" s="3047"/>
      <c r="E1" s="3"/>
      <c r="F1" s="3"/>
      <c r="G1" s="3"/>
    </row>
    <row r="2" spans="1:9" ht="15.75">
      <c r="B2" s="3223" t="s">
        <v>2166</v>
      </c>
      <c r="C2" s="3223"/>
      <c r="D2" s="3223"/>
      <c r="E2" s="768"/>
      <c r="F2" s="3224" t="s">
        <v>89</v>
      </c>
      <c r="G2" s="3224"/>
    </row>
    <row r="3" spans="1:9" ht="13.5" customHeight="1">
      <c r="A3" s="251"/>
      <c r="B3" s="251"/>
      <c r="C3" s="251"/>
      <c r="D3" s="251"/>
      <c r="E3" s="251"/>
      <c r="F3" s="251"/>
      <c r="G3" s="251"/>
    </row>
    <row r="4" spans="1:9" ht="15">
      <c r="A4" s="3212" t="s">
        <v>2167</v>
      </c>
      <c r="B4" s="3212"/>
      <c r="C4" s="3212"/>
      <c r="D4" s="3212"/>
      <c r="E4" s="3212"/>
      <c r="F4" s="3212"/>
      <c r="G4" s="3212"/>
    </row>
    <row r="5" spans="1:9">
      <c r="A5" s="747"/>
      <c r="B5" s="759"/>
      <c r="C5" s="12"/>
      <c r="D5" s="769"/>
      <c r="E5" s="12"/>
      <c r="F5" s="12"/>
      <c r="G5" s="61"/>
    </row>
    <row r="6" spans="1:9" ht="30" customHeight="1">
      <c r="A6" s="190" t="s">
        <v>2</v>
      </c>
      <c r="B6" s="190" t="s">
        <v>3</v>
      </c>
      <c r="C6" s="190" t="s">
        <v>1421</v>
      </c>
      <c r="D6" s="190" t="s">
        <v>5</v>
      </c>
      <c r="E6" s="190" t="s">
        <v>9</v>
      </c>
      <c r="F6" s="190" t="s">
        <v>2118</v>
      </c>
      <c r="G6" s="190" t="s">
        <v>1668</v>
      </c>
    </row>
    <row r="7" spans="1:9" ht="15">
      <c r="A7" s="237">
        <v>1</v>
      </c>
      <c r="B7" s="770">
        <v>2</v>
      </c>
      <c r="C7" s="237">
        <v>3</v>
      </c>
      <c r="D7" s="770">
        <v>4</v>
      </c>
      <c r="E7" s="237">
        <v>5</v>
      </c>
      <c r="F7" s="770">
        <v>6</v>
      </c>
      <c r="G7" s="237">
        <v>7</v>
      </c>
    </row>
    <row r="8" spans="1:9" ht="30.75" customHeight="1">
      <c r="A8" s="1183">
        <v>1</v>
      </c>
      <c r="B8" s="1200" t="s">
        <v>2168</v>
      </c>
      <c r="C8" s="1477">
        <v>7130601958</v>
      </c>
      <c r="D8" s="1183" t="s">
        <v>26</v>
      </c>
      <c r="E8" s="734">
        <f>VLOOKUP(C8,'SOR RATE'!A:D,4,0)/1000</f>
        <v>64.326520000000002</v>
      </c>
      <c r="F8" s="1183">
        <v>594</v>
      </c>
      <c r="G8" s="735">
        <f t="shared" ref="G8:G13" si="0">F8*E8</f>
        <v>38209.952880000004</v>
      </c>
    </row>
    <row r="9" spans="1:9" ht="30.75" customHeight="1">
      <c r="A9" s="1183">
        <v>2</v>
      </c>
      <c r="B9" s="792" t="s">
        <v>2136</v>
      </c>
      <c r="C9" s="1477">
        <v>7130601965</v>
      </c>
      <c r="D9" s="1183" t="s">
        <v>26</v>
      </c>
      <c r="E9" s="734">
        <f>VLOOKUP(C9,'SOR RATE'!A:D,4,0)/1000</f>
        <v>63.913519999999998</v>
      </c>
      <c r="F9" s="1183">
        <v>816</v>
      </c>
      <c r="G9" s="735">
        <f t="shared" si="0"/>
        <v>52153.43232</v>
      </c>
      <c r="H9" s="739" t="s">
        <v>119</v>
      </c>
    </row>
    <row r="10" spans="1:9" ht="18.75" customHeight="1">
      <c r="A10" s="1181">
        <v>3</v>
      </c>
      <c r="B10" s="1200" t="s">
        <v>2169</v>
      </c>
      <c r="C10" s="1477">
        <v>7130810684</v>
      </c>
      <c r="D10" s="1181" t="s">
        <v>40</v>
      </c>
      <c r="E10" s="734">
        <f>VLOOKUP(C10,'SOR RATE'!A:D,4,0)</f>
        <v>11136.81</v>
      </c>
      <c r="F10" s="1181">
        <v>6</v>
      </c>
      <c r="G10" s="735">
        <f t="shared" si="0"/>
        <v>66820.86</v>
      </c>
    </row>
    <row r="11" spans="1:9" ht="35.25" customHeight="1">
      <c r="A11" s="1196">
        <v>4</v>
      </c>
      <c r="B11" s="1200" t="s">
        <v>1904</v>
      </c>
      <c r="C11" s="1477">
        <v>7130810006</v>
      </c>
      <c r="D11" s="1181" t="s">
        <v>40</v>
      </c>
      <c r="E11" s="734">
        <f>VLOOKUP(C11,'SOR RATE'!A:D,4,0)</f>
        <v>8965.2999999999993</v>
      </c>
      <c r="F11" s="1181">
        <v>2</v>
      </c>
      <c r="G11" s="735">
        <f t="shared" si="0"/>
        <v>17930.599999999999</v>
      </c>
      <c r="H11" s="739" t="s">
        <v>119</v>
      </c>
    </row>
    <row r="12" spans="1:9" ht="18.75" customHeight="1">
      <c r="A12" s="1196">
        <v>5</v>
      </c>
      <c r="B12" s="1200" t="s">
        <v>2199</v>
      </c>
      <c r="C12" s="1186">
        <v>7130810692</v>
      </c>
      <c r="D12" s="1181" t="s">
        <v>15</v>
      </c>
      <c r="E12" s="734">
        <f>VLOOKUP(C12,'SOR RATE'!A:D,4,0)</f>
        <v>410.25</v>
      </c>
      <c r="F12" s="1181">
        <v>15</v>
      </c>
      <c r="G12" s="735">
        <f t="shared" si="0"/>
        <v>6153.75</v>
      </c>
      <c r="H12" s="739" t="s">
        <v>119</v>
      </c>
    </row>
    <row r="13" spans="1:9" ht="18.75" customHeight="1">
      <c r="A13" s="1196">
        <v>6</v>
      </c>
      <c r="B13" s="1200" t="s">
        <v>617</v>
      </c>
      <c r="C13" s="1186">
        <v>7130810624</v>
      </c>
      <c r="D13" s="1181" t="s">
        <v>68</v>
      </c>
      <c r="E13" s="734">
        <f>VLOOKUP(C13,'SOR RATE'!A:D,4,0)</f>
        <v>114.38</v>
      </c>
      <c r="F13" s="1181">
        <v>48</v>
      </c>
      <c r="G13" s="735">
        <f t="shared" si="0"/>
        <v>5490.24</v>
      </c>
      <c r="H13" s="739" t="s">
        <v>119</v>
      </c>
    </row>
    <row r="14" spans="1:9" ht="32.25" customHeight="1">
      <c r="A14" s="3225">
        <v>7</v>
      </c>
      <c r="B14" s="1484" t="s">
        <v>2170</v>
      </c>
      <c r="C14" s="1477"/>
      <c r="D14" s="1183" t="s">
        <v>40</v>
      </c>
      <c r="E14" s="951">
        <f>G15+G16</f>
        <v>12846.96</v>
      </c>
      <c r="F14" s="190">
        <v>24</v>
      </c>
      <c r="G14" s="735"/>
    </row>
    <row r="15" spans="1:9" ht="17.25" customHeight="1">
      <c r="A15" s="3226"/>
      <c r="B15" s="1200" t="s">
        <v>2171</v>
      </c>
      <c r="C15" s="1477">
        <v>7130820013</v>
      </c>
      <c r="D15" s="1183" t="s">
        <v>12</v>
      </c>
      <c r="E15" s="734">
        <f>VLOOKUP(C15,'SOR RATE'!A:D,4,0)</f>
        <v>216.4</v>
      </c>
      <c r="F15" s="1183">
        <v>24</v>
      </c>
      <c r="G15" s="735">
        <f t="shared" ref="G15:G26" si="1">F15*E15</f>
        <v>5193.6000000000004</v>
      </c>
      <c r="H15" s="497"/>
      <c r="I15" s="498"/>
    </row>
    <row r="16" spans="1:9" ht="17.25" customHeight="1">
      <c r="A16" s="3220"/>
      <c r="B16" s="1200" t="s">
        <v>2172</v>
      </c>
      <c r="C16" s="1477">
        <v>7130820248</v>
      </c>
      <c r="D16" s="1183" t="s">
        <v>33</v>
      </c>
      <c r="E16" s="734">
        <f>VLOOKUP(C16,'SOR RATE'!A:D,4,0)</f>
        <v>318.89</v>
      </c>
      <c r="F16" s="1183">
        <v>24</v>
      </c>
      <c r="G16" s="735">
        <f t="shared" si="1"/>
        <v>7653.36</v>
      </c>
    </row>
    <row r="17" spans="1:9" ht="18" customHeight="1">
      <c r="A17" s="1181">
        <v>8</v>
      </c>
      <c r="B17" s="1200" t="s">
        <v>2173</v>
      </c>
      <c r="C17" s="1477">
        <v>7131930752</v>
      </c>
      <c r="D17" s="1181" t="s">
        <v>12</v>
      </c>
      <c r="E17" s="734">
        <f>VLOOKUP(C17,'SOR RATE'!A:D,4,0)</f>
        <v>43971.49</v>
      </c>
      <c r="F17" s="1181">
        <v>2</v>
      </c>
      <c r="G17" s="735">
        <f t="shared" si="1"/>
        <v>87942.98</v>
      </c>
      <c r="H17" s="497"/>
      <c r="I17" s="498"/>
    </row>
    <row r="18" spans="1:9" ht="18" customHeight="1">
      <c r="A18" s="1181">
        <v>9</v>
      </c>
      <c r="B18" s="1182" t="s">
        <v>2205</v>
      </c>
      <c r="C18" s="1477">
        <v>7131930321</v>
      </c>
      <c r="D18" s="1183" t="s">
        <v>33</v>
      </c>
      <c r="E18" s="734">
        <f>VLOOKUP(C18,'SOR RATE'!A:D,4,0)</f>
        <v>22056.66</v>
      </c>
      <c r="F18" s="1181">
        <v>1</v>
      </c>
      <c r="G18" s="735">
        <f t="shared" si="1"/>
        <v>22056.66</v>
      </c>
      <c r="H18" s="739" t="s">
        <v>119</v>
      </c>
      <c r="I18" s="498"/>
    </row>
    <row r="19" spans="1:9" ht="18" customHeight="1">
      <c r="A19" s="1181">
        <v>10</v>
      </c>
      <c r="B19" s="1288" t="s">
        <v>2202</v>
      </c>
      <c r="C19" s="1186">
        <v>7130600675</v>
      </c>
      <c r="D19" s="1181" t="s">
        <v>26</v>
      </c>
      <c r="E19" s="734">
        <f>VLOOKUP(C19,'SOR RATE'!A:D,4,0)/1000</f>
        <v>68.748589999999993</v>
      </c>
      <c r="F19" s="1181">
        <v>78</v>
      </c>
      <c r="G19" s="735">
        <f t="shared" si="1"/>
        <v>5362.3900199999998</v>
      </c>
      <c r="H19" s="739" t="s">
        <v>119</v>
      </c>
      <c r="I19" s="498"/>
    </row>
    <row r="20" spans="1:9" ht="16.5" customHeight="1">
      <c r="A20" s="1181">
        <v>11</v>
      </c>
      <c r="B20" s="1200" t="s">
        <v>2174</v>
      </c>
      <c r="C20" s="1477">
        <v>7130830585</v>
      </c>
      <c r="D20" s="1181" t="s">
        <v>12</v>
      </c>
      <c r="E20" s="734">
        <f>VLOOKUP(C20,'SOR RATE'!A:D,4,0)</f>
        <v>346.08</v>
      </c>
      <c r="F20" s="1181">
        <v>12</v>
      </c>
      <c r="G20" s="735">
        <f t="shared" si="1"/>
        <v>4152.96</v>
      </c>
    </row>
    <row r="21" spans="1:9" ht="16.5" customHeight="1">
      <c r="A21" s="1181">
        <v>12</v>
      </c>
      <c r="B21" s="1200" t="s">
        <v>2175</v>
      </c>
      <c r="C21" s="1477">
        <v>7130830585</v>
      </c>
      <c r="D21" s="1181" t="s">
        <v>12</v>
      </c>
      <c r="E21" s="734">
        <f>VLOOKUP(C21,'SOR RATE'!A:D,4,0)</f>
        <v>346.08</v>
      </c>
      <c r="F21" s="1181">
        <v>6</v>
      </c>
      <c r="G21" s="735">
        <f t="shared" si="1"/>
        <v>2076.48</v>
      </c>
    </row>
    <row r="22" spans="1:9" ht="16.5" customHeight="1">
      <c r="A22" s="1181">
        <v>13</v>
      </c>
      <c r="B22" s="1200" t="s">
        <v>2176</v>
      </c>
      <c r="C22" s="1477">
        <v>7130830063</v>
      </c>
      <c r="D22" s="1181" t="s">
        <v>21</v>
      </c>
      <c r="E22" s="734">
        <f>VLOOKUP(C22,'SOR RATE'!A:D,4,0)/1000</f>
        <v>92.285690000000002</v>
      </c>
      <c r="F22" s="1181">
        <v>50</v>
      </c>
      <c r="G22" s="735">
        <f t="shared" si="1"/>
        <v>4614.2844999999998</v>
      </c>
    </row>
    <row r="23" spans="1:9" ht="25.5" customHeight="1">
      <c r="A23" s="1196">
        <v>14</v>
      </c>
      <c r="B23" s="1200" t="s">
        <v>2143</v>
      </c>
      <c r="C23" s="1477">
        <v>7130200202</v>
      </c>
      <c r="D23" s="1181" t="s">
        <v>76</v>
      </c>
      <c r="E23" s="734">
        <f>VLOOKUP(C23,'SOR RATE'!A:D,4,0)</f>
        <v>2970</v>
      </c>
      <c r="F23" s="1181">
        <f>(0.45*2)+(0.65*2)+(0.1*2)</f>
        <v>2.4000000000000004</v>
      </c>
      <c r="G23" s="735">
        <f t="shared" si="1"/>
        <v>7128.0000000000009</v>
      </c>
      <c r="H23" s="249" t="s">
        <v>47</v>
      </c>
      <c r="I23" s="524"/>
    </row>
    <row r="24" spans="1:9" ht="16.5" customHeight="1">
      <c r="A24" s="1196">
        <v>15</v>
      </c>
      <c r="B24" s="1200" t="s">
        <v>1432</v>
      </c>
      <c r="C24" s="1477">
        <v>7130820009</v>
      </c>
      <c r="D24" s="1181" t="s">
        <v>33</v>
      </c>
      <c r="E24" s="734">
        <f>VLOOKUP(C24,'SOR RATE'!A:D,4,0)</f>
        <v>288.23</v>
      </c>
      <c r="F24" s="1181">
        <v>6</v>
      </c>
      <c r="G24" s="735">
        <f t="shared" si="1"/>
        <v>1729.38</v>
      </c>
    </row>
    <row r="25" spans="1:9" ht="16.5" customHeight="1">
      <c r="A25" s="1196">
        <v>16</v>
      </c>
      <c r="B25" s="1257" t="s">
        <v>28</v>
      </c>
      <c r="C25" s="1276">
        <v>7130211158</v>
      </c>
      <c r="D25" s="1276" t="s">
        <v>29</v>
      </c>
      <c r="E25" s="734">
        <f>VLOOKUP(C25,'SOR RATE'!A:D,4,0)</f>
        <v>193.62</v>
      </c>
      <c r="F25" s="1181">
        <v>2</v>
      </c>
      <c r="G25" s="735">
        <f t="shared" si="1"/>
        <v>387.24</v>
      </c>
      <c r="H25" s="59"/>
    </row>
    <row r="26" spans="1:9" ht="16.5" customHeight="1">
      <c r="A26" s="1196">
        <v>17</v>
      </c>
      <c r="B26" s="1257" t="s">
        <v>30</v>
      </c>
      <c r="C26" s="1276">
        <v>7130210809</v>
      </c>
      <c r="D26" s="1276" t="s">
        <v>29</v>
      </c>
      <c r="E26" s="734">
        <f>VLOOKUP(C26,'SOR RATE'!A:D,4,0)</f>
        <v>432.63</v>
      </c>
      <c r="F26" s="1181">
        <v>2</v>
      </c>
      <c r="G26" s="735">
        <f t="shared" si="1"/>
        <v>865.26</v>
      </c>
      <c r="H26" s="59"/>
    </row>
    <row r="27" spans="1:9" ht="16.5" customHeight="1">
      <c r="A27" s="3157">
        <v>18</v>
      </c>
      <c r="B27" s="1484" t="s">
        <v>2155</v>
      </c>
      <c r="C27" s="1477"/>
      <c r="D27" s="1181" t="s">
        <v>26</v>
      </c>
      <c r="E27" s="734"/>
      <c r="F27" s="931">
        <f>SUM(F28:F33)</f>
        <v>40</v>
      </c>
      <c r="G27" s="735"/>
    </row>
    <row r="28" spans="1:9" ht="16.5" customHeight="1">
      <c r="A28" s="3158"/>
      <c r="B28" s="1182" t="s">
        <v>2040</v>
      </c>
      <c r="C28" s="1477">
        <v>7130620609</v>
      </c>
      <c r="D28" s="1181" t="s">
        <v>26</v>
      </c>
      <c r="E28" s="734">
        <f>VLOOKUP(C28,'SOR RATE'!A:D,4,0)</f>
        <v>87.23</v>
      </c>
      <c r="F28" s="1181">
        <v>2</v>
      </c>
      <c r="G28" s="735">
        <f t="shared" ref="G28:G33" si="2">F28*E28</f>
        <v>174.46</v>
      </c>
    </row>
    <row r="29" spans="1:9" ht="16.5" customHeight="1">
      <c r="A29" s="3158"/>
      <c r="B29" s="1182" t="s">
        <v>2041</v>
      </c>
      <c r="C29" s="1477">
        <v>7130620614</v>
      </c>
      <c r="D29" s="1181" t="s">
        <v>26</v>
      </c>
      <c r="E29" s="734">
        <f>VLOOKUP(C29,'SOR RATE'!A:D,4,0)</f>
        <v>85.77</v>
      </c>
      <c r="F29" s="1181">
        <v>3</v>
      </c>
      <c r="G29" s="735">
        <f t="shared" si="2"/>
        <v>257.31</v>
      </c>
    </row>
    <row r="30" spans="1:9" ht="16.5" customHeight="1">
      <c r="A30" s="3158"/>
      <c r="B30" s="1182" t="s">
        <v>2042</v>
      </c>
      <c r="C30" s="1477">
        <v>7130620619</v>
      </c>
      <c r="D30" s="1181" t="s">
        <v>26</v>
      </c>
      <c r="E30" s="734">
        <f>VLOOKUP(C30,'SOR RATE'!A:D,4,0)</f>
        <v>85.77</v>
      </c>
      <c r="F30" s="1181">
        <v>5</v>
      </c>
      <c r="G30" s="735">
        <f t="shared" si="2"/>
        <v>428.84999999999997</v>
      </c>
    </row>
    <row r="31" spans="1:9" ht="16.5" customHeight="1">
      <c r="A31" s="3158"/>
      <c r="B31" s="1182" t="s">
        <v>2043</v>
      </c>
      <c r="C31" s="1477">
        <v>7130620627</v>
      </c>
      <c r="D31" s="1181" t="s">
        <v>26</v>
      </c>
      <c r="E31" s="734">
        <f>VLOOKUP(C31,'SOR RATE'!A:D,4,0)</f>
        <v>84.32</v>
      </c>
      <c r="F31" s="1181">
        <v>15</v>
      </c>
      <c r="G31" s="735">
        <f t="shared" si="2"/>
        <v>1264.8</v>
      </c>
    </row>
    <row r="32" spans="1:9" ht="16.5" customHeight="1">
      <c r="A32" s="3158"/>
      <c r="B32" s="1182" t="s">
        <v>2044</v>
      </c>
      <c r="C32" s="1186">
        <v>7130620631</v>
      </c>
      <c r="D32" s="1181" t="s">
        <v>26</v>
      </c>
      <c r="E32" s="734">
        <f>VLOOKUP(C32,'SOR RATE'!A:D,4,0)</f>
        <v>84.32</v>
      </c>
      <c r="F32" s="1181">
        <v>10</v>
      </c>
      <c r="G32" s="735">
        <f t="shared" si="2"/>
        <v>843.19999999999993</v>
      </c>
    </row>
    <row r="33" spans="1:12" ht="16.5" customHeight="1">
      <c r="A33" s="3159"/>
      <c r="B33" s="1182" t="s">
        <v>2045</v>
      </c>
      <c r="C33" s="1477">
        <v>7130620637</v>
      </c>
      <c r="D33" s="1181" t="s">
        <v>26</v>
      </c>
      <c r="E33" s="734">
        <f>VLOOKUP(C33,'SOR RATE'!A:D,4,0)</f>
        <v>84.32</v>
      </c>
      <c r="F33" s="1181">
        <v>5</v>
      </c>
      <c r="G33" s="735">
        <f t="shared" si="2"/>
        <v>421.59999999999997</v>
      </c>
    </row>
    <row r="34" spans="1:12" ht="16.5" customHeight="1">
      <c r="A34" s="931">
        <v>19</v>
      </c>
      <c r="B34" s="1191" t="s">
        <v>48</v>
      </c>
      <c r="C34" s="931"/>
      <c r="D34" s="931"/>
      <c r="E34" s="931"/>
      <c r="F34" s="931"/>
      <c r="G34" s="1193">
        <f>SUM(G8:G33)</f>
        <v>339311.64971999993</v>
      </c>
      <c r="H34" s="20"/>
      <c r="I34" s="21"/>
      <c r="J34" s="167"/>
      <c r="K34" s="12"/>
    </row>
    <row r="35" spans="1:12" ht="16.5" customHeight="1">
      <c r="A35" s="928">
        <v>20</v>
      </c>
      <c r="B35" s="1191" t="s">
        <v>49</v>
      </c>
      <c r="C35" s="931"/>
      <c r="D35" s="931"/>
      <c r="E35" s="931"/>
      <c r="F35" s="931"/>
      <c r="G35" s="1193">
        <f>G34/1.18</f>
        <v>287552.24552542367</v>
      </c>
      <c r="H35" s="174"/>
      <c r="I35" s="21"/>
      <c r="J35" s="12"/>
      <c r="K35" s="12"/>
    </row>
    <row r="36" spans="1:12" ht="17.25" customHeight="1">
      <c r="A36" s="1196">
        <v>21</v>
      </c>
      <c r="B36" s="1185" t="s">
        <v>50</v>
      </c>
      <c r="C36" s="1470"/>
      <c r="D36" s="1470"/>
      <c r="E36" s="1181">
        <v>7.4999999999999997E-2</v>
      </c>
      <c r="F36" s="1181"/>
      <c r="G36" s="734">
        <f>G34*E36</f>
        <v>25448.373728999995</v>
      </c>
      <c r="H36" s="776"/>
      <c r="I36" s="21"/>
      <c r="K36" s="12"/>
    </row>
    <row r="37" spans="1:12" ht="16.5" customHeight="1">
      <c r="A37" s="1181">
        <v>22</v>
      </c>
      <c r="B37" s="1200" t="s">
        <v>2177</v>
      </c>
      <c r="C37" s="1504"/>
      <c r="D37" s="1181" t="s">
        <v>12</v>
      </c>
      <c r="E37" s="1505">
        <f>4537.59016059125*1.043</f>
        <v>4732.7065374966742</v>
      </c>
      <c r="F37" s="1181">
        <v>1</v>
      </c>
      <c r="G37" s="735">
        <f>F37*E37</f>
        <v>4732.7065374966742</v>
      </c>
      <c r="K37" s="1329"/>
      <c r="L37" s="164"/>
    </row>
    <row r="38" spans="1:12" ht="18" customHeight="1">
      <c r="A38" s="1181">
        <v>23</v>
      </c>
      <c r="B38" s="1200" t="s">
        <v>2178</v>
      </c>
      <c r="C38" s="1181"/>
      <c r="D38" s="1181"/>
      <c r="E38" s="1470"/>
      <c r="F38" s="1470"/>
      <c r="G38" s="734">
        <v>25039.26</v>
      </c>
      <c r="H38" s="58"/>
      <c r="I38" s="58"/>
      <c r="K38" s="304"/>
    </row>
    <row r="39" spans="1:12" ht="18" customHeight="1">
      <c r="A39" s="1181">
        <v>24</v>
      </c>
      <c r="B39" s="1506" t="s">
        <v>82</v>
      </c>
      <c r="C39" s="1181"/>
      <c r="D39" s="1181" t="s">
        <v>76</v>
      </c>
      <c r="E39" s="1202">
        <f>665.173187113158*1.043</f>
        <v>693.77563415902364</v>
      </c>
      <c r="F39" s="1181">
        <v>2.4</v>
      </c>
      <c r="G39" s="734">
        <f>E39*F39</f>
        <v>1665.0615219816566</v>
      </c>
      <c r="H39" s="59"/>
      <c r="I39" s="58"/>
    </row>
    <row r="40" spans="1:12" ht="18.75" customHeight="1">
      <c r="A40" s="1183">
        <v>25</v>
      </c>
      <c r="B40" s="1200" t="s">
        <v>2129</v>
      </c>
      <c r="C40" s="1183"/>
      <c r="D40" s="1183"/>
      <c r="E40" s="735">
        <v>0.04</v>
      </c>
      <c r="F40" s="1182"/>
      <c r="G40" s="734">
        <f>(G34/1.18)*E40</f>
        <v>11502.089821016947</v>
      </c>
      <c r="H40" s="737" t="s">
        <v>1827</v>
      </c>
      <c r="J40" s="164"/>
    </row>
    <row r="41" spans="1:12" ht="42.75" customHeight="1">
      <c r="A41" s="1183">
        <v>26</v>
      </c>
      <c r="B41" s="1185" t="s">
        <v>2206</v>
      </c>
      <c r="C41" s="1183"/>
      <c r="D41" s="1183"/>
      <c r="E41" s="1507"/>
      <c r="F41" s="1182"/>
      <c r="G41" s="734">
        <f>(G34+G36+G37+G38+G39+G40)*0.125</f>
        <v>50962.392666186897</v>
      </c>
      <c r="H41" s="201"/>
      <c r="J41" s="177"/>
    </row>
    <row r="42" spans="1:12" ht="30">
      <c r="A42" s="190">
        <v>27</v>
      </c>
      <c r="B42" s="1214" t="s">
        <v>2207</v>
      </c>
      <c r="C42" s="1183"/>
      <c r="D42" s="1183"/>
      <c r="E42" s="1507"/>
      <c r="F42" s="1182"/>
      <c r="G42" s="951">
        <f>SUM(G35:G41)</f>
        <v>406902.12980110582</v>
      </c>
      <c r="H42" s="27"/>
    </row>
    <row r="43" spans="1:12" ht="18" customHeight="1">
      <c r="A43" s="1183">
        <v>28</v>
      </c>
      <c r="B43" s="1185" t="s">
        <v>2208</v>
      </c>
      <c r="C43" s="1183"/>
      <c r="D43" s="1183"/>
      <c r="E43" s="735">
        <v>0.09</v>
      </c>
      <c r="F43" s="1182"/>
      <c r="G43" s="735">
        <f>G42*E43</f>
        <v>36621.191682099525</v>
      </c>
      <c r="H43" s="27"/>
    </row>
    <row r="44" spans="1:12" ht="17.25" customHeight="1">
      <c r="A44" s="1183">
        <v>29</v>
      </c>
      <c r="B44" s="1185" t="s">
        <v>2209</v>
      </c>
      <c r="C44" s="1183"/>
      <c r="D44" s="1183"/>
      <c r="E44" s="735">
        <v>0.09</v>
      </c>
      <c r="F44" s="1182"/>
      <c r="G44" s="735">
        <f>G42*E44</f>
        <v>36621.191682099525</v>
      </c>
      <c r="H44" s="60"/>
    </row>
    <row r="45" spans="1:12" ht="16.5" customHeight="1">
      <c r="A45" s="1181">
        <v>30</v>
      </c>
      <c r="B45" s="1185" t="s">
        <v>2210</v>
      </c>
      <c r="C45" s="1181"/>
      <c r="D45" s="1181"/>
      <c r="E45" s="1470"/>
      <c r="F45" s="1470"/>
      <c r="G45" s="734">
        <f>G42+G43+G44</f>
        <v>480144.5131653049</v>
      </c>
    </row>
    <row r="46" spans="1:12" ht="17.25" customHeight="1">
      <c r="A46" s="931">
        <v>31</v>
      </c>
      <c r="B46" s="1214" t="s">
        <v>59</v>
      </c>
      <c r="C46" s="928"/>
      <c r="D46" s="928"/>
      <c r="E46" s="1508"/>
      <c r="F46" s="1508"/>
      <c r="G46" s="1193">
        <f>ROUND(G45,0)</f>
        <v>480145</v>
      </c>
    </row>
    <row r="47" spans="1:12" ht="13.5" customHeight="1">
      <c r="A47" s="745"/>
      <c r="B47" s="771"/>
      <c r="C47" s="772"/>
      <c r="D47" s="772"/>
      <c r="E47" s="773"/>
      <c r="F47" s="773"/>
      <c r="G47" s="774"/>
    </row>
    <row r="48" spans="1:12" ht="33" customHeight="1">
      <c r="A48" s="3170" t="s">
        <v>2179</v>
      </c>
      <c r="B48" s="3171"/>
      <c r="C48" s="3171"/>
      <c r="D48" s="3171"/>
      <c r="E48" s="3171"/>
      <c r="F48" s="3171"/>
      <c r="G48" s="3172"/>
      <c r="H48" s="713"/>
    </row>
    <row r="49" spans="1:8" ht="15.75" customHeight="1">
      <c r="B49" s="410"/>
      <c r="C49" s="43"/>
      <c r="D49" s="775"/>
    </row>
    <row r="50" spans="1:8" ht="15">
      <c r="A50" s="747"/>
      <c r="G50" s="46"/>
      <c r="H50" s="46"/>
    </row>
    <row r="51" spans="1:8" ht="15">
      <c r="A51" s="46"/>
      <c r="B51" s="46"/>
      <c r="C51" s="46"/>
      <c r="D51" s="46"/>
      <c r="E51" s="46"/>
      <c r="G51" s="46"/>
      <c r="H51" s="46"/>
    </row>
    <row r="52" spans="1:8" ht="12.75" customHeight="1">
      <c r="A52" s="46"/>
      <c r="B52" s="46"/>
      <c r="C52" s="46"/>
      <c r="D52" s="46"/>
      <c r="E52" s="46"/>
    </row>
  </sheetData>
  <mergeCells count="7">
    <mergeCell ref="A48:G48"/>
    <mergeCell ref="B1:D1"/>
    <mergeCell ref="B2:D2"/>
    <mergeCell ref="F2:G2"/>
    <mergeCell ref="A4:G4"/>
    <mergeCell ref="A14:A16"/>
    <mergeCell ref="A27:A33"/>
  </mergeCells>
  <conditionalFormatting sqref="B34">
    <cfRule type="cellIs" dxfId="119" priority="2" stopIfTrue="1" operator="equal">
      <formula>"?"</formula>
    </cfRule>
  </conditionalFormatting>
  <conditionalFormatting sqref="B35">
    <cfRule type="cellIs" dxfId="118" priority="1" stopIfTrue="1" operator="equal">
      <formula>"?"</formula>
    </cfRule>
  </conditionalFormatting>
  <printOptions horizontalCentered="1"/>
  <pageMargins left="1.03" right="0.17" top="0.67" bottom="0.19" header="0.61" footer="0.16"/>
  <pageSetup paperSize="9" scale="125"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35"/>
  <sheetViews>
    <sheetView zoomScaleNormal="100" workbookViewId="0">
      <pane xSplit="3" ySplit="6" topLeftCell="D30" activePane="bottomRight" state="frozen"/>
      <selection pane="topRight" activeCell="D1" sqref="D1"/>
      <selection pane="bottomLeft" activeCell="A7" sqref="A7"/>
      <selection pane="bottomRight" activeCell="L22" sqref="L22"/>
    </sheetView>
  </sheetViews>
  <sheetFormatPr defaultRowHeight="12.75"/>
  <cols>
    <col min="1" max="1" width="5.85546875" style="743" customWidth="1"/>
    <col min="2" max="2" width="3.5703125" style="4" customWidth="1"/>
    <col min="3" max="3" width="40.5703125" style="4" customWidth="1"/>
    <col min="4" max="4" width="12.5703125" style="45" customWidth="1"/>
    <col min="5" max="5" width="5.7109375" style="753" customWidth="1"/>
    <col min="6" max="6" width="11" style="4" customWidth="1"/>
    <col min="7" max="7" width="5" style="4" customWidth="1"/>
    <col min="8" max="8" width="11.7109375" style="4" customWidth="1"/>
    <col min="9" max="9" width="21.5703125" style="4" customWidth="1"/>
    <col min="10" max="10" width="9.85546875" style="4" customWidth="1"/>
    <col min="11" max="11" width="8.5703125" style="4" customWidth="1"/>
    <col min="12" max="12" width="50.5703125" style="4" bestFit="1" customWidth="1"/>
    <col min="13" max="13" width="14.28515625" style="4" customWidth="1"/>
    <col min="14" max="14" width="5.7109375" style="4" bestFit="1" customWidth="1"/>
    <col min="15" max="15" width="9.5703125" style="4" bestFit="1" customWidth="1"/>
    <col min="16" max="16" width="5.5703125" style="4" bestFit="1" customWidth="1"/>
    <col min="17" max="17" width="12.7109375" style="4" customWidth="1"/>
    <col min="18" max="18" width="9.140625" style="4"/>
    <col min="19" max="19" width="25.140625" style="4" customWidth="1"/>
    <col min="20" max="256" width="9.140625" style="4"/>
    <col min="257" max="257" width="5.85546875" style="4" customWidth="1"/>
    <col min="258" max="258" width="3.5703125" style="4" customWidth="1"/>
    <col min="259" max="259" width="40.5703125" style="4" customWidth="1"/>
    <col min="260" max="260" width="12.5703125" style="4" customWidth="1"/>
    <col min="261" max="261" width="5.7109375" style="4" customWidth="1"/>
    <col min="262" max="262" width="11" style="4" customWidth="1"/>
    <col min="263" max="263" width="5" style="4" customWidth="1"/>
    <col min="264" max="264" width="11.7109375" style="4" customWidth="1"/>
    <col min="265" max="265" width="21.5703125" style="4" customWidth="1"/>
    <col min="266" max="266" width="9.85546875" style="4" customWidth="1"/>
    <col min="267" max="267" width="8.5703125" style="4" customWidth="1"/>
    <col min="268" max="268" width="50.5703125" style="4" bestFit="1" customWidth="1"/>
    <col min="269" max="269" width="14.28515625" style="4" customWidth="1"/>
    <col min="270" max="270" width="5.7109375" style="4" bestFit="1" customWidth="1"/>
    <col min="271" max="271" width="9.5703125" style="4" bestFit="1" customWidth="1"/>
    <col min="272" max="272" width="5.5703125" style="4" bestFit="1" customWidth="1"/>
    <col min="273" max="273" width="12.7109375" style="4" customWidth="1"/>
    <col min="274" max="274" width="9.140625" style="4"/>
    <col min="275" max="275" width="25.140625" style="4" customWidth="1"/>
    <col min="276" max="512" width="9.140625" style="4"/>
    <col min="513" max="513" width="5.85546875" style="4" customWidth="1"/>
    <col min="514" max="514" width="3.5703125" style="4" customWidth="1"/>
    <col min="515" max="515" width="40.5703125" style="4" customWidth="1"/>
    <col min="516" max="516" width="12.5703125" style="4" customWidth="1"/>
    <col min="517" max="517" width="5.7109375" style="4" customWidth="1"/>
    <col min="518" max="518" width="11" style="4" customWidth="1"/>
    <col min="519" max="519" width="5" style="4" customWidth="1"/>
    <col min="520" max="520" width="11.7109375" style="4" customWidth="1"/>
    <col min="521" max="521" width="21.5703125" style="4" customWidth="1"/>
    <col min="522" max="522" width="9.85546875" style="4" customWidth="1"/>
    <col min="523" max="523" width="8.5703125" style="4" customWidth="1"/>
    <col min="524" max="524" width="50.5703125" style="4" bestFit="1" customWidth="1"/>
    <col min="525" max="525" width="14.28515625" style="4" customWidth="1"/>
    <col min="526" max="526" width="5.7109375" style="4" bestFit="1" customWidth="1"/>
    <col min="527" max="527" width="9.5703125" style="4" bestFit="1" customWidth="1"/>
    <col min="528" max="528" width="5.5703125" style="4" bestFit="1" customWidth="1"/>
    <col min="529" max="529" width="12.7109375" style="4" customWidth="1"/>
    <col min="530" max="530" width="9.140625" style="4"/>
    <col min="531" max="531" width="25.140625" style="4" customWidth="1"/>
    <col min="532" max="768" width="9.140625" style="4"/>
    <col min="769" max="769" width="5.85546875" style="4" customWidth="1"/>
    <col min="770" max="770" width="3.5703125" style="4" customWidth="1"/>
    <col min="771" max="771" width="40.5703125" style="4" customWidth="1"/>
    <col min="772" max="772" width="12.5703125" style="4" customWidth="1"/>
    <col min="773" max="773" width="5.7109375" style="4" customWidth="1"/>
    <col min="774" max="774" width="11" style="4" customWidth="1"/>
    <col min="775" max="775" width="5" style="4" customWidth="1"/>
    <col min="776" max="776" width="11.7109375" style="4" customWidth="1"/>
    <col min="777" max="777" width="21.5703125" style="4" customWidth="1"/>
    <col min="778" max="778" width="9.85546875" style="4" customWidth="1"/>
    <col min="779" max="779" width="8.5703125" style="4" customWidth="1"/>
    <col min="780" max="780" width="50.5703125" style="4" bestFit="1" customWidth="1"/>
    <col min="781" max="781" width="14.28515625" style="4" customWidth="1"/>
    <col min="782" max="782" width="5.7109375" style="4" bestFit="1" customWidth="1"/>
    <col min="783" max="783" width="9.5703125" style="4" bestFit="1" customWidth="1"/>
    <col min="784" max="784" width="5.5703125" style="4" bestFit="1" customWidth="1"/>
    <col min="785" max="785" width="12.7109375" style="4" customWidth="1"/>
    <col min="786" max="786" width="9.140625" style="4"/>
    <col min="787" max="787" width="25.140625" style="4" customWidth="1"/>
    <col min="788" max="1024" width="9.140625" style="4"/>
    <col min="1025" max="1025" width="5.85546875" style="4" customWidth="1"/>
    <col min="1026" max="1026" width="3.5703125" style="4" customWidth="1"/>
    <col min="1027" max="1027" width="40.5703125" style="4" customWidth="1"/>
    <col min="1028" max="1028" width="12.5703125" style="4" customWidth="1"/>
    <col min="1029" max="1029" width="5.7109375" style="4" customWidth="1"/>
    <col min="1030" max="1030" width="11" style="4" customWidth="1"/>
    <col min="1031" max="1031" width="5" style="4" customWidth="1"/>
    <col min="1032" max="1032" width="11.7109375" style="4" customWidth="1"/>
    <col min="1033" max="1033" width="21.5703125" style="4" customWidth="1"/>
    <col min="1034" max="1034" width="9.85546875" style="4" customWidth="1"/>
    <col min="1035" max="1035" width="8.5703125" style="4" customWidth="1"/>
    <col min="1036" max="1036" width="50.5703125" style="4" bestFit="1" customWidth="1"/>
    <col min="1037" max="1037" width="14.28515625" style="4" customWidth="1"/>
    <col min="1038" max="1038" width="5.7109375" style="4" bestFit="1" customWidth="1"/>
    <col min="1039" max="1039" width="9.5703125" style="4" bestFit="1" customWidth="1"/>
    <col min="1040" max="1040" width="5.5703125" style="4" bestFit="1" customWidth="1"/>
    <col min="1041" max="1041" width="12.7109375" style="4" customWidth="1"/>
    <col min="1042" max="1042" width="9.140625" style="4"/>
    <col min="1043" max="1043" width="25.140625" style="4" customWidth="1"/>
    <col min="1044" max="1280" width="9.140625" style="4"/>
    <col min="1281" max="1281" width="5.85546875" style="4" customWidth="1"/>
    <col min="1282" max="1282" width="3.5703125" style="4" customWidth="1"/>
    <col min="1283" max="1283" width="40.5703125" style="4" customWidth="1"/>
    <col min="1284" max="1284" width="12.5703125" style="4" customWidth="1"/>
    <col min="1285" max="1285" width="5.7109375" style="4" customWidth="1"/>
    <col min="1286" max="1286" width="11" style="4" customWidth="1"/>
    <col min="1287" max="1287" width="5" style="4" customWidth="1"/>
    <col min="1288" max="1288" width="11.7109375" style="4" customWidth="1"/>
    <col min="1289" max="1289" width="21.5703125" style="4" customWidth="1"/>
    <col min="1290" max="1290" width="9.85546875" style="4" customWidth="1"/>
    <col min="1291" max="1291" width="8.5703125" style="4" customWidth="1"/>
    <col min="1292" max="1292" width="50.5703125" style="4" bestFit="1" customWidth="1"/>
    <col min="1293" max="1293" width="14.28515625" style="4" customWidth="1"/>
    <col min="1294" max="1294" width="5.7109375" style="4" bestFit="1" customWidth="1"/>
    <col min="1295" max="1295" width="9.5703125" style="4" bestFit="1" customWidth="1"/>
    <col min="1296" max="1296" width="5.5703125" style="4" bestFit="1" customWidth="1"/>
    <col min="1297" max="1297" width="12.7109375" style="4" customWidth="1"/>
    <col min="1298" max="1298" width="9.140625" style="4"/>
    <col min="1299" max="1299" width="25.140625" style="4" customWidth="1"/>
    <col min="1300" max="1536" width="9.140625" style="4"/>
    <col min="1537" max="1537" width="5.85546875" style="4" customWidth="1"/>
    <col min="1538" max="1538" width="3.5703125" style="4" customWidth="1"/>
    <col min="1539" max="1539" width="40.5703125" style="4" customWidth="1"/>
    <col min="1540" max="1540" width="12.5703125" style="4" customWidth="1"/>
    <col min="1541" max="1541" width="5.7109375" style="4" customWidth="1"/>
    <col min="1542" max="1542" width="11" style="4" customWidth="1"/>
    <col min="1543" max="1543" width="5" style="4" customWidth="1"/>
    <col min="1544" max="1544" width="11.7109375" style="4" customWidth="1"/>
    <col min="1545" max="1545" width="21.5703125" style="4" customWidth="1"/>
    <col min="1546" max="1546" width="9.85546875" style="4" customWidth="1"/>
    <col min="1547" max="1547" width="8.5703125" style="4" customWidth="1"/>
    <col min="1548" max="1548" width="50.5703125" style="4" bestFit="1" customWidth="1"/>
    <col min="1549" max="1549" width="14.28515625" style="4" customWidth="1"/>
    <col min="1550" max="1550" width="5.7109375" style="4" bestFit="1" customWidth="1"/>
    <col min="1551" max="1551" width="9.5703125" style="4" bestFit="1" customWidth="1"/>
    <col min="1552" max="1552" width="5.5703125" style="4" bestFit="1" customWidth="1"/>
    <col min="1553" max="1553" width="12.7109375" style="4" customWidth="1"/>
    <col min="1554" max="1554" width="9.140625" style="4"/>
    <col min="1555" max="1555" width="25.140625" style="4" customWidth="1"/>
    <col min="1556" max="1792" width="9.140625" style="4"/>
    <col min="1793" max="1793" width="5.85546875" style="4" customWidth="1"/>
    <col min="1794" max="1794" width="3.5703125" style="4" customWidth="1"/>
    <col min="1795" max="1795" width="40.5703125" style="4" customWidth="1"/>
    <col min="1796" max="1796" width="12.5703125" style="4" customWidth="1"/>
    <col min="1797" max="1797" width="5.7109375" style="4" customWidth="1"/>
    <col min="1798" max="1798" width="11" style="4" customWidth="1"/>
    <col min="1799" max="1799" width="5" style="4" customWidth="1"/>
    <col min="1800" max="1800" width="11.7109375" style="4" customWidth="1"/>
    <col min="1801" max="1801" width="21.5703125" style="4" customWidth="1"/>
    <col min="1802" max="1802" width="9.85546875" style="4" customWidth="1"/>
    <col min="1803" max="1803" width="8.5703125" style="4" customWidth="1"/>
    <col min="1804" max="1804" width="50.5703125" style="4" bestFit="1" customWidth="1"/>
    <col min="1805" max="1805" width="14.28515625" style="4" customWidth="1"/>
    <col min="1806" max="1806" width="5.7109375" style="4" bestFit="1" customWidth="1"/>
    <col min="1807" max="1807" width="9.5703125" style="4" bestFit="1" customWidth="1"/>
    <col min="1808" max="1808" width="5.5703125" style="4" bestFit="1" customWidth="1"/>
    <col min="1809" max="1809" width="12.7109375" style="4" customWidth="1"/>
    <col min="1810" max="1810" width="9.140625" style="4"/>
    <col min="1811" max="1811" width="25.140625" style="4" customWidth="1"/>
    <col min="1812" max="2048" width="9.140625" style="4"/>
    <col min="2049" max="2049" width="5.85546875" style="4" customWidth="1"/>
    <col min="2050" max="2050" width="3.5703125" style="4" customWidth="1"/>
    <col min="2051" max="2051" width="40.5703125" style="4" customWidth="1"/>
    <col min="2052" max="2052" width="12.5703125" style="4" customWidth="1"/>
    <col min="2053" max="2053" width="5.7109375" style="4" customWidth="1"/>
    <col min="2054" max="2054" width="11" style="4" customWidth="1"/>
    <col min="2055" max="2055" width="5" style="4" customWidth="1"/>
    <col min="2056" max="2056" width="11.7109375" style="4" customWidth="1"/>
    <col min="2057" max="2057" width="21.5703125" style="4" customWidth="1"/>
    <col min="2058" max="2058" width="9.85546875" style="4" customWidth="1"/>
    <col min="2059" max="2059" width="8.5703125" style="4" customWidth="1"/>
    <col min="2060" max="2060" width="50.5703125" style="4" bestFit="1" customWidth="1"/>
    <col min="2061" max="2061" width="14.28515625" style="4" customWidth="1"/>
    <col min="2062" max="2062" width="5.7109375" style="4" bestFit="1" customWidth="1"/>
    <col min="2063" max="2063" width="9.5703125" style="4" bestFit="1" customWidth="1"/>
    <col min="2064" max="2064" width="5.5703125" style="4" bestFit="1" customWidth="1"/>
    <col min="2065" max="2065" width="12.7109375" style="4" customWidth="1"/>
    <col min="2066" max="2066" width="9.140625" style="4"/>
    <col min="2067" max="2067" width="25.140625" style="4" customWidth="1"/>
    <col min="2068" max="2304" width="9.140625" style="4"/>
    <col min="2305" max="2305" width="5.85546875" style="4" customWidth="1"/>
    <col min="2306" max="2306" width="3.5703125" style="4" customWidth="1"/>
    <col min="2307" max="2307" width="40.5703125" style="4" customWidth="1"/>
    <col min="2308" max="2308" width="12.5703125" style="4" customWidth="1"/>
    <col min="2309" max="2309" width="5.7109375" style="4" customWidth="1"/>
    <col min="2310" max="2310" width="11" style="4" customWidth="1"/>
    <col min="2311" max="2311" width="5" style="4" customWidth="1"/>
    <col min="2312" max="2312" width="11.7109375" style="4" customWidth="1"/>
    <col min="2313" max="2313" width="21.5703125" style="4" customWidth="1"/>
    <col min="2314" max="2314" width="9.85546875" style="4" customWidth="1"/>
    <col min="2315" max="2315" width="8.5703125" style="4" customWidth="1"/>
    <col min="2316" max="2316" width="50.5703125" style="4" bestFit="1" customWidth="1"/>
    <col min="2317" max="2317" width="14.28515625" style="4" customWidth="1"/>
    <col min="2318" max="2318" width="5.7109375" style="4" bestFit="1" customWidth="1"/>
    <col min="2319" max="2319" width="9.5703125" style="4" bestFit="1" customWidth="1"/>
    <col min="2320" max="2320" width="5.5703125" style="4" bestFit="1" customWidth="1"/>
    <col min="2321" max="2321" width="12.7109375" style="4" customWidth="1"/>
    <col min="2322" max="2322" width="9.140625" style="4"/>
    <col min="2323" max="2323" width="25.140625" style="4" customWidth="1"/>
    <col min="2324" max="2560" width="9.140625" style="4"/>
    <col min="2561" max="2561" width="5.85546875" style="4" customWidth="1"/>
    <col min="2562" max="2562" width="3.5703125" style="4" customWidth="1"/>
    <col min="2563" max="2563" width="40.5703125" style="4" customWidth="1"/>
    <col min="2564" max="2564" width="12.5703125" style="4" customWidth="1"/>
    <col min="2565" max="2565" width="5.7109375" style="4" customWidth="1"/>
    <col min="2566" max="2566" width="11" style="4" customWidth="1"/>
    <col min="2567" max="2567" width="5" style="4" customWidth="1"/>
    <col min="2568" max="2568" width="11.7109375" style="4" customWidth="1"/>
    <col min="2569" max="2569" width="21.5703125" style="4" customWidth="1"/>
    <col min="2570" max="2570" width="9.85546875" style="4" customWidth="1"/>
    <col min="2571" max="2571" width="8.5703125" style="4" customWidth="1"/>
    <col min="2572" max="2572" width="50.5703125" style="4" bestFit="1" customWidth="1"/>
    <col min="2573" max="2573" width="14.28515625" style="4" customWidth="1"/>
    <col min="2574" max="2574" width="5.7109375" style="4" bestFit="1" customWidth="1"/>
    <col min="2575" max="2575" width="9.5703125" style="4" bestFit="1" customWidth="1"/>
    <col min="2576" max="2576" width="5.5703125" style="4" bestFit="1" customWidth="1"/>
    <col min="2577" max="2577" width="12.7109375" style="4" customWidth="1"/>
    <col min="2578" max="2578" width="9.140625" style="4"/>
    <col min="2579" max="2579" width="25.140625" style="4" customWidth="1"/>
    <col min="2580" max="2816" width="9.140625" style="4"/>
    <col min="2817" max="2817" width="5.85546875" style="4" customWidth="1"/>
    <col min="2818" max="2818" width="3.5703125" style="4" customWidth="1"/>
    <col min="2819" max="2819" width="40.5703125" style="4" customWidth="1"/>
    <col min="2820" max="2820" width="12.5703125" style="4" customWidth="1"/>
    <col min="2821" max="2821" width="5.7109375" style="4" customWidth="1"/>
    <col min="2822" max="2822" width="11" style="4" customWidth="1"/>
    <col min="2823" max="2823" width="5" style="4" customWidth="1"/>
    <col min="2824" max="2824" width="11.7109375" style="4" customWidth="1"/>
    <col min="2825" max="2825" width="21.5703125" style="4" customWidth="1"/>
    <col min="2826" max="2826" width="9.85546875" style="4" customWidth="1"/>
    <col min="2827" max="2827" width="8.5703125" style="4" customWidth="1"/>
    <col min="2828" max="2828" width="50.5703125" style="4" bestFit="1" customWidth="1"/>
    <col min="2829" max="2829" width="14.28515625" style="4" customWidth="1"/>
    <col min="2830" max="2830" width="5.7109375" style="4" bestFit="1" customWidth="1"/>
    <col min="2831" max="2831" width="9.5703125" style="4" bestFit="1" customWidth="1"/>
    <col min="2832" max="2832" width="5.5703125" style="4" bestFit="1" customWidth="1"/>
    <col min="2833" max="2833" width="12.7109375" style="4" customWidth="1"/>
    <col min="2834" max="2834" width="9.140625" style="4"/>
    <col min="2835" max="2835" width="25.140625" style="4" customWidth="1"/>
    <col min="2836" max="3072" width="9.140625" style="4"/>
    <col min="3073" max="3073" width="5.85546875" style="4" customWidth="1"/>
    <col min="3074" max="3074" width="3.5703125" style="4" customWidth="1"/>
    <col min="3075" max="3075" width="40.5703125" style="4" customWidth="1"/>
    <col min="3076" max="3076" width="12.5703125" style="4" customWidth="1"/>
    <col min="3077" max="3077" width="5.7109375" style="4" customWidth="1"/>
    <col min="3078" max="3078" width="11" style="4" customWidth="1"/>
    <col min="3079" max="3079" width="5" style="4" customWidth="1"/>
    <col min="3080" max="3080" width="11.7109375" style="4" customWidth="1"/>
    <col min="3081" max="3081" width="21.5703125" style="4" customWidth="1"/>
    <col min="3082" max="3082" width="9.85546875" style="4" customWidth="1"/>
    <col min="3083" max="3083" width="8.5703125" style="4" customWidth="1"/>
    <col min="3084" max="3084" width="50.5703125" style="4" bestFit="1" customWidth="1"/>
    <col min="3085" max="3085" width="14.28515625" style="4" customWidth="1"/>
    <col min="3086" max="3086" width="5.7109375" style="4" bestFit="1" customWidth="1"/>
    <col min="3087" max="3087" width="9.5703125" style="4" bestFit="1" customWidth="1"/>
    <col min="3088" max="3088" width="5.5703125" style="4" bestFit="1" customWidth="1"/>
    <col min="3089" max="3089" width="12.7109375" style="4" customWidth="1"/>
    <col min="3090" max="3090" width="9.140625" style="4"/>
    <col min="3091" max="3091" width="25.140625" style="4" customWidth="1"/>
    <col min="3092" max="3328" width="9.140625" style="4"/>
    <col min="3329" max="3329" width="5.85546875" style="4" customWidth="1"/>
    <col min="3330" max="3330" width="3.5703125" style="4" customWidth="1"/>
    <col min="3331" max="3331" width="40.5703125" style="4" customWidth="1"/>
    <col min="3332" max="3332" width="12.5703125" style="4" customWidth="1"/>
    <col min="3333" max="3333" width="5.7109375" style="4" customWidth="1"/>
    <col min="3334" max="3334" width="11" style="4" customWidth="1"/>
    <col min="3335" max="3335" width="5" style="4" customWidth="1"/>
    <col min="3336" max="3336" width="11.7109375" style="4" customWidth="1"/>
    <col min="3337" max="3337" width="21.5703125" style="4" customWidth="1"/>
    <col min="3338" max="3338" width="9.85546875" style="4" customWidth="1"/>
    <col min="3339" max="3339" width="8.5703125" style="4" customWidth="1"/>
    <col min="3340" max="3340" width="50.5703125" style="4" bestFit="1" customWidth="1"/>
    <col min="3341" max="3341" width="14.28515625" style="4" customWidth="1"/>
    <col min="3342" max="3342" width="5.7109375" style="4" bestFit="1" customWidth="1"/>
    <col min="3343" max="3343" width="9.5703125" style="4" bestFit="1" customWidth="1"/>
    <col min="3344" max="3344" width="5.5703125" style="4" bestFit="1" customWidth="1"/>
    <col min="3345" max="3345" width="12.7109375" style="4" customWidth="1"/>
    <col min="3346" max="3346" width="9.140625" style="4"/>
    <col min="3347" max="3347" width="25.140625" style="4" customWidth="1"/>
    <col min="3348" max="3584" width="9.140625" style="4"/>
    <col min="3585" max="3585" width="5.85546875" style="4" customWidth="1"/>
    <col min="3586" max="3586" width="3.5703125" style="4" customWidth="1"/>
    <col min="3587" max="3587" width="40.5703125" style="4" customWidth="1"/>
    <col min="3588" max="3588" width="12.5703125" style="4" customWidth="1"/>
    <col min="3589" max="3589" width="5.7109375" style="4" customWidth="1"/>
    <col min="3590" max="3590" width="11" style="4" customWidth="1"/>
    <col min="3591" max="3591" width="5" style="4" customWidth="1"/>
    <col min="3592" max="3592" width="11.7109375" style="4" customWidth="1"/>
    <col min="3593" max="3593" width="21.5703125" style="4" customWidth="1"/>
    <col min="3594" max="3594" width="9.85546875" style="4" customWidth="1"/>
    <col min="3595" max="3595" width="8.5703125" style="4" customWidth="1"/>
    <col min="3596" max="3596" width="50.5703125" style="4" bestFit="1" customWidth="1"/>
    <col min="3597" max="3597" width="14.28515625" style="4" customWidth="1"/>
    <col min="3598" max="3598" width="5.7109375" style="4" bestFit="1" customWidth="1"/>
    <col min="3599" max="3599" width="9.5703125" style="4" bestFit="1" customWidth="1"/>
    <col min="3600" max="3600" width="5.5703125" style="4" bestFit="1" customWidth="1"/>
    <col min="3601" max="3601" width="12.7109375" style="4" customWidth="1"/>
    <col min="3602" max="3602" width="9.140625" style="4"/>
    <col min="3603" max="3603" width="25.140625" style="4" customWidth="1"/>
    <col min="3604" max="3840" width="9.140625" style="4"/>
    <col min="3841" max="3841" width="5.85546875" style="4" customWidth="1"/>
    <col min="3842" max="3842" width="3.5703125" style="4" customWidth="1"/>
    <col min="3843" max="3843" width="40.5703125" style="4" customWidth="1"/>
    <col min="3844" max="3844" width="12.5703125" style="4" customWidth="1"/>
    <col min="3845" max="3845" width="5.7109375" style="4" customWidth="1"/>
    <col min="3846" max="3846" width="11" style="4" customWidth="1"/>
    <col min="3847" max="3847" width="5" style="4" customWidth="1"/>
    <col min="3848" max="3848" width="11.7109375" style="4" customWidth="1"/>
    <col min="3849" max="3849" width="21.5703125" style="4" customWidth="1"/>
    <col min="3850" max="3850" width="9.85546875" style="4" customWidth="1"/>
    <col min="3851" max="3851" width="8.5703125" style="4" customWidth="1"/>
    <col min="3852" max="3852" width="50.5703125" style="4" bestFit="1" customWidth="1"/>
    <col min="3853" max="3853" width="14.28515625" style="4" customWidth="1"/>
    <col min="3854" max="3854" width="5.7109375" style="4" bestFit="1" customWidth="1"/>
    <col min="3855" max="3855" width="9.5703125" style="4" bestFit="1" customWidth="1"/>
    <col min="3856" max="3856" width="5.5703125" style="4" bestFit="1" customWidth="1"/>
    <col min="3857" max="3857" width="12.7109375" style="4" customWidth="1"/>
    <col min="3858" max="3858" width="9.140625" style="4"/>
    <col min="3859" max="3859" width="25.140625" style="4" customWidth="1"/>
    <col min="3860" max="4096" width="9.140625" style="4"/>
    <col min="4097" max="4097" width="5.85546875" style="4" customWidth="1"/>
    <col min="4098" max="4098" width="3.5703125" style="4" customWidth="1"/>
    <col min="4099" max="4099" width="40.5703125" style="4" customWidth="1"/>
    <col min="4100" max="4100" width="12.5703125" style="4" customWidth="1"/>
    <col min="4101" max="4101" width="5.7109375" style="4" customWidth="1"/>
    <col min="4102" max="4102" width="11" style="4" customWidth="1"/>
    <col min="4103" max="4103" width="5" style="4" customWidth="1"/>
    <col min="4104" max="4104" width="11.7109375" style="4" customWidth="1"/>
    <col min="4105" max="4105" width="21.5703125" style="4" customWidth="1"/>
    <col min="4106" max="4106" width="9.85546875" style="4" customWidth="1"/>
    <col min="4107" max="4107" width="8.5703125" style="4" customWidth="1"/>
    <col min="4108" max="4108" width="50.5703125" style="4" bestFit="1" customWidth="1"/>
    <col min="4109" max="4109" width="14.28515625" style="4" customWidth="1"/>
    <col min="4110" max="4110" width="5.7109375" style="4" bestFit="1" customWidth="1"/>
    <col min="4111" max="4111" width="9.5703125" style="4" bestFit="1" customWidth="1"/>
    <col min="4112" max="4112" width="5.5703125" style="4" bestFit="1" customWidth="1"/>
    <col min="4113" max="4113" width="12.7109375" style="4" customWidth="1"/>
    <col min="4114" max="4114" width="9.140625" style="4"/>
    <col min="4115" max="4115" width="25.140625" style="4" customWidth="1"/>
    <col min="4116" max="4352" width="9.140625" style="4"/>
    <col min="4353" max="4353" width="5.85546875" style="4" customWidth="1"/>
    <col min="4354" max="4354" width="3.5703125" style="4" customWidth="1"/>
    <col min="4355" max="4355" width="40.5703125" style="4" customWidth="1"/>
    <col min="4356" max="4356" width="12.5703125" style="4" customWidth="1"/>
    <col min="4357" max="4357" width="5.7109375" style="4" customWidth="1"/>
    <col min="4358" max="4358" width="11" style="4" customWidth="1"/>
    <col min="4359" max="4359" width="5" style="4" customWidth="1"/>
    <col min="4360" max="4360" width="11.7109375" style="4" customWidth="1"/>
    <col min="4361" max="4361" width="21.5703125" style="4" customWidth="1"/>
    <col min="4362" max="4362" width="9.85546875" style="4" customWidth="1"/>
    <col min="4363" max="4363" width="8.5703125" style="4" customWidth="1"/>
    <col min="4364" max="4364" width="50.5703125" style="4" bestFit="1" customWidth="1"/>
    <col min="4365" max="4365" width="14.28515625" style="4" customWidth="1"/>
    <col min="4366" max="4366" width="5.7109375" style="4" bestFit="1" customWidth="1"/>
    <col min="4367" max="4367" width="9.5703125" style="4" bestFit="1" customWidth="1"/>
    <col min="4368" max="4368" width="5.5703125" style="4" bestFit="1" customWidth="1"/>
    <col min="4369" max="4369" width="12.7109375" style="4" customWidth="1"/>
    <col min="4370" max="4370" width="9.140625" style="4"/>
    <col min="4371" max="4371" width="25.140625" style="4" customWidth="1"/>
    <col min="4372" max="4608" width="9.140625" style="4"/>
    <col min="4609" max="4609" width="5.85546875" style="4" customWidth="1"/>
    <col min="4610" max="4610" width="3.5703125" style="4" customWidth="1"/>
    <col min="4611" max="4611" width="40.5703125" style="4" customWidth="1"/>
    <col min="4612" max="4612" width="12.5703125" style="4" customWidth="1"/>
    <col min="4613" max="4613" width="5.7109375" style="4" customWidth="1"/>
    <col min="4614" max="4614" width="11" style="4" customWidth="1"/>
    <col min="4615" max="4615" width="5" style="4" customWidth="1"/>
    <col min="4616" max="4616" width="11.7109375" style="4" customWidth="1"/>
    <col min="4617" max="4617" width="21.5703125" style="4" customWidth="1"/>
    <col min="4618" max="4618" width="9.85546875" style="4" customWidth="1"/>
    <col min="4619" max="4619" width="8.5703125" style="4" customWidth="1"/>
    <col min="4620" max="4620" width="50.5703125" style="4" bestFit="1" customWidth="1"/>
    <col min="4621" max="4621" width="14.28515625" style="4" customWidth="1"/>
    <col min="4622" max="4622" width="5.7109375" style="4" bestFit="1" customWidth="1"/>
    <col min="4623" max="4623" width="9.5703125" style="4" bestFit="1" customWidth="1"/>
    <col min="4624" max="4624" width="5.5703125" style="4" bestFit="1" customWidth="1"/>
    <col min="4625" max="4625" width="12.7109375" style="4" customWidth="1"/>
    <col min="4626" max="4626" width="9.140625" style="4"/>
    <col min="4627" max="4627" width="25.140625" style="4" customWidth="1"/>
    <col min="4628" max="4864" width="9.140625" style="4"/>
    <col min="4865" max="4865" width="5.85546875" style="4" customWidth="1"/>
    <col min="4866" max="4866" width="3.5703125" style="4" customWidth="1"/>
    <col min="4867" max="4867" width="40.5703125" style="4" customWidth="1"/>
    <col min="4868" max="4868" width="12.5703125" style="4" customWidth="1"/>
    <col min="4869" max="4869" width="5.7109375" style="4" customWidth="1"/>
    <col min="4870" max="4870" width="11" style="4" customWidth="1"/>
    <col min="4871" max="4871" width="5" style="4" customWidth="1"/>
    <col min="4872" max="4872" width="11.7109375" style="4" customWidth="1"/>
    <col min="4873" max="4873" width="21.5703125" style="4" customWidth="1"/>
    <col min="4874" max="4874" width="9.85546875" style="4" customWidth="1"/>
    <col min="4875" max="4875" width="8.5703125" style="4" customWidth="1"/>
    <col min="4876" max="4876" width="50.5703125" style="4" bestFit="1" customWidth="1"/>
    <col min="4877" max="4877" width="14.28515625" style="4" customWidth="1"/>
    <col min="4878" max="4878" width="5.7109375" style="4" bestFit="1" customWidth="1"/>
    <col min="4879" max="4879" width="9.5703125" style="4" bestFit="1" customWidth="1"/>
    <col min="4880" max="4880" width="5.5703125" style="4" bestFit="1" customWidth="1"/>
    <col min="4881" max="4881" width="12.7109375" style="4" customWidth="1"/>
    <col min="4882" max="4882" width="9.140625" style="4"/>
    <col min="4883" max="4883" width="25.140625" style="4" customWidth="1"/>
    <col min="4884" max="5120" width="9.140625" style="4"/>
    <col min="5121" max="5121" width="5.85546875" style="4" customWidth="1"/>
    <col min="5122" max="5122" width="3.5703125" style="4" customWidth="1"/>
    <col min="5123" max="5123" width="40.5703125" style="4" customWidth="1"/>
    <col min="5124" max="5124" width="12.5703125" style="4" customWidth="1"/>
    <col min="5125" max="5125" width="5.7109375" style="4" customWidth="1"/>
    <col min="5126" max="5126" width="11" style="4" customWidth="1"/>
    <col min="5127" max="5127" width="5" style="4" customWidth="1"/>
    <col min="5128" max="5128" width="11.7109375" style="4" customWidth="1"/>
    <col min="5129" max="5129" width="21.5703125" style="4" customWidth="1"/>
    <col min="5130" max="5130" width="9.85546875" style="4" customWidth="1"/>
    <col min="5131" max="5131" width="8.5703125" style="4" customWidth="1"/>
    <col min="5132" max="5132" width="50.5703125" style="4" bestFit="1" customWidth="1"/>
    <col min="5133" max="5133" width="14.28515625" style="4" customWidth="1"/>
    <col min="5134" max="5134" width="5.7109375" style="4" bestFit="1" customWidth="1"/>
    <col min="5135" max="5135" width="9.5703125" style="4" bestFit="1" customWidth="1"/>
    <col min="5136" max="5136" width="5.5703125" style="4" bestFit="1" customWidth="1"/>
    <col min="5137" max="5137" width="12.7109375" style="4" customWidth="1"/>
    <col min="5138" max="5138" width="9.140625" style="4"/>
    <col min="5139" max="5139" width="25.140625" style="4" customWidth="1"/>
    <col min="5140" max="5376" width="9.140625" style="4"/>
    <col min="5377" max="5377" width="5.85546875" style="4" customWidth="1"/>
    <col min="5378" max="5378" width="3.5703125" style="4" customWidth="1"/>
    <col min="5379" max="5379" width="40.5703125" style="4" customWidth="1"/>
    <col min="5380" max="5380" width="12.5703125" style="4" customWidth="1"/>
    <col min="5381" max="5381" width="5.7109375" style="4" customWidth="1"/>
    <col min="5382" max="5382" width="11" style="4" customWidth="1"/>
    <col min="5383" max="5383" width="5" style="4" customWidth="1"/>
    <col min="5384" max="5384" width="11.7109375" style="4" customWidth="1"/>
    <col min="5385" max="5385" width="21.5703125" style="4" customWidth="1"/>
    <col min="5386" max="5386" width="9.85546875" style="4" customWidth="1"/>
    <col min="5387" max="5387" width="8.5703125" style="4" customWidth="1"/>
    <col min="5388" max="5388" width="50.5703125" style="4" bestFit="1" customWidth="1"/>
    <col min="5389" max="5389" width="14.28515625" style="4" customWidth="1"/>
    <col min="5390" max="5390" width="5.7109375" style="4" bestFit="1" customWidth="1"/>
    <col min="5391" max="5391" width="9.5703125" style="4" bestFit="1" customWidth="1"/>
    <col min="5392" max="5392" width="5.5703125" style="4" bestFit="1" customWidth="1"/>
    <col min="5393" max="5393" width="12.7109375" style="4" customWidth="1"/>
    <col min="5394" max="5394" width="9.140625" style="4"/>
    <col min="5395" max="5395" width="25.140625" style="4" customWidth="1"/>
    <col min="5396" max="5632" width="9.140625" style="4"/>
    <col min="5633" max="5633" width="5.85546875" style="4" customWidth="1"/>
    <col min="5634" max="5634" width="3.5703125" style="4" customWidth="1"/>
    <col min="5635" max="5635" width="40.5703125" style="4" customWidth="1"/>
    <col min="5636" max="5636" width="12.5703125" style="4" customWidth="1"/>
    <col min="5637" max="5637" width="5.7109375" style="4" customWidth="1"/>
    <col min="5638" max="5638" width="11" style="4" customWidth="1"/>
    <col min="5639" max="5639" width="5" style="4" customWidth="1"/>
    <col min="5640" max="5640" width="11.7109375" style="4" customWidth="1"/>
    <col min="5641" max="5641" width="21.5703125" style="4" customWidth="1"/>
    <col min="5642" max="5642" width="9.85546875" style="4" customWidth="1"/>
    <col min="5643" max="5643" width="8.5703125" style="4" customWidth="1"/>
    <col min="5644" max="5644" width="50.5703125" style="4" bestFit="1" customWidth="1"/>
    <col min="5645" max="5645" width="14.28515625" style="4" customWidth="1"/>
    <col min="5646" max="5646" width="5.7109375" style="4" bestFit="1" customWidth="1"/>
    <col min="5647" max="5647" width="9.5703125" style="4" bestFit="1" customWidth="1"/>
    <col min="5648" max="5648" width="5.5703125" style="4" bestFit="1" customWidth="1"/>
    <col min="5649" max="5649" width="12.7109375" style="4" customWidth="1"/>
    <col min="5650" max="5650" width="9.140625" style="4"/>
    <col min="5651" max="5651" width="25.140625" style="4" customWidth="1"/>
    <col min="5652" max="5888" width="9.140625" style="4"/>
    <col min="5889" max="5889" width="5.85546875" style="4" customWidth="1"/>
    <col min="5890" max="5890" width="3.5703125" style="4" customWidth="1"/>
    <col min="5891" max="5891" width="40.5703125" style="4" customWidth="1"/>
    <col min="5892" max="5892" width="12.5703125" style="4" customWidth="1"/>
    <col min="5893" max="5893" width="5.7109375" style="4" customWidth="1"/>
    <col min="5894" max="5894" width="11" style="4" customWidth="1"/>
    <col min="5895" max="5895" width="5" style="4" customWidth="1"/>
    <col min="5896" max="5896" width="11.7109375" style="4" customWidth="1"/>
    <col min="5897" max="5897" width="21.5703125" style="4" customWidth="1"/>
    <col min="5898" max="5898" width="9.85546875" style="4" customWidth="1"/>
    <col min="5899" max="5899" width="8.5703125" style="4" customWidth="1"/>
    <col min="5900" max="5900" width="50.5703125" style="4" bestFit="1" customWidth="1"/>
    <col min="5901" max="5901" width="14.28515625" style="4" customWidth="1"/>
    <col min="5902" max="5902" width="5.7109375" style="4" bestFit="1" customWidth="1"/>
    <col min="5903" max="5903" width="9.5703125" style="4" bestFit="1" customWidth="1"/>
    <col min="5904" max="5904" width="5.5703125" style="4" bestFit="1" customWidth="1"/>
    <col min="5905" max="5905" width="12.7109375" style="4" customWidth="1"/>
    <col min="5906" max="5906" width="9.140625" style="4"/>
    <col min="5907" max="5907" width="25.140625" style="4" customWidth="1"/>
    <col min="5908" max="6144" width="9.140625" style="4"/>
    <col min="6145" max="6145" width="5.85546875" style="4" customWidth="1"/>
    <col min="6146" max="6146" width="3.5703125" style="4" customWidth="1"/>
    <col min="6147" max="6147" width="40.5703125" style="4" customWidth="1"/>
    <col min="6148" max="6148" width="12.5703125" style="4" customWidth="1"/>
    <col min="6149" max="6149" width="5.7109375" style="4" customWidth="1"/>
    <col min="6150" max="6150" width="11" style="4" customWidth="1"/>
    <col min="6151" max="6151" width="5" style="4" customWidth="1"/>
    <col min="6152" max="6152" width="11.7109375" style="4" customWidth="1"/>
    <col min="6153" max="6153" width="21.5703125" style="4" customWidth="1"/>
    <col min="6154" max="6154" width="9.85546875" style="4" customWidth="1"/>
    <col min="6155" max="6155" width="8.5703125" style="4" customWidth="1"/>
    <col min="6156" max="6156" width="50.5703125" style="4" bestFit="1" customWidth="1"/>
    <col min="6157" max="6157" width="14.28515625" style="4" customWidth="1"/>
    <col min="6158" max="6158" width="5.7109375" style="4" bestFit="1" customWidth="1"/>
    <col min="6159" max="6159" width="9.5703125" style="4" bestFit="1" customWidth="1"/>
    <col min="6160" max="6160" width="5.5703125" style="4" bestFit="1" customWidth="1"/>
    <col min="6161" max="6161" width="12.7109375" style="4" customWidth="1"/>
    <col min="6162" max="6162" width="9.140625" style="4"/>
    <col min="6163" max="6163" width="25.140625" style="4" customWidth="1"/>
    <col min="6164" max="6400" width="9.140625" style="4"/>
    <col min="6401" max="6401" width="5.85546875" style="4" customWidth="1"/>
    <col min="6402" max="6402" width="3.5703125" style="4" customWidth="1"/>
    <col min="6403" max="6403" width="40.5703125" style="4" customWidth="1"/>
    <col min="6404" max="6404" width="12.5703125" style="4" customWidth="1"/>
    <col min="6405" max="6405" width="5.7109375" style="4" customWidth="1"/>
    <col min="6406" max="6406" width="11" style="4" customWidth="1"/>
    <col min="6407" max="6407" width="5" style="4" customWidth="1"/>
    <col min="6408" max="6408" width="11.7109375" style="4" customWidth="1"/>
    <col min="6409" max="6409" width="21.5703125" style="4" customWidth="1"/>
    <col min="6410" max="6410" width="9.85546875" style="4" customWidth="1"/>
    <col min="6411" max="6411" width="8.5703125" style="4" customWidth="1"/>
    <col min="6412" max="6412" width="50.5703125" style="4" bestFit="1" customWidth="1"/>
    <col min="6413" max="6413" width="14.28515625" style="4" customWidth="1"/>
    <col min="6414" max="6414" width="5.7109375" style="4" bestFit="1" customWidth="1"/>
    <col min="6415" max="6415" width="9.5703125" style="4" bestFit="1" customWidth="1"/>
    <col min="6416" max="6416" width="5.5703125" style="4" bestFit="1" customWidth="1"/>
    <col min="6417" max="6417" width="12.7109375" style="4" customWidth="1"/>
    <col min="6418" max="6418" width="9.140625" style="4"/>
    <col min="6419" max="6419" width="25.140625" style="4" customWidth="1"/>
    <col min="6420" max="6656" width="9.140625" style="4"/>
    <col min="6657" max="6657" width="5.85546875" style="4" customWidth="1"/>
    <col min="6658" max="6658" width="3.5703125" style="4" customWidth="1"/>
    <col min="6659" max="6659" width="40.5703125" style="4" customWidth="1"/>
    <col min="6660" max="6660" width="12.5703125" style="4" customWidth="1"/>
    <col min="6661" max="6661" width="5.7109375" style="4" customWidth="1"/>
    <col min="6662" max="6662" width="11" style="4" customWidth="1"/>
    <col min="6663" max="6663" width="5" style="4" customWidth="1"/>
    <col min="6664" max="6664" width="11.7109375" style="4" customWidth="1"/>
    <col min="6665" max="6665" width="21.5703125" style="4" customWidth="1"/>
    <col min="6666" max="6666" width="9.85546875" style="4" customWidth="1"/>
    <col min="6667" max="6667" width="8.5703125" style="4" customWidth="1"/>
    <col min="6668" max="6668" width="50.5703125" style="4" bestFit="1" customWidth="1"/>
    <col min="6669" max="6669" width="14.28515625" style="4" customWidth="1"/>
    <col min="6670" max="6670" width="5.7109375" style="4" bestFit="1" customWidth="1"/>
    <col min="6671" max="6671" width="9.5703125" style="4" bestFit="1" customWidth="1"/>
    <col min="6672" max="6672" width="5.5703125" style="4" bestFit="1" customWidth="1"/>
    <col min="6673" max="6673" width="12.7109375" style="4" customWidth="1"/>
    <col min="6674" max="6674" width="9.140625" style="4"/>
    <col min="6675" max="6675" width="25.140625" style="4" customWidth="1"/>
    <col min="6676" max="6912" width="9.140625" style="4"/>
    <col min="6913" max="6913" width="5.85546875" style="4" customWidth="1"/>
    <col min="6914" max="6914" width="3.5703125" style="4" customWidth="1"/>
    <col min="6915" max="6915" width="40.5703125" style="4" customWidth="1"/>
    <col min="6916" max="6916" width="12.5703125" style="4" customWidth="1"/>
    <col min="6917" max="6917" width="5.7109375" style="4" customWidth="1"/>
    <col min="6918" max="6918" width="11" style="4" customWidth="1"/>
    <col min="6919" max="6919" width="5" style="4" customWidth="1"/>
    <col min="6920" max="6920" width="11.7109375" style="4" customWidth="1"/>
    <col min="6921" max="6921" width="21.5703125" style="4" customWidth="1"/>
    <col min="6922" max="6922" width="9.85546875" style="4" customWidth="1"/>
    <col min="6923" max="6923" width="8.5703125" style="4" customWidth="1"/>
    <col min="6924" max="6924" width="50.5703125" style="4" bestFit="1" customWidth="1"/>
    <col min="6925" max="6925" width="14.28515625" style="4" customWidth="1"/>
    <col min="6926" max="6926" width="5.7109375" style="4" bestFit="1" customWidth="1"/>
    <col min="6927" max="6927" width="9.5703125" style="4" bestFit="1" customWidth="1"/>
    <col min="6928" max="6928" width="5.5703125" style="4" bestFit="1" customWidth="1"/>
    <col min="6929" max="6929" width="12.7109375" style="4" customWidth="1"/>
    <col min="6930" max="6930" width="9.140625" style="4"/>
    <col min="6931" max="6931" width="25.140625" style="4" customWidth="1"/>
    <col min="6932" max="7168" width="9.140625" style="4"/>
    <col min="7169" max="7169" width="5.85546875" style="4" customWidth="1"/>
    <col min="7170" max="7170" width="3.5703125" style="4" customWidth="1"/>
    <col min="7171" max="7171" width="40.5703125" style="4" customWidth="1"/>
    <col min="7172" max="7172" width="12.5703125" style="4" customWidth="1"/>
    <col min="7173" max="7173" width="5.7109375" style="4" customWidth="1"/>
    <col min="7174" max="7174" width="11" style="4" customWidth="1"/>
    <col min="7175" max="7175" width="5" style="4" customWidth="1"/>
    <col min="7176" max="7176" width="11.7109375" style="4" customWidth="1"/>
    <col min="7177" max="7177" width="21.5703125" style="4" customWidth="1"/>
    <col min="7178" max="7178" width="9.85546875" style="4" customWidth="1"/>
    <col min="7179" max="7179" width="8.5703125" style="4" customWidth="1"/>
    <col min="7180" max="7180" width="50.5703125" style="4" bestFit="1" customWidth="1"/>
    <col min="7181" max="7181" width="14.28515625" style="4" customWidth="1"/>
    <col min="7182" max="7182" width="5.7109375" style="4" bestFit="1" customWidth="1"/>
    <col min="7183" max="7183" width="9.5703125" style="4" bestFit="1" customWidth="1"/>
    <col min="7184" max="7184" width="5.5703125" style="4" bestFit="1" customWidth="1"/>
    <col min="7185" max="7185" width="12.7109375" style="4" customWidth="1"/>
    <col min="7186" max="7186" width="9.140625" style="4"/>
    <col min="7187" max="7187" width="25.140625" style="4" customWidth="1"/>
    <col min="7188" max="7424" width="9.140625" style="4"/>
    <col min="7425" max="7425" width="5.85546875" style="4" customWidth="1"/>
    <col min="7426" max="7426" width="3.5703125" style="4" customWidth="1"/>
    <col min="7427" max="7427" width="40.5703125" style="4" customWidth="1"/>
    <col min="7428" max="7428" width="12.5703125" style="4" customWidth="1"/>
    <col min="7429" max="7429" width="5.7109375" style="4" customWidth="1"/>
    <col min="7430" max="7430" width="11" style="4" customWidth="1"/>
    <col min="7431" max="7431" width="5" style="4" customWidth="1"/>
    <col min="7432" max="7432" width="11.7109375" style="4" customWidth="1"/>
    <col min="7433" max="7433" width="21.5703125" style="4" customWidth="1"/>
    <col min="7434" max="7434" width="9.85546875" style="4" customWidth="1"/>
    <col min="7435" max="7435" width="8.5703125" style="4" customWidth="1"/>
    <col min="7436" max="7436" width="50.5703125" style="4" bestFit="1" customWidth="1"/>
    <col min="7437" max="7437" width="14.28515625" style="4" customWidth="1"/>
    <col min="7438" max="7438" width="5.7109375" style="4" bestFit="1" customWidth="1"/>
    <col min="7439" max="7439" width="9.5703125" style="4" bestFit="1" customWidth="1"/>
    <col min="7440" max="7440" width="5.5703125" style="4" bestFit="1" customWidth="1"/>
    <col min="7441" max="7441" width="12.7109375" style="4" customWidth="1"/>
    <col min="7442" max="7442" width="9.140625" style="4"/>
    <col min="7443" max="7443" width="25.140625" style="4" customWidth="1"/>
    <col min="7444" max="7680" width="9.140625" style="4"/>
    <col min="7681" max="7681" width="5.85546875" style="4" customWidth="1"/>
    <col min="7682" max="7682" width="3.5703125" style="4" customWidth="1"/>
    <col min="7683" max="7683" width="40.5703125" style="4" customWidth="1"/>
    <col min="7684" max="7684" width="12.5703125" style="4" customWidth="1"/>
    <col min="7685" max="7685" width="5.7109375" style="4" customWidth="1"/>
    <col min="7686" max="7686" width="11" style="4" customWidth="1"/>
    <col min="7687" max="7687" width="5" style="4" customWidth="1"/>
    <col min="7688" max="7688" width="11.7109375" style="4" customWidth="1"/>
    <col min="7689" max="7689" width="21.5703125" style="4" customWidth="1"/>
    <col min="7690" max="7690" width="9.85546875" style="4" customWidth="1"/>
    <col min="7691" max="7691" width="8.5703125" style="4" customWidth="1"/>
    <col min="7692" max="7692" width="50.5703125" style="4" bestFit="1" customWidth="1"/>
    <col min="7693" max="7693" width="14.28515625" style="4" customWidth="1"/>
    <col min="7694" max="7694" width="5.7109375" style="4" bestFit="1" customWidth="1"/>
    <col min="7695" max="7695" width="9.5703125" style="4" bestFit="1" customWidth="1"/>
    <col min="7696" max="7696" width="5.5703125" style="4" bestFit="1" customWidth="1"/>
    <col min="7697" max="7697" width="12.7109375" style="4" customWidth="1"/>
    <col min="7698" max="7698" width="9.140625" style="4"/>
    <col min="7699" max="7699" width="25.140625" style="4" customWidth="1"/>
    <col min="7700" max="7936" width="9.140625" style="4"/>
    <col min="7937" max="7937" width="5.85546875" style="4" customWidth="1"/>
    <col min="7938" max="7938" width="3.5703125" style="4" customWidth="1"/>
    <col min="7939" max="7939" width="40.5703125" style="4" customWidth="1"/>
    <col min="7940" max="7940" width="12.5703125" style="4" customWidth="1"/>
    <col min="7941" max="7941" width="5.7109375" style="4" customWidth="1"/>
    <col min="7942" max="7942" width="11" style="4" customWidth="1"/>
    <col min="7943" max="7943" width="5" style="4" customWidth="1"/>
    <col min="7944" max="7944" width="11.7109375" style="4" customWidth="1"/>
    <col min="7945" max="7945" width="21.5703125" style="4" customWidth="1"/>
    <col min="7946" max="7946" width="9.85546875" style="4" customWidth="1"/>
    <col min="7947" max="7947" width="8.5703125" style="4" customWidth="1"/>
    <col min="7948" max="7948" width="50.5703125" style="4" bestFit="1" customWidth="1"/>
    <col min="7949" max="7949" width="14.28515625" style="4" customWidth="1"/>
    <col min="7950" max="7950" width="5.7109375" style="4" bestFit="1" customWidth="1"/>
    <col min="7951" max="7951" width="9.5703125" style="4" bestFit="1" customWidth="1"/>
    <col min="7952" max="7952" width="5.5703125" style="4" bestFit="1" customWidth="1"/>
    <col min="7953" max="7953" width="12.7109375" style="4" customWidth="1"/>
    <col min="7954" max="7954" width="9.140625" style="4"/>
    <col min="7955" max="7955" width="25.140625" style="4" customWidth="1"/>
    <col min="7956" max="8192" width="9.140625" style="4"/>
    <col min="8193" max="8193" width="5.85546875" style="4" customWidth="1"/>
    <col min="8194" max="8194" width="3.5703125" style="4" customWidth="1"/>
    <col min="8195" max="8195" width="40.5703125" style="4" customWidth="1"/>
    <col min="8196" max="8196" width="12.5703125" style="4" customWidth="1"/>
    <col min="8197" max="8197" width="5.7109375" style="4" customWidth="1"/>
    <col min="8198" max="8198" width="11" style="4" customWidth="1"/>
    <col min="8199" max="8199" width="5" style="4" customWidth="1"/>
    <col min="8200" max="8200" width="11.7109375" style="4" customWidth="1"/>
    <col min="8201" max="8201" width="21.5703125" style="4" customWidth="1"/>
    <col min="8202" max="8202" width="9.85546875" style="4" customWidth="1"/>
    <col min="8203" max="8203" width="8.5703125" style="4" customWidth="1"/>
    <col min="8204" max="8204" width="50.5703125" style="4" bestFit="1" customWidth="1"/>
    <col min="8205" max="8205" width="14.28515625" style="4" customWidth="1"/>
    <col min="8206" max="8206" width="5.7109375" style="4" bestFit="1" customWidth="1"/>
    <col min="8207" max="8207" width="9.5703125" style="4" bestFit="1" customWidth="1"/>
    <col min="8208" max="8208" width="5.5703125" style="4" bestFit="1" customWidth="1"/>
    <col min="8209" max="8209" width="12.7109375" style="4" customWidth="1"/>
    <col min="8210" max="8210" width="9.140625" style="4"/>
    <col min="8211" max="8211" width="25.140625" style="4" customWidth="1"/>
    <col min="8212" max="8448" width="9.140625" style="4"/>
    <col min="8449" max="8449" width="5.85546875" style="4" customWidth="1"/>
    <col min="8450" max="8450" width="3.5703125" style="4" customWidth="1"/>
    <col min="8451" max="8451" width="40.5703125" style="4" customWidth="1"/>
    <col min="8452" max="8452" width="12.5703125" style="4" customWidth="1"/>
    <col min="8453" max="8453" width="5.7109375" style="4" customWidth="1"/>
    <col min="8454" max="8454" width="11" style="4" customWidth="1"/>
    <col min="8455" max="8455" width="5" style="4" customWidth="1"/>
    <col min="8456" max="8456" width="11.7109375" style="4" customWidth="1"/>
    <col min="8457" max="8457" width="21.5703125" style="4" customWidth="1"/>
    <col min="8458" max="8458" width="9.85546875" style="4" customWidth="1"/>
    <col min="8459" max="8459" width="8.5703125" style="4" customWidth="1"/>
    <col min="8460" max="8460" width="50.5703125" style="4" bestFit="1" customWidth="1"/>
    <col min="8461" max="8461" width="14.28515625" style="4" customWidth="1"/>
    <col min="8462" max="8462" width="5.7109375" style="4" bestFit="1" customWidth="1"/>
    <col min="8463" max="8463" width="9.5703125" style="4" bestFit="1" customWidth="1"/>
    <col min="8464" max="8464" width="5.5703125" style="4" bestFit="1" customWidth="1"/>
    <col min="8465" max="8465" width="12.7109375" style="4" customWidth="1"/>
    <col min="8466" max="8466" width="9.140625" style="4"/>
    <col min="8467" max="8467" width="25.140625" style="4" customWidth="1"/>
    <col min="8468" max="8704" width="9.140625" style="4"/>
    <col min="8705" max="8705" width="5.85546875" style="4" customWidth="1"/>
    <col min="8706" max="8706" width="3.5703125" style="4" customWidth="1"/>
    <col min="8707" max="8707" width="40.5703125" style="4" customWidth="1"/>
    <col min="8708" max="8708" width="12.5703125" style="4" customWidth="1"/>
    <col min="8709" max="8709" width="5.7109375" style="4" customWidth="1"/>
    <col min="8710" max="8710" width="11" style="4" customWidth="1"/>
    <col min="8711" max="8711" width="5" style="4" customWidth="1"/>
    <col min="8712" max="8712" width="11.7109375" style="4" customWidth="1"/>
    <col min="8713" max="8713" width="21.5703125" style="4" customWidth="1"/>
    <col min="8714" max="8714" width="9.85546875" style="4" customWidth="1"/>
    <col min="8715" max="8715" width="8.5703125" style="4" customWidth="1"/>
    <col min="8716" max="8716" width="50.5703125" style="4" bestFit="1" customWidth="1"/>
    <col min="8717" max="8717" width="14.28515625" style="4" customWidth="1"/>
    <col min="8718" max="8718" width="5.7109375" style="4" bestFit="1" customWidth="1"/>
    <col min="8719" max="8719" width="9.5703125" style="4" bestFit="1" customWidth="1"/>
    <col min="8720" max="8720" width="5.5703125" style="4" bestFit="1" customWidth="1"/>
    <col min="8721" max="8721" width="12.7109375" style="4" customWidth="1"/>
    <col min="8722" max="8722" width="9.140625" style="4"/>
    <col min="8723" max="8723" width="25.140625" style="4" customWidth="1"/>
    <col min="8724" max="8960" width="9.140625" style="4"/>
    <col min="8961" max="8961" width="5.85546875" style="4" customWidth="1"/>
    <col min="8962" max="8962" width="3.5703125" style="4" customWidth="1"/>
    <col min="8963" max="8963" width="40.5703125" style="4" customWidth="1"/>
    <col min="8964" max="8964" width="12.5703125" style="4" customWidth="1"/>
    <col min="8965" max="8965" width="5.7109375" style="4" customWidth="1"/>
    <col min="8966" max="8966" width="11" style="4" customWidth="1"/>
    <col min="8967" max="8967" width="5" style="4" customWidth="1"/>
    <col min="8968" max="8968" width="11.7109375" style="4" customWidth="1"/>
    <col min="8969" max="8969" width="21.5703125" style="4" customWidth="1"/>
    <col min="8970" max="8970" width="9.85546875" style="4" customWidth="1"/>
    <col min="8971" max="8971" width="8.5703125" style="4" customWidth="1"/>
    <col min="8972" max="8972" width="50.5703125" style="4" bestFit="1" customWidth="1"/>
    <col min="8973" max="8973" width="14.28515625" style="4" customWidth="1"/>
    <col min="8974" max="8974" width="5.7109375" style="4" bestFit="1" customWidth="1"/>
    <col min="8975" max="8975" width="9.5703125" style="4" bestFit="1" customWidth="1"/>
    <col min="8976" max="8976" width="5.5703125" style="4" bestFit="1" customWidth="1"/>
    <col min="8977" max="8977" width="12.7109375" style="4" customWidth="1"/>
    <col min="8978" max="8978" width="9.140625" style="4"/>
    <col min="8979" max="8979" width="25.140625" style="4" customWidth="1"/>
    <col min="8980" max="9216" width="9.140625" style="4"/>
    <col min="9217" max="9217" width="5.85546875" style="4" customWidth="1"/>
    <col min="9218" max="9218" width="3.5703125" style="4" customWidth="1"/>
    <col min="9219" max="9219" width="40.5703125" style="4" customWidth="1"/>
    <col min="9220" max="9220" width="12.5703125" style="4" customWidth="1"/>
    <col min="9221" max="9221" width="5.7109375" style="4" customWidth="1"/>
    <col min="9222" max="9222" width="11" style="4" customWidth="1"/>
    <col min="9223" max="9223" width="5" style="4" customWidth="1"/>
    <col min="9224" max="9224" width="11.7109375" style="4" customWidth="1"/>
    <col min="9225" max="9225" width="21.5703125" style="4" customWidth="1"/>
    <col min="9226" max="9226" width="9.85546875" style="4" customWidth="1"/>
    <col min="9227" max="9227" width="8.5703125" style="4" customWidth="1"/>
    <col min="9228" max="9228" width="50.5703125" style="4" bestFit="1" customWidth="1"/>
    <col min="9229" max="9229" width="14.28515625" style="4" customWidth="1"/>
    <col min="9230" max="9230" width="5.7109375" style="4" bestFit="1" customWidth="1"/>
    <col min="9231" max="9231" width="9.5703125" style="4" bestFit="1" customWidth="1"/>
    <col min="9232" max="9232" width="5.5703125" style="4" bestFit="1" customWidth="1"/>
    <col min="9233" max="9233" width="12.7109375" style="4" customWidth="1"/>
    <col min="9234" max="9234" width="9.140625" style="4"/>
    <col min="9235" max="9235" width="25.140625" style="4" customWidth="1"/>
    <col min="9236" max="9472" width="9.140625" style="4"/>
    <col min="9473" max="9473" width="5.85546875" style="4" customWidth="1"/>
    <col min="9474" max="9474" width="3.5703125" style="4" customWidth="1"/>
    <col min="9475" max="9475" width="40.5703125" style="4" customWidth="1"/>
    <col min="9476" max="9476" width="12.5703125" style="4" customWidth="1"/>
    <col min="9477" max="9477" width="5.7109375" style="4" customWidth="1"/>
    <col min="9478" max="9478" width="11" style="4" customWidth="1"/>
    <col min="9479" max="9479" width="5" style="4" customWidth="1"/>
    <col min="9480" max="9480" width="11.7109375" style="4" customWidth="1"/>
    <col min="9481" max="9481" width="21.5703125" style="4" customWidth="1"/>
    <col min="9482" max="9482" width="9.85546875" style="4" customWidth="1"/>
    <col min="9483" max="9483" width="8.5703125" style="4" customWidth="1"/>
    <col min="9484" max="9484" width="50.5703125" style="4" bestFit="1" customWidth="1"/>
    <col min="9485" max="9485" width="14.28515625" style="4" customWidth="1"/>
    <col min="9486" max="9486" width="5.7109375" style="4" bestFit="1" customWidth="1"/>
    <col min="9487" max="9487" width="9.5703125" style="4" bestFit="1" customWidth="1"/>
    <col min="9488" max="9488" width="5.5703125" style="4" bestFit="1" customWidth="1"/>
    <col min="9489" max="9489" width="12.7109375" style="4" customWidth="1"/>
    <col min="9490" max="9490" width="9.140625" style="4"/>
    <col min="9491" max="9491" width="25.140625" style="4" customWidth="1"/>
    <col min="9492" max="9728" width="9.140625" style="4"/>
    <col min="9729" max="9729" width="5.85546875" style="4" customWidth="1"/>
    <col min="9730" max="9730" width="3.5703125" style="4" customWidth="1"/>
    <col min="9731" max="9731" width="40.5703125" style="4" customWidth="1"/>
    <col min="9732" max="9732" width="12.5703125" style="4" customWidth="1"/>
    <col min="9733" max="9733" width="5.7109375" style="4" customWidth="1"/>
    <col min="9734" max="9734" width="11" style="4" customWidth="1"/>
    <col min="9735" max="9735" width="5" style="4" customWidth="1"/>
    <col min="9736" max="9736" width="11.7109375" style="4" customWidth="1"/>
    <col min="9737" max="9737" width="21.5703125" style="4" customWidth="1"/>
    <col min="9738" max="9738" width="9.85546875" style="4" customWidth="1"/>
    <col min="9739" max="9739" width="8.5703125" style="4" customWidth="1"/>
    <col min="9740" max="9740" width="50.5703125" style="4" bestFit="1" customWidth="1"/>
    <col min="9741" max="9741" width="14.28515625" style="4" customWidth="1"/>
    <col min="9742" max="9742" width="5.7109375" style="4" bestFit="1" customWidth="1"/>
    <col min="9743" max="9743" width="9.5703125" style="4" bestFit="1" customWidth="1"/>
    <col min="9744" max="9744" width="5.5703125" style="4" bestFit="1" customWidth="1"/>
    <col min="9745" max="9745" width="12.7109375" style="4" customWidth="1"/>
    <col min="9746" max="9746" width="9.140625" style="4"/>
    <col min="9747" max="9747" width="25.140625" style="4" customWidth="1"/>
    <col min="9748" max="9984" width="9.140625" style="4"/>
    <col min="9985" max="9985" width="5.85546875" style="4" customWidth="1"/>
    <col min="9986" max="9986" width="3.5703125" style="4" customWidth="1"/>
    <col min="9987" max="9987" width="40.5703125" style="4" customWidth="1"/>
    <col min="9988" max="9988" width="12.5703125" style="4" customWidth="1"/>
    <col min="9989" max="9989" width="5.7109375" style="4" customWidth="1"/>
    <col min="9990" max="9990" width="11" style="4" customWidth="1"/>
    <col min="9991" max="9991" width="5" style="4" customWidth="1"/>
    <col min="9992" max="9992" width="11.7109375" style="4" customWidth="1"/>
    <col min="9993" max="9993" width="21.5703125" style="4" customWidth="1"/>
    <col min="9994" max="9994" width="9.85546875" style="4" customWidth="1"/>
    <col min="9995" max="9995" width="8.5703125" style="4" customWidth="1"/>
    <col min="9996" max="9996" width="50.5703125" style="4" bestFit="1" customWidth="1"/>
    <col min="9997" max="9997" width="14.28515625" style="4" customWidth="1"/>
    <col min="9998" max="9998" width="5.7109375" style="4" bestFit="1" customWidth="1"/>
    <col min="9999" max="9999" width="9.5703125" style="4" bestFit="1" customWidth="1"/>
    <col min="10000" max="10000" width="5.5703125" style="4" bestFit="1" customWidth="1"/>
    <col min="10001" max="10001" width="12.7109375" style="4" customWidth="1"/>
    <col min="10002" max="10002" width="9.140625" style="4"/>
    <col min="10003" max="10003" width="25.140625" style="4" customWidth="1"/>
    <col min="10004" max="10240" width="9.140625" style="4"/>
    <col min="10241" max="10241" width="5.85546875" style="4" customWidth="1"/>
    <col min="10242" max="10242" width="3.5703125" style="4" customWidth="1"/>
    <col min="10243" max="10243" width="40.5703125" style="4" customWidth="1"/>
    <col min="10244" max="10244" width="12.5703125" style="4" customWidth="1"/>
    <col min="10245" max="10245" width="5.7109375" style="4" customWidth="1"/>
    <col min="10246" max="10246" width="11" style="4" customWidth="1"/>
    <col min="10247" max="10247" width="5" style="4" customWidth="1"/>
    <col min="10248" max="10248" width="11.7109375" style="4" customWidth="1"/>
    <col min="10249" max="10249" width="21.5703125" style="4" customWidth="1"/>
    <col min="10250" max="10250" width="9.85546875" style="4" customWidth="1"/>
    <col min="10251" max="10251" width="8.5703125" style="4" customWidth="1"/>
    <col min="10252" max="10252" width="50.5703125" style="4" bestFit="1" customWidth="1"/>
    <col min="10253" max="10253" width="14.28515625" style="4" customWidth="1"/>
    <col min="10254" max="10254" width="5.7109375" style="4" bestFit="1" customWidth="1"/>
    <col min="10255" max="10255" width="9.5703125" style="4" bestFit="1" customWidth="1"/>
    <col min="10256" max="10256" width="5.5703125" style="4" bestFit="1" customWidth="1"/>
    <col min="10257" max="10257" width="12.7109375" style="4" customWidth="1"/>
    <col min="10258" max="10258" width="9.140625" style="4"/>
    <col min="10259" max="10259" width="25.140625" style="4" customWidth="1"/>
    <col min="10260" max="10496" width="9.140625" style="4"/>
    <col min="10497" max="10497" width="5.85546875" style="4" customWidth="1"/>
    <col min="10498" max="10498" width="3.5703125" style="4" customWidth="1"/>
    <col min="10499" max="10499" width="40.5703125" style="4" customWidth="1"/>
    <col min="10500" max="10500" width="12.5703125" style="4" customWidth="1"/>
    <col min="10501" max="10501" width="5.7109375" style="4" customWidth="1"/>
    <col min="10502" max="10502" width="11" style="4" customWidth="1"/>
    <col min="10503" max="10503" width="5" style="4" customWidth="1"/>
    <col min="10504" max="10504" width="11.7109375" style="4" customWidth="1"/>
    <col min="10505" max="10505" width="21.5703125" style="4" customWidth="1"/>
    <col min="10506" max="10506" width="9.85546875" style="4" customWidth="1"/>
    <col min="10507" max="10507" width="8.5703125" style="4" customWidth="1"/>
    <col min="10508" max="10508" width="50.5703125" style="4" bestFit="1" customWidth="1"/>
    <col min="10509" max="10509" width="14.28515625" style="4" customWidth="1"/>
    <col min="10510" max="10510" width="5.7109375" style="4" bestFit="1" customWidth="1"/>
    <col min="10511" max="10511" width="9.5703125" style="4" bestFit="1" customWidth="1"/>
    <col min="10512" max="10512" width="5.5703125" style="4" bestFit="1" customWidth="1"/>
    <col min="10513" max="10513" width="12.7109375" style="4" customWidth="1"/>
    <col min="10514" max="10514" width="9.140625" style="4"/>
    <col min="10515" max="10515" width="25.140625" style="4" customWidth="1"/>
    <col min="10516" max="10752" width="9.140625" style="4"/>
    <col min="10753" max="10753" width="5.85546875" style="4" customWidth="1"/>
    <col min="10754" max="10754" width="3.5703125" style="4" customWidth="1"/>
    <col min="10755" max="10755" width="40.5703125" style="4" customWidth="1"/>
    <col min="10756" max="10756" width="12.5703125" style="4" customWidth="1"/>
    <col min="10757" max="10757" width="5.7109375" style="4" customWidth="1"/>
    <col min="10758" max="10758" width="11" style="4" customWidth="1"/>
    <col min="10759" max="10759" width="5" style="4" customWidth="1"/>
    <col min="10760" max="10760" width="11.7109375" style="4" customWidth="1"/>
    <col min="10761" max="10761" width="21.5703125" style="4" customWidth="1"/>
    <col min="10762" max="10762" width="9.85546875" style="4" customWidth="1"/>
    <col min="10763" max="10763" width="8.5703125" style="4" customWidth="1"/>
    <col min="10764" max="10764" width="50.5703125" style="4" bestFit="1" customWidth="1"/>
    <col min="10765" max="10765" width="14.28515625" style="4" customWidth="1"/>
    <col min="10766" max="10766" width="5.7109375" style="4" bestFit="1" customWidth="1"/>
    <col min="10767" max="10767" width="9.5703125" style="4" bestFit="1" customWidth="1"/>
    <col min="10768" max="10768" width="5.5703125" style="4" bestFit="1" customWidth="1"/>
    <col min="10769" max="10769" width="12.7109375" style="4" customWidth="1"/>
    <col min="10770" max="10770" width="9.140625" style="4"/>
    <col min="10771" max="10771" width="25.140625" style="4" customWidth="1"/>
    <col min="10772" max="11008" width="9.140625" style="4"/>
    <col min="11009" max="11009" width="5.85546875" style="4" customWidth="1"/>
    <col min="11010" max="11010" width="3.5703125" style="4" customWidth="1"/>
    <col min="11011" max="11011" width="40.5703125" style="4" customWidth="1"/>
    <col min="11012" max="11012" width="12.5703125" style="4" customWidth="1"/>
    <col min="11013" max="11013" width="5.7109375" style="4" customWidth="1"/>
    <col min="11014" max="11014" width="11" style="4" customWidth="1"/>
    <col min="11015" max="11015" width="5" style="4" customWidth="1"/>
    <col min="11016" max="11016" width="11.7109375" style="4" customWidth="1"/>
    <col min="11017" max="11017" width="21.5703125" style="4" customWidth="1"/>
    <col min="11018" max="11018" width="9.85546875" style="4" customWidth="1"/>
    <col min="11019" max="11019" width="8.5703125" style="4" customWidth="1"/>
    <col min="11020" max="11020" width="50.5703125" style="4" bestFit="1" customWidth="1"/>
    <col min="11021" max="11021" width="14.28515625" style="4" customWidth="1"/>
    <col min="11022" max="11022" width="5.7109375" style="4" bestFit="1" customWidth="1"/>
    <col min="11023" max="11023" width="9.5703125" style="4" bestFit="1" customWidth="1"/>
    <col min="11024" max="11024" width="5.5703125" style="4" bestFit="1" customWidth="1"/>
    <col min="11025" max="11025" width="12.7109375" style="4" customWidth="1"/>
    <col min="11026" max="11026" width="9.140625" style="4"/>
    <col min="11027" max="11027" width="25.140625" style="4" customWidth="1"/>
    <col min="11028" max="11264" width="9.140625" style="4"/>
    <col min="11265" max="11265" width="5.85546875" style="4" customWidth="1"/>
    <col min="11266" max="11266" width="3.5703125" style="4" customWidth="1"/>
    <col min="11267" max="11267" width="40.5703125" style="4" customWidth="1"/>
    <col min="11268" max="11268" width="12.5703125" style="4" customWidth="1"/>
    <col min="11269" max="11269" width="5.7109375" style="4" customWidth="1"/>
    <col min="11270" max="11270" width="11" style="4" customWidth="1"/>
    <col min="11271" max="11271" width="5" style="4" customWidth="1"/>
    <col min="11272" max="11272" width="11.7109375" style="4" customWidth="1"/>
    <col min="11273" max="11273" width="21.5703125" style="4" customWidth="1"/>
    <col min="11274" max="11274" width="9.85546875" style="4" customWidth="1"/>
    <col min="11275" max="11275" width="8.5703125" style="4" customWidth="1"/>
    <col min="11276" max="11276" width="50.5703125" style="4" bestFit="1" customWidth="1"/>
    <col min="11277" max="11277" width="14.28515625" style="4" customWidth="1"/>
    <col min="11278" max="11278" width="5.7109375" style="4" bestFit="1" customWidth="1"/>
    <col min="11279" max="11279" width="9.5703125" style="4" bestFit="1" customWidth="1"/>
    <col min="11280" max="11280" width="5.5703125" style="4" bestFit="1" customWidth="1"/>
    <col min="11281" max="11281" width="12.7109375" style="4" customWidth="1"/>
    <col min="11282" max="11282" width="9.140625" style="4"/>
    <col min="11283" max="11283" width="25.140625" style="4" customWidth="1"/>
    <col min="11284" max="11520" width="9.140625" style="4"/>
    <col min="11521" max="11521" width="5.85546875" style="4" customWidth="1"/>
    <col min="11522" max="11522" width="3.5703125" style="4" customWidth="1"/>
    <col min="11523" max="11523" width="40.5703125" style="4" customWidth="1"/>
    <col min="11524" max="11524" width="12.5703125" style="4" customWidth="1"/>
    <col min="11525" max="11525" width="5.7109375" style="4" customWidth="1"/>
    <col min="11526" max="11526" width="11" style="4" customWidth="1"/>
    <col min="11527" max="11527" width="5" style="4" customWidth="1"/>
    <col min="11528" max="11528" width="11.7109375" style="4" customWidth="1"/>
    <col min="11529" max="11529" width="21.5703125" style="4" customWidth="1"/>
    <col min="11530" max="11530" width="9.85546875" style="4" customWidth="1"/>
    <col min="11531" max="11531" width="8.5703125" style="4" customWidth="1"/>
    <col min="11532" max="11532" width="50.5703125" style="4" bestFit="1" customWidth="1"/>
    <col min="11533" max="11533" width="14.28515625" style="4" customWidth="1"/>
    <col min="11534" max="11534" width="5.7109375" style="4" bestFit="1" customWidth="1"/>
    <col min="11535" max="11535" width="9.5703125" style="4" bestFit="1" customWidth="1"/>
    <col min="11536" max="11536" width="5.5703125" style="4" bestFit="1" customWidth="1"/>
    <col min="11537" max="11537" width="12.7109375" style="4" customWidth="1"/>
    <col min="11538" max="11538" width="9.140625" style="4"/>
    <col min="11539" max="11539" width="25.140625" style="4" customWidth="1"/>
    <col min="11540" max="11776" width="9.140625" style="4"/>
    <col min="11777" max="11777" width="5.85546875" style="4" customWidth="1"/>
    <col min="11778" max="11778" width="3.5703125" style="4" customWidth="1"/>
    <col min="11779" max="11779" width="40.5703125" style="4" customWidth="1"/>
    <col min="11780" max="11780" width="12.5703125" style="4" customWidth="1"/>
    <col min="11781" max="11781" width="5.7109375" style="4" customWidth="1"/>
    <col min="11782" max="11782" width="11" style="4" customWidth="1"/>
    <col min="11783" max="11783" width="5" style="4" customWidth="1"/>
    <col min="11784" max="11784" width="11.7109375" style="4" customWidth="1"/>
    <col min="11785" max="11785" width="21.5703125" style="4" customWidth="1"/>
    <col min="11786" max="11786" width="9.85546875" style="4" customWidth="1"/>
    <col min="11787" max="11787" width="8.5703125" style="4" customWidth="1"/>
    <col min="11788" max="11788" width="50.5703125" style="4" bestFit="1" customWidth="1"/>
    <col min="11789" max="11789" width="14.28515625" style="4" customWidth="1"/>
    <col min="11790" max="11790" width="5.7109375" style="4" bestFit="1" customWidth="1"/>
    <col min="11791" max="11791" width="9.5703125" style="4" bestFit="1" customWidth="1"/>
    <col min="11792" max="11792" width="5.5703125" style="4" bestFit="1" customWidth="1"/>
    <col min="11793" max="11793" width="12.7109375" style="4" customWidth="1"/>
    <col min="11794" max="11794" width="9.140625" style="4"/>
    <col min="11795" max="11795" width="25.140625" style="4" customWidth="1"/>
    <col min="11796" max="12032" width="9.140625" style="4"/>
    <col min="12033" max="12033" width="5.85546875" style="4" customWidth="1"/>
    <col min="12034" max="12034" width="3.5703125" style="4" customWidth="1"/>
    <col min="12035" max="12035" width="40.5703125" style="4" customWidth="1"/>
    <col min="12036" max="12036" width="12.5703125" style="4" customWidth="1"/>
    <col min="12037" max="12037" width="5.7109375" style="4" customWidth="1"/>
    <col min="12038" max="12038" width="11" style="4" customWidth="1"/>
    <col min="12039" max="12039" width="5" style="4" customWidth="1"/>
    <col min="12040" max="12040" width="11.7109375" style="4" customWidth="1"/>
    <col min="12041" max="12041" width="21.5703125" style="4" customWidth="1"/>
    <col min="12042" max="12042" width="9.85546875" style="4" customWidth="1"/>
    <col min="12043" max="12043" width="8.5703125" style="4" customWidth="1"/>
    <col min="12044" max="12044" width="50.5703125" style="4" bestFit="1" customWidth="1"/>
    <col min="12045" max="12045" width="14.28515625" style="4" customWidth="1"/>
    <col min="12046" max="12046" width="5.7109375" style="4" bestFit="1" customWidth="1"/>
    <col min="12047" max="12047" width="9.5703125" style="4" bestFit="1" customWidth="1"/>
    <col min="12048" max="12048" width="5.5703125" style="4" bestFit="1" customWidth="1"/>
    <col min="12049" max="12049" width="12.7109375" style="4" customWidth="1"/>
    <col min="12050" max="12050" width="9.140625" style="4"/>
    <col min="12051" max="12051" width="25.140625" style="4" customWidth="1"/>
    <col min="12052" max="12288" width="9.140625" style="4"/>
    <col min="12289" max="12289" width="5.85546875" style="4" customWidth="1"/>
    <col min="12290" max="12290" width="3.5703125" style="4" customWidth="1"/>
    <col min="12291" max="12291" width="40.5703125" style="4" customWidth="1"/>
    <col min="12292" max="12292" width="12.5703125" style="4" customWidth="1"/>
    <col min="12293" max="12293" width="5.7109375" style="4" customWidth="1"/>
    <col min="12294" max="12294" width="11" style="4" customWidth="1"/>
    <col min="12295" max="12295" width="5" style="4" customWidth="1"/>
    <col min="12296" max="12296" width="11.7109375" style="4" customWidth="1"/>
    <col min="12297" max="12297" width="21.5703125" style="4" customWidth="1"/>
    <col min="12298" max="12298" width="9.85546875" style="4" customWidth="1"/>
    <col min="12299" max="12299" width="8.5703125" style="4" customWidth="1"/>
    <col min="12300" max="12300" width="50.5703125" style="4" bestFit="1" customWidth="1"/>
    <col min="12301" max="12301" width="14.28515625" style="4" customWidth="1"/>
    <col min="12302" max="12302" width="5.7109375" style="4" bestFit="1" customWidth="1"/>
    <col min="12303" max="12303" width="9.5703125" style="4" bestFit="1" customWidth="1"/>
    <col min="12304" max="12304" width="5.5703125" style="4" bestFit="1" customWidth="1"/>
    <col min="12305" max="12305" width="12.7109375" style="4" customWidth="1"/>
    <col min="12306" max="12306" width="9.140625" style="4"/>
    <col min="12307" max="12307" width="25.140625" style="4" customWidth="1"/>
    <col min="12308" max="12544" width="9.140625" style="4"/>
    <col min="12545" max="12545" width="5.85546875" style="4" customWidth="1"/>
    <col min="12546" max="12546" width="3.5703125" style="4" customWidth="1"/>
    <col min="12547" max="12547" width="40.5703125" style="4" customWidth="1"/>
    <col min="12548" max="12548" width="12.5703125" style="4" customWidth="1"/>
    <col min="12549" max="12549" width="5.7109375" style="4" customWidth="1"/>
    <col min="12550" max="12550" width="11" style="4" customWidth="1"/>
    <col min="12551" max="12551" width="5" style="4" customWidth="1"/>
    <col min="12552" max="12552" width="11.7109375" style="4" customWidth="1"/>
    <col min="12553" max="12553" width="21.5703125" style="4" customWidth="1"/>
    <col min="12554" max="12554" width="9.85546875" style="4" customWidth="1"/>
    <col min="12555" max="12555" width="8.5703125" style="4" customWidth="1"/>
    <col min="12556" max="12556" width="50.5703125" style="4" bestFit="1" customWidth="1"/>
    <col min="12557" max="12557" width="14.28515625" style="4" customWidth="1"/>
    <col min="12558" max="12558" width="5.7109375" style="4" bestFit="1" customWidth="1"/>
    <col min="12559" max="12559" width="9.5703125" style="4" bestFit="1" customWidth="1"/>
    <col min="12560" max="12560" width="5.5703125" style="4" bestFit="1" customWidth="1"/>
    <col min="12561" max="12561" width="12.7109375" style="4" customWidth="1"/>
    <col min="12562" max="12562" width="9.140625" style="4"/>
    <col min="12563" max="12563" width="25.140625" style="4" customWidth="1"/>
    <col min="12564" max="12800" width="9.140625" style="4"/>
    <col min="12801" max="12801" width="5.85546875" style="4" customWidth="1"/>
    <col min="12802" max="12802" width="3.5703125" style="4" customWidth="1"/>
    <col min="12803" max="12803" width="40.5703125" style="4" customWidth="1"/>
    <col min="12804" max="12804" width="12.5703125" style="4" customWidth="1"/>
    <col min="12805" max="12805" width="5.7109375" style="4" customWidth="1"/>
    <col min="12806" max="12806" width="11" style="4" customWidth="1"/>
    <col min="12807" max="12807" width="5" style="4" customWidth="1"/>
    <col min="12808" max="12808" width="11.7109375" style="4" customWidth="1"/>
    <col min="12809" max="12809" width="21.5703125" style="4" customWidth="1"/>
    <col min="12810" max="12810" width="9.85546875" style="4" customWidth="1"/>
    <col min="12811" max="12811" width="8.5703125" style="4" customWidth="1"/>
    <col min="12812" max="12812" width="50.5703125" style="4" bestFit="1" customWidth="1"/>
    <col min="12813" max="12813" width="14.28515625" style="4" customWidth="1"/>
    <col min="12814" max="12814" width="5.7109375" style="4" bestFit="1" customWidth="1"/>
    <col min="12815" max="12815" width="9.5703125" style="4" bestFit="1" customWidth="1"/>
    <col min="12816" max="12816" width="5.5703125" style="4" bestFit="1" customWidth="1"/>
    <col min="12817" max="12817" width="12.7109375" style="4" customWidth="1"/>
    <col min="12818" max="12818" width="9.140625" style="4"/>
    <col min="12819" max="12819" width="25.140625" style="4" customWidth="1"/>
    <col min="12820" max="13056" width="9.140625" style="4"/>
    <col min="13057" max="13057" width="5.85546875" style="4" customWidth="1"/>
    <col min="13058" max="13058" width="3.5703125" style="4" customWidth="1"/>
    <col min="13059" max="13059" width="40.5703125" style="4" customWidth="1"/>
    <col min="13060" max="13060" width="12.5703125" style="4" customWidth="1"/>
    <col min="13061" max="13061" width="5.7109375" style="4" customWidth="1"/>
    <col min="13062" max="13062" width="11" style="4" customWidth="1"/>
    <col min="13063" max="13063" width="5" style="4" customWidth="1"/>
    <col min="13064" max="13064" width="11.7109375" style="4" customWidth="1"/>
    <col min="13065" max="13065" width="21.5703125" style="4" customWidth="1"/>
    <col min="13066" max="13066" width="9.85546875" style="4" customWidth="1"/>
    <col min="13067" max="13067" width="8.5703125" style="4" customWidth="1"/>
    <col min="13068" max="13068" width="50.5703125" style="4" bestFit="1" customWidth="1"/>
    <col min="13069" max="13069" width="14.28515625" style="4" customWidth="1"/>
    <col min="13070" max="13070" width="5.7109375" style="4" bestFit="1" customWidth="1"/>
    <col min="13071" max="13071" width="9.5703125" style="4" bestFit="1" customWidth="1"/>
    <col min="13072" max="13072" width="5.5703125" style="4" bestFit="1" customWidth="1"/>
    <col min="13073" max="13073" width="12.7109375" style="4" customWidth="1"/>
    <col min="13074" max="13074" width="9.140625" style="4"/>
    <col min="13075" max="13075" width="25.140625" style="4" customWidth="1"/>
    <col min="13076" max="13312" width="9.140625" style="4"/>
    <col min="13313" max="13313" width="5.85546875" style="4" customWidth="1"/>
    <col min="13314" max="13314" width="3.5703125" style="4" customWidth="1"/>
    <col min="13315" max="13315" width="40.5703125" style="4" customWidth="1"/>
    <col min="13316" max="13316" width="12.5703125" style="4" customWidth="1"/>
    <col min="13317" max="13317" width="5.7109375" style="4" customWidth="1"/>
    <col min="13318" max="13318" width="11" style="4" customWidth="1"/>
    <col min="13319" max="13319" width="5" style="4" customWidth="1"/>
    <col min="13320" max="13320" width="11.7109375" style="4" customWidth="1"/>
    <col min="13321" max="13321" width="21.5703125" style="4" customWidth="1"/>
    <col min="13322" max="13322" width="9.85546875" style="4" customWidth="1"/>
    <col min="13323" max="13323" width="8.5703125" style="4" customWidth="1"/>
    <col min="13324" max="13324" width="50.5703125" style="4" bestFit="1" customWidth="1"/>
    <col min="13325" max="13325" width="14.28515625" style="4" customWidth="1"/>
    <col min="13326" max="13326" width="5.7109375" style="4" bestFit="1" customWidth="1"/>
    <col min="13327" max="13327" width="9.5703125" style="4" bestFit="1" customWidth="1"/>
    <col min="13328" max="13328" width="5.5703125" style="4" bestFit="1" customWidth="1"/>
    <col min="13329" max="13329" width="12.7109375" style="4" customWidth="1"/>
    <col min="13330" max="13330" width="9.140625" style="4"/>
    <col min="13331" max="13331" width="25.140625" style="4" customWidth="1"/>
    <col min="13332" max="13568" width="9.140625" style="4"/>
    <col min="13569" max="13569" width="5.85546875" style="4" customWidth="1"/>
    <col min="13570" max="13570" width="3.5703125" style="4" customWidth="1"/>
    <col min="13571" max="13571" width="40.5703125" style="4" customWidth="1"/>
    <col min="13572" max="13572" width="12.5703125" style="4" customWidth="1"/>
    <col min="13573" max="13573" width="5.7109375" style="4" customWidth="1"/>
    <col min="13574" max="13574" width="11" style="4" customWidth="1"/>
    <col min="13575" max="13575" width="5" style="4" customWidth="1"/>
    <col min="13576" max="13576" width="11.7109375" style="4" customWidth="1"/>
    <col min="13577" max="13577" width="21.5703125" style="4" customWidth="1"/>
    <col min="13578" max="13578" width="9.85546875" style="4" customWidth="1"/>
    <col min="13579" max="13579" width="8.5703125" style="4" customWidth="1"/>
    <col min="13580" max="13580" width="50.5703125" style="4" bestFit="1" customWidth="1"/>
    <col min="13581" max="13581" width="14.28515625" style="4" customWidth="1"/>
    <col min="13582" max="13582" width="5.7109375" style="4" bestFit="1" customWidth="1"/>
    <col min="13583" max="13583" width="9.5703125" style="4" bestFit="1" customWidth="1"/>
    <col min="13584" max="13584" width="5.5703125" style="4" bestFit="1" customWidth="1"/>
    <col min="13585" max="13585" width="12.7109375" style="4" customWidth="1"/>
    <col min="13586" max="13586" width="9.140625" style="4"/>
    <col min="13587" max="13587" width="25.140625" style="4" customWidth="1"/>
    <col min="13588" max="13824" width="9.140625" style="4"/>
    <col min="13825" max="13825" width="5.85546875" style="4" customWidth="1"/>
    <col min="13826" max="13826" width="3.5703125" style="4" customWidth="1"/>
    <col min="13827" max="13827" width="40.5703125" style="4" customWidth="1"/>
    <col min="13828" max="13828" width="12.5703125" style="4" customWidth="1"/>
    <col min="13829" max="13829" width="5.7109375" style="4" customWidth="1"/>
    <col min="13830" max="13830" width="11" style="4" customWidth="1"/>
    <col min="13831" max="13831" width="5" style="4" customWidth="1"/>
    <col min="13832" max="13832" width="11.7109375" style="4" customWidth="1"/>
    <col min="13833" max="13833" width="21.5703125" style="4" customWidth="1"/>
    <col min="13834" max="13834" width="9.85546875" style="4" customWidth="1"/>
    <col min="13835" max="13835" width="8.5703125" style="4" customWidth="1"/>
    <col min="13836" max="13836" width="50.5703125" style="4" bestFit="1" customWidth="1"/>
    <col min="13837" max="13837" width="14.28515625" style="4" customWidth="1"/>
    <col min="13838" max="13838" width="5.7109375" style="4" bestFit="1" customWidth="1"/>
    <col min="13839" max="13839" width="9.5703125" style="4" bestFit="1" customWidth="1"/>
    <col min="13840" max="13840" width="5.5703125" style="4" bestFit="1" customWidth="1"/>
    <col min="13841" max="13841" width="12.7109375" style="4" customWidth="1"/>
    <col min="13842" max="13842" width="9.140625" style="4"/>
    <col min="13843" max="13843" width="25.140625" style="4" customWidth="1"/>
    <col min="13844" max="14080" width="9.140625" style="4"/>
    <col min="14081" max="14081" width="5.85546875" style="4" customWidth="1"/>
    <col min="14082" max="14082" width="3.5703125" style="4" customWidth="1"/>
    <col min="14083" max="14083" width="40.5703125" style="4" customWidth="1"/>
    <col min="14084" max="14084" width="12.5703125" style="4" customWidth="1"/>
    <col min="14085" max="14085" width="5.7109375" style="4" customWidth="1"/>
    <col min="14086" max="14086" width="11" style="4" customWidth="1"/>
    <col min="14087" max="14087" width="5" style="4" customWidth="1"/>
    <col min="14088" max="14088" width="11.7109375" style="4" customWidth="1"/>
    <col min="14089" max="14089" width="21.5703125" style="4" customWidth="1"/>
    <col min="14090" max="14090" width="9.85546875" style="4" customWidth="1"/>
    <col min="14091" max="14091" width="8.5703125" style="4" customWidth="1"/>
    <col min="14092" max="14092" width="50.5703125" style="4" bestFit="1" customWidth="1"/>
    <col min="14093" max="14093" width="14.28515625" style="4" customWidth="1"/>
    <col min="14094" max="14094" width="5.7109375" style="4" bestFit="1" customWidth="1"/>
    <col min="14095" max="14095" width="9.5703125" style="4" bestFit="1" customWidth="1"/>
    <col min="14096" max="14096" width="5.5703125" style="4" bestFit="1" customWidth="1"/>
    <col min="14097" max="14097" width="12.7109375" style="4" customWidth="1"/>
    <col min="14098" max="14098" width="9.140625" style="4"/>
    <col min="14099" max="14099" width="25.140625" style="4" customWidth="1"/>
    <col min="14100" max="14336" width="9.140625" style="4"/>
    <col min="14337" max="14337" width="5.85546875" style="4" customWidth="1"/>
    <col min="14338" max="14338" width="3.5703125" style="4" customWidth="1"/>
    <col min="14339" max="14339" width="40.5703125" style="4" customWidth="1"/>
    <col min="14340" max="14340" width="12.5703125" style="4" customWidth="1"/>
    <col min="14341" max="14341" width="5.7109375" style="4" customWidth="1"/>
    <col min="14342" max="14342" width="11" style="4" customWidth="1"/>
    <col min="14343" max="14343" width="5" style="4" customWidth="1"/>
    <col min="14344" max="14344" width="11.7109375" style="4" customWidth="1"/>
    <col min="14345" max="14345" width="21.5703125" style="4" customWidth="1"/>
    <col min="14346" max="14346" width="9.85546875" style="4" customWidth="1"/>
    <col min="14347" max="14347" width="8.5703125" style="4" customWidth="1"/>
    <col min="14348" max="14348" width="50.5703125" style="4" bestFit="1" customWidth="1"/>
    <col min="14349" max="14349" width="14.28515625" style="4" customWidth="1"/>
    <col min="14350" max="14350" width="5.7109375" style="4" bestFit="1" customWidth="1"/>
    <col min="14351" max="14351" width="9.5703125" style="4" bestFit="1" customWidth="1"/>
    <col min="14352" max="14352" width="5.5703125" style="4" bestFit="1" customWidth="1"/>
    <col min="14353" max="14353" width="12.7109375" style="4" customWidth="1"/>
    <col min="14354" max="14354" width="9.140625" style="4"/>
    <col min="14355" max="14355" width="25.140625" style="4" customWidth="1"/>
    <col min="14356" max="14592" width="9.140625" style="4"/>
    <col min="14593" max="14593" width="5.85546875" style="4" customWidth="1"/>
    <col min="14594" max="14594" width="3.5703125" style="4" customWidth="1"/>
    <col min="14595" max="14595" width="40.5703125" style="4" customWidth="1"/>
    <col min="14596" max="14596" width="12.5703125" style="4" customWidth="1"/>
    <col min="14597" max="14597" width="5.7109375" style="4" customWidth="1"/>
    <col min="14598" max="14598" width="11" style="4" customWidth="1"/>
    <col min="14599" max="14599" width="5" style="4" customWidth="1"/>
    <col min="14600" max="14600" width="11.7109375" style="4" customWidth="1"/>
    <col min="14601" max="14601" width="21.5703125" style="4" customWidth="1"/>
    <col min="14602" max="14602" width="9.85546875" style="4" customWidth="1"/>
    <col min="14603" max="14603" width="8.5703125" style="4" customWidth="1"/>
    <col min="14604" max="14604" width="50.5703125" style="4" bestFit="1" customWidth="1"/>
    <col min="14605" max="14605" width="14.28515625" style="4" customWidth="1"/>
    <col min="14606" max="14606" width="5.7109375" style="4" bestFit="1" customWidth="1"/>
    <col min="14607" max="14607" width="9.5703125" style="4" bestFit="1" customWidth="1"/>
    <col min="14608" max="14608" width="5.5703125" style="4" bestFit="1" customWidth="1"/>
    <col min="14609" max="14609" width="12.7109375" style="4" customWidth="1"/>
    <col min="14610" max="14610" width="9.140625" style="4"/>
    <col min="14611" max="14611" width="25.140625" style="4" customWidth="1"/>
    <col min="14612" max="14848" width="9.140625" style="4"/>
    <col min="14849" max="14849" width="5.85546875" style="4" customWidth="1"/>
    <col min="14850" max="14850" width="3.5703125" style="4" customWidth="1"/>
    <col min="14851" max="14851" width="40.5703125" style="4" customWidth="1"/>
    <col min="14852" max="14852" width="12.5703125" style="4" customWidth="1"/>
    <col min="14853" max="14853" width="5.7109375" style="4" customWidth="1"/>
    <col min="14854" max="14854" width="11" style="4" customWidth="1"/>
    <col min="14855" max="14855" width="5" style="4" customWidth="1"/>
    <col min="14856" max="14856" width="11.7109375" style="4" customWidth="1"/>
    <col min="14857" max="14857" width="21.5703125" style="4" customWidth="1"/>
    <col min="14858" max="14858" width="9.85546875" style="4" customWidth="1"/>
    <col min="14859" max="14859" width="8.5703125" style="4" customWidth="1"/>
    <col min="14860" max="14860" width="50.5703125" style="4" bestFit="1" customWidth="1"/>
    <col min="14861" max="14861" width="14.28515625" style="4" customWidth="1"/>
    <col min="14862" max="14862" width="5.7109375" style="4" bestFit="1" customWidth="1"/>
    <col min="14863" max="14863" width="9.5703125" style="4" bestFit="1" customWidth="1"/>
    <col min="14864" max="14864" width="5.5703125" style="4" bestFit="1" customWidth="1"/>
    <col min="14865" max="14865" width="12.7109375" style="4" customWidth="1"/>
    <col min="14866" max="14866" width="9.140625" style="4"/>
    <col min="14867" max="14867" width="25.140625" style="4" customWidth="1"/>
    <col min="14868" max="15104" width="9.140625" style="4"/>
    <col min="15105" max="15105" width="5.85546875" style="4" customWidth="1"/>
    <col min="15106" max="15106" width="3.5703125" style="4" customWidth="1"/>
    <col min="15107" max="15107" width="40.5703125" style="4" customWidth="1"/>
    <col min="15108" max="15108" width="12.5703125" style="4" customWidth="1"/>
    <col min="15109" max="15109" width="5.7109375" style="4" customWidth="1"/>
    <col min="15110" max="15110" width="11" style="4" customWidth="1"/>
    <col min="15111" max="15111" width="5" style="4" customWidth="1"/>
    <col min="15112" max="15112" width="11.7109375" style="4" customWidth="1"/>
    <col min="15113" max="15113" width="21.5703125" style="4" customWidth="1"/>
    <col min="15114" max="15114" width="9.85546875" style="4" customWidth="1"/>
    <col min="15115" max="15115" width="8.5703125" style="4" customWidth="1"/>
    <col min="15116" max="15116" width="50.5703125" style="4" bestFit="1" customWidth="1"/>
    <col min="15117" max="15117" width="14.28515625" style="4" customWidth="1"/>
    <col min="15118" max="15118" width="5.7109375" style="4" bestFit="1" customWidth="1"/>
    <col min="15119" max="15119" width="9.5703125" style="4" bestFit="1" customWidth="1"/>
    <col min="15120" max="15120" width="5.5703125" style="4" bestFit="1" customWidth="1"/>
    <col min="15121" max="15121" width="12.7109375" style="4" customWidth="1"/>
    <col min="15122" max="15122" width="9.140625" style="4"/>
    <col min="15123" max="15123" width="25.140625" style="4" customWidth="1"/>
    <col min="15124" max="15360" width="9.140625" style="4"/>
    <col min="15361" max="15361" width="5.85546875" style="4" customWidth="1"/>
    <col min="15362" max="15362" width="3.5703125" style="4" customWidth="1"/>
    <col min="15363" max="15363" width="40.5703125" style="4" customWidth="1"/>
    <col min="15364" max="15364" width="12.5703125" style="4" customWidth="1"/>
    <col min="15365" max="15365" width="5.7109375" style="4" customWidth="1"/>
    <col min="15366" max="15366" width="11" style="4" customWidth="1"/>
    <col min="15367" max="15367" width="5" style="4" customWidth="1"/>
    <col min="15368" max="15368" width="11.7109375" style="4" customWidth="1"/>
    <col min="15369" max="15369" width="21.5703125" style="4" customWidth="1"/>
    <col min="15370" max="15370" width="9.85546875" style="4" customWidth="1"/>
    <col min="15371" max="15371" width="8.5703125" style="4" customWidth="1"/>
    <col min="15372" max="15372" width="50.5703125" style="4" bestFit="1" customWidth="1"/>
    <col min="15373" max="15373" width="14.28515625" style="4" customWidth="1"/>
    <col min="15374" max="15374" width="5.7109375" style="4" bestFit="1" customWidth="1"/>
    <col min="15375" max="15375" width="9.5703125" style="4" bestFit="1" customWidth="1"/>
    <col min="15376" max="15376" width="5.5703125" style="4" bestFit="1" customWidth="1"/>
    <col min="15377" max="15377" width="12.7109375" style="4" customWidth="1"/>
    <col min="15378" max="15378" width="9.140625" style="4"/>
    <col min="15379" max="15379" width="25.140625" style="4" customWidth="1"/>
    <col min="15380" max="15616" width="9.140625" style="4"/>
    <col min="15617" max="15617" width="5.85546875" style="4" customWidth="1"/>
    <col min="15618" max="15618" width="3.5703125" style="4" customWidth="1"/>
    <col min="15619" max="15619" width="40.5703125" style="4" customWidth="1"/>
    <col min="15620" max="15620" width="12.5703125" style="4" customWidth="1"/>
    <col min="15621" max="15621" width="5.7109375" style="4" customWidth="1"/>
    <col min="15622" max="15622" width="11" style="4" customWidth="1"/>
    <col min="15623" max="15623" width="5" style="4" customWidth="1"/>
    <col min="15624" max="15624" width="11.7109375" style="4" customWidth="1"/>
    <col min="15625" max="15625" width="21.5703125" style="4" customWidth="1"/>
    <col min="15626" max="15626" width="9.85546875" style="4" customWidth="1"/>
    <col min="15627" max="15627" width="8.5703125" style="4" customWidth="1"/>
    <col min="15628" max="15628" width="50.5703125" style="4" bestFit="1" customWidth="1"/>
    <col min="15629" max="15629" width="14.28515625" style="4" customWidth="1"/>
    <col min="15630" max="15630" width="5.7109375" style="4" bestFit="1" customWidth="1"/>
    <col min="15631" max="15631" width="9.5703125" style="4" bestFit="1" customWidth="1"/>
    <col min="15632" max="15632" width="5.5703125" style="4" bestFit="1" customWidth="1"/>
    <col min="15633" max="15633" width="12.7109375" style="4" customWidth="1"/>
    <col min="15634" max="15634" width="9.140625" style="4"/>
    <col min="15635" max="15635" width="25.140625" style="4" customWidth="1"/>
    <col min="15636" max="15872" width="9.140625" style="4"/>
    <col min="15873" max="15873" width="5.85546875" style="4" customWidth="1"/>
    <col min="15874" max="15874" width="3.5703125" style="4" customWidth="1"/>
    <col min="15875" max="15875" width="40.5703125" style="4" customWidth="1"/>
    <col min="15876" max="15876" width="12.5703125" style="4" customWidth="1"/>
    <col min="15877" max="15877" width="5.7109375" style="4" customWidth="1"/>
    <col min="15878" max="15878" width="11" style="4" customWidth="1"/>
    <col min="15879" max="15879" width="5" style="4" customWidth="1"/>
    <col min="15880" max="15880" width="11.7109375" style="4" customWidth="1"/>
    <col min="15881" max="15881" width="21.5703125" style="4" customWidth="1"/>
    <col min="15882" max="15882" width="9.85546875" style="4" customWidth="1"/>
    <col min="15883" max="15883" width="8.5703125" style="4" customWidth="1"/>
    <col min="15884" max="15884" width="50.5703125" style="4" bestFit="1" customWidth="1"/>
    <col min="15885" max="15885" width="14.28515625" style="4" customWidth="1"/>
    <col min="15886" max="15886" width="5.7109375" style="4" bestFit="1" customWidth="1"/>
    <col min="15887" max="15887" width="9.5703125" style="4" bestFit="1" customWidth="1"/>
    <col min="15888" max="15888" width="5.5703125" style="4" bestFit="1" customWidth="1"/>
    <col min="15889" max="15889" width="12.7109375" style="4" customWidth="1"/>
    <col min="15890" max="15890" width="9.140625" style="4"/>
    <col min="15891" max="15891" width="25.140625" style="4" customWidth="1"/>
    <col min="15892" max="16128" width="9.140625" style="4"/>
    <col min="16129" max="16129" width="5.85546875" style="4" customWidth="1"/>
    <col min="16130" max="16130" width="3.5703125" style="4" customWidth="1"/>
    <col min="16131" max="16131" width="40.5703125" style="4" customWidth="1"/>
    <col min="16132" max="16132" width="12.5703125" style="4" customWidth="1"/>
    <col min="16133" max="16133" width="5.7109375" style="4" customWidth="1"/>
    <col min="16134" max="16134" width="11" style="4" customWidth="1"/>
    <col min="16135" max="16135" width="5" style="4" customWidth="1"/>
    <col min="16136" max="16136" width="11.7109375" style="4" customWidth="1"/>
    <col min="16137" max="16137" width="21.5703125" style="4" customWidth="1"/>
    <col min="16138" max="16138" width="9.85546875" style="4" customWidth="1"/>
    <col min="16139" max="16139" width="8.5703125" style="4" customWidth="1"/>
    <col min="16140" max="16140" width="50.5703125" style="4" bestFit="1" customWidth="1"/>
    <col min="16141" max="16141" width="14.28515625" style="4" customWidth="1"/>
    <col min="16142" max="16142" width="5.7109375" style="4" bestFit="1" customWidth="1"/>
    <col min="16143" max="16143" width="9.5703125" style="4" bestFit="1" customWidth="1"/>
    <col min="16144" max="16144" width="5.5703125" style="4" bestFit="1" customWidth="1"/>
    <col min="16145" max="16145" width="12.7109375" style="4" customWidth="1"/>
    <col min="16146" max="16146" width="9.140625" style="4"/>
    <col min="16147" max="16147" width="25.140625" style="4" customWidth="1"/>
    <col min="16148" max="16384" width="9.140625" style="4"/>
  </cols>
  <sheetData>
    <row r="1" spans="1:12" ht="18">
      <c r="B1" s="3"/>
      <c r="C1" s="3047" t="s">
        <v>2116</v>
      </c>
      <c r="D1" s="3047"/>
      <c r="E1" s="3047"/>
      <c r="F1" s="3"/>
      <c r="G1" s="3"/>
      <c r="H1" s="3"/>
    </row>
    <row r="2" spans="1:12" ht="15.75" customHeight="1">
      <c r="A2" s="748"/>
      <c r="B2" s="748"/>
      <c r="C2" s="748"/>
      <c r="D2" s="748"/>
      <c r="E2" s="748"/>
      <c r="F2" s="748"/>
      <c r="G2" s="748"/>
      <c r="H2" s="726" t="s">
        <v>89</v>
      </c>
    </row>
    <row r="3" spans="1:12" ht="15.75">
      <c r="B3" s="49"/>
      <c r="C3" s="3223" t="s">
        <v>2117</v>
      </c>
      <c r="D3" s="3223"/>
      <c r="E3" s="3223"/>
      <c r="F3" s="49"/>
      <c r="G3" s="49"/>
      <c r="H3" s="49"/>
    </row>
    <row r="4" spans="1:12" ht="9" customHeight="1">
      <c r="A4" s="19"/>
      <c r="B4" s="19"/>
      <c r="C4" s="19"/>
      <c r="D4" s="19"/>
      <c r="E4" s="19"/>
      <c r="F4" s="19"/>
      <c r="G4" s="19"/>
      <c r="H4" s="19"/>
    </row>
    <row r="5" spans="1:12" ht="27" customHeight="1">
      <c r="A5" s="742" t="s">
        <v>2</v>
      </c>
      <c r="B5" s="3230" t="s">
        <v>3</v>
      </c>
      <c r="C5" s="3231"/>
      <c r="D5" s="749" t="s">
        <v>1421</v>
      </c>
      <c r="E5" s="742" t="s">
        <v>5</v>
      </c>
      <c r="F5" s="742" t="s">
        <v>9</v>
      </c>
      <c r="G5" s="742" t="s">
        <v>2118</v>
      </c>
      <c r="H5" s="742" t="s">
        <v>1668</v>
      </c>
    </row>
    <row r="6" spans="1:12">
      <c r="A6" s="14">
        <v>1</v>
      </c>
      <c r="B6" s="3208">
        <v>2</v>
      </c>
      <c r="C6" s="3209"/>
      <c r="D6" s="14">
        <v>3</v>
      </c>
      <c r="E6" s="14">
        <v>4</v>
      </c>
      <c r="F6" s="14">
        <v>5</v>
      </c>
      <c r="G6" s="14">
        <v>6</v>
      </c>
      <c r="H6" s="14">
        <v>7</v>
      </c>
    </row>
    <row r="7" spans="1:12" ht="16.5" customHeight="1">
      <c r="A7" s="3187">
        <v>1</v>
      </c>
      <c r="B7" s="68"/>
      <c r="C7" s="1509" t="s">
        <v>2119</v>
      </c>
      <c r="D7" s="1510"/>
      <c r="E7" s="1340" t="s">
        <v>12</v>
      </c>
      <c r="F7" s="1343">
        <f>H8+H9+H10</f>
        <v>343200.67</v>
      </c>
      <c r="G7" s="1340">
        <v>1</v>
      </c>
      <c r="H7" s="1511"/>
    </row>
    <row r="8" spans="1:12" ht="16.5" customHeight="1">
      <c r="A8" s="3188"/>
      <c r="B8" s="1340" t="s">
        <v>1493</v>
      </c>
      <c r="C8" s="944" t="s">
        <v>2120</v>
      </c>
      <c r="D8" s="1339">
        <v>7131943380</v>
      </c>
      <c r="E8" s="1340" t="s">
        <v>12</v>
      </c>
      <c r="F8" s="1341">
        <f>VLOOKUP(D8,'SOR RATE'!A:D,4,0)</f>
        <v>250684.03</v>
      </c>
      <c r="G8" s="1340">
        <v>1</v>
      </c>
      <c r="H8" s="1341">
        <f>G8*F8</f>
        <v>250684.03</v>
      </c>
    </row>
    <row r="9" spans="1:12" ht="16.5" customHeight="1">
      <c r="A9" s="3188"/>
      <c r="B9" s="1340" t="s">
        <v>1494</v>
      </c>
      <c r="C9" s="944" t="s">
        <v>2121</v>
      </c>
      <c r="D9" s="1339">
        <v>7131960524</v>
      </c>
      <c r="E9" s="1340" t="s">
        <v>12</v>
      </c>
      <c r="F9" s="1341">
        <f>VLOOKUP(D9,'SOR RATE'!A:D,4,0)</f>
        <v>39664.769999999997</v>
      </c>
      <c r="G9" s="1340">
        <v>1</v>
      </c>
      <c r="H9" s="1341">
        <f>G9*F9</f>
        <v>39664.769999999997</v>
      </c>
      <c r="L9" s="214"/>
    </row>
    <row r="10" spans="1:12" ht="16.5" customHeight="1">
      <c r="A10" s="3188"/>
      <c r="B10" s="1340" t="s">
        <v>1946</v>
      </c>
      <c r="C10" s="944" t="s">
        <v>2122</v>
      </c>
      <c r="D10" s="1339">
        <v>7132230263</v>
      </c>
      <c r="E10" s="1340" t="s">
        <v>12</v>
      </c>
      <c r="F10" s="1341">
        <f>VLOOKUP(D10,'SOR RATE'!A:D,4,0)</f>
        <v>17617.29</v>
      </c>
      <c r="G10" s="1340">
        <v>3</v>
      </c>
      <c r="H10" s="1341">
        <f>G10*F10</f>
        <v>52851.87</v>
      </c>
    </row>
    <row r="11" spans="1:12" ht="16.5" customHeight="1">
      <c r="A11" s="3189"/>
      <c r="B11" s="1340" t="s">
        <v>1948</v>
      </c>
      <c r="C11" s="1353" t="s">
        <v>430</v>
      </c>
      <c r="D11" s="1370">
        <v>7130352046</v>
      </c>
      <c r="E11" s="1354" t="s">
        <v>12</v>
      </c>
      <c r="F11" s="1341">
        <f>VLOOKUP(D11,'SOR RATE'!A:D,4,0)</f>
        <v>3896.24</v>
      </c>
      <c r="G11" s="1340">
        <v>1</v>
      </c>
      <c r="H11" s="1341">
        <f>G11*F11</f>
        <v>3896.24</v>
      </c>
      <c r="I11" s="20"/>
      <c r="J11" s="17"/>
    </row>
    <row r="12" spans="1:12" ht="25.5" customHeight="1">
      <c r="A12" s="1340">
        <v>2</v>
      </c>
      <c r="B12" s="966"/>
      <c r="C12" s="1344" t="s">
        <v>2123</v>
      </c>
      <c r="D12" s="1339">
        <v>7130200202</v>
      </c>
      <c r="E12" s="1340" t="s">
        <v>76</v>
      </c>
      <c r="F12" s="1341">
        <f>VLOOKUP(D12,'SOR RATE'!A:D,4,0)</f>
        <v>2970</v>
      </c>
      <c r="G12" s="1409">
        <v>7</v>
      </c>
      <c r="H12" s="1341">
        <f>F12*G12</f>
        <v>20790</v>
      </c>
      <c r="I12" s="249" t="s">
        <v>47</v>
      </c>
      <c r="J12" s="524"/>
    </row>
    <row r="13" spans="1:12" ht="17.25" customHeight="1">
      <c r="A13" s="1512">
        <v>3</v>
      </c>
      <c r="B13" s="966"/>
      <c r="C13" s="1344" t="s">
        <v>1907</v>
      </c>
      <c r="D13" s="1339">
        <v>7130830063</v>
      </c>
      <c r="E13" s="1340" t="s">
        <v>21</v>
      </c>
      <c r="F13" s="1341">
        <f>VLOOKUP(D13,'SOR RATE'!A:D,4,0)/1000</f>
        <v>92.285690000000002</v>
      </c>
      <c r="G13" s="1409">
        <v>30</v>
      </c>
      <c r="H13" s="1341">
        <f>F13*G13</f>
        <v>2768.5707000000002</v>
      </c>
      <c r="I13" s="739" t="s">
        <v>119</v>
      </c>
      <c r="J13" s="524"/>
    </row>
    <row r="14" spans="1:12" ht="15.75" customHeight="1">
      <c r="A14" s="3227">
        <v>4</v>
      </c>
      <c r="B14" s="966"/>
      <c r="C14" s="1509" t="s">
        <v>2124</v>
      </c>
      <c r="D14" s="1513"/>
      <c r="E14" s="1514"/>
      <c r="F14" s="1514"/>
      <c r="G14" s="1514"/>
      <c r="H14" s="1515"/>
    </row>
    <row r="15" spans="1:12" ht="16.5" customHeight="1">
      <c r="A15" s="3228"/>
      <c r="B15" s="935" t="s">
        <v>1884</v>
      </c>
      <c r="C15" s="1516" t="s">
        <v>1885</v>
      </c>
      <c r="D15" s="1339">
        <v>7130310658</v>
      </c>
      <c r="E15" s="1340" t="s">
        <v>21</v>
      </c>
      <c r="F15" s="1341">
        <f>VLOOKUP(D15,'SOR RATE'!A:D,4,0)/1000</f>
        <v>188.91779</v>
      </c>
      <c r="G15" s="1340">
        <v>60</v>
      </c>
      <c r="H15" s="1341">
        <f>G15*F15</f>
        <v>11335.0674</v>
      </c>
    </row>
    <row r="16" spans="1:12" ht="16.5" customHeight="1">
      <c r="A16" s="3228"/>
      <c r="B16" s="935" t="s">
        <v>1886</v>
      </c>
      <c r="C16" s="1516" t="s">
        <v>1887</v>
      </c>
      <c r="D16" s="1339">
        <v>7130310654</v>
      </c>
      <c r="E16" s="1340" t="s">
        <v>21</v>
      </c>
      <c r="F16" s="1341">
        <f>VLOOKUP(D16,'SOR RATE'!A:D,4,0)/1000</f>
        <v>98.983890000000002</v>
      </c>
      <c r="G16" s="1340">
        <v>120</v>
      </c>
      <c r="H16" s="1341">
        <f>G16*F16</f>
        <v>11878.066800000001</v>
      </c>
    </row>
    <row r="17" spans="1:14" ht="16.5" customHeight="1">
      <c r="A17" s="3229"/>
      <c r="B17" s="935" t="s">
        <v>1888</v>
      </c>
      <c r="C17" s="1516" t="s">
        <v>2125</v>
      </c>
      <c r="D17" s="1339">
        <v>7130310652</v>
      </c>
      <c r="E17" s="1340" t="s">
        <v>21</v>
      </c>
      <c r="F17" s="1341">
        <f>VLOOKUP(D17,'SOR RATE'!A:D,4,0)/1000</f>
        <v>55.294809999999998</v>
      </c>
      <c r="G17" s="1340">
        <v>60</v>
      </c>
      <c r="H17" s="1341">
        <f>G17*F17</f>
        <v>3317.6886</v>
      </c>
    </row>
    <row r="18" spans="1:14" ht="16.5" customHeight="1">
      <c r="A18" s="1340">
        <v>5</v>
      </c>
      <c r="B18" s="1517"/>
      <c r="C18" s="1516" t="s">
        <v>2126</v>
      </c>
      <c r="D18" s="1339">
        <v>7130830585</v>
      </c>
      <c r="E18" s="1383" t="s">
        <v>12</v>
      </c>
      <c r="F18" s="1341">
        <f>VLOOKUP(D18,'SOR RATE'!A:D,4,0)</f>
        <v>346.08</v>
      </c>
      <c r="G18" s="1340">
        <v>6</v>
      </c>
      <c r="H18" s="1341">
        <f>G18*F18</f>
        <v>2076.48</v>
      </c>
    </row>
    <row r="19" spans="1:14" ht="16.5" customHeight="1">
      <c r="A19" s="1340">
        <v>6</v>
      </c>
      <c r="B19" s="1517"/>
      <c r="C19" s="1516" t="s">
        <v>2127</v>
      </c>
      <c r="D19" s="1339">
        <v>7130830585</v>
      </c>
      <c r="E19" s="1383" t="s">
        <v>12</v>
      </c>
      <c r="F19" s="1341">
        <f>VLOOKUP(D19,'SOR RATE'!A:D,4,0)</f>
        <v>346.08</v>
      </c>
      <c r="G19" s="1340">
        <v>6</v>
      </c>
      <c r="H19" s="1341">
        <f>G19*F19</f>
        <v>2076.48</v>
      </c>
    </row>
    <row r="20" spans="1:14" ht="16.5" customHeight="1">
      <c r="A20" s="932">
        <v>7</v>
      </c>
      <c r="B20" s="1330"/>
      <c r="C20" s="1426" t="s">
        <v>48</v>
      </c>
      <c r="D20" s="1518"/>
      <c r="E20" s="940"/>
      <c r="F20" s="14"/>
      <c r="G20" s="14"/>
      <c r="H20" s="1343">
        <f>SUM(H8:H19)</f>
        <v>401339.26349999988</v>
      </c>
      <c r="I20" s="20"/>
      <c r="J20" s="21"/>
    </row>
    <row r="21" spans="1:14" ht="28.5" customHeight="1">
      <c r="A21" s="932">
        <v>8</v>
      </c>
      <c r="B21" s="1330"/>
      <c r="C21" s="1426" t="s">
        <v>49</v>
      </c>
      <c r="D21" s="1518"/>
      <c r="E21" s="940"/>
      <c r="F21" s="14"/>
      <c r="G21" s="14"/>
      <c r="H21" s="1343">
        <f>H20/1.18</f>
        <v>340118.01991525415</v>
      </c>
      <c r="I21" s="174"/>
      <c r="J21" s="21"/>
    </row>
    <row r="22" spans="1:14" ht="16.5" customHeight="1">
      <c r="A22" s="1340">
        <v>9</v>
      </c>
      <c r="B22" s="966"/>
      <c r="C22" s="1372" t="s">
        <v>50</v>
      </c>
      <c r="D22" s="1518"/>
      <c r="E22" s="1519"/>
      <c r="F22" s="1340">
        <v>7.4999999999999997E-2</v>
      </c>
      <c r="G22" s="1340"/>
      <c r="H22" s="1341">
        <f>H20*F22</f>
        <v>30100.444762499988</v>
      </c>
      <c r="I22" s="16"/>
      <c r="J22" s="21"/>
    </row>
    <row r="23" spans="1:14" ht="16.5" customHeight="1">
      <c r="A23" s="1340">
        <v>10</v>
      </c>
      <c r="C23" s="1520" t="s">
        <v>82</v>
      </c>
      <c r="D23" s="1521"/>
      <c r="E23" s="1409" t="s">
        <v>76</v>
      </c>
      <c r="F23" s="1522">
        <f>665.173187113158*1.043</f>
        <v>693.77563415902364</v>
      </c>
      <c r="G23" s="1386">
        <v>7</v>
      </c>
      <c r="H23" s="1341">
        <f>F23*G23</f>
        <v>4856.4294391131652</v>
      </c>
      <c r="I23" s="59"/>
    </row>
    <row r="24" spans="1:14" ht="16.5" customHeight="1">
      <c r="A24" s="1340">
        <v>11</v>
      </c>
      <c r="B24" s="966"/>
      <c r="C24" s="1344" t="s">
        <v>2128</v>
      </c>
      <c r="D24" s="1518"/>
      <c r="E24" s="1519"/>
      <c r="F24" s="1423"/>
      <c r="G24" s="1438"/>
      <c r="H24" s="1341">
        <v>8937</v>
      </c>
      <c r="I24" s="750"/>
      <c r="J24" s="490"/>
      <c r="K24" s="490"/>
      <c r="L24" s="751"/>
    </row>
    <row r="25" spans="1:14" ht="16.5" customHeight="1">
      <c r="A25" s="1340">
        <v>12</v>
      </c>
      <c r="B25" s="966"/>
      <c r="C25" s="944" t="s">
        <v>2129</v>
      </c>
      <c r="D25" s="1523"/>
      <c r="E25" s="1383"/>
      <c r="F25" s="1340">
        <v>0.04</v>
      </c>
      <c r="G25" s="1340"/>
      <c r="H25" s="1430">
        <f>(H20/1.18)*F25</f>
        <v>13604.720796610167</v>
      </c>
      <c r="I25" s="754" t="s">
        <v>1827</v>
      </c>
      <c r="J25" s="26"/>
      <c r="K25" s="24"/>
      <c r="L25" s="485"/>
      <c r="M25" s="485"/>
      <c r="N25" s="485"/>
    </row>
    <row r="26" spans="1:14" ht="42" customHeight="1">
      <c r="A26" s="1340">
        <v>13</v>
      </c>
      <c r="B26" s="966"/>
      <c r="C26" s="1372" t="s">
        <v>2211</v>
      </c>
      <c r="D26" s="1523"/>
      <c r="E26" s="1383"/>
      <c r="F26" s="1340"/>
      <c r="G26" s="1340"/>
      <c r="H26" s="1430">
        <f>(H20+H22+H23+H24+H25)*0.125</f>
        <v>57354.732312277905</v>
      </c>
      <c r="I26" s="752"/>
      <c r="J26" s="26"/>
      <c r="K26" s="485"/>
      <c r="L26" s="485"/>
      <c r="M26" s="485"/>
      <c r="N26" s="485"/>
    </row>
    <row r="27" spans="1:14" ht="30" customHeight="1">
      <c r="A27" s="932">
        <v>14</v>
      </c>
      <c r="B27" s="966"/>
      <c r="C27" s="1457" t="s">
        <v>2212</v>
      </c>
      <c r="D27" s="1518"/>
      <c r="E27" s="1519"/>
      <c r="F27" s="1438"/>
      <c r="G27" s="1438"/>
      <c r="H27" s="1343">
        <f>SUM(H21:H26)</f>
        <v>454971.34722575539</v>
      </c>
      <c r="I27" s="27"/>
      <c r="J27" s="247"/>
      <c r="K27" s="247"/>
      <c r="L27" s="247"/>
      <c r="M27" s="247"/>
      <c r="N27" s="247"/>
    </row>
    <row r="28" spans="1:14" ht="16.5" customHeight="1">
      <c r="A28" s="1409">
        <v>15</v>
      </c>
      <c r="B28" s="966"/>
      <c r="C28" s="1372" t="s">
        <v>1654</v>
      </c>
      <c r="D28" s="1518"/>
      <c r="E28" s="1519"/>
      <c r="F28" s="1340">
        <v>0.09</v>
      </c>
      <c r="G28" s="1438"/>
      <c r="H28" s="1430">
        <f>H27*F28</f>
        <v>40947.421250317981</v>
      </c>
      <c r="I28" s="27"/>
      <c r="J28" s="247"/>
      <c r="K28" s="247"/>
      <c r="L28" s="247"/>
      <c r="M28" s="247"/>
      <c r="N28" s="247"/>
    </row>
    <row r="29" spans="1:14" ht="16.5" customHeight="1">
      <c r="A29" s="1340">
        <v>16</v>
      </c>
      <c r="B29" s="966"/>
      <c r="C29" s="1372" t="s">
        <v>1655</v>
      </c>
      <c r="D29" s="1518"/>
      <c r="E29" s="1519"/>
      <c r="F29" s="1340">
        <v>0.09</v>
      </c>
      <c r="G29" s="1340"/>
      <c r="H29" s="1341">
        <f>H27*F29</f>
        <v>40947.421250317981</v>
      </c>
      <c r="I29" s="60"/>
      <c r="J29" s="247"/>
      <c r="K29" s="247"/>
      <c r="L29" s="247"/>
      <c r="M29" s="247"/>
      <c r="N29" s="247"/>
    </row>
    <row r="30" spans="1:14" ht="28.5" customHeight="1">
      <c r="A30" s="1340">
        <v>17</v>
      </c>
      <c r="B30" s="966"/>
      <c r="C30" s="1372" t="s">
        <v>2213</v>
      </c>
      <c r="D30" s="1518"/>
      <c r="E30" s="1519"/>
      <c r="F30" s="1340"/>
      <c r="G30" s="1340"/>
      <c r="H30" s="1341">
        <f>H27+H28+H29</f>
        <v>536866.18972639134</v>
      </c>
    </row>
    <row r="31" spans="1:14" ht="27.75" customHeight="1">
      <c r="A31" s="1312">
        <v>18</v>
      </c>
      <c r="B31" s="1524"/>
      <c r="C31" s="1457" t="s">
        <v>59</v>
      </c>
      <c r="D31" s="1525"/>
      <c r="E31" s="1312"/>
      <c r="F31" s="1312"/>
      <c r="G31" s="1312"/>
      <c r="H31" s="1315">
        <f>ROUND(H30,0)</f>
        <v>536866</v>
      </c>
    </row>
    <row r="33" spans="1:14" ht="15">
      <c r="A33" s="46"/>
      <c r="B33" s="46"/>
      <c r="C33" s="46"/>
    </row>
    <row r="34" spans="1:14">
      <c r="A34" s="744"/>
    </row>
    <row r="35" spans="1:14" ht="12.75" customHeight="1">
      <c r="A35" s="744"/>
      <c r="K35" s="46"/>
      <c r="L35" s="46"/>
      <c r="M35" s="46"/>
      <c r="N35" s="46"/>
    </row>
  </sheetData>
  <mergeCells count="6">
    <mergeCell ref="A14:A17"/>
    <mergeCell ref="C1:E1"/>
    <mergeCell ref="C3:E3"/>
    <mergeCell ref="B5:C5"/>
    <mergeCell ref="B6:C6"/>
    <mergeCell ref="A7:A11"/>
  </mergeCells>
  <conditionalFormatting sqref="C20">
    <cfRule type="cellIs" dxfId="117" priority="2" stopIfTrue="1" operator="equal">
      <formula>"?"</formula>
    </cfRule>
  </conditionalFormatting>
  <conditionalFormatting sqref="C21">
    <cfRule type="cellIs" dxfId="116" priority="1" stopIfTrue="1" operator="equal">
      <formula>"?"</formula>
    </cfRule>
  </conditionalFormatting>
  <printOptions horizontalCentered="1"/>
  <pageMargins left="1" right="0.19" top="0.7" bottom="0.22" header="0.5" footer="0.16"/>
  <pageSetup paperSize="9" scale="135"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43"/>
  <sheetViews>
    <sheetView zoomScaleNormal="100" zoomScaleSheetLayoutView="85" workbookViewId="0">
      <pane xSplit="2" ySplit="9" topLeftCell="E38" activePane="bottomRight" state="frozen"/>
      <selection pane="topRight" activeCell="C1" sqref="C1"/>
      <selection pane="bottomLeft" activeCell="A10" sqref="A10"/>
      <selection pane="bottomRight" activeCell="I4" sqref="I4"/>
    </sheetView>
  </sheetViews>
  <sheetFormatPr defaultRowHeight="12.75"/>
  <cols>
    <col min="1" max="1" width="4.140625" style="22" customWidth="1"/>
    <col min="2" max="2" width="43.28515625" style="22" customWidth="1"/>
    <col min="3" max="3" width="15.140625" style="830" customWidth="1"/>
    <col min="4" max="4" width="5.28515625" style="22" customWidth="1"/>
    <col min="5" max="5" width="10.7109375" style="22" bestFit="1" customWidth="1"/>
    <col min="6" max="6" width="7" style="22" customWidth="1"/>
    <col min="7" max="7" width="12.42578125" style="22" customWidth="1"/>
    <col min="8" max="8" width="6" style="22" customWidth="1"/>
    <col min="9" max="9" width="11.85546875" style="22" customWidth="1"/>
    <col min="10" max="10" width="7" style="22" customWidth="1"/>
    <col min="11" max="11" width="11.7109375" style="22" customWidth="1"/>
    <col min="12" max="12" width="32.7109375" style="22" customWidth="1"/>
    <col min="13" max="13" width="11.28515625" style="22" customWidth="1"/>
    <col min="14" max="256" width="9.140625" style="22"/>
    <col min="257" max="257" width="4.140625" style="22" customWidth="1"/>
    <col min="258" max="258" width="43.28515625" style="22" customWidth="1"/>
    <col min="259" max="259" width="15.140625" style="22" customWidth="1"/>
    <col min="260" max="260" width="5.28515625" style="22" customWidth="1"/>
    <col min="261" max="261" width="10.7109375" style="22" bestFit="1" customWidth="1"/>
    <col min="262" max="262" width="7" style="22" customWidth="1"/>
    <col min="263" max="263" width="12.42578125" style="22" customWidth="1"/>
    <col min="264" max="264" width="6" style="22" customWidth="1"/>
    <col min="265" max="265" width="11.85546875" style="22" customWidth="1"/>
    <col min="266" max="266" width="7" style="22" customWidth="1"/>
    <col min="267" max="267" width="11.7109375" style="22" customWidth="1"/>
    <col min="268" max="268" width="32.7109375" style="22" customWidth="1"/>
    <col min="269" max="512" width="9.140625" style="22"/>
    <col min="513" max="513" width="4.140625" style="22" customWidth="1"/>
    <col min="514" max="514" width="43.28515625" style="22" customWidth="1"/>
    <col min="515" max="515" width="15.140625" style="22" customWidth="1"/>
    <col min="516" max="516" width="5.28515625" style="22" customWidth="1"/>
    <col min="517" max="517" width="10.7109375" style="22" bestFit="1" customWidth="1"/>
    <col min="518" max="518" width="7" style="22" customWidth="1"/>
    <col min="519" max="519" width="12.42578125" style="22" customWidth="1"/>
    <col min="520" max="520" width="6" style="22" customWidth="1"/>
    <col min="521" max="521" width="11.85546875" style="22" customWidth="1"/>
    <col min="522" max="522" width="7" style="22" customWidth="1"/>
    <col min="523" max="523" width="11.7109375" style="22" customWidth="1"/>
    <col min="524" max="524" width="32.7109375" style="22" customWidth="1"/>
    <col min="525" max="768" width="9.140625" style="22"/>
    <col min="769" max="769" width="4.140625" style="22" customWidth="1"/>
    <col min="770" max="770" width="43.28515625" style="22" customWidth="1"/>
    <col min="771" max="771" width="15.140625" style="22" customWidth="1"/>
    <col min="772" max="772" width="5.28515625" style="22" customWidth="1"/>
    <col min="773" max="773" width="10.7109375" style="22" bestFit="1" customWidth="1"/>
    <col min="774" max="774" width="7" style="22" customWidth="1"/>
    <col min="775" max="775" width="12.42578125" style="22" customWidth="1"/>
    <col min="776" max="776" width="6" style="22" customWidth="1"/>
    <col min="777" max="777" width="11.85546875" style="22" customWidth="1"/>
    <col min="778" max="778" width="7" style="22" customWidth="1"/>
    <col min="779" max="779" width="11.7109375" style="22" customWidth="1"/>
    <col min="780" max="780" width="32.7109375" style="22" customWidth="1"/>
    <col min="781" max="1024" width="9.140625" style="22"/>
    <col min="1025" max="1025" width="4.140625" style="22" customWidth="1"/>
    <col min="1026" max="1026" width="43.28515625" style="22" customWidth="1"/>
    <col min="1027" max="1027" width="15.140625" style="22" customWidth="1"/>
    <col min="1028" max="1028" width="5.28515625" style="22" customWidth="1"/>
    <col min="1029" max="1029" width="10.7109375" style="22" bestFit="1" customWidth="1"/>
    <col min="1030" max="1030" width="7" style="22" customWidth="1"/>
    <col min="1031" max="1031" width="12.42578125" style="22" customWidth="1"/>
    <col min="1032" max="1032" width="6" style="22" customWidth="1"/>
    <col min="1033" max="1033" width="11.85546875" style="22" customWidth="1"/>
    <col min="1034" max="1034" width="7" style="22" customWidth="1"/>
    <col min="1035" max="1035" width="11.7109375" style="22" customWidth="1"/>
    <col min="1036" max="1036" width="32.7109375" style="22" customWidth="1"/>
    <col min="1037" max="1280" width="9.140625" style="22"/>
    <col min="1281" max="1281" width="4.140625" style="22" customWidth="1"/>
    <col min="1282" max="1282" width="43.28515625" style="22" customWidth="1"/>
    <col min="1283" max="1283" width="15.140625" style="22" customWidth="1"/>
    <col min="1284" max="1284" width="5.28515625" style="22" customWidth="1"/>
    <col min="1285" max="1285" width="10.7109375" style="22" bestFit="1" customWidth="1"/>
    <col min="1286" max="1286" width="7" style="22" customWidth="1"/>
    <col min="1287" max="1287" width="12.42578125" style="22" customWidth="1"/>
    <col min="1288" max="1288" width="6" style="22" customWidth="1"/>
    <col min="1289" max="1289" width="11.85546875" style="22" customWidth="1"/>
    <col min="1290" max="1290" width="7" style="22" customWidth="1"/>
    <col min="1291" max="1291" width="11.7109375" style="22" customWidth="1"/>
    <col min="1292" max="1292" width="32.7109375" style="22" customWidth="1"/>
    <col min="1293" max="1536" width="9.140625" style="22"/>
    <col min="1537" max="1537" width="4.140625" style="22" customWidth="1"/>
    <col min="1538" max="1538" width="43.28515625" style="22" customWidth="1"/>
    <col min="1539" max="1539" width="15.140625" style="22" customWidth="1"/>
    <col min="1540" max="1540" width="5.28515625" style="22" customWidth="1"/>
    <col min="1541" max="1541" width="10.7109375" style="22" bestFit="1" customWidth="1"/>
    <col min="1542" max="1542" width="7" style="22" customWidth="1"/>
    <col min="1543" max="1543" width="12.42578125" style="22" customWidth="1"/>
    <col min="1544" max="1544" width="6" style="22" customWidth="1"/>
    <col min="1545" max="1545" width="11.85546875" style="22" customWidth="1"/>
    <col min="1546" max="1546" width="7" style="22" customWidth="1"/>
    <col min="1547" max="1547" width="11.7109375" style="22" customWidth="1"/>
    <col min="1548" max="1548" width="32.7109375" style="22" customWidth="1"/>
    <col min="1549" max="1792" width="9.140625" style="22"/>
    <col min="1793" max="1793" width="4.140625" style="22" customWidth="1"/>
    <col min="1794" max="1794" width="43.28515625" style="22" customWidth="1"/>
    <col min="1795" max="1795" width="15.140625" style="22" customWidth="1"/>
    <col min="1796" max="1796" width="5.28515625" style="22" customWidth="1"/>
    <col min="1797" max="1797" width="10.7109375" style="22" bestFit="1" customWidth="1"/>
    <col min="1798" max="1798" width="7" style="22" customWidth="1"/>
    <col min="1799" max="1799" width="12.42578125" style="22" customWidth="1"/>
    <col min="1800" max="1800" width="6" style="22" customWidth="1"/>
    <col min="1801" max="1801" width="11.85546875" style="22" customWidth="1"/>
    <col min="1802" max="1802" width="7" style="22" customWidth="1"/>
    <col min="1803" max="1803" width="11.7109375" style="22" customWidth="1"/>
    <col min="1804" max="1804" width="32.7109375" style="22" customWidth="1"/>
    <col min="1805" max="2048" width="9.140625" style="22"/>
    <col min="2049" max="2049" width="4.140625" style="22" customWidth="1"/>
    <col min="2050" max="2050" width="43.28515625" style="22" customWidth="1"/>
    <col min="2051" max="2051" width="15.140625" style="22" customWidth="1"/>
    <col min="2052" max="2052" width="5.28515625" style="22" customWidth="1"/>
    <col min="2053" max="2053" width="10.7109375" style="22" bestFit="1" customWidth="1"/>
    <col min="2054" max="2054" width="7" style="22" customWidth="1"/>
    <col min="2055" max="2055" width="12.42578125" style="22" customWidth="1"/>
    <col min="2056" max="2056" width="6" style="22" customWidth="1"/>
    <col min="2057" max="2057" width="11.85546875" style="22" customWidth="1"/>
    <col min="2058" max="2058" width="7" style="22" customWidth="1"/>
    <col min="2059" max="2059" width="11.7109375" style="22" customWidth="1"/>
    <col min="2060" max="2060" width="32.7109375" style="22" customWidth="1"/>
    <col min="2061" max="2304" width="9.140625" style="22"/>
    <col min="2305" max="2305" width="4.140625" style="22" customWidth="1"/>
    <col min="2306" max="2306" width="43.28515625" style="22" customWidth="1"/>
    <col min="2307" max="2307" width="15.140625" style="22" customWidth="1"/>
    <col min="2308" max="2308" width="5.28515625" style="22" customWidth="1"/>
    <col min="2309" max="2309" width="10.7109375" style="22" bestFit="1" customWidth="1"/>
    <col min="2310" max="2310" width="7" style="22" customWidth="1"/>
    <col min="2311" max="2311" width="12.42578125" style="22" customWidth="1"/>
    <col min="2312" max="2312" width="6" style="22" customWidth="1"/>
    <col min="2313" max="2313" width="11.85546875" style="22" customWidth="1"/>
    <col min="2314" max="2314" width="7" style="22" customWidth="1"/>
    <col min="2315" max="2315" width="11.7109375" style="22" customWidth="1"/>
    <col min="2316" max="2316" width="32.7109375" style="22" customWidth="1"/>
    <col min="2317" max="2560" width="9.140625" style="22"/>
    <col min="2561" max="2561" width="4.140625" style="22" customWidth="1"/>
    <col min="2562" max="2562" width="43.28515625" style="22" customWidth="1"/>
    <col min="2563" max="2563" width="15.140625" style="22" customWidth="1"/>
    <col min="2564" max="2564" width="5.28515625" style="22" customWidth="1"/>
    <col min="2565" max="2565" width="10.7109375" style="22" bestFit="1" customWidth="1"/>
    <col min="2566" max="2566" width="7" style="22" customWidth="1"/>
    <col min="2567" max="2567" width="12.42578125" style="22" customWidth="1"/>
    <col min="2568" max="2568" width="6" style="22" customWidth="1"/>
    <col min="2569" max="2569" width="11.85546875" style="22" customWidth="1"/>
    <col min="2570" max="2570" width="7" style="22" customWidth="1"/>
    <col min="2571" max="2571" width="11.7109375" style="22" customWidth="1"/>
    <col min="2572" max="2572" width="32.7109375" style="22" customWidth="1"/>
    <col min="2573" max="2816" width="9.140625" style="22"/>
    <col min="2817" max="2817" width="4.140625" style="22" customWidth="1"/>
    <col min="2818" max="2818" width="43.28515625" style="22" customWidth="1"/>
    <col min="2819" max="2819" width="15.140625" style="22" customWidth="1"/>
    <col min="2820" max="2820" width="5.28515625" style="22" customWidth="1"/>
    <col min="2821" max="2821" width="10.7109375" style="22" bestFit="1" customWidth="1"/>
    <col min="2822" max="2822" width="7" style="22" customWidth="1"/>
    <col min="2823" max="2823" width="12.42578125" style="22" customWidth="1"/>
    <col min="2824" max="2824" width="6" style="22" customWidth="1"/>
    <col min="2825" max="2825" width="11.85546875" style="22" customWidth="1"/>
    <col min="2826" max="2826" width="7" style="22" customWidth="1"/>
    <col min="2827" max="2827" width="11.7109375" style="22" customWidth="1"/>
    <col min="2828" max="2828" width="32.7109375" style="22" customWidth="1"/>
    <col min="2829" max="3072" width="9.140625" style="22"/>
    <col min="3073" max="3073" width="4.140625" style="22" customWidth="1"/>
    <col min="3074" max="3074" width="43.28515625" style="22" customWidth="1"/>
    <col min="3075" max="3075" width="15.140625" style="22" customWidth="1"/>
    <col min="3076" max="3076" width="5.28515625" style="22" customWidth="1"/>
    <col min="3077" max="3077" width="10.7109375" style="22" bestFit="1" customWidth="1"/>
    <col min="3078" max="3078" width="7" style="22" customWidth="1"/>
    <col min="3079" max="3079" width="12.42578125" style="22" customWidth="1"/>
    <col min="3080" max="3080" width="6" style="22" customWidth="1"/>
    <col min="3081" max="3081" width="11.85546875" style="22" customWidth="1"/>
    <col min="3082" max="3082" width="7" style="22" customWidth="1"/>
    <col min="3083" max="3083" width="11.7109375" style="22" customWidth="1"/>
    <col min="3084" max="3084" width="32.7109375" style="22" customWidth="1"/>
    <col min="3085" max="3328" width="9.140625" style="22"/>
    <col min="3329" max="3329" width="4.140625" style="22" customWidth="1"/>
    <col min="3330" max="3330" width="43.28515625" style="22" customWidth="1"/>
    <col min="3331" max="3331" width="15.140625" style="22" customWidth="1"/>
    <col min="3332" max="3332" width="5.28515625" style="22" customWidth="1"/>
    <col min="3333" max="3333" width="10.7109375" style="22" bestFit="1" customWidth="1"/>
    <col min="3334" max="3334" width="7" style="22" customWidth="1"/>
    <col min="3335" max="3335" width="12.42578125" style="22" customWidth="1"/>
    <col min="3336" max="3336" width="6" style="22" customWidth="1"/>
    <col min="3337" max="3337" width="11.85546875" style="22" customWidth="1"/>
    <col min="3338" max="3338" width="7" style="22" customWidth="1"/>
    <col min="3339" max="3339" width="11.7109375" style="22" customWidth="1"/>
    <col min="3340" max="3340" width="32.7109375" style="22" customWidth="1"/>
    <col min="3341" max="3584" width="9.140625" style="22"/>
    <col min="3585" max="3585" width="4.140625" style="22" customWidth="1"/>
    <col min="3586" max="3586" width="43.28515625" style="22" customWidth="1"/>
    <col min="3587" max="3587" width="15.140625" style="22" customWidth="1"/>
    <col min="3588" max="3588" width="5.28515625" style="22" customWidth="1"/>
    <col min="3589" max="3589" width="10.7109375" style="22" bestFit="1" customWidth="1"/>
    <col min="3590" max="3590" width="7" style="22" customWidth="1"/>
    <col min="3591" max="3591" width="12.42578125" style="22" customWidth="1"/>
    <col min="3592" max="3592" width="6" style="22" customWidth="1"/>
    <col min="3593" max="3593" width="11.85546875" style="22" customWidth="1"/>
    <col min="3594" max="3594" width="7" style="22" customWidth="1"/>
    <col min="3595" max="3595" width="11.7109375" style="22" customWidth="1"/>
    <col min="3596" max="3596" width="32.7109375" style="22" customWidth="1"/>
    <col min="3597" max="3840" width="9.140625" style="22"/>
    <col min="3841" max="3841" width="4.140625" style="22" customWidth="1"/>
    <col min="3842" max="3842" width="43.28515625" style="22" customWidth="1"/>
    <col min="3843" max="3843" width="15.140625" style="22" customWidth="1"/>
    <col min="3844" max="3844" width="5.28515625" style="22" customWidth="1"/>
    <col min="3845" max="3845" width="10.7109375" style="22" bestFit="1" customWidth="1"/>
    <col min="3846" max="3846" width="7" style="22" customWidth="1"/>
    <col min="3847" max="3847" width="12.42578125" style="22" customWidth="1"/>
    <col min="3848" max="3848" width="6" style="22" customWidth="1"/>
    <col min="3849" max="3849" width="11.85546875" style="22" customWidth="1"/>
    <col min="3850" max="3850" width="7" style="22" customWidth="1"/>
    <col min="3851" max="3851" width="11.7109375" style="22" customWidth="1"/>
    <col min="3852" max="3852" width="32.7109375" style="22" customWidth="1"/>
    <col min="3853" max="4096" width="9.140625" style="22"/>
    <col min="4097" max="4097" width="4.140625" style="22" customWidth="1"/>
    <col min="4098" max="4098" width="43.28515625" style="22" customWidth="1"/>
    <col min="4099" max="4099" width="15.140625" style="22" customWidth="1"/>
    <col min="4100" max="4100" width="5.28515625" style="22" customWidth="1"/>
    <col min="4101" max="4101" width="10.7109375" style="22" bestFit="1" customWidth="1"/>
    <col min="4102" max="4102" width="7" style="22" customWidth="1"/>
    <col min="4103" max="4103" width="12.42578125" style="22" customWidth="1"/>
    <col min="4104" max="4104" width="6" style="22" customWidth="1"/>
    <col min="4105" max="4105" width="11.85546875" style="22" customWidth="1"/>
    <col min="4106" max="4106" width="7" style="22" customWidth="1"/>
    <col min="4107" max="4107" width="11.7109375" style="22" customWidth="1"/>
    <col min="4108" max="4108" width="32.7109375" style="22" customWidth="1"/>
    <col min="4109" max="4352" width="9.140625" style="22"/>
    <col min="4353" max="4353" width="4.140625" style="22" customWidth="1"/>
    <col min="4354" max="4354" width="43.28515625" style="22" customWidth="1"/>
    <col min="4355" max="4355" width="15.140625" style="22" customWidth="1"/>
    <col min="4356" max="4356" width="5.28515625" style="22" customWidth="1"/>
    <col min="4357" max="4357" width="10.7109375" style="22" bestFit="1" customWidth="1"/>
    <col min="4358" max="4358" width="7" style="22" customWidth="1"/>
    <col min="4359" max="4359" width="12.42578125" style="22" customWidth="1"/>
    <col min="4360" max="4360" width="6" style="22" customWidth="1"/>
    <col min="4361" max="4361" width="11.85546875" style="22" customWidth="1"/>
    <col min="4362" max="4362" width="7" style="22" customWidth="1"/>
    <col min="4363" max="4363" width="11.7109375" style="22" customWidth="1"/>
    <col min="4364" max="4364" width="32.7109375" style="22" customWidth="1"/>
    <col min="4365" max="4608" width="9.140625" style="22"/>
    <col min="4609" max="4609" width="4.140625" style="22" customWidth="1"/>
    <col min="4610" max="4610" width="43.28515625" style="22" customWidth="1"/>
    <col min="4611" max="4611" width="15.140625" style="22" customWidth="1"/>
    <col min="4612" max="4612" width="5.28515625" style="22" customWidth="1"/>
    <col min="4613" max="4613" width="10.7109375" style="22" bestFit="1" customWidth="1"/>
    <col min="4614" max="4614" width="7" style="22" customWidth="1"/>
    <col min="4615" max="4615" width="12.42578125" style="22" customWidth="1"/>
    <col min="4616" max="4616" width="6" style="22" customWidth="1"/>
    <col min="4617" max="4617" width="11.85546875" style="22" customWidth="1"/>
    <col min="4618" max="4618" width="7" style="22" customWidth="1"/>
    <col min="4619" max="4619" width="11.7109375" style="22" customWidth="1"/>
    <col min="4620" max="4620" width="32.7109375" style="22" customWidth="1"/>
    <col min="4621" max="4864" width="9.140625" style="22"/>
    <col min="4865" max="4865" width="4.140625" style="22" customWidth="1"/>
    <col min="4866" max="4866" width="43.28515625" style="22" customWidth="1"/>
    <col min="4867" max="4867" width="15.140625" style="22" customWidth="1"/>
    <col min="4868" max="4868" width="5.28515625" style="22" customWidth="1"/>
    <col min="4869" max="4869" width="10.7109375" style="22" bestFit="1" customWidth="1"/>
    <col min="4870" max="4870" width="7" style="22" customWidth="1"/>
    <col min="4871" max="4871" width="12.42578125" style="22" customWidth="1"/>
    <col min="4872" max="4872" width="6" style="22" customWidth="1"/>
    <col min="4873" max="4873" width="11.85546875" style="22" customWidth="1"/>
    <col min="4874" max="4874" width="7" style="22" customWidth="1"/>
    <col min="4875" max="4875" width="11.7109375" style="22" customWidth="1"/>
    <col min="4876" max="4876" width="32.7109375" style="22" customWidth="1"/>
    <col min="4877" max="5120" width="9.140625" style="22"/>
    <col min="5121" max="5121" width="4.140625" style="22" customWidth="1"/>
    <col min="5122" max="5122" width="43.28515625" style="22" customWidth="1"/>
    <col min="5123" max="5123" width="15.140625" style="22" customWidth="1"/>
    <col min="5124" max="5124" width="5.28515625" style="22" customWidth="1"/>
    <col min="5125" max="5125" width="10.7109375" style="22" bestFit="1" customWidth="1"/>
    <col min="5126" max="5126" width="7" style="22" customWidth="1"/>
    <col min="5127" max="5127" width="12.42578125" style="22" customWidth="1"/>
    <col min="5128" max="5128" width="6" style="22" customWidth="1"/>
    <col min="5129" max="5129" width="11.85546875" style="22" customWidth="1"/>
    <col min="5130" max="5130" width="7" style="22" customWidth="1"/>
    <col min="5131" max="5131" width="11.7109375" style="22" customWidth="1"/>
    <col min="5132" max="5132" width="32.7109375" style="22" customWidth="1"/>
    <col min="5133" max="5376" width="9.140625" style="22"/>
    <col min="5377" max="5377" width="4.140625" style="22" customWidth="1"/>
    <col min="5378" max="5378" width="43.28515625" style="22" customWidth="1"/>
    <col min="5379" max="5379" width="15.140625" style="22" customWidth="1"/>
    <col min="5380" max="5380" width="5.28515625" style="22" customWidth="1"/>
    <col min="5381" max="5381" width="10.7109375" style="22" bestFit="1" customWidth="1"/>
    <col min="5382" max="5382" width="7" style="22" customWidth="1"/>
    <col min="5383" max="5383" width="12.42578125" style="22" customWidth="1"/>
    <col min="5384" max="5384" width="6" style="22" customWidth="1"/>
    <col min="5385" max="5385" width="11.85546875" style="22" customWidth="1"/>
    <col min="5386" max="5386" width="7" style="22" customWidth="1"/>
    <col min="5387" max="5387" width="11.7109375" style="22" customWidth="1"/>
    <col min="5388" max="5388" width="32.7109375" style="22" customWidth="1"/>
    <col min="5389" max="5632" width="9.140625" style="22"/>
    <col min="5633" max="5633" width="4.140625" style="22" customWidth="1"/>
    <col min="5634" max="5634" width="43.28515625" style="22" customWidth="1"/>
    <col min="5635" max="5635" width="15.140625" style="22" customWidth="1"/>
    <col min="5636" max="5636" width="5.28515625" style="22" customWidth="1"/>
    <col min="5637" max="5637" width="10.7109375" style="22" bestFit="1" customWidth="1"/>
    <col min="5638" max="5638" width="7" style="22" customWidth="1"/>
    <col min="5639" max="5639" width="12.42578125" style="22" customWidth="1"/>
    <col min="5640" max="5640" width="6" style="22" customWidth="1"/>
    <col min="5641" max="5641" width="11.85546875" style="22" customWidth="1"/>
    <col min="5642" max="5642" width="7" style="22" customWidth="1"/>
    <col min="5643" max="5643" width="11.7109375" style="22" customWidth="1"/>
    <col min="5644" max="5644" width="32.7109375" style="22" customWidth="1"/>
    <col min="5645" max="5888" width="9.140625" style="22"/>
    <col min="5889" max="5889" width="4.140625" style="22" customWidth="1"/>
    <col min="5890" max="5890" width="43.28515625" style="22" customWidth="1"/>
    <col min="5891" max="5891" width="15.140625" style="22" customWidth="1"/>
    <col min="5892" max="5892" width="5.28515625" style="22" customWidth="1"/>
    <col min="5893" max="5893" width="10.7109375" style="22" bestFit="1" customWidth="1"/>
    <col min="5894" max="5894" width="7" style="22" customWidth="1"/>
    <col min="5895" max="5895" width="12.42578125" style="22" customWidth="1"/>
    <col min="5896" max="5896" width="6" style="22" customWidth="1"/>
    <col min="5897" max="5897" width="11.85546875" style="22" customWidth="1"/>
    <col min="5898" max="5898" width="7" style="22" customWidth="1"/>
    <col min="5899" max="5899" width="11.7109375" style="22" customWidth="1"/>
    <col min="5900" max="5900" width="32.7109375" style="22" customWidth="1"/>
    <col min="5901" max="6144" width="9.140625" style="22"/>
    <col min="6145" max="6145" width="4.140625" style="22" customWidth="1"/>
    <col min="6146" max="6146" width="43.28515625" style="22" customWidth="1"/>
    <col min="6147" max="6147" width="15.140625" style="22" customWidth="1"/>
    <col min="6148" max="6148" width="5.28515625" style="22" customWidth="1"/>
    <col min="6149" max="6149" width="10.7109375" style="22" bestFit="1" customWidth="1"/>
    <col min="6150" max="6150" width="7" style="22" customWidth="1"/>
    <col min="6151" max="6151" width="12.42578125" style="22" customWidth="1"/>
    <col min="6152" max="6152" width="6" style="22" customWidth="1"/>
    <col min="6153" max="6153" width="11.85546875" style="22" customWidth="1"/>
    <col min="6154" max="6154" width="7" style="22" customWidth="1"/>
    <col min="6155" max="6155" width="11.7109375" style="22" customWidth="1"/>
    <col min="6156" max="6156" width="32.7109375" style="22" customWidth="1"/>
    <col min="6157" max="6400" width="9.140625" style="22"/>
    <col min="6401" max="6401" width="4.140625" style="22" customWidth="1"/>
    <col min="6402" max="6402" width="43.28515625" style="22" customWidth="1"/>
    <col min="6403" max="6403" width="15.140625" style="22" customWidth="1"/>
    <col min="6404" max="6404" width="5.28515625" style="22" customWidth="1"/>
    <col min="6405" max="6405" width="10.7109375" style="22" bestFit="1" customWidth="1"/>
    <col min="6406" max="6406" width="7" style="22" customWidth="1"/>
    <col min="6407" max="6407" width="12.42578125" style="22" customWidth="1"/>
    <col min="6408" max="6408" width="6" style="22" customWidth="1"/>
    <col min="6409" max="6409" width="11.85546875" style="22" customWidth="1"/>
    <col min="6410" max="6410" width="7" style="22" customWidth="1"/>
    <col min="6411" max="6411" width="11.7109375" style="22" customWidth="1"/>
    <col min="6412" max="6412" width="32.7109375" style="22" customWidth="1"/>
    <col min="6413" max="6656" width="9.140625" style="22"/>
    <col min="6657" max="6657" width="4.140625" style="22" customWidth="1"/>
    <col min="6658" max="6658" width="43.28515625" style="22" customWidth="1"/>
    <col min="6659" max="6659" width="15.140625" style="22" customWidth="1"/>
    <col min="6660" max="6660" width="5.28515625" style="22" customWidth="1"/>
    <col min="6661" max="6661" width="10.7109375" style="22" bestFit="1" customWidth="1"/>
    <col min="6662" max="6662" width="7" style="22" customWidth="1"/>
    <col min="6663" max="6663" width="12.42578125" style="22" customWidth="1"/>
    <col min="6664" max="6664" width="6" style="22" customWidth="1"/>
    <col min="6665" max="6665" width="11.85546875" style="22" customWidth="1"/>
    <col min="6666" max="6666" width="7" style="22" customWidth="1"/>
    <col min="6667" max="6667" width="11.7109375" style="22" customWidth="1"/>
    <col min="6668" max="6668" width="32.7109375" style="22" customWidth="1"/>
    <col min="6669" max="6912" width="9.140625" style="22"/>
    <col min="6913" max="6913" width="4.140625" style="22" customWidth="1"/>
    <col min="6914" max="6914" width="43.28515625" style="22" customWidth="1"/>
    <col min="6915" max="6915" width="15.140625" style="22" customWidth="1"/>
    <col min="6916" max="6916" width="5.28515625" style="22" customWidth="1"/>
    <col min="6917" max="6917" width="10.7109375" style="22" bestFit="1" customWidth="1"/>
    <col min="6918" max="6918" width="7" style="22" customWidth="1"/>
    <col min="6919" max="6919" width="12.42578125" style="22" customWidth="1"/>
    <col min="6920" max="6920" width="6" style="22" customWidth="1"/>
    <col min="6921" max="6921" width="11.85546875" style="22" customWidth="1"/>
    <col min="6922" max="6922" width="7" style="22" customWidth="1"/>
    <col min="6923" max="6923" width="11.7109375" style="22" customWidth="1"/>
    <col min="6924" max="6924" width="32.7109375" style="22" customWidth="1"/>
    <col min="6925" max="7168" width="9.140625" style="22"/>
    <col min="7169" max="7169" width="4.140625" style="22" customWidth="1"/>
    <col min="7170" max="7170" width="43.28515625" style="22" customWidth="1"/>
    <col min="7171" max="7171" width="15.140625" style="22" customWidth="1"/>
    <col min="7172" max="7172" width="5.28515625" style="22" customWidth="1"/>
    <col min="7173" max="7173" width="10.7109375" style="22" bestFit="1" customWidth="1"/>
    <col min="7174" max="7174" width="7" style="22" customWidth="1"/>
    <col min="7175" max="7175" width="12.42578125" style="22" customWidth="1"/>
    <col min="7176" max="7176" width="6" style="22" customWidth="1"/>
    <col min="7177" max="7177" width="11.85546875" style="22" customWidth="1"/>
    <col min="7178" max="7178" width="7" style="22" customWidth="1"/>
    <col min="7179" max="7179" width="11.7109375" style="22" customWidth="1"/>
    <col min="7180" max="7180" width="32.7109375" style="22" customWidth="1"/>
    <col min="7181" max="7424" width="9.140625" style="22"/>
    <col min="7425" max="7425" width="4.140625" style="22" customWidth="1"/>
    <col min="7426" max="7426" width="43.28515625" style="22" customWidth="1"/>
    <col min="7427" max="7427" width="15.140625" style="22" customWidth="1"/>
    <col min="7428" max="7428" width="5.28515625" style="22" customWidth="1"/>
    <col min="7429" max="7429" width="10.7109375" style="22" bestFit="1" customWidth="1"/>
    <col min="7430" max="7430" width="7" style="22" customWidth="1"/>
    <col min="7431" max="7431" width="12.42578125" style="22" customWidth="1"/>
    <col min="7432" max="7432" width="6" style="22" customWidth="1"/>
    <col min="7433" max="7433" width="11.85546875" style="22" customWidth="1"/>
    <col min="7434" max="7434" width="7" style="22" customWidth="1"/>
    <col min="7435" max="7435" width="11.7109375" style="22" customWidth="1"/>
    <col min="7436" max="7436" width="32.7109375" style="22" customWidth="1"/>
    <col min="7437" max="7680" width="9.140625" style="22"/>
    <col min="7681" max="7681" width="4.140625" style="22" customWidth="1"/>
    <col min="7682" max="7682" width="43.28515625" style="22" customWidth="1"/>
    <col min="7683" max="7683" width="15.140625" style="22" customWidth="1"/>
    <col min="7684" max="7684" width="5.28515625" style="22" customWidth="1"/>
    <col min="7685" max="7685" width="10.7109375" style="22" bestFit="1" customWidth="1"/>
    <col min="7686" max="7686" width="7" style="22" customWidth="1"/>
    <col min="7687" max="7687" width="12.42578125" style="22" customWidth="1"/>
    <col min="7688" max="7688" width="6" style="22" customWidth="1"/>
    <col min="7689" max="7689" width="11.85546875" style="22" customWidth="1"/>
    <col min="7690" max="7690" width="7" style="22" customWidth="1"/>
    <col min="7691" max="7691" width="11.7109375" style="22" customWidth="1"/>
    <col min="7692" max="7692" width="32.7109375" style="22" customWidth="1"/>
    <col min="7693" max="7936" width="9.140625" style="22"/>
    <col min="7937" max="7937" width="4.140625" style="22" customWidth="1"/>
    <col min="7938" max="7938" width="43.28515625" style="22" customWidth="1"/>
    <col min="7939" max="7939" width="15.140625" style="22" customWidth="1"/>
    <col min="7940" max="7940" width="5.28515625" style="22" customWidth="1"/>
    <col min="7941" max="7941" width="10.7109375" style="22" bestFit="1" customWidth="1"/>
    <col min="7942" max="7942" width="7" style="22" customWidth="1"/>
    <col min="7943" max="7943" width="12.42578125" style="22" customWidth="1"/>
    <col min="7944" max="7944" width="6" style="22" customWidth="1"/>
    <col min="7945" max="7945" width="11.85546875" style="22" customWidth="1"/>
    <col min="7946" max="7946" width="7" style="22" customWidth="1"/>
    <col min="7947" max="7947" width="11.7109375" style="22" customWidth="1"/>
    <col min="7948" max="7948" width="32.7109375" style="22" customWidth="1"/>
    <col min="7949" max="8192" width="9.140625" style="22"/>
    <col min="8193" max="8193" width="4.140625" style="22" customWidth="1"/>
    <col min="8194" max="8194" width="43.28515625" style="22" customWidth="1"/>
    <col min="8195" max="8195" width="15.140625" style="22" customWidth="1"/>
    <col min="8196" max="8196" width="5.28515625" style="22" customWidth="1"/>
    <col min="8197" max="8197" width="10.7109375" style="22" bestFit="1" customWidth="1"/>
    <col min="8198" max="8198" width="7" style="22" customWidth="1"/>
    <col min="8199" max="8199" width="12.42578125" style="22" customWidth="1"/>
    <col min="8200" max="8200" width="6" style="22" customWidth="1"/>
    <col min="8201" max="8201" width="11.85546875" style="22" customWidth="1"/>
    <col min="8202" max="8202" width="7" style="22" customWidth="1"/>
    <col min="8203" max="8203" width="11.7109375" style="22" customWidth="1"/>
    <col min="8204" max="8204" width="32.7109375" style="22" customWidth="1"/>
    <col min="8205" max="8448" width="9.140625" style="22"/>
    <col min="8449" max="8449" width="4.140625" style="22" customWidth="1"/>
    <col min="8450" max="8450" width="43.28515625" style="22" customWidth="1"/>
    <col min="8451" max="8451" width="15.140625" style="22" customWidth="1"/>
    <col min="8452" max="8452" width="5.28515625" style="22" customWidth="1"/>
    <col min="8453" max="8453" width="10.7109375" style="22" bestFit="1" customWidth="1"/>
    <col min="8454" max="8454" width="7" style="22" customWidth="1"/>
    <col min="8455" max="8455" width="12.42578125" style="22" customWidth="1"/>
    <col min="8456" max="8456" width="6" style="22" customWidth="1"/>
    <col min="8457" max="8457" width="11.85546875" style="22" customWidth="1"/>
    <col min="8458" max="8458" width="7" style="22" customWidth="1"/>
    <col min="8459" max="8459" width="11.7109375" style="22" customWidth="1"/>
    <col min="8460" max="8460" width="32.7109375" style="22" customWidth="1"/>
    <col min="8461" max="8704" width="9.140625" style="22"/>
    <col min="8705" max="8705" width="4.140625" style="22" customWidth="1"/>
    <col min="8706" max="8706" width="43.28515625" style="22" customWidth="1"/>
    <col min="8707" max="8707" width="15.140625" style="22" customWidth="1"/>
    <col min="8708" max="8708" width="5.28515625" style="22" customWidth="1"/>
    <col min="8709" max="8709" width="10.7109375" style="22" bestFit="1" customWidth="1"/>
    <col min="8710" max="8710" width="7" style="22" customWidth="1"/>
    <col min="8711" max="8711" width="12.42578125" style="22" customWidth="1"/>
    <col min="8712" max="8712" width="6" style="22" customWidth="1"/>
    <col min="8713" max="8713" width="11.85546875" style="22" customWidth="1"/>
    <col min="8714" max="8714" width="7" style="22" customWidth="1"/>
    <col min="8715" max="8715" width="11.7109375" style="22" customWidth="1"/>
    <col min="8716" max="8716" width="32.7109375" style="22" customWidth="1"/>
    <col min="8717" max="8960" width="9.140625" style="22"/>
    <col min="8961" max="8961" width="4.140625" style="22" customWidth="1"/>
    <col min="8962" max="8962" width="43.28515625" style="22" customWidth="1"/>
    <col min="8963" max="8963" width="15.140625" style="22" customWidth="1"/>
    <col min="8964" max="8964" width="5.28515625" style="22" customWidth="1"/>
    <col min="8965" max="8965" width="10.7109375" style="22" bestFit="1" customWidth="1"/>
    <col min="8966" max="8966" width="7" style="22" customWidth="1"/>
    <col min="8967" max="8967" width="12.42578125" style="22" customWidth="1"/>
    <col min="8968" max="8968" width="6" style="22" customWidth="1"/>
    <col min="8969" max="8969" width="11.85546875" style="22" customWidth="1"/>
    <col min="8970" max="8970" width="7" style="22" customWidth="1"/>
    <col min="8971" max="8971" width="11.7109375" style="22" customWidth="1"/>
    <col min="8972" max="8972" width="32.7109375" style="22" customWidth="1"/>
    <col min="8973" max="9216" width="9.140625" style="22"/>
    <col min="9217" max="9217" width="4.140625" style="22" customWidth="1"/>
    <col min="9218" max="9218" width="43.28515625" style="22" customWidth="1"/>
    <col min="9219" max="9219" width="15.140625" style="22" customWidth="1"/>
    <col min="9220" max="9220" width="5.28515625" style="22" customWidth="1"/>
    <col min="9221" max="9221" width="10.7109375" style="22" bestFit="1" customWidth="1"/>
    <col min="9222" max="9222" width="7" style="22" customWidth="1"/>
    <col min="9223" max="9223" width="12.42578125" style="22" customWidth="1"/>
    <col min="9224" max="9224" width="6" style="22" customWidth="1"/>
    <col min="9225" max="9225" width="11.85546875" style="22" customWidth="1"/>
    <col min="9226" max="9226" width="7" style="22" customWidth="1"/>
    <col min="9227" max="9227" width="11.7109375" style="22" customWidth="1"/>
    <col min="9228" max="9228" width="32.7109375" style="22" customWidth="1"/>
    <col min="9229" max="9472" width="9.140625" style="22"/>
    <col min="9473" max="9473" width="4.140625" style="22" customWidth="1"/>
    <col min="9474" max="9474" width="43.28515625" style="22" customWidth="1"/>
    <col min="9475" max="9475" width="15.140625" style="22" customWidth="1"/>
    <col min="9476" max="9476" width="5.28515625" style="22" customWidth="1"/>
    <col min="9477" max="9477" width="10.7109375" style="22" bestFit="1" customWidth="1"/>
    <col min="9478" max="9478" width="7" style="22" customWidth="1"/>
    <col min="9479" max="9479" width="12.42578125" style="22" customWidth="1"/>
    <col min="9480" max="9480" width="6" style="22" customWidth="1"/>
    <col min="9481" max="9481" width="11.85546875" style="22" customWidth="1"/>
    <col min="9482" max="9482" width="7" style="22" customWidth="1"/>
    <col min="9483" max="9483" width="11.7109375" style="22" customWidth="1"/>
    <col min="9484" max="9484" width="32.7109375" style="22" customWidth="1"/>
    <col min="9485" max="9728" width="9.140625" style="22"/>
    <col min="9729" max="9729" width="4.140625" style="22" customWidth="1"/>
    <col min="9730" max="9730" width="43.28515625" style="22" customWidth="1"/>
    <col min="9731" max="9731" width="15.140625" style="22" customWidth="1"/>
    <col min="9732" max="9732" width="5.28515625" style="22" customWidth="1"/>
    <col min="9733" max="9733" width="10.7109375" style="22" bestFit="1" customWidth="1"/>
    <col min="9734" max="9734" width="7" style="22" customWidth="1"/>
    <col min="9735" max="9735" width="12.42578125" style="22" customWidth="1"/>
    <col min="9736" max="9736" width="6" style="22" customWidth="1"/>
    <col min="9737" max="9737" width="11.85546875" style="22" customWidth="1"/>
    <col min="9738" max="9738" width="7" style="22" customWidth="1"/>
    <col min="9739" max="9739" width="11.7109375" style="22" customWidth="1"/>
    <col min="9740" max="9740" width="32.7109375" style="22" customWidth="1"/>
    <col min="9741" max="9984" width="9.140625" style="22"/>
    <col min="9985" max="9985" width="4.140625" style="22" customWidth="1"/>
    <col min="9986" max="9986" width="43.28515625" style="22" customWidth="1"/>
    <col min="9987" max="9987" width="15.140625" style="22" customWidth="1"/>
    <col min="9988" max="9988" width="5.28515625" style="22" customWidth="1"/>
    <col min="9989" max="9989" width="10.7109375" style="22" bestFit="1" customWidth="1"/>
    <col min="9990" max="9990" width="7" style="22" customWidth="1"/>
    <col min="9991" max="9991" width="12.42578125" style="22" customWidth="1"/>
    <col min="9992" max="9992" width="6" style="22" customWidth="1"/>
    <col min="9993" max="9993" width="11.85546875" style="22" customWidth="1"/>
    <col min="9994" max="9994" width="7" style="22" customWidth="1"/>
    <col min="9995" max="9995" width="11.7109375" style="22" customWidth="1"/>
    <col min="9996" max="9996" width="32.7109375" style="22" customWidth="1"/>
    <col min="9997" max="10240" width="9.140625" style="22"/>
    <col min="10241" max="10241" width="4.140625" style="22" customWidth="1"/>
    <col min="10242" max="10242" width="43.28515625" style="22" customWidth="1"/>
    <col min="10243" max="10243" width="15.140625" style="22" customWidth="1"/>
    <col min="10244" max="10244" width="5.28515625" style="22" customWidth="1"/>
    <col min="10245" max="10245" width="10.7109375" style="22" bestFit="1" customWidth="1"/>
    <col min="10246" max="10246" width="7" style="22" customWidth="1"/>
    <col min="10247" max="10247" width="12.42578125" style="22" customWidth="1"/>
    <col min="10248" max="10248" width="6" style="22" customWidth="1"/>
    <col min="10249" max="10249" width="11.85546875" style="22" customWidth="1"/>
    <col min="10250" max="10250" width="7" style="22" customWidth="1"/>
    <col min="10251" max="10251" width="11.7109375" style="22" customWidth="1"/>
    <col min="10252" max="10252" width="32.7109375" style="22" customWidth="1"/>
    <col min="10253" max="10496" width="9.140625" style="22"/>
    <col min="10497" max="10497" width="4.140625" style="22" customWidth="1"/>
    <col min="10498" max="10498" width="43.28515625" style="22" customWidth="1"/>
    <col min="10499" max="10499" width="15.140625" style="22" customWidth="1"/>
    <col min="10500" max="10500" width="5.28515625" style="22" customWidth="1"/>
    <col min="10501" max="10501" width="10.7109375" style="22" bestFit="1" customWidth="1"/>
    <col min="10502" max="10502" width="7" style="22" customWidth="1"/>
    <col min="10503" max="10503" width="12.42578125" style="22" customWidth="1"/>
    <col min="10504" max="10504" width="6" style="22" customWidth="1"/>
    <col min="10505" max="10505" width="11.85546875" style="22" customWidth="1"/>
    <col min="10506" max="10506" width="7" style="22" customWidth="1"/>
    <col min="10507" max="10507" width="11.7109375" style="22" customWidth="1"/>
    <col min="10508" max="10508" width="32.7109375" style="22" customWidth="1"/>
    <col min="10509" max="10752" width="9.140625" style="22"/>
    <col min="10753" max="10753" width="4.140625" style="22" customWidth="1"/>
    <col min="10754" max="10754" width="43.28515625" style="22" customWidth="1"/>
    <col min="10755" max="10755" width="15.140625" style="22" customWidth="1"/>
    <col min="10756" max="10756" width="5.28515625" style="22" customWidth="1"/>
    <col min="10757" max="10757" width="10.7109375" style="22" bestFit="1" customWidth="1"/>
    <col min="10758" max="10758" width="7" style="22" customWidth="1"/>
    <col min="10759" max="10759" width="12.42578125" style="22" customWidth="1"/>
    <col min="10760" max="10760" width="6" style="22" customWidth="1"/>
    <col min="10761" max="10761" width="11.85546875" style="22" customWidth="1"/>
    <col min="10762" max="10762" width="7" style="22" customWidth="1"/>
    <col min="10763" max="10763" width="11.7109375" style="22" customWidth="1"/>
    <col min="10764" max="10764" width="32.7109375" style="22" customWidth="1"/>
    <col min="10765" max="11008" width="9.140625" style="22"/>
    <col min="11009" max="11009" width="4.140625" style="22" customWidth="1"/>
    <col min="11010" max="11010" width="43.28515625" style="22" customWidth="1"/>
    <col min="11011" max="11011" width="15.140625" style="22" customWidth="1"/>
    <col min="11012" max="11012" width="5.28515625" style="22" customWidth="1"/>
    <col min="11013" max="11013" width="10.7109375" style="22" bestFit="1" customWidth="1"/>
    <col min="11014" max="11014" width="7" style="22" customWidth="1"/>
    <col min="11015" max="11015" width="12.42578125" style="22" customWidth="1"/>
    <col min="11016" max="11016" width="6" style="22" customWidth="1"/>
    <col min="11017" max="11017" width="11.85546875" style="22" customWidth="1"/>
    <col min="11018" max="11018" width="7" style="22" customWidth="1"/>
    <col min="11019" max="11019" width="11.7109375" style="22" customWidth="1"/>
    <col min="11020" max="11020" width="32.7109375" style="22" customWidth="1"/>
    <col min="11021" max="11264" width="9.140625" style="22"/>
    <col min="11265" max="11265" width="4.140625" style="22" customWidth="1"/>
    <col min="11266" max="11266" width="43.28515625" style="22" customWidth="1"/>
    <col min="11267" max="11267" width="15.140625" style="22" customWidth="1"/>
    <col min="11268" max="11268" width="5.28515625" style="22" customWidth="1"/>
    <col min="11269" max="11269" width="10.7109375" style="22" bestFit="1" customWidth="1"/>
    <col min="11270" max="11270" width="7" style="22" customWidth="1"/>
    <col min="11271" max="11271" width="12.42578125" style="22" customWidth="1"/>
    <col min="11272" max="11272" width="6" style="22" customWidth="1"/>
    <col min="11273" max="11273" width="11.85546875" style="22" customWidth="1"/>
    <col min="11274" max="11274" width="7" style="22" customWidth="1"/>
    <col min="11275" max="11275" width="11.7109375" style="22" customWidth="1"/>
    <col min="11276" max="11276" width="32.7109375" style="22" customWidth="1"/>
    <col min="11277" max="11520" width="9.140625" style="22"/>
    <col min="11521" max="11521" width="4.140625" style="22" customWidth="1"/>
    <col min="11522" max="11522" width="43.28515625" style="22" customWidth="1"/>
    <col min="11523" max="11523" width="15.140625" style="22" customWidth="1"/>
    <col min="11524" max="11524" width="5.28515625" style="22" customWidth="1"/>
    <col min="11525" max="11525" width="10.7109375" style="22" bestFit="1" customWidth="1"/>
    <col min="11526" max="11526" width="7" style="22" customWidth="1"/>
    <col min="11527" max="11527" width="12.42578125" style="22" customWidth="1"/>
    <col min="11528" max="11528" width="6" style="22" customWidth="1"/>
    <col min="11529" max="11529" width="11.85546875" style="22" customWidth="1"/>
    <col min="11530" max="11530" width="7" style="22" customWidth="1"/>
    <col min="11531" max="11531" width="11.7109375" style="22" customWidth="1"/>
    <col min="11532" max="11532" width="32.7109375" style="22" customWidth="1"/>
    <col min="11533" max="11776" width="9.140625" style="22"/>
    <col min="11777" max="11777" width="4.140625" style="22" customWidth="1"/>
    <col min="11778" max="11778" width="43.28515625" style="22" customWidth="1"/>
    <col min="11779" max="11779" width="15.140625" style="22" customWidth="1"/>
    <col min="11780" max="11780" width="5.28515625" style="22" customWidth="1"/>
    <col min="11781" max="11781" width="10.7109375" style="22" bestFit="1" customWidth="1"/>
    <col min="11782" max="11782" width="7" style="22" customWidth="1"/>
    <col min="11783" max="11783" width="12.42578125" style="22" customWidth="1"/>
    <col min="11784" max="11784" width="6" style="22" customWidth="1"/>
    <col min="11785" max="11785" width="11.85546875" style="22" customWidth="1"/>
    <col min="11786" max="11786" width="7" style="22" customWidth="1"/>
    <col min="11787" max="11787" width="11.7109375" style="22" customWidth="1"/>
    <col min="11788" max="11788" width="32.7109375" style="22" customWidth="1"/>
    <col min="11789" max="12032" width="9.140625" style="22"/>
    <col min="12033" max="12033" width="4.140625" style="22" customWidth="1"/>
    <col min="12034" max="12034" width="43.28515625" style="22" customWidth="1"/>
    <col min="12035" max="12035" width="15.140625" style="22" customWidth="1"/>
    <col min="12036" max="12036" width="5.28515625" style="22" customWidth="1"/>
    <col min="12037" max="12037" width="10.7109375" style="22" bestFit="1" customWidth="1"/>
    <col min="12038" max="12038" width="7" style="22" customWidth="1"/>
    <col min="12039" max="12039" width="12.42578125" style="22" customWidth="1"/>
    <col min="12040" max="12040" width="6" style="22" customWidth="1"/>
    <col min="12041" max="12041" width="11.85546875" style="22" customWidth="1"/>
    <col min="12042" max="12042" width="7" style="22" customWidth="1"/>
    <col min="12043" max="12043" width="11.7109375" style="22" customWidth="1"/>
    <col min="12044" max="12044" width="32.7109375" style="22" customWidth="1"/>
    <col min="12045" max="12288" width="9.140625" style="22"/>
    <col min="12289" max="12289" width="4.140625" style="22" customWidth="1"/>
    <col min="12290" max="12290" width="43.28515625" style="22" customWidth="1"/>
    <col min="12291" max="12291" width="15.140625" style="22" customWidth="1"/>
    <col min="12292" max="12292" width="5.28515625" style="22" customWidth="1"/>
    <col min="12293" max="12293" width="10.7109375" style="22" bestFit="1" customWidth="1"/>
    <col min="12294" max="12294" width="7" style="22" customWidth="1"/>
    <col min="12295" max="12295" width="12.42578125" style="22" customWidth="1"/>
    <col min="12296" max="12296" width="6" style="22" customWidth="1"/>
    <col min="12297" max="12297" width="11.85546875" style="22" customWidth="1"/>
    <col min="12298" max="12298" width="7" style="22" customWidth="1"/>
    <col min="12299" max="12299" width="11.7109375" style="22" customWidth="1"/>
    <col min="12300" max="12300" width="32.7109375" style="22" customWidth="1"/>
    <col min="12301" max="12544" width="9.140625" style="22"/>
    <col min="12545" max="12545" width="4.140625" style="22" customWidth="1"/>
    <col min="12546" max="12546" width="43.28515625" style="22" customWidth="1"/>
    <col min="12547" max="12547" width="15.140625" style="22" customWidth="1"/>
    <col min="12548" max="12548" width="5.28515625" style="22" customWidth="1"/>
    <col min="12549" max="12549" width="10.7109375" style="22" bestFit="1" customWidth="1"/>
    <col min="12550" max="12550" width="7" style="22" customWidth="1"/>
    <col min="12551" max="12551" width="12.42578125" style="22" customWidth="1"/>
    <col min="12552" max="12552" width="6" style="22" customWidth="1"/>
    <col min="12553" max="12553" width="11.85546875" style="22" customWidth="1"/>
    <col min="12554" max="12554" width="7" style="22" customWidth="1"/>
    <col min="12555" max="12555" width="11.7109375" style="22" customWidth="1"/>
    <col min="12556" max="12556" width="32.7109375" style="22" customWidth="1"/>
    <col min="12557" max="12800" width="9.140625" style="22"/>
    <col min="12801" max="12801" width="4.140625" style="22" customWidth="1"/>
    <col min="12802" max="12802" width="43.28515625" style="22" customWidth="1"/>
    <col min="12803" max="12803" width="15.140625" style="22" customWidth="1"/>
    <col min="12804" max="12804" width="5.28515625" style="22" customWidth="1"/>
    <col min="12805" max="12805" width="10.7109375" style="22" bestFit="1" customWidth="1"/>
    <col min="12806" max="12806" width="7" style="22" customWidth="1"/>
    <col min="12807" max="12807" width="12.42578125" style="22" customWidth="1"/>
    <col min="12808" max="12808" width="6" style="22" customWidth="1"/>
    <col min="12809" max="12809" width="11.85546875" style="22" customWidth="1"/>
    <col min="12810" max="12810" width="7" style="22" customWidth="1"/>
    <col min="12811" max="12811" width="11.7109375" style="22" customWidth="1"/>
    <col min="12812" max="12812" width="32.7109375" style="22" customWidth="1"/>
    <col min="12813" max="13056" width="9.140625" style="22"/>
    <col min="13057" max="13057" width="4.140625" style="22" customWidth="1"/>
    <col min="13058" max="13058" width="43.28515625" style="22" customWidth="1"/>
    <col min="13059" max="13059" width="15.140625" style="22" customWidth="1"/>
    <col min="13060" max="13060" width="5.28515625" style="22" customWidth="1"/>
    <col min="13061" max="13061" width="10.7109375" style="22" bestFit="1" customWidth="1"/>
    <col min="13062" max="13062" width="7" style="22" customWidth="1"/>
    <col min="13063" max="13063" width="12.42578125" style="22" customWidth="1"/>
    <col min="13064" max="13064" width="6" style="22" customWidth="1"/>
    <col min="13065" max="13065" width="11.85546875" style="22" customWidth="1"/>
    <col min="13066" max="13066" width="7" style="22" customWidth="1"/>
    <col min="13067" max="13067" width="11.7109375" style="22" customWidth="1"/>
    <col min="13068" max="13068" width="32.7109375" style="22" customWidth="1"/>
    <col min="13069" max="13312" width="9.140625" style="22"/>
    <col min="13313" max="13313" width="4.140625" style="22" customWidth="1"/>
    <col min="13314" max="13314" width="43.28515625" style="22" customWidth="1"/>
    <col min="13315" max="13315" width="15.140625" style="22" customWidth="1"/>
    <col min="13316" max="13316" width="5.28515625" style="22" customWidth="1"/>
    <col min="13317" max="13317" width="10.7109375" style="22" bestFit="1" customWidth="1"/>
    <col min="13318" max="13318" width="7" style="22" customWidth="1"/>
    <col min="13319" max="13319" width="12.42578125" style="22" customWidth="1"/>
    <col min="13320" max="13320" width="6" style="22" customWidth="1"/>
    <col min="13321" max="13321" width="11.85546875" style="22" customWidth="1"/>
    <col min="13322" max="13322" width="7" style="22" customWidth="1"/>
    <col min="13323" max="13323" width="11.7109375" style="22" customWidth="1"/>
    <col min="13324" max="13324" width="32.7109375" style="22" customWidth="1"/>
    <col min="13325" max="13568" width="9.140625" style="22"/>
    <col min="13569" max="13569" width="4.140625" style="22" customWidth="1"/>
    <col min="13570" max="13570" width="43.28515625" style="22" customWidth="1"/>
    <col min="13571" max="13571" width="15.140625" style="22" customWidth="1"/>
    <col min="13572" max="13572" width="5.28515625" style="22" customWidth="1"/>
    <col min="13573" max="13573" width="10.7109375" style="22" bestFit="1" customWidth="1"/>
    <col min="13574" max="13574" width="7" style="22" customWidth="1"/>
    <col min="13575" max="13575" width="12.42578125" style="22" customWidth="1"/>
    <col min="13576" max="13576" width="6" style="22" customWidth="1"/>
    <col min="13577" max="13577" width="11.85546875" style="22" customWidth="1"/>
    <col min="13578" max="13578" width="7" style="22" customWidth="1"/>
    <col min="13579" max="13579" width="11.7109375" style="22" customWidth="1"/>
    <col min="13580" max="13580" width="32.7109375" style="22" customWidth="1"/>
    <col min="13581" max="13824" width="9.140625" style="22"/>
    <col min="13825" max="13825" width="4.140625" style="22" customWidth="1"/>
    <col min="13826" max="13826" width="43.28515625" style="22" customWidth="1"/>
    <col min="13827" max="13827" width="15.140625" style="22" customWidth="1"/>
    <col min="13828" max="13828" width="5.28515625" style="22" customWidth="1"/>
    <col min="13829" max="13829" width="10.7109375" style="22" bestFit="1" customWidth="1"/>
    <col min="13830" max="13830" width="7" style="22" customWidth="1"/>
    <col min="13831" max="13831" width="12.42578125" style="22" customWidth="1"/>
    <col min="13832" max="13832" width="6" style="22" customWidth="1"/>
    <col min="13833" max="13833" width="11.85546875" style="22" customWidth="1"/>
    <col min="13834" max="13834" width="7" style="22" customWidth="1"/>
    <col min="13835" max="13835" width="11.7109375" style="22" customWidth="1"/>
    <col min="13836" max="13836" width="32.7109375" style="22" customWidth="1"/>
    <col min="13837" max="14080" width="9.140625" style="22"/>
    <col min="14081" max="14081" width="4.140625" style="22" customWidth="1"/>
    <col min="14082" max="14082" width="43.28515625" style="22" customWidth="1"/>
    <col min="14083" max="14083" width="15.140625" style="22" customWidth="1"/>
    <col min="14084" max="14084" width="5.28515625" style="22" customWidth="1"/>
    <col min="14085" max="14085" width="10.7109375" style="22" bestFit="1" customWidth="1"/>
    <col min="14086" max="14086" width="7" style="22" customWidth="1"/>
    <col min="14087" max="14087" width="12.42578125" style="22" customWidth="1"/>
    <col min="14088" max="14088" width="6" style="22" customWidth="1"/>
    <col min="14089" max="14089" width="11.85546875" style="22" customWidth="1"/>
    <col min="14090" max="14090" width="7" style="22" customWidth="1"/>
    <col min="14091" max="14091" width="11.7109375" style="22" customWidth="1"/>
    <col min="14092" max="14092" width="32.7109375" style="22" customWidth="1"/>
    <col min="14093" max="14336" width="9.140625" style="22"/>
    <col min="14337" max="14337" width="4.140625" style="22" customWidth="1"/>
    <col min="14338" max="14338" width="43.28515625" style="22" customWidth="1"/>
    <col min="14339" max="14339" width="15.140625" style="22" customWidth="1"/>
    <col min="14340" max="14340" width="5.28515625" style="22" customWidth="1"/>
    <col min="14341" max="14341" width="10.7109375" style="22" bestFit="1" customWidth="1"/>
    <col min="14342" max="14342" width="7" style="22" customWidth="1"/>
    <col min="14343" max="14343" width="12.42578125" style="22" customWidth="1"/>
    <col min="14344" max="14344" width="6" style="22" customWidth="1"/>
    <col min="14345" max="14345" width="11.85546875" style="22" customWidth="1"/>
    <col min="14346" max="14346" width="7" style="22" customWidth="1"/>
    <col min="14347" max="14347" width="11.7109375" style="22" customWidth="1"/>
    <col min="14348" max="14348" width="32.7109375" style="22" customWidth="1"/>
    <col min="14349" max="14592" width="9.140625" style="22"/>
    <col min="14593" max="14593" width="4.140625" style="22" customWidth="1"/>
    <col min="14594" max="14594" width="43.28515625" style="22" customWidth="1"/>
    <col min="14595" max="14595" width="15.140625" style="22" customWidth="1"/>
    <col min="14596" max="14596" width="5.28515625" style="22" customWidth="1"/>
    <col min="14597" max="14597" width="10.7109375" style="22" bestFit="1" customWidth="1"/>
    <col min="14598" max="14598" width="7" style="22" customWidth="1"/>
    <col min="14599" max="14599" width="12.42578125" style="22" customWidth="1"/>
    <col min="14600" max="14600" width="6" style="22" customWidth="1"/>
    <col min="14601" max="14601" width="11.85546875" style="22" customWidth="1"/>
    <col min="14602" max="14602" width="7" style="22" customWidth="1"/>
    <col min="14603" max="14603" width="11.7109375" style="22" customWidth="1"/>
    <col min="14604" max="14604" width="32.7109375" style="22" customWidth="1"/>
    <col min="14605" max="14848" width="9.140625" style="22"/>
    <col min="14849" max="14849" width="4.140625" style="22" customWidth="1"/>
    <col min="14850" max="14850" width="43.28515625" style="22" customWidth="1"/>
    <col min="14851" max="14851" width="15.140625" style="22" customWidth="1"/>
    <col min="14852" max="14852" width="5.28515625" style="22" customWidth="1"/>
    <col min="14853" max="14853" width="10.7109375" style="22" bestFit="1" customWidth="1"/>
    <col min="14854" max="14854" width="7" style="22" customWidth="1"/>
    <col min="14855" max="14855" width="12.42578125" style="22" customWidth="1"/>
    <col min="14856" max="14856" width="6" style="22" customWidth="1"/>
    <col min="14857" max="14857" width="11.85546875" style="22" customWidth="1"/>
    <col min="14858" max="14858" width="7" style="22" customWidth="1"/>
    <col min="14859" max="14859" width="11.7109375" style="22" customWidth="1"/>
    <col min="14860" max="14860" width="32.7109375" style="22" customWidth="1"/>
    <col min="14861" max="15104" width="9.140625" style="22"/>
    <col min="15105" max="15105" width="4.140625" style="22" customWidth="1"/>
    <col min="15106" max="15106" width="43.28515625" style="22" customWidth="1"/>
    <col min="15107" max="15107" width="15.140625" style="22" customWidth="1"/>
    <col min="15108" max="15108" width="5.28515625" style="22" customWidth="1"/>
    <col min="15109" max="15109" width="10.7109375" style="22" bestFit="1" customWidth="1"/>
    <col min="15110" max="15110" width="7" style="22" customWidth="1"/>
    <col min="15111" max="15111" width="12.42578125" style="22" customWidth="1"/>
    <col min="15112" max="15112" width="6" style="22" customWidth="1"/>
    <col min="15113" max="15113" width="11.85546875" style="22" customWidth="1"/>
    <col min="15114" max="15114" width="7" style="22" customWidth="1"/>
    <col min="15115" max="15115" width="11.7109375" style="22" customWidth="1"/>
    <col min="15116" max="15116" width="32.7109375" style="22" customWidth="1"/>
    <col min="15117" max="15360" width="9.140625" style="22"/>
    <col min="15361" max="15361" width="4.140625" style="22" customWidth="1"/>
    <col min="15362" max="15362" width="43.28515625" style="22" customWidth="1"/>
    <col min="15363" max="15363" width="15.140625" style="22" customWidth="1"/>
    <col min="15364" max="15364" width="5.28515625" style="22" customWidth="1"/>
    <col min="15365" max="15365" width="10.7109375" style="22" bestFit="1" customWidth="1"/>
    <col min="15366" max="15366" width="7" style="22" customWidth="1"/>
    <col min="15367" max="15367" width="12.42578125" style="22" customWidth="1"/>
    <col min="15368" max="15368" width="6" style="22" customWidth="1"/>
    <col min="15369" max="15369" width="11.85546875" style="22" customWidth="1"/>
    <col min="15370" max="15370" width="7" style="22" customWidth="1"/>
    <col min="15371" max="15371" width="11.7109375" style="22" customWidth="1"/>
    <col min="15372" max="15372" width="32.7109375" style="22" customWidth="1"/>
    <col min="15373" max="15616" width="9.140625" style="22"/>
    <col min="15617" max="15617" width="4.140625" style="22" customWidth="1"/>
    <col min="15618" max="15618" width="43.28515625" style="22" customWidth="1"/>
    <col min="15619" max="15619" width="15.140625" style="22" customWidth="1"/>
    <col min="15620" max="15620" width="5.28515625" style="22" customWidth="1"/>
    <col min="15621" max="15621" width="10.7109375" style="22" bestFit="1" customWidth="1"/>
    <col min="15622" max="15622" width="7" style="22" customWidth="1"/>
    <col min="15623" max="15623" width="12.42578125" style="22" customWidth="1"/>
    <col min="15624" max="15624" width="6" style="22" customWidth="1"/>
    <col min="15625" max="15625" width="11.85546875" style="22" customWidth="1"/>
    <col min="15626" max="15626" width="7" style="22" customWidth="1"/>
    <col min="15627" max="15627" width="11.7109375" style="22" customWidth="1"/>
    <col min="15628" max="15628" width="32.7109375" style="22" customWidth="1"/>
    <col min="15629" max="15872" width="9.140625" style="22"/>
    <col min="15873" max="15873" width="4.140625" style="22" customWidth="1"/>
    <col min="15874" max="15874" width="43.28515625" style="22" customWidth="1"/>
    <col min="15875" max="15875" width="15.140625" style="22" customWidth="1"/>
    <col min="15876" max="15876" width="5.28515625" style="22" customWidth="1"/>
    <col min="15877" max="15877" width="10.7109375" style="22" bestFit="1" customWidth="1"/>
    <col min="15878" max="15878" width="7" style="22" customWidth="1"/>
    <col min="15879" max="15879" width="12.42578125" style="22" customWidth="1"/>
    <col min="15880" max="15880" width="6" style="22" customWidth="1"/>
    <col min="15881" max="15881" width="11.85546875" style="22" customWidth="1"/>
    <col min="15882" max="15882" width="7" style="22" customWidth="1"/>
    <col min="15883" max="15883" width="11.7109375" style="22" customWidth="1"/>
    <col min="15884" max="15884" width="32.7109375" style="22" customWidth="1"/>
    <col min="15885" max="16128" width="9.140625" style="22"/>
    <col min="16129" max="16129" width="4.140625" style="22" customWidth="1"/>
    <col min="16130" max="16130" width="43.28515625" style="22" customWidth="1"/>
    <col min="16131" max="16131" width="15.140625" style="22" customWidth="1"/>
    <col min="16132" max="16132" width="5.28515625" style="22" customWidth="1"/>
    <col min="16133" max="16133" width="10.7109375" style="22" bestFit="1" customWidth="1"/>
    <col min="16134" max="16134" width="7" style="22" customWidth="1"/>
    <col min="16135" max="16135" width="12.42578125" style="22" customWidth="1"/>
    <col min="16136" max="16136" width="6" style="22" customWidth="1"/>
    <col min="16137" max="16137" width="11.85546875" style="22" customWidth="1"/>
    <col min="16138" max="16138" width="7" style="22" customWidth="1"/>
    <col min="16139" max="16139" width="11.7109375" style="22" customWidth="1"/>
    <col min="16140" max="16140" width="32.7109375" style="22" customWidth="1"/>
    <col min="16141" max="16384" width="9.140625" style="22"/>
  </cols>
  <sheetData>
    <row r="1" spans="1:14" s="817" customFormat="1" ht="18">
      <c r="B1" s="2"/>
      <c r="C1" s="3047" t="s">
        <v>2217</v>
      </c>
      <c r="D1" s="3047"/>
      <c r="E1" s="3047"/>
      <c r="F1" s="3047"/>
      <c r="G1" s="801"/>
      <c r="H1" s="2"/>
      <c r="I1" s="2"/>
      <c r="J1" s="2"/>
      <c r="K1" s="2"/>
    </row>
    <row r="2" spans="1:14" s="817" customFormat="1" ht="11.25" customHeight="1">
      <c r="A2" s="47"/>
      <c r="B2" s="47"/>
      <c r="C2" s="47"/>
      <c r="D2" s="47"/>
      <c r="E2" s="47"/>
      <c r="F2" s="47"/>
      <c r="G2" s="47"/>
      <c r="H2" s="47"/>
      <c r="I2" s="47"/>
      <c r="J2" s="47"/>
      <c r="K2" s="47"/>
    </row>
    <row r="3" spans="1:14" s="8" customFormat="1" ht="18.75" customHeight="1">
      <c r="A3" s="3060" t="s">
        <v>2218</v>
      </c>
      <c r="B3" s="3060"/>
      <c r="C3" s="3060"/>
      <c r="D3" s="3060"/>
      <c r="E3" s="3060"/>
      <c r="F3" s="3060"/>
      <c r="G3" s="3060"/>
      <c r="H3" s="3060"/>
      <c r="I3" s="3060"/>
      <c r="J3" s="3060"/>
      <c r="K3" s="3060"/>
    </row>
    <row r="4" spans="1:14" s="8" customFormat="1" ht="8.25" customHeight="1">
      <c r="A4" s="800"/>
      <c r="B4" s="800"/>
      <c r="C4" s="800"/>
      <c r="D4" s="800"/>
      <c r="E4" s="800"/>
      <c r="F4" s="800"/>
      <c r="G4" s="800"/>
      <c r="H4" s="800"/>
      <c r="I4" s="800"/>
      <c r="J4" s="800"/>
      <c r="K4" s="800"/>
    </row>
    <row r="5" spans="1:14" s="8" customFormat="1" ht="18" customHeight="1">
      <c r="A5" s="61"/>
      <c r="B5" s="61"/>
      <c r="C5" s="61"/>
      <c r="D5" s="61"/>
      <c r="E5" s="61"/>
      <c r="F5" s="61"/>
      <c r="G5" s="61"/>
      <c r="H5" s="61"/>
      <c r="I5" s="61"/>
      <c r="J5" s="61"/>
      <c r="K5" s="726" t="s">
        <v>89</v>
      </c>
      <c r="L5" s="7"/>
    </row>
    <row r="6" spans="1:14" s="8" customFormat="1">
      <c r="A6" s="61"/>
      <c r="B6" s="61"/>
      <c r="C6" s="61"/>
      <c r="D6" s="61"/>
      <c r="E6" s="61"/>
      <c r="F6" s="61"/>
      <c r="G6" s="61"/>
      <c r="H6" s="61"/>
      <c r="I6" s="61"/>
      <c r="J6" s="61"/>
      <c r="K6" s="61"/>
      <c r="L6" s="7"/>
    </row>
    <row r="7" spans="1:14" ht="27" customHeight="1">
      <c r="A7" s="3236" t="s">
        <v>2</v>
      </c>
      <c r="B7" s="3238" t="s">
        <v>3</v>
      </c>
      <c r="C7" s="3239" t="s">
        <v>1421</v>
      </c>
      <c r="D7" s="3238" t="s">
        <v>5</v>
      </c>
      <c r="E7" s="3238" t="s">
        <v>9</v>
      </c>
      <c r="F7" s="3181" t="s">
        <v>2186</v>
      </c>
      <c r="G7" s="3181"/>
      <c r="H7" s="3181" t="s">
        <v>2187</v>
      </c>
      <c r="I7" s="3181"/>
      <c r="J7" s="3181" t="s">
        <v>2188</v>
      </c>
      <c r="K7" s="3181"/>
    </row>
    <row r="8" spans="1:14" ht="16.5" customHeight="1">
      <c r="A8" s="3237"/>
      <c r="B8" s="3221"/>
      <c r="C8" s="3240"/>
      <c r="D8" s="3221"/>
      <c r="E8" s="3221"/>
      <c r="F8" s="820" t="s">
        <v>8</v>
      </c>
      <c r="G8" s="821" t="s">
        <v>10</v>
      </c>
      <c r="H8" s="818" t="s">
        <v>8</v>
      </c>
      <c r="I8" s="821" t="s">
        <v>10</v>
      </c>
      <c r="J8" s="816" t="s">
        <v>8</v>
      </c>
      <c r="K8" s="816" t="s">
        <v>10</v>
      </c>
    </row>
    <row r="9" spans="1:14">
      <c r="A9" s="14">
        <v>1</v>
      </c>
      <c r="B9" s="14">
        <v>2</v>
      </c>
      <c r="C9" s="14">
        <v>3</v>
      </c>
      <c r="D9" s="14">
        <v>4</v>
      </c>
      <c r="E9" s="14">
        <v>5</v>
      </c>
      <c r="F9" s="14">
        <v>6</v>
      </c>
      <c r="G9" s="14">
        <v>7</v>
      </c>
      <c r="H9" s="14">
        <v>8</v>
      </c>
      <c r="I9" s="14">
        <v>9</v>
      </c>
      <c r="J9" s="14">
        <v>10</v>
      </c>
      <c r="K9" s="14">
        <v>11</v>
      </c>
      <c r="N9" s="523"/>
    </row>
    <row r="10" spans="1:14" ht="16.5" customHeight="1">
      <c r="A10" s="1409">
        <v>1</v>
      </c>
      <c r="B10" s="1369" t="s">
        <v>2307</v>
      </c>
      <c r="C10" s="1356">
        <v>7132220095</v>
      </c>
      <c r="D10" s="1409" t="s">
        <v>12</v>
      </c>
      <c r="E10" s="1341">
        <f>VLOOKUP(C10,'SOR RATE'!A:D,4,0)</f>
        <v>3825804.57</v>
      </c>
      <c r="F10" s="1409">
        <v>1</v>
      </c>
      <c r="G10" s="1430">
        <f>F10*E10</f>
        <v>3825804.57</v>
      </c>
      <c r="H10" s="1526" t="s">
        <v>1534</v>
      </c>
      <c r="I10" s="1526" t="s">
        <v>1534</v>
      </c>
      <c r="J10" s="1526" t="s">
        <v>1534</v>
      </c>
      <c r="K10" s="1526" t="s">
        <v>1534</v>
      </c>
    </row>
    <row r="11" spans="1:14" ht="16.5" customHeight="1">
      <c r="A11" s="1409">
        <v>2</v>
      </c>
      <c r="B11" s="1369" t="s">
        <v>2308</v>
      </c>
      <c r="C11" s="1356">
        <v>7132220097</v>
      </c>
      <c r="D11" s="1409" t="s">
        <v>12</v>
      </c>
      <c r="E11" s="1341">
        <f>VLOOKUP(C11,'SOR RATE'!A:D,4,0)</f>
        <v>5211755.76</v>
      </c>
      <c r="F11" s="1526" t="s">
        <v>1534</v>
      </c>
      <c r="G11" s="1526" t="s">
        <v>1534</v>
      </c>
      <c r="H11" s="1409">
        <v>1</v>
      </c>
      <c r="I11" s="1430">
        <f>H11*E11</f>
        <v>5211755.76</v>
      </c>
      <c r="J11" s="1409">
        <v>1</v>
      </c>
      <c r="K11" s="1430">
        <f>J11*E11</f>
        <v>5211755.76</v>
      </c>
    </row>
    <row r="12" spans="1:14" ht="16.5" customHeight="1">
      <c r="A12" s="3232">
        <v>3</v>
      </c>
      <c r="B12" s="1334" t="s">
        <v>2219</v>
      </c>
      <c r="C12" s="1356"/>
      <c r="D12" s="1409" t="s">
        <v>12</v>
      </c>
      <c r="E12" s="1341"/>
      <c r="F12" s="1526">
        <v>1</v>
      </c>
      <c r="G12" s="1527"/>
      <c r="H12" s="1526" t="s">
        <v>1534</v>
      </c>
      <c r="I12" s="1527" t="s">
        <v>1534</v>
      </c>
      <c r="J12" s="1409">
        <v>1</v>
      </c>
      <c r="K12" s="1430"/>
    </row>
    <row r="13" spans="1:14" ht="16.5" customHeight="1">
      <c r="A13" s="3233"/>
      <c r="B13" s="1528" t="s">
        <v>2220</v>
      </c>
      <c r="C13" s="1356">
        <v>7131943380</v>
      </c>
      <c r="D13" s="1512" t="s">
        <v>12</v>
      </c>
      <c r="E13" s="1341">
        <f>VLOOKUP(C13,'SOR RATE'!A:D,4,0)</f>
        <v>250684.03</v>
      </c>
      <c r="F13" s="1526">
        <v>1</v>
      </c>
      <c r="G13" s="1527">
        <f>F13*E13</f>
        <v>250684.03</v>
      </c>
      <c r="H13" s="1526"/>
      <c r="I13" s="1527"/>
      <c r="J13" s="1526">
        <v>1</v>
      </c>
      <c r="K13" s="1430">
        <f>J13*G13</f>
        <v>250684.03</v>
      </c>
    </row>
    <row r="14" spans="1:14" ht="16.5" customHeight="1">
      <c r="A14" s="3233"/>
      <c r="B14" s="1528" t="s">
        <v>1985</v>
      </c>
      <c r="C14" s="1356">
        <v>7131960524</v>
      </c>
      <c r="D14" s="1512" t="s">
        <v>12</v>
      </c>
      <c r="E14" s="1341">
        <f>VLOOKUP(C14,'SOR RATE'!A:D,4,0)</f>
        <v>39664.769999999997</v>
      </c>
      <c r="F14" s="1526">
        <v>1</v>
      </c>
      <c r="G14" s="1527">
        <f>F14*E14</f>
        <v>39664.769999999997</v>
      </c>
      <c r="H14" s="1526"/>
      <c r="I14" s="1527"/>
      <c r="J14" s="1526">
        <v>1</v>
      </c>
      <c r="K14" s="1430">
        <f>J14*G14</f>
        <v>39664.769999999997</v>
      </c>
      <c r="L14" s="214"/>
    </row>
    <row r="15" spans="1:14" ht="16.5" customHeight="1">
      <c r="A15" s="3234"/>
      <c r="B15" s="1528" t="s">
        <v>2268</v>
      </c>
      <c r="C15" s="1356">
        <v>7132230263</v>
      </c>
      <c r="D15" s="1512" t="s">
        <v>12</v>
      </c>
      <c r="E15" s="1341">
        <f>VLOOKUP(C15,'SOR RATE'!A:D,4,0)</f>
        <v>17617.29</v>
      </c>
      <c r="F15" s="1512">
        <v>3</v>
      </c>
      <c r="G15" s="1527">
        <f>F15*E15</f>
        <v>52851.87</v>
      </c>
      <c r="H15" s="1526"/>
      <c r="I15" s="1527"/>
      <c r="J15" s="1512">
        <v>3</v>
      </c>
      <c r="K15" s="1430">
        <f>J15*E15</f>
        <v>52851.87</v>
      </c>
    </row>
    <row r="16" spans="1:14" ht="25.5" customHeight="1">
      <c r="A16" s="1409">
        <v>4</v>
      </c>
      <c r="B16" s="1220" t="s">
        <v>2221</v>
      </c>
      <c r="C16" s="1339">
        <v>7130200202</v>
      </c>
      <c r="D16" s="1409" t="s">
        <v>76</v>
      </c>
      <c r="E16" s="1341">
        <f>VLOOKUP(C16,'SOR RATE'!A:D,4,0)</f>
        <v>2970</v>
      </c>
      <c r="F16" s="1526">
        <v>7</v>
      </c>
      <c r="G16" s="1527">
        <f>F16*E16</f>
        <v>20790</v>
      </c>
      <c r="H16" s="1526" t="s">
        <v>1534</v>
      </c>
      <c r="I16" s="1527" t="s">
        <v>1534</v>
      </c>
      <c r="J16" s="1409">
        <v>7</v>
      </c>
      <c r="K16" s="1430">
        <f>J16*E16</f>
        <v>20790</v>
      </c>
      <c r="L16" s="249" t="s">
        <v>47</v>
      </c>
      <c r="M16" s="524"/>
    </row>
    <row r="17" spans="1:13" s="28" customFormat="1" ht="16.5" customHeight="1">
      <c r="A17" s="1434">
        <v>5</v>
      </c>
      <c r="B17" s="1529" t="s">
        <v>2152</v>
      </c>
      <c r="C17" s="1513"/>
      <c r="D17" s="1514"/>
      <c r="E17" s="1514"/>
      <c r="F17" s="1514"/>
      <c r="G17" s="1514"/>
      <c r="H17" s="1514"/>
      <c r="I17" s="1514"/>
      <c r="J17" s="1514"/>
      <c r="K17" s="1515"/>
    </row>
    <row r="18" spans="1:13" s="29" customFormat="1" ht="16.5" customHeight="1">
      <c r="A18" s="1530" t="s">
        <v>1884</v>
      </c>
      <c r="B18" s="1220" t="s">
        <v>1885</v>
      </c>
      <c r="C18" s="1356">
        <v>7130310658</v>
      </c>
      <c r="D18" s="1409" t="s">
        <v>21</v>
      </c>
      <c r="E18" s="1341">
        <f>VLOOKUP(C18,'SOR RATE'!A:D,4,0)/1000</f>
        <v>188.91779</v>
      </c>
      <c r="F18" s="1526">
        <v>60</v>
      </c>
      <c r="G18" s="1527">
        <f>F18*E18</f>
        <v>11335.0674</v>
      </c>
      <c r="H18" s="1526">
        <v>0</v>
      </c>
      <c r="I18" s="1527">
        <f>H18*E18</f>
        <v>0</v>
      </c>
      <c r="J18" s="1409">
        <v>60</v>
      </c>
      <c r="K18" s="1430">
        <f>J18*E18</f>
        <v>11335.0674</v>
      </c>
    </row>
    <row r="19" spans="1:13" s="29" customFormat="1" ht="16.5" customHeight="1">
      <c r="A19" s="1371" t="s">
        <v>1886</v>
      </c>
      <c r="B19" s="1220" t="s">
        <v>1887</v>
      </c>
      <c r="C19" s="1356">
        <v>7130310654</v>
      </c>
      <c r="D19" s="1409" t="s">
        <v>21</v>
      </c>
      <c r="E19" s="1341">
        <f>VLOOKUP(C19,'SOR RATE'!A:D,4,0)/1000</f>
        <v>98.983890000000002</v>
      </c>
      <c r="F19" s="1526">
        <v>120</v>
      </c>
      <c r="G19" s="1527">
        <f>F19*E19</f>
        <v>11878.066800000001</v>
      </c>
      <c r="H19" s="1526">
        <v>0</v>
      </c>
      <c r="I19" s="1527">
        <f>H19*E19</f>
        <v>0</v>
      </c>
      <c r="J19" s="1409">
        <v>120</v>
      </c>
      <c r="K19" s="1430">
        <f>J19*E19</f>
        <v>11878.066800000001</v>
      </c>
    </row>
    <row r="20" spans="1:13" s="29" customFormat="1" ht="16.5" customHeight="1">
      <c r="A20" s="1371" t="s">
        <v>1888</v>
      </c>
      <c r="B20" s="1220" t="s">
        <v>1889</v>
      </c>
      <c r="C20" s="1356">
        <v>7130310652</v>
      </c>
      <c r="D20" s="1409" t="s">
        <v>21</v>
      </c>
      <c r="E20" s="1341">
        <f>VLOOKUP(C20,'SOR RATE'!A:D,4,0)/1000</f>
        <v>55.294809999999998</v>
      </c>
      <c r="F20" s="1526">
        <v>60</v>
      </c>
      <c r="G20" s="1527">
        <f>F20*E20</f>
        <v>3317.6886</v>
      </c>
      <c r="H20" s="1526">
        <v>30</v>
      </c>
      <c r="I20" s="1527">
        <f>H20*E20</f>
        <v>1658.8443</v>
      </c>
      <c r="J20" s="1409">
        <v>60</v>
      </c>
      <c r="K20" s="1430">
        <f>J20*E20</f>
        <v>3317.6886</v>
      </c>
    </row>
    <row r="21" spans="1:13" s="29" customFormat="1" ht="16.5" customHeight="1">
      <c r="A21" s="1409">
        <v>6</v>
      </c>
      <c r="B21" s="1220" t="s">
        <v>2222</v>
      </c>
      <c r="C21" s="1356">
        <v>7130830586</v>
      </c>
      <c r="D21" s="1409" t="s">
        <v>12</v>
      </c>
      <c r="E21" s="1341">
        <f>VLOOKUP(C21,'SOR RATE'!A271:D271,4,0)</f>
        <v>276.55</v>
      </c>
      <c r="F21" s="1526">
        <v>7</v>
      </c>
      <c r="G21" s="1526">
        <f>F21*E21</f>
        <v>1935.8500000000001</v>
      </c>
      <c r="H21" s="1526">
        <v>7</v>
      </c>
      <c r="I21" s="1527">
        <f>H21*E21</f>
        <v>1935.8500000000001</v>
      </c>
      <c r="J21" s="1409">
        <v>7</v>
      </c>
      <c r="K21" s="1430">
        <f>J21*E21</f>
        <v>1935.8500000000001</v>
      </c>
    </row>
    <row r="22" spans="1:13" ht="16.5" customHeight="1">
      <c r="A22" s="1409">
        <v>7</v>
      </c>
      <c r="B22" s="1369" t="s">
        <v>2223</v>
      </c>
      <c r="C22" s="1356">
        <v>7130830586</v>
      </c>
      <c r="D22" s="1409" t="s">
        <v>12</v>
      </c>
      <c r="E22" s="1341">
        <f>VLOOKUP(C22,'SOR RATE'!A271:D271,4,0)</f>
        <v>276.55</v>
      </c>
      <c r="F22" s="1526">
        <v>6</v>
      </c>
      <c r="G22" s="1527">
        <f>F22*E22</f>
        <v>1659.3000000000002</v>
      </c>
      <c r="H22" s="1526" t="s">
        <v>1534</v>
      </c>
      <c r="I22" s="1526" t="s">
        <v>1534</v>
      </c>
      <c r="J22" s="1409">
        <v>6</v>
      </c>
      <c r="K22" s="1430">
        <f>J22*E22</f>
        <v>1659.3000000000002</v>
      </c>
    </row>
    <row r="23" spans="1:13" s="37" customFormat="1" ht="16.5" customHeight="1">
      <c r="A23" s="932">
        <v>8</v>
      </c>
      <c r="B23" s="1426" t="s">
        <v>48</v>
      </c>
      <c r="C23" s="1531"/>
      <c r="D23" s="932"/>
      <c r="E23" s="932"/>
      <c r="F23" s="932"/>
      <c r="G23" s="1343">
        <f>SUM(G10:G22)</f>
        <v>4219921.2127999989</v>
      </c>
      <c r="H23" s="1343"/>
      <c r="I23" s="1343">
        <f>SUM(I10:I22)</f>
        <v>5215350.4542999994</v>
      </c>
      <c r="J23" s="1343"/>
      <c r="K23" s="1343">
        <f>SUM(K10:K22)</f>
        <v>5605872.4027999993</v>
      </c>
      <c r="L23" s="17"/>
      <c r="M23" s="21"/>
    </row>
    <row r="24" spans="1:13" s="37" customFormat="1" ht="16.5" customHeight="1">
      <c r="A24" s="932">
        <v>9</v>
      </c>
      <c r="B24" s="1426" t="s">
        <v>49</v>
      </c>
      <c r="C24" s="1531"/>
      <c r="D24" s="932"/>
      <c r="E24" s="932"/>
      <c r="F24" s="932"/>
      <c r="G24" s="1343">
        <f>G23/1.18</f>
        <v>3576204.4176271181</v>
      </c>
      <c r="H24" s="1343"/>
      <c r="I24" s="1343">
        <f>I23/1.18</f>
        <v>4419788.5205932204</v>
      </c>
      <c r="J24" s="1343"/>
      <c r="K24" s="1343">
        <f>K23/1.18</f>
        <v>4750739.3244067794</v>
      </c>
      <c r="L24" s="174"/>
      <c r="M24" s="21"/>
    </row>
    <row r="25" spans="1:13" ht="16.5" customHeight="1">
      <c r="A25" s="1409">
        <v>10</v>
      </c>
      <c r="B25" s="1372" t="s">
        <v>50</v>
      </c>
      <c r="C25" s="1367"/>
      <c r="D25" s="1409"/>
      <c r="E25" s="1409">
        <v>7.4999999999999997E-2</v>
      </c>
      <c r="F25" s="1409"/>
      <c r="G25" s="1430">
        <f>G23*E25</f>
        <v>316494.09095999988</v>
      </c>
      <c r="H25" s="1409"/>
      <c r="I25" s="1430">
        <f>I23*E25</f>
        <v>391151.28407249996</v>
      </c>
      <c r="J25" s="1430"/>
      <c r="K25" s="1430">
        <f>K23*E25</f>
        <v>420440.43020999996</v>
      </c>
      <c r="L25" s="16"/>
      <c r="M25" s="21"/>
    </row>
    <row r="26" spans="1:13" ht="15.75" customHeight="1">
      <c r="A26" s="1409">
        <v>11</v>
      </c>
      <c r="B26" s="1220" t="s">
        <v>2224</v>
      </c>
      <c r="C26" s="1532"/>
      <c r="D26" s="1533"/>
      <c r="E26" s="1534"/>
      <c r="F26" s="1535"/>
      <c r="G26" s="1527">
        <v>83692</v>
      </c>
      <c r="H26" s="1526"/>
      <c r="I26" s="1527">
        <v>83692</v>
      </c>
      <c r="J26" s="1527"/>
      <c r="K26" s="1527">
        <v>83692</v>
      </c>
      <c r="L26" s="239"/>
    </row>
    <row r="27" spans="1:13" ht="16.5" customHeight="1">
      <c r="A27" s="1409">
        <v>12</v>
      </c>
      <c r="B27" s="1520" t="s">
        <v>82</v>
      </c>
      <c r="C27" s="1532"/>
      <c r="D27" s="1409" t="s">
        <v>76</v>
      </c>
      <c r="E27" s="1522">
        <f>665.173187113158*1.043</f>
        <v>693.77563415902364</v>
      </c>
      <c r="F27" s="1526">
        <v>7</v>
      </c>
      <c r="G27" s="1527">
        <f>F27*E27</f>
        <v>4856.4294391131652</v>
      </c>
      <c r="H27" s="1526" t="s">
        <v>1534</v>
      </c>
      <c r="I27" s="1527" t="s">
        <v>1534</v>
      </c>
      <c r="J27" s="1536">
        <v>7</v>
      </c>
      <c r="K27" s="1527">
        <f>E27*J27</f>
        <v>4856.4294391131652</v>
      </c>
      <c r="L27" s="59"/>
    </row>
    <row r="28" spans="1:13" ht="27.75" customHeight="1">
      <c r="A28" s="1409">
        <v>13</v>
      </c>
      <c r="B28" s="1520" t="s">
        <v>2339</v>
      </c>
      <c r="C28" s="1532"/>
      <c r="D28" s="1409"/>
      <c r="E28" s="1522">
        <v>8937</v>
      </c>
      <c r="F28" s="1526">
        <v>1</v>
      </c>
      <c r="G28" s="1527">
        <f>F28*E28</f>
        <v>8937</v>
      </c>
      <c r="H28" s="1526"/>
      <c r="I28" s="1527"/>
      <c r="J28" s="1536">
        <v>1</v>
      </c>
      <c r="K28" s="1527">
        <f>E28*J28</f>
        <v>8937</v>
      </c>
      <c r="L28" s="739" t="s">
        <v>119</v>
      </c>
    </row>
    <row r="29" spans="1:13" ht="81" customHeight="1">
      <c r="A29" s="1409">
        <v>14</v>
      </c>
      <c r="B29" s="1344" t="s">
        <v>2265</v>
      </c>
      <c r="C29" s="1532"/>
      <c r="D29" s="1435" t="s">
        <v>536</v>
      </c>
      <c r="E29" s="1430">
        <v>2155</v>
      </c>
      <c r="F29" s="1526">
        <v>5</v>
      </c>
      <c r="G29" s="1527">
        <f>F29*E29</f>
        <v>10775</v>
      </c>
      <c r="H29" s="1526"/>
      <c r="I29" s="1527"/>
      <c r="J29" s="1536">
        <v>5</v>
      </c>
      <c r="K29" s="1527">
        <f>E29*J29</f>
        <v>10775</v>
      </c>
      <c r="L29" s="739" t="s">
        <v>119</v>
      </c>
    </row>
    <row r="30" spans="1:13" ht="30" customHeight="1">
      <c r="A30" s="1409">
        <v>15</v>
      </c>
      <c r="B30" s="1220" t="s">
        <v>2306</v>
      </c>
      <c r="C30" s="1370"/>
      <c r="D30" s="1409"/>
      <c r="E30" s="1430">
        <v>0.01</v>
      </c>
      <c r="F30" s="1526"/>
      <c r="G30" s="1430">
        <f>(G10/1.18)*E30</f>
        <v>32422.072627118647</v>
      </c>
      <c r="H30" s="1526"/>
      <c r="I30" s="1430">
        <f>(I11/1.18)*E30</f>
        <v>44167.421694915261</v>
      </c>
      <c r="J30" s="1527"/>
      <c r="K30" s="1430">
        <f>(K11/1.18)*E30</f>
        <v>44167.421694915261</v>
      </c>
      <c r="L30" s="737" t="s">
        <v>1827</v>
      </c>
      <c r="M30" s="24"/>
    </row>
    <row r="31" spans="1:13" ht="43.5" customHeight="1">
      <c r="A31" s="1409">
        <v>16</v>
      </c>
      <c r="B31" s="1220" t="s">
        <v>2309</v>
      </c>
      <c r="C31" s="1532"/>
      <c r="D31" s="1533"/>
      <c r="E31" s="1537">
        <v>0.04</v>
      </c>
      <c r="F31" s="1535"/>
      <c r="G31" s="1430">
        <f>((G23-G10)/1.18)*E31</f>
        <v>13359.886196610141</v>
      </c>
      <c r="H31" s="1526"/>
      <c r="I31" s="1527">
        <f>((I23-I11)/1.18)*E31</f>
        <v>121.85404406778389</v>
      </c>
      <c r="J31" s="1409"/>
      <c r="K31" s="1430">
        <f>((K23-K11))/1.18*E31</f>
        <v>13359.886196610154</v>
      </c>
      <c r="L31" s="737" t="s">
        <v>1827</v>
      </c>
      <c r="M31" s="24"/>
    </row>
    <row r="32" spans="1:13" ht="40.5" customHeight="1">
      <c r="A32" s="1409">
        <v>17</v>
      </c>
      <c r="B32" s="1372" t="s">
        <v>2340</v>
      </c>
      <c r="C32" s="1532"/>
      <c r="D32" s="1533"/>
      <c r="E32" s="1534"/>
      <c r="F32" s="1535"/>
      <c r="G32" s="1430">
        <f>(G23+G25+G26+G27+G28+G29+G30+G31)*0.125</f>
        <v>586307.21150285518</v>
      </c>
      <c r="H32" s="1430"/>
      <c r="I32" s="1430">
        <f>(I23+I25+I26+I30+I31)*0.125</f>
        <v>716810.3767639352</v>
      </c>
      <c r="J32" s="1430"/>
      <c r="K32" s="1430">
        <f>(K23+K25+K26+K27+K28+K29+K30+K31)*0.125</f>
        <v>774012.57129257976</v>
      </c>
      <c r="L32" s="418"/>
    </row>
    <row r="33" spans="1:13" s="37" customFormat="1" ht="29.25" customHeight="1">
      <c r="A33" s="932">
        <v>18</v>
      </c>
      <c r="B33" s="1457" t="s">
        <v>2341</v>
      </c>
      <c r="C33" s="1531"/>
      <c r="D33" s="932"/>
      <c r="E33" s="932"/>
      <c r="F33" s="932"/>
      <c r="G33" s="1343">
        <f>SUM(G24:G32)</f>
        <v>4633048.1083528148</v>
      </c>
      <c r="H33" s="1343"/>
      <c r="I33" s="1343">
        <f>SUM(I24:I32)</f>
        <v>5655731.4571686378</v>
      </c>
      <c r="J33" s="1343"/>
      <c r="K33" s="1343">
        <f>SUM(K24:K32)</f>
        <v>6110980.0632399982</v>
      </c>
      <c r="L33" s="28"/>
      <c r="M33" s="822"/>
    </row>
    <row r="34" spans="1:13" s="37" customFormat="1" ht="18" customHeight="1">
      <c r="A34" s="1409">
        <v>19</v>
      </c>
      <c r="B34" s="1372" t="s">
        <v>131</v>
      </c>
      <c r="C34" s="1531"/>
      <c r="D34" s="932"/>
      <c r="E34" s="1409">
        <v>0.09</v>
      </c>
      <c r="F34" s="1409"/>
      <c r="G34" s="1430">
        <f>G33*E34</f>
        <v>416974.32975175331</v>
      </c>
      <c r="H34" s="1430"/>
      <c r="I34" s="1430">
        <f>I33*E34</f>
        <v>509015.83114517736</v>
      </c>
      <c r="J34" s="1430"/>
      <c r="K34" s="1430">
        <f>K33*E34</f>
        <v>549988.20569159987</v>
      </c>
      <c r="L34" s="28"/>
      <c r="M34" s="822"/>
    </row>
    <row r="35" spans="1:13" s="37" customFormat="1" ht="18" customHeight="1">
      <c r="A35" s="1409">
        <v>20</v>
      </c>
      <c r="B35" s="1372" t="s">
        <v>132</v>
      </c>
      <c r="C35" s="1531"/>
      <c r="D35" s="932"/>
      <c r="E35" s="1409">
        <v>0.09</v>
      </c>
      <c r="F35" s="1409"/>
      <c r="G35" s="1430">
        <f>G33*E35</f>
        <v>416974.32975175331</v>
      </c>
      <c r="H35" s="1430"/>
      <c r="I35" s="1430">
        <f>I33*E35</f>
        <v>509015.83114517736</v>
      </c>
      <c r="J35" s="1430"/>
      <c r="K35" s="1430">
        <f>K33*E35</f>
        <v>549988.20569159987</v>
      </c>
      <c r="L35" s="60"/>
      <c r="M35" s="822"/>
    </row>
    <row r="36" spans="1:13" ht="27.75" customHeight="1">
      <c r="A36" s="1424">
        <v>21</v>
      </c>
      <c r="B36" s="1221" t="s">
        <v>2225</v>
      </c>
      <c r="C36" s="1370"/>
      <c r="D36" s="1409"/>
      <c r="E36" s="1430"/>
      <c r="F36" s="1526"/>
      <c r="G36" s="1538">
        <f>712562*0.8*0.9+0.1*712562</f>
        <v>584300.84</v>
      </c>
      <c r="H36" s="1539"/>
      <c r="I36" s="1538">
        <f>1819323*0.8*0.9+0.1*1819323</f>
        <v>1491844.86</v>
      </c>
      <c r="J36" s="1430"/>
      <c r="K36" s="1430">
        <f>1819323*0.8*0.9+0.1*1819323</f>
        <v>1491844.86</v>
      </c>
      <c r="L36" s="823"/>
      <c r="M36" s="823"/>
    </row>
    <row r="37" spans="1:13" ht="27.75" customHeight="1">
      <c r="A37" s="1424">
        <v>22</v>
      </c>
      <c r="B37" s="1372" t="s">
        <v>2342</v>
      </c>
      <c r="C37" s="1367"/>
      <c r="D37" s="1409"/>
      <c r="E37" s="1409"/>
      <c r="F37" s="1409"/>
      <c r="G37" s="1430">
        <f>G33+G34+G35-G36</f>
        <v>4882695.9278563214</v>
      </c>
      <c r="H37" s="1430"/>
      <c r="I37" s="1430">
        <f>I33+I34+I35-I36</f>
        <v>5181918.2594589926</v>
      </c>
      <c r="J37" s="1430"/>
      <c r="K37" s="1430">
        <f>K33+K34+K35-K36</f>
        <v>5719111.6146231983</v>
      </c>
      <c r="L37" s="823"/>
    </row>
    <row r="38" spans="1:13" s="37" customFormat="1" ht="28.5" customHeight="1">
      <c r="A38" s="67">
        <v>23</v>
      </c>
      <c r="B38" s="1457" t="s">
        <v>2226</v>
      </c>
      <c r="C38" s="1540"/>
      <c r="D38" s="1312"/>
      <c r="E38" s="1312"/>
      <c r="F38" s="1312"/>
      <c r="G38" s="1315">
        <f>ROUND(G37,0)</f>
        <v>4882696</v>
      </c>
      <c r="H38" s="1315"/>
      <c r="I38" s="1315">
        <f>ROUND(I37,0)</f>
        <v>5181918</v>
      </c>
      <c r="J38" s="1315"/>
      <c r="K38" s="1315">
        <f>ROUND(K37,0)</f>
        <v>5719112</v>
      </c>
    </row>
    <row r="39" spans="1:13" s="37" customFormat="1" ht="12" customHeight="1">
      <c r="A39" s="824"/>
      <c r="B39" s="825"/>
      <c r="C39" s="826"/>
      <c r="D39" s="824"/>
      <c r="E39" s="824"/>
      <c r="F39" s="824"/>
      <c r="G39" s="827"/>
      <c r="H39" s="827"/>
      <c r="I39" s="827"/>
      <c r="J39" s="827"/>
      <c r="K39" s="827"/>
    </row>
    <row r="40" spans="1:13" ht="17.25" customHeight="1">
      <c r="A40" s="305"/>
      <c r="B40" s="3235" t="s">
        <v>1765</v>
      </c>
      <c r="C40" s="3235"/>
      <c r="D40" s="811"/>
      <c r="E40" s="811"/>
      <c r="F40" s="811"/>
      <c r="G40" s="828"/>
      <c r="H40" s="828"/>
      <c r="I40" s="828"/>
      <c r="J40" s="828"/>
      <c r="K40" s="828"/>
    </row>
    <row r="41" spans="1:13">
      <c r="A41" s="305"/>
      <c r="B41" s="418"/>
      <c r="C41" s="829"/>
      <c r="D41" s="811"/>
      <c r="E41" s="811"/>
      <c r="F41" s="811"/>
      <c r="G41" s="828"/>
      <c r="H41" s="828"/>
      <c r="I41" s="828"/>
      <c r="J41" s="828"/>
      <c r="K41" s="828"/>
    </row>
    <row r="42" spans="1:13" ht="18">
      <c r="B42" s="418"/>
      <c r="E42" s="831"/>
      <c r="G42" s="823"/>
      <c r="H42" s="823"/>
      <c r="I42" s="823"/>
    </row>
    <row r="43" spans="1:13" ht="15">
      <c r="A43" s="46"/>
      <c r="B43" s="825"/>
      <c r="C43" s="46"/>
      <c r="G43" s="823"/>
      <c r="H43" s="823"/>
      <c r="I43" s="823"/>
      <c r="J43" s="823"/>
      <c r="K43" s="823"/>
    </row>
  </sheetData>
  <mergeCells count="12">
    <mergeCell ref="A12:A15"/>
    <mergeCell ref="B40:C40"/>
    <mergeCell ref="C1:F1"/>
    <mergeCell ref="A3:K3"/>
    <mergeCell ref="A7:A8"/>
    <mergeCell ref="B7:B8"/>
    <mergeCell ref="C7:C8"/>
    <mergeCell ref="D7:D8"/>
    <mergeCell ref="E7:E8"/>
    <mergeCell ref="F7:G7"/>
    <mergeCell ref="H7:I7"/>
    <mergeCell ref="J7:K7"/>
  </mergeCells>
  <conditionalFormatting sqref="B23">
    <cfRule type="cellIs" dxfId="115" priority="2" stopIfTrue="1" operator="equal">
      <formula>"?"</formula>
    </cfRule>
  </conditionalFormatting>
  <conditionalFormatting sqref="B24">
    <cfRule type="cellIs" dxfId="114" priority="1" stopIfTrue="1" operator="equal">
      <formula>"?"</formula>
    </cfRule>
  </conditionalFormatting>
  <printOptions horizontalCentered="1"/>
  <pageMargins left="0.74803149606299213" right="0.15748031496062992" top="0.70866141732283472" bottom="0.27559055118110237" header="0.55118110236220474" footer="0.15748031496062992"/>
  <pageSetup paperSize="9" scale="97" orientation="landscape" horizontalDpi="120" verticalDpi="180"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P93"/>
  <sheetViews>
    <sheetView zoomScaleNormal="100" workbookViewId="0">
      <pane xSplit="3" ySplit="7" topLeftCell="D63" activePane="bottomRight" state="frozen"/>
      <selection pane="topRight" activeCell="D1" sqref="D1"/>
      <selection pane="bottomLeft" activeCell="A8" sqref="A8"/>
      <selection pane="bottomRight" activeCell="I56" sqref="I56"/>
    </sheetView>
  </sheetViews>
  <sheetFormatPr defaultRowHeight="12.75"/>
  <cols>
    <col min="1" max="1" width="4.5703125" style="137" customWidth="1"/>
    <col min="2" max="2" width="4" style="137" customWidth="1"/>
    <col min="3" max="3" width="50.5703125" style="70" customWidth="1"/>
    <col min="4" max="4" width="12.140625" style="111" customWidth="1"/>
    <col min="5" max="5" width="6.5703125" style="70" bestFit="1" customWidth="1"/>
    <col min="6" max="6" width="10.85546875" style="70" customWidth="1"/>
    <col min="7" max="7" width="5.7109375" style="70" bestFit="1" customWidth="1"/>
    <col min="8" max="8" width="11.7109375" style="70" customWidth="1"/>
    <col min="9" max="9" width="21.140625" style="70" customWidth="1"/>
    <col min="10" max="10" width="10.5703125" style="70" bestFit="1" customWidth="1"/>
    <col min="11" max="11" width="11.7109375" style="70" customWidth="1"/>
    <col min="12" max="12" width="9.5703125" style="70" customWidth="1"/>
    <col min="13" max="256" width="9.140625" style="70"/>
    <col min="257" max="257" width="4.5703125" style="70" customWidth="1"/>
    <col min="258" max="258" width="4" style="70" customWidth="1"/>
    <col min="259" max="259" width="50.5703125" style="70" customWidth="1"/>
    <col min="260" max="260" width="12.140625" style="70" customWidth="1"/>
    <col min="261" max="261" width="6.5703125" style="70" bestFit="1" customWidth="1"/>
    <col min="262" max="262" width="9.5703125" style="70" bestFit="1" customWidth="1"/>
    <col min="263" max="263" width="5.7109375" style="70" bestFit="1" customWidth="1"/>
    <col min="264" max="264" width="11.7109375" style="70" customWidth="1"/>
    <col min="265" max="265" width="21.140625" style="70" customWidth="1"/>
    <col min="266" max="266" width="10.5703125" style="70" bestFit="1" customWidth="1"/>
    <col min="267" max="267" width="10.140625" style="70" customWidth="1"/>
    <col min="268" max="512" width="9.140625" style="70"/>
    <col min="513" max="513" width="4.5703125" style="70" customWidth="1"/>
    <col min="514" max="514" width="4" style="70" customWidth="1"/>
    <col min="515" max="515" width="50.5703125" style="70" customWidth="1"/>
    <col min="516" max="516" width="12.140625" style="70" customWidth="1"/>
    <col min="517" max="517" width="6.5703125" style="70" bestFit="1" customWidth="1"/>
    <col min="518" max="518" width="9.5703125" style="70" bestFit="1" customWidth="1"/>
    <col min="519" max="519" width="5.7109375" style="70" bestFit="1" customWidth="1"/>
    <col min="520" max="520" width="11.7109375" style="70" customWidth="1"/>
    <col min="521" max="521" width="21.140625" style="70" customWidth="1"/>
    <col min="522" max="522" width="10.5703125" style="70" bestFit="1" customWidth="1"/>
    <col min="523" max="523" width="10.140625" style="70" customWidth="1"/>
    <col min="524" max="768" width="9.140625" style="70"/>
    <col min="769" max="769" width="4.5703125" style="70" customWidth="1"/>
    <col min="770" max="770" width="4" style="70" customWidth="1"/>
    <col min="771" max="771" width="50.5703125" style="70" customWidth="1"/>
    <col min="772" max="772" width="12.140625" style="70" customWidth="1"/>
    <col min="773" max="773" width="6.5703125" style="70" bestFit="1" customWidth="1"/>
    <col min="774" max="774" width="9.5703125" style="70" bestFit="1" customWidth="1"/>
    <col min="775" max="775" width="5.7109375" style="70" bestFit="1" customWidth="1"/>
    <col min="776" max="776" width="11.7109375" style="70" customWidth="1"/>
    <col min="777" max="777" width="21.140625" style="70" customWidth="1"/>
    <col min="778" max="778" width="10.5703125" style="70" bestFit="1" customWidth="1"/>
    <col min="779" max="779" width="10.140625" style="70" customWidth="1"/>
    <col min="780" max="1024" width="9.140625" style="70"/>
    <col min="1025" max="1025" width="4.5703125" style="70" customWidth="1"/>
    <col min="1026" max="1026" width="4" style="70" customWidth="1"/>
    <col min="1027" max="1027" width="50.5703125" style="70" customWidth="1"/>
    <col min="1028" max="1028" width="12.140625" style="70" customWidth="1"/>
    <col min="1029" max="1029" width="6.5703125" style="70" bestFit="1" customWidth="1"/>
    <col min="1030" max="1030" width="9.5703125" style="70" bestFit="1" customWidth="1"/>
    <col min="1031" max="1031" width="5.7109375" style="70" bestFit="1" customWidth="1"/>
    <col min="1032" max="1032" width="11.7109375" style="70" customWidth="1"/>
    <col min="1033" max="1033" width="21.140625" style="70" customWidth="1"/>
    <col min="1034" max="1034" width="10.5703125" style="70" bestFit="1" customWidth="1"/>
    <col min="1035" max="1035" width="10.140625" style="70" customWidth="1"/>
    <col min="1036" max="1280" width="9.140625" style="70"/>
    <col min="1281" max="1281" width="4.5703125" style="70" customWidth="1"/>
    <col min="1282" max="1282" width="4" style="70" customWidth="1"/>
    <col min="1283" max="1283" width="50.5703125" style="70" customWidth="1"/>
    <col min="1284" max="1284" width="12.140625" style="70" customWidth="1"/>
    <col min="1285" max="1285" width="6.5703125" style="70" bestFit="1" customWidth="1"/>
    <col min="1286" max="1286" width="9.5703125" style="70" bestFit="1" customWidth="1"/>
    <col min="1287" max="1287" width="5.7109375" style="70" bestFit="1" customWidth="1"/>
    <col min="1288" max="1288" width="11.7109375" style="70" customWidth="1"/>
    <col min="1289" max="1289" width="21.140625" style="70" customWidth="1"/>
    <col min="1290" max="1290" width="10.5703125" style="70" bestFit="1" customWidth="1"/>
    <col min="1291" max="1291" width="10.140625" style="70" customWidth="1"/>
    <col min="1292" max="1536" width="9.140625" style="70"/>
    <col min="1537" max="1537" width="4.5703125" style="70" customWidth="1"/>
    <col min="1538" max="1538" width="4" style="70" customWidth="1"/>
    <col min="1539" max="1539" width="50.5703125" style="70" customWidth="1"/>
    <col min="1540" max="1540" width="12.140625" style="70" customWidth="1"/>
    <col min="1541" max="1541" width="6.5703125" style="70" bestFit="1" customWidth="1"/>
    <col min="1542" max="1542" width="9.5703125" style="70" bestFit="1" customWidth="1"/>
    <col min="1543" max="1543" width="5.7109375" style="70" bestFit="1" customWidth="1"/>
    <col min="1544" max="1544" width="11.7109375" style="70" customWidth="1"/>
    <col min="1545" max="1545" width="21.140625" style="70" customWidth="1"/>
    <col min="1546" max="1546" width="10.5703125" style="70" bestFit="1" customWidth="1"/>
    <col min="1547" max="1547" width="10.140625" style="70" customWidth="1"/>
    <col min="1548" max="1792" width="9.140625" style="70"/>
    <col min="1793" max="1793" width="4.5703125" style="70" customWidth="1"/>
    <col min="1794" max="1794" width="4" style="70" customWidth="1"/>
    <col min="1795" max="1795" width="50.5703125" style="70" customWidth="1"/>
    <col min="1796" max="1796" width="12.140625" style="70" customWidth="1"/>
    <col min="1797" max="1797" width="6.5703125" style="70" bestFit="1" customWidth="1"/>
    <col min="1798" max="1798" width="9.5703125" style="70" bestFit="1" customWidth="1"/>
    <col min="1799" max="1799" width="5.7109375" style="70" bestFit="1" customWidth="1"/>
    <col min="1800" max="1800" width="11.7109375" style="70" customWidth="1"/>
    <col min="1801" max="1801" width="21.140625" style="70" customWidth="1"/>
    <col min="1802" max="1802" width="10.5703125" style="70" bestFit="1" customWidth="1"/>
    <col min="1803" max="1803" width="10.140625" style="70" customWidth="1"/>
    <col min="1804" max="2048" width="9.140625" style="70"/>
    <col min="2049" max="2049" width="4.5703125" style="70" customWidth="1"/>
    <col min="2050" max="2050" width="4" style="70" customWidth="1"/>
    <col min="2051" max="2051" width="50.5703125" style="70" customWidth="1"/>
    <col min="2052" max="2052" width="12.140625" style="70" customWidth="1"/>
    <col min="2053" max="2053" width="6.5703125" style="70" bestFit="1" customWidth="1"/>
    <col min="2054" max="2054" width="9.5703125" style="70" bestFit="1" customWidth="1"/>
    <col min="2055" max="2055" width="5.7109375" style="70" bestFit="1" customWidth="1"/>
    <col min="2056" max="2056" width="11.7109375" style="70" customWidth="1"/>
    <col min="2057" max="2057" width="21.140625" style="70" customWidth="1"/>
    <col min="2058" max="2058" width="10.5703125" style="70" bestFit="1" customWidth="1"/>
    <col min="2059" max="2059" width="10.140625" style="70" customWidth="1"/>
    <col min="2060" max="2304" width="9.140625" style="70"/>
    <col min="2305" max="2305" width="4.5703125" style="70" customWidth="1"/>
    <col min="2306" max="2306" width="4" style="70" customWidth="1"/>
    <col min="2307" max="2307" width="50.5703125" style="70" customWidth="1"/>
    <col min="2308" max="2308" width="12.140625" style="70" customWidth="1"/>
    <col min="2309" max="2309" width="6.5703125" style="70" bestFit="1" customWidth="1"/>
    <col min="2310" max="2310" width="9.5703125" style="70" bestFit="1" customWidth="1"/>
    <col min="2311" max="2311" width="5.7109375" style="70" bestFit="1" customWidth="1"/>
    <col min="2312" max="2312" width="11.7109375" style="70" customWidth="1"/>
    <col min="2313" max="2313" width="21.140625" style="70" customWidth="1"/>
    <col min="2314" max="2314" width="10.5703125" style="70" bestFit="1" customWidth="1"/>
    <col min="2315" max="2315" width="10.140625" style="70" customWidth="1"/>
    <col min="2316" max="2560" width="9.140625" style="70"/>
    <col min="2561" max="2561" width="4.5703125" style="70" customWidth="1"/>
    <col min="2562" max="2562" width="4" style="70" customWidth="1"/>
    <col min="2563" max="2563" width="50.5703125" style="70" customWidth="1"/>
    <col min="2564" max="2564" width="12.140625" style="70" customWidth="1"/>
    <col min="2565" max="2565" width="6.5703125" style="70" bestFit="1" customWidth="1"/>
    <col min="2566" max="2566" width="9.5703125" style="70" bestFit="1" customWidth="1"/>
    <col min="2567" max="2567" width="5.7109375" style="70" bestFit="1" customWidth="1"/>
    <col min="2568" max="2568" width="11.7109375" style="70" customWidth="1"/>
    <col min="2569" max="2569" width="21.140625" style="70" customWidth="1"/>
    <col min="2570" max="2570" width="10.5703125" style="70" bestFit="1" customWidth="1"/>
    <col min="2571" max="2571" width="10.140625" style="70" customWidth="1"/>
    <col min="2572" max="2816" width="9.140625" style="70"/>
    <col min="2817" max="2817" width="4.5703125" style="70" customWidth="1"/>
    <col min="2818" max="2818" width="4" style="70" customWidth="1"/>
    <col min="2819" max="2819" width="50.5703125" style="70" customWidth="1"/>
    <col min="2820" max="2820" width="12.140625" style="70" customWidth="1"/>
    <col min="2821" max="2821" width="6.5703125" style="70" bestFit="1" customWidth="1"/>
    <col min="2822" max="2822" width="9.5703125" style="70" bestFit="1" customWidth="1"/>
    <col min="2823" max="2823" width="5.7109375" style="70" bestFit="1" customWidth="1"/>
    <col min="2824" max="2824" width="11.7109375" style="70" customWidth="1"/>
    <col min="2825" max="2825" width="21.140625" style="70" customWidth="1"/>
    <col min="2826" max="2826" width="10.5703125" style="70" bestFit="1" customWidth="1"/>
    <col min="2827" max="2827" width="10.140625" style="70" customWidth="1"/>
    <col min="2828" max="3072" width="9.140625" style="70"/>
    <col min="3073" max="3073" width="4.5703125" style="70" customWidth="1"/>
    <col min="3074" max="3074" width="4" style="70" customWidth="1"/>
    <col min="3075" max="3075" width="50.5703125" style="70" customWidth="1"/>
    <col min="3076" max="3076" width="12.140625" style="70" customWidth="1"/>
    <col min="3077" max="3077" width="6.5703125" style="70" bestFit="1" customWidth="1"/>
    <col min="3078" max="3078" width="9.5703125" style="70" bestFit="1" customWidth="1"/>
    <col min="3079" max="3079" width="5.7109375" style="70" bestFit="1" customWidth="1"/>
    <col min="3080" max="3080" width="11.7109375" style="70" customWidth="1"/>
    <col min="3081" max="3081" width="21.140625" style="70" customWidth="1"/>
    <col min="3082" max="3082" width="10.5703125" style="70" bestFit="1" customWidth="1"/>
    <col min="3083" max="3083" width="10.140625" style="70" customWidth="1"/>
    <col min="3084" max="3328" width="9.140625" style="70"/>
    <col min="3329" max="3329" width="4.5703125" style="70" customWidth="1"/>
    <col min="3330" max="3330" width="4" style="70" customWidth="1"/>
    <col min="3331" max="3331" width="50.5703125" style="70" customWidth="1"/>
    <col min="3332" max="3332" width="12.140625" style="70" customWidth="1"/>
    <col min="3333" max="3333" width="6.5703125" style="70" bestFit="1" customWidth="1"/>
    <col min="3334" max="3334" width="9.5703125" style="70" bestFit="1" customWidth="1"/>
    <col min="3335" max="3335" width="5.7109375" style="70" bestFit="1" customWidth="1"/>
    <col min="3336" max="3336" width="11.7109375" style="70" customWidth="1"/>
    <col min="3337" max="3337" width="21.140625" style="70" customWidth="1"/>
    <col min="3338" max="3338" width="10.5703125" style="70" bestFit="1" customWidth="1"/>
    <col min="3339" max="3339" width="10.140625" style="70" customWidth="1"/>
    <col min="3340" max="3584" width="9.140625" style="70"/>
    <col min="3585" max="3585" width="4.5703125" style="70" customWidth="1"/>
    <col min="3586" max="3586" width="4" style="70" customWidth="1"/>
    <col min="3587" max="3587" width="50.5703125" style="70" customWidth="1"/>
    <col min="3588" max="3588" width="12.140625" style="70" customWidth="1"/>
    <col min="3589" max="3589" width="6.5703125" style="70" bestFit="1" customWidth="1"/>
    <col min="3590" max="3590" width="9.5703125" style="70" bestFit="1" customWidth="1"/>
    <col min="3591" max="3591" width="5.7109375" style="70" bestFit="1" customWidth="1"/>
    <col min="3592" max="3592" width="11.7109375" style="70" customWidth="1"/>
    <col min="3593" max="3593" width="21.140625" style="70" customWidth="1"/>
    <col min="3594" max="3594" width="10.5703125" style="70" bestFit="1" customWidth="1"/>
    <col min="3595" max="3595" width="10.140625" style="70" customWidth="1"/>
    <col min="3596" max="3840" width="9.140625" style="70"/>
    <col min="3841" max="3841" width="4.5703125" style="70" customWidth="1"/>
    <col min="3842" max="3842" width="4" style="70" customWidth="1"/>
    <col min="3843" max="3843" width="50.5703125" style="70" customWidth="1"/>
    <col min="3844" max="3844" width="12.140625" style="70" customWidth="1"/>
    <col min="3845" max="3845" width="6.5703125" style="70" bestFit="1" customWidth="1"/>
    <col min="3846" max="3846" width="9.5703125" style="70" bestFit="1" customWidth="1"/>
    <col min="3847" max="3847" width="5.7109375" style="70" bestFit="1" customWidth="1"/>
    <col min="3848" max="3848" width="11.7109375" style="70" customWidth="1"/>
    <col min="3849" max="3849" width="21.140625" style="70" customWidth="1"/>
    <col min="3850" max="3850" width="10.5703125" style="70" bestFit="1" customWidth="1"/>
    <col min="3851" max="3851" width="10.140625" style="70" customWidth="1"/>
    <col min="3852" max="4096" width="9.140625" style="70"/>
    <col min="4097" max="4097" width="4.5703125" style="70" customWidth="1"/>
    <col min="4098" max="4098" width="4" style="70" customWidth="1"/>
    <col min="4099" max="4099" width="50.5703125" style="70" customWidth="1"/>
    <col min="4100" max="4100" width="12.140625" style="70" customWidth="1"/>
    <col min="4101" max="4101" width="6.5703125" style="70" bestFit="1" customWidth="1"/>
    <col min="4102" max="4102" width="9.5703125" style="70" bestFit="1" customWidth="1"/>
    <col min="4103" max="4103" width="5.7109375" style="70" bestFit="1" customWidth="1"/>
    <col min="4104" max="4104" width="11.7109375" style="70" customWidth="1"/>
    <col min="4105" max="4105" width="21.140625" style="70" customWidth="1"/>
    <col min="4106" max="4106" width="10.5703125" style="70" bestFit="1" customWidth="1"/>
    <col min="4107" max="4107" width="10.140625" style="70" customWidth="1"/>
    <col min="4108" max="4352" width="9.140625" style="70"/>
    <col min="4353" max="4353" width="4.5703125" style="70" customWidth="1"/>
    <col min="4354" max="4354" width="4" style="70" customWidth="1"/>
    <col min="4355" max="4355" width="50.5703125" style="70" customWidth="1"/>
    <col min="4356" max="4356" width="12.140625" style="70" customWidth="1"/>
    <col min="4357" max="4357" width="6.5703125" style="70" bestFit="1" customWidth="1"/>
    <col min="4358" max="4358" width="9.5703125" style="70" bestFit="1" customWidth="1"/>
    <col min="4359" max="4359" width="5.7109375" style="70" bestFit="1" customWidth="1"/>
    <col min="4360" max="4360" width="11.7109375" style="70" customWidth="1"/>
    <col min="4361" max="4361" width="21.140625" style="70" customWidth="1"/>
    <col min="4362" max="4362" width="10.5703125" style="70" bestFit="1" customWidth="1"/>
    <col min="4363" max="4363" width="10.140625" style="70" customWidth="1"/>
    <col min="4364" max="4608" width="9.140625" style="70"/>
    <col min="4609" max="4609" width="4.5703125" style="70" customWidth="1"/>
    <col min="4610" max="4610" width="4" style="70" customWidth="1"/>
    <col min="4611" max="4611" width="50.5703125" style="70" customWidth="1"/>
    <col min="4612" max="4612" width="12.140625" style="70" customWidth="1"/>
    <col min="4613" max="4613" width="6.5703125" style="70" bestFit="1" customWidth="1"/>
    <col min="4614" max="4614" width="9.5703125" style="70" bestFit="1" customWidth="1"/>
    <col min="4615" max="4615" width="5.7109375" style="70" bestFit="1" customWidth="1"/>
    <col min="4616" max="4616" width="11.7109375" style="70" customWidth="1"/>
    <col min="4617" max="4617" width="21.140625" style="70" customWidth="1"/>
    <col min="4618" max="4618" width="10.5703125" style="70" bestFit="1" customWidth="1"/>
    <col min="4619" max="4619" width="10.140625" style="70" customWidth="1"/>
    <col min="4620" max="4864" width="9.140625" style="70"/>
    <col min="4865" max="4865" width="4.5703125" style="70" customWidth="1"/>
    <col min="4866" max="4866" width="4" style="70" customWidth="1"/>
    <col min="4867" max="4867" width="50.5703125" style="70" customWidth="1"/>
    <col min="4868" max="4868" width="12.140625" style="70" customWidth="1"/>
    <col min="4869" max="4869" width="6.5703125" style="70" bestFit="1" customWidth="1"/>
    <col min="4870" max="4870" width="9.5703125" style="70" bestFit="1" customWidth="1"/>
    <col min="4871" max="4871" width="5.7109375" style="70" bestFit="1" customWidth="1"/>
    <col min="4872" max="4872" width="11.7109375" style="70" customWidth="1"/>
    <col min="4873" max="4873" width="21.140625" style="70" customWidth="1"/>
    <col min="4874" max="4874" width="10.5703125" style="70" bestFit="1" customWidth="1"/>
    <col min="4875" max="4875" width="10.140625" style="70" customWidth="1"/>
    <col min="4876" max="5120" width="9.140625" style="70"/>
    <col min="5121" max="5121" width="4.5703125" style="70" customWidth="1"/>
    <col min="5122" max="5122" width="4" style="70" customWidth="1"/>
    <col min="5123" max="5123" width="50.5703125" style="70" customWidth="1"/>
    <col min="5124" max="5124" width="12.140625" style="70" customWidth="1"/>
    <col min="5125" max="5125" width="6.5703125" style="70" bestFit="1" customWidth="1"/>
    <col min="5126" max="5126" width="9.5703125" style="70" bestFit="1" customWidth="1"/>
    <col min="5127" max="5127" width="5.7109375" style="70" bestFit="1" customWidth="1"/>
    <col min="5128" max="5128" width="11.7109375" style="70" customWidth="1"/>
    <col min="5129" max="5129" width="21.140625" style="70" customWidth="1"/>
    <col min="5130" max="5130" width="10.5703125" style="70" bestFit="1" customWidth="1"/>
    <col min="5131" max="5131" width="10.140625" style="70" customWidth="1"/>
    <col min="5132" max="5376" width="9.140625" style="70"/>
    <col min="5377" max="5377" width="4.5703125" style="70" customWidth="1"/>
    <col min="5378" max="5378" width="4" style="70" customWidth="1"/>
    <col min="5379" max="5379" width="50.5703125" style="70" customWidth="1"/>
    <col min="5380" max="5380" width="12.140625" style="70" customWidth="1"/>
    <col min="5381" max="5381" width="6.5703125" style="70" bestFit="1" customWidth="1"/>
    <col min="5382" max="5382" width="9.5703125" style="70" bestFit="1" customWidth="1"/>
    <col min="5383" max="5383" width="5.7109375" style="70" bestFit="1" customWidth="1"/>
    <col min="5384" max="5384" width="11.7109375" style="70" customWidth="1"/>
    <col min="5385" max="5385" width="21.140625" style="70" customWidth="1"/>
    <col min="5386" max="5386" width="10.5703125" style="70" bestFit="1" customWidth="1"/>
    <col min="5387" max="5387" width="10.140625" style="70" customWidth="1"/>
    <col min="5388" max="5632" width="9.140625" style="70"/>
    <col min="5633" max="5633" width="4.5703125" style="70" customWidth="1"/>
    <col min="5634" max="5634" width="4" style="70" customWidth="1"/>
    <col min="5635" max="5635" width="50.5703125" style="70" customWidth="1"/>
    <col min="5636" max="5636" width="12.140625" style="70" customWidth="1"/>
    <col min="5637" max="5637" width="6.5703125" style="70" bestFit="1" customWidth="1"/>
    <col min="5638" max="5638" width="9.5703125" style="70" bestFit="1" customWidth="1"/>
    <col min="5639" max="5639" width="5.7109375" style="70" bestFit="1" customWidth="1"/>
    <col min="5640" max="5640" width="11.7109375" style="70" customWidth="1"/>
    <col min="5641" max="5641" width="21.140625" style="70" customWidth="1"/>
    <col min="5642" max="5642" width="10.5703125" style="70" bestFit="1" customWidth="1"/>
    <col min="5643" max="5643" width="10.140625" style="70" customWidth="1"/>
    <col min="5644" max="5888" width="9.140625" style="70"/>
    <col min="5889" max="5889" width="4.5703125" style="70" customWidth="1"/>
    <col min="5890" max="5890" width="4" style="70" customWidth="1"/>
    <col min="5891" max="5891" width="50.5703125" style="70" customWidth="1"/>
    <col min="5892" max="5892" width="12.140625" style="70" customWidth="1"/>
    <col min="5893" max="5893" width="6.5703125" style="70" bestFit="1" customWidth="1"/>
    <col min="5894" max="5894" width="9.5703125" style="70" bestFit="1" customWidth="1"/>
    <col min="5895" max="5895" width="5.7109375" style="70" bestFit="1" customWidth="1"/>
    <col min="5896" max="5896" width="11.7109375" style="70" customWidth="1"/>
    <col min="5897" max="5897" width="21.140625" style="70" customWidth="1"/>
    <col min="5898" max="5898" width="10.5703125" style="70" bestFit="1" customWidth="1"/>
    <col min="5899" max="5899" width="10.140625" style="70" customWidth="1"/>
    <col min="5900" max="6144" width="9.140625" style="70"/>
    <col min="6145" max="6145" width="4.5703125" style="70" customWidth="1"/>
    <col min="6146" max="6146" width="4" style="70" customWidth="1"/>
    <col min="6147" max="6147" width="50.5703125" style="70" customWidth="1"/>
    <col min="6148" max="6148" width="12.140625" style="70" customWidth="1"/>
    <col min="6149" max="6149" width="6.5703125" style="70" bestFit="1" customWidth="1"/>
    <col min="6150" max="6150" width="9.5703125" style="70" bestFit="1" customWidth="1"/>
    <col min="6151" max="6151" width="5.7109375" style="70" bestFit="1" customWidth="1"/>
    <col min="6152" max="6152" width="11.7109375" style="70" customWidth="1"/>
    <col min="6153" max="6153" width="21.140625" style="70" customWidth="1"/>
    <col min="6154" max="6154" width="10.5703125" style="70" bestFit="1" customWidth="1"/>
    <col min="6155" max="6155" width="10.140625" style="70" customWidth="1"/>
    <col min="6156" max="6400" width="9.140625" style="70"/>
    <col min="6401" max="6401" width="4.5703125" style="70" customWidth="1"/>
    <col min="6402" max="6402" width="4" style="70" customWidth="1"/>
    <col min="6403" max="6403" width="50.5703125" style="70" customWidth="1"/>
    <col min="6404" max="6404" width="12.140625" style="70" customWidth="1"/>
    <col min="6405" max="6405" width="6.5703125" style="70" bestFit="1" customWidth="1"/>
    <col min="6406" max="6406" width="9.5703125" style="70" bestFit="1" customWidth="1"/>
    <col min="6407" max="6407" width="5.7109375" style="70" bestFit="1" customWidth="1"/>
    <col min="6408" max="6408" width="11.7109375" style="70" customWidth="1"/>
    <col min="6409" max="6409" width="21.140625" style="70" customWidth="1"/>
    <col min="6410" max="6410" width="10.5703125" style="70" bestFit="1" customWidth="1"/>
    <col min="6411" max="6411" width="10.140625" style="70" customWidth="1"/>
    <col min="6412" max="6656" width="9.140625" style="70"/>
    <col min="6657" max="6657" width="4.5703125" style="70" customWidth="1"/>
    <col min="6658" max="6658" width="4" style="70" customWidth="1"/>
    <col min="6659" max="6659" width="50.5703125" style="70" customWidth="1"/>
    <col min="6660" max="6660" width="12.140625" style="70" customWidth="1"/>
    <col min="6661" max="6661" width="6.5703125" style="70" bestFit="1" customWidth="1"/>
    <col min="6662" max="6662" width="9.5703125" style="70" bestFit="1" customWidth="1"/>
    <col min="6663" max="6663" width="5.7109375" style="70" bestFit="1" customWidth="1"/>
    <col min="6664" max="6664" width="11.7109375" style="70" customWidth="1"/>
    <col min="6665" max="6665" width="21.140625" style="70" customWidth="1"/>
    <col min="6666" max="6666" width="10.5703125" style="70" bestFit="1" customWidth="1"/>
    <col min="6667" max="6667" width="10.140625" style="70" customWidth="1"/>
    <col min="6668" max="6912" width="9.140625" style="70"/>
    <col min="6913" max="6913" width="4.5703125" style="70" customWidth="1"/>
    <col min="6914" max="6914" width="4" style="70" customWidth="1"/>
    <col min="6915" max="6915" width="50.5703125" style="70" customWidth="1"/>
    <col min="6916" max="6916" width="12.140625" style="70" customWidth="1"/>
    <col min="6917" max="6917" width="6.5703125" style="70" bestFit="1" customWidth="1"/>
    <col min="6918" max="6918" width="9.5703125" style="70" bestFit="1" customWidth="1"/>
    <col min="6919" max="6919" width="5.7109375" style="70" bestFit="1" customWidth="1"/>
    <col min="6920" max="6920" width="11.7109375" style="70" customWidth="1"/>
    <col min="6921" max="6921" width="21.140625" style="70" customWidth="1"/>
    <col min="6922" max="6922" width="10.5703125" style="70" bestFit="1" customWidth="1"/>
    <col min="6923" max="6923" width="10.140625" style="70" customWidth="1"/>
    <col min="6924" max="7168" width="9.140625" style="70"/>
    <col min="7169" max="7169" width="4.5703125" style="70" customWidth="1"/>
    <col min="7170" max="7170" width="4" style="70" customWidth="1"/>
    <col min="7171" max="7171" width="50.5703125" style="70" customWidth="1"/>
    <col min="7172" max="7172" width="12.140625" style="70" customWidth="1"/>
    <col min="7173" max="7173" width="6.5703125" style="70" bestFit="1" customWidth="1"/>
    <col min="7174" max="7174" width="9.5703125" style="70" bestFit="1" customWidth="1"/>
    <col min="7175" max="7175" width="5.7109375" style="70" bestFit="1" customWidth="1"/>
    <col min="7176" max="7176" width="11.7109375" style="70" customWidth="1"/>
    <col min="7177" max="7177" width="21.140625" style="70" customWidth="1"/>
    <col min="7178" max="7178" width="10.5703125" style="70" bestFit="1" customWidth="1"/>
    <col min="7179" max="7179" width="10.140625" style="70" customWidth="1"/>
    <col min="7180" max="7424" width="9.140625" style="70"/>
    <col min="7425" max="7425" width="4.5703125" style="70" customWidth="1"/>
    <col min="7426" max="7426" width="4" style="70" customWidth="1"/>
    <col min="7427" max="7427" width="50.5703125" style="70" customWidth="1"/>
    <col min="7428" max="7428" width="12.140625" style="70" customWidth="1"/>
    <col min="7429" max="7429" width="6.5703125" style="70" bestFit="1" customWidth="1"/>
    <col min="7430" max="7430" width="9.5703125" style="70" bestFit="1" customWidth="1"/>
    <col min="7431" max="7431" width="5.7109375" style="70" bestFit="1" customWidth="1"/>
    <col min="7432" max="7432" width="11.7109375" style="70" customWidth="1"/>
    <col min="7433" max="7433" width="21.140625" style="70" customWidth="1"/>
    <col min="7434" max="7434" width="10.5703125" style="70" bestFit="1" customWidth="1"/>
    <col min="7435" max="7435" width="10.140625" style="70" customWidth="1"/>
    <col min="7436" max="7680" width="9.140625" style="70"/>
    <col min="7681" max="7681" width="4.5703125" style="70" customWidth="1"/>
    <col min="7682" max="7682" width="4" style="70" customWidth="1"/>
    <col min="7683" max="7683" width="50.5703125" style="70" customWidth="1"/>
    <col min="7684" max="7684" width="12.140625" style="70" customWidth="1"/>
    <col min="7685" max="7685" width="6.5703125" style="70" bestFit="1" customWidth="1"/>
    <col min="7686" max="7686" width="9.5703125" style="70" bestFit="1" customWidth="1"/>
    <col min="7687" max="7687" width="5.7109375" style="70" bestFit="1" customWidth="1"/>
    <col min="7688" max="7688" width="11.7109375" style="70" customWidth="1"/>
    <col min="7689" max="7689" width="21.140625" style="70" customWidth="1"/>
    <col min="7690" max="7690" width="10.5703125" style="70" bestFit="1" customWidth="1"/>
    <col min="7691" max="7691" width="10.140625" style="70" customWidth="1"/>
    <col min="7692" max="7936" width="9.140625" style="70"/>
    <col min="7937" max="7937" width="4.5703125" style="70" customWidth="1"/>
    <col min="7938" max="7938" width="4" style="70" customWidth="1"/>
    <col min="7939" max="7939" width="50.5703125" style="70" customWidth="1"/>
    <col min="7940" max="7940" width="12.140625" style="70" customWidth="1"/>
    <col min="7941" max="7941" width="6.5703125" style="70" bestFit="1" customWidth="1"/>
    <col min="7942" max="7942" width="9.5703125" style="70" bestFit="1" customWidth="1"/>
    <col min="7943" max="7943" width="5.7109375" style="70" bestFit="1" customWidth="1"/>
    <col min="7944" max="7944" width="11.7109375" style="70" customWidth="1"/>
    <col min="7945" max="7945" width="21.140625" style="70" customWidth="1"/>
    <col min="7946" max="7946" width="10.5703125" style="70" bestFit="1" customWidth="1"/>
    <col min="7947" max="7947" width="10.140625" style="70" customWidth="1"/>
    <col min="7948" max="8192" width="9.140625" style="70"/>
    <col min="8193" max="8193" width="4.5703125" style="70" customWidth="1"/>
    <col min="8194" max="8194" width="4" style="70" customWidth="1"/>
    <col min="8195" max="8195" width="50.5703125" style="70" customWidth="1"/>
    <col min="8196" max="8196" width="12.140625" style="70" customWidth="1"/>
    <col min="8197" max="8197" width="6.5703125" style="70" bestFit="1" customWidth="1"/>
    <col min="8198" max="8198" width="9.5703125" style="70" bestFit="1" customWidth="1"/>
    <col min="8199" max="8199" width="5.7109375" style="70" bestFit="1" customWidth="1"/>
    <col min="8200" max="8200" width="11.7109375" style="70" customWidth="1"/>
    <col min="8201" max="8201" width="21.140625" style="70" customWidth="1"/>
    <col min="8202" max="8202" width="10.5703125" style="70" bestFit="1" customWidth="1"/>
    <col min="8203" max="8203" width="10.140625" style="70" customWidth="1"/>
    <col min="8204" max="8448" width="9.140625" style="70"/>
    <col min="8449" max="8449" width="4.5703125" style="70" customWidth="1"/>
    <col min="8450" max="8450" width="4" style="70" customWidth="1"/>
    <col min="8451" max="8451" width="50.5703125" style="70" customWidth="1"/>
    <col min="8452" max="8452" width="12.140625" style="70" customWidth="1"/>
    <col min="8453" max="8453" width="6.5703125" style="70" bestFit="1" customWidth="1"/>
    <col min="8454" max="8454" width="9.5703125" style="70" bestFit="1" customWidth="1"/>
    <col min="8455" max="8455" width="5.7109375" style="70" bestFit="1" customWidth="1"/>
    <col min="8456" max="8456" width="11.7109375" style="70" customWidth="1"/>
    <col min="8457" max="8457" width="21.140625" style="70" customWidth="1"/>
    <col min="8458" max="8458" width="10.5703125" style="70" bestFit="1" customWidth="1"/>
    <col min="8459" max="8459" width="10.140625" style="70" customWidth="1"/>
    <col min="8460" max="8704" width="9.140625" style="70"/>
    <col min="8705" max="8705" width="4.5703125" style="70" customWidth="1"/>
    <col min="8706" max="8706" width="4" style="70" customWidth="1"/>
    <col min="8707" max="8707" width="50.5703125" style="70" customWidth="1"/>
    <col min="8708" max="8708" width="12.140625" style="70" customWidth="1"/>
    <col min="8709" max="8709" width="6.5703125" style="70" bestFit="1" customWidth="1"/>
    <col min="8710" max="8710" width="9.5703125" style="70" bestFit="1" customWidth="1"/>
    <col min="8711" max="8711" width="5.7109375" style="70" bestFit="1" customWidth="1"/>
    <col min="8712" max="8712" width="11.7109375" style="70" customWidth="1"/>
    <col min="8713" max="8713" width="21.140625" style="70" customWidth="1"/>
    <col min="8714" max="8714" width="10.5703125" style="70" bestFit="1" customWidth="1"/>
    <col min="8715" max="8715" width="10.140625" style="70" customWidth="1"/>
    <col min="8716" max="8960" width="9.140625" style="70"/>
    <col min="8961" max="8961" width="4.5703125" style="70" customWidth="1"/>
    <col min="8962" max="8962" width="4" style="70" customWidth="1"/>
    <col min="8963" max="8963" width="50.5703125" style="70" customWidth="1"/>
    <col min="8964" max="8964" width="12.140625" style="70" customWidth="1"/>
    <col min="8965" max="8965" width="6.5703125" style="70" bestFit="1" customWidth="1"/>
    <col min="8966" max="8966" width="9.5703125" style="70" bestFit="1" customWidth="1"/>
    <col min="8967" max="8967" width="5.7109375" style="70" bestFit="1" customWidth="1"/>
    <col min="8968" max="8968" width="11.7109375" style="70" customWidth="1"/>
    <col min="8969" max="8969" width="21.140625" style="70" customWidth="1"/>
    <col min="8970" max="8970" width="10.5703125" style="70" bestFit="1" customWidth="1"/>
    <col min="8971" max="8971" width="10.140625" style="70" customWidth="1"/>
    <col min="8972" max="9216" width="9.140625" style="70"/>
    <col min="9217" max="9217" width="4.5703125" style="70" customWidth="1"/>
    <col min="9218" max="9218" width="4" style="70" customWidth="1"/>
    <col min="9219" max="9219" width="50.5703125" style="70" customWidth="1"/>
    <col min="9220" max="9220" width="12.140625" style="70" customWidth="1"/>
    <col min="9221" max="9221" width="6.5703125" style="70" bestFit="1" customWidth="1"/>
    <col min="9222" max="9222" width="9.5703125" style="70" bestFit="1" customWidth="1"/>
    <col min="9223" max="9223" width="5.7109375" style="70" bestFit="1" customWidth="1"/>
    <col min="9224" max="9224" width="11.7109375" style="70" customWidth="1"/>
    <col min="9225" max="9225" width="21.140625" style="70" customWidth="1"/>
    <col min="9226" max="9226" width="10.5703125" style="70" bestFit="1" customWidth="1"/>
    <col min="9227" max="9227" width="10.140625" style="70" customWidth="1"/>
    <col min="9228" max="9472" width="9.140625" style="70"/>
    <col min="9473" max="9473" width="4.5703125" style="70" customWidth="1"/>
    <col min="9474" max="9474" width="4" style="70" customWidth="1"/>
    <col min="9475" max="9475" width="50.5703125" style="70" customWidth="1"/>
    <col min="9476" max="9476" width="12.140625" style="70" customWidth="1"/>
    <col min="9477" max="9477" width="6.5703125" style="70" bestFit="1" customWidth="1"/>
    <col min="9478" max="9478" width="9.5703125" style="70" bestFit="1" customWidth="1"/>
    <col min="9479" max="9479" width="5.7109375" style="70" bestFit="1" customWidth="1"/>
    <col min="9480" max="9480" width="11.7109375" style="70" customWidth="1"/>
    <col min="9481" max="9481" width="21.140625" style="70" customWidth="1"/>
    <col min="9482" max="9482" width="10.5703125" style="70" bestFit="1" customWidth="1"/>
    <col min="9483" max="9483" width="10.140625" style="70" customWidth="1"/>
    <col min="9484" max="9728" width="9.140625" style="70"/>
    <col min="9729" max="9729" width="4.5703125" style="70" customWidth="1"/>
    <col min="9730" max="9730" width="4" style="70" customWidth="1"/>
    <col min="9731" max="9731" width="50.5703125" style="70" customWidth="1"/>
    <col min="9732" max="9732" width="12.140625" style="70" customWidth="1"/>
    <col min="9733" max="9733" width="6.5703125" style="70" bestFit="1" customWidth="1"/>
    <col min="9734" max="9734" width="9.5703125" style="70" bestFit="1" customWidth="1"/>
    <col min="9735" max="9735" width="5.7109375" style="70" bestFit="1" customWidth="1"/>
    <col min="9736" max="9736" width="11.7109375" style="70" customWidth="1"/>
    <col min="9737" max="9737" width="21.140625" style="70" customWidth="1"/>
    <col min="9738" max="9738" width="10.5703125" style="70" bestFit="1" customWidth="1"/>
    <col min="9739" max="9739" width="10.140625" style="70" customWidth="1"/>
    <col min="9740" max="9984" width="9.140625" style="70"/>
    <col min="9985" max="9985" width="4.5703125" style="70" customWidth="1"/>
    <col min="9986" max="9986" width="4" style="70" customWidth="1"/>
    <col min="9987" max="9987" width="50.5703125" style="70" customWidth="1"/>
    <col min="9988" max="9988" width="12.140625" style="70" customWidth="1"/>
    <col min="9989" max="9989" width="6.5703125" style="70" bestFit="1" customWidth="1"/>
    <col min="9990" max="9990" width="9.5703125" style="70" bestFit="1" customWidth="1"/>
    <col min="9991" max="9991" width="5.7109375" style="70" bestFit="1" customWidth="1"/>
    <col min="9992" max="9992" width="11.7109375" style="70" customWidth="1"/>
    <col min="9993" max="9993" width="21.140625" style="70" customWidth="1"/>
    <col min="9994" max="9994" width="10.5703125" style="70" bestFit="1" customWidth="1"/>
    <col min="9995" max="9995" width="10.140625" style="70" customWidth="1"/>
    <col min="9996" max="10240" width="9.140625" style="70"/>
    <col min="10241" max="10241" width="4.5703125" style="70" customWidth="1"/>
    <col min="10242" max="10242" width="4" style="70" customWidth="1"/>
    <col min="10243" max="10243" width="50.5703125" style="70" customWidth="1"/>
    <col min="10244" max="10244" width="12.140625" style="70" customWidth="1"/>
    <col min="10245" max="10245" width="6.5703125" style="70" bestFit="1" customWidth="1"/>
    <col min="10246" max="10246" width="9.5703125" style="70" bestFit="1" customWidth="1"/>
    <col min="10247" max="10247" width="5.7109375" style="70" bestFit="1" customWidth="1"/>
    <col min="10248" max="10248" width="11.7109375" style="70" customWidth="1"/>
    <col min="10249" max="10249" width="21.140625" style="70" customWidth="1"/>
    <col min="10250" max="10250" width="10.5703125" style="70" bestFit="1" customWidth="1"/>
    <col min="10251" max="10251" width="10.140625" style="70" customWidth="1"/>
    <col min="10252" max="10496" width="9.140625" style="70"/>
    <col min="10497" max="10497" width="4.5703125" style="70" customWidth="1"/>
    <col min="10498" max="10498" width="4" style="70" customWidth="1"/>
    <col min="10499" max="10499" width="50.5703125" style="70" customWidth="1"/>
    <col min="10500" max="10500" width="12.140625" style="70" customWidth="1"/>
    <col min="10501" max="10501" width="6.5703125" style="70" bestFit="1" customWidth="1"/>
    <col min="10502" max="10502" width="9.5703125" style="70" bestFit="1" customWidth="1"/>
    <col min="10503" max="10503" width="5.7109375" style="70" bestFit="1" customWidth="1"/>
    <col min="10504" max="10504" width="11.7109375" style="70" customWidth="1"/>
    <col min="10505" max="10505" width="21.140625" style="70" customWidth="1"/>
    <col min="10506" max="10506" width="10.5703125" style="70" bestFit="1" customWidth="1"/>
    <col min="10507" max="10507" width="10.140625" style="70" customWidth="1"/>
    <col min="10508" max="10752" width="9.140625" style="70"/>
    <col min="10753" max="10753" width="4.5703125" style="70" customWidth="1"/>
    <col min="10754" max="10754" width="4" style="70" customWidth="1"/>
    <col min="10755" max="10755" width="50.5703125" style="70" customWidth="1"/>
    <col min="10756" max="10756" width="12.140625" style="70" customWidth="1"/>
    <col min="10757" max="10757" width="6.5703125" style="70" bestFit="1" customWidth="1"/>
    <col min="10758" max="10758" width="9.5703125" style="70" bestFit="1" customWidth="1"/>
    <col min="10759" max="10759" width="5.7109375" style="70" bestFit="1" customWidth="1"/>
    <col min="10760" max="10760" width="11.7109375" style="70" customWidth="1"/>
    <col min="10761" max="10761" width="21.140625" style="70" customWidth="1"/>
    <col min="10762" max="10762" width="10.5703125" style="70" bestFit="1" customWidth="1"/>
    <col min="10763" max="10763" width="10.140625" style="70" customWidth="1"/>
    <col min="10764" max="11008" width="9.140625" style="70"/>
    <col min="11009" max="11009" width="4.5703125" style="70" customWidth="1"/>
    <col min="11010" max="11010" width="4" style="70" customWidth="1"/>
    <col min="11011" max="11011" width="50.5703125" style="70" customWidth="1"/>
    <col min="11012" max="11012" width="12.140625" style="70" customWidth="1"/>
    <col min="11013" max="11013" width="6.5703125" style="70" bestFit="1" customWidth="1"/>
    <col min="11014" max="11014" width="9.5703125" style="70" bestFit="1" customWidth="1"/>
    <col min="11015" max="11015" width="5.7109375" style="70" bestFit="1" customWidth="1"/>
    <col min="11016" max="11016" width="11.7109375" style="70" customWidth="1"/>
    <col min="11017" max="11017" width="21.140625" style="70" customWidth="1"/>
    <col min="11018" max="11018" width="10.5703125" style="70" bestFit="1" customWidth="1"/>
    <col min="11019" max="11019" width="10.140625" style="70" customWidth="1"/>
    <col min="11020" max="11264" width="9.140625" style="70"/>
    <col min="11265" max="11265" width="4.5703125" style="70" customWidth="1"/>
    <col min="11266" max="11266" width="4" style="70" customWidth="1"/>
    <col min="11267" max="11267" width="50.5703125" style="70" customWidth="1"/>
    <col min="11268" max="11268" width="12.140625" style="70" customWidth="1"/>
    <col min="11269" max="11269" width="6.5703125" style="70" bestFit="1" customWidth="1"/>
    <col min="11270" max="11270" width="9.5703125" style="70" bestFit="1" customWidth="1"/>
    <col min="11271" max="11271" width="5.7109375" style="70" bestFit="1" customWidth="1"/>
    <col min="11272" max="11272" width="11.7109375" style="70" customWidth="1"/>
    <col min="11273" max="11273" width="21.140625" style="70" customWidth="1"/>
    <col min="11274" max="11274" width="10.5703125" style="70" bestFit="1" customWidth="1"/>
    <col min="11275" max="11275" width="10.140625" style="70" customWidth="1"/>
    <col min="11276" max="11520" width="9.140625" style="70"/>
    <col min="11521" max="11521" width="4.5703125" style="70" customWidth="1"/>
    <col min="11522" max="11522" width="4" style="70" customWidth="1"/>
    <col min="11523" max="11523" width="50.5703125" style="70" customWidth="1"/>
    <col min="11524" max="11524" width="12.140625" style="70" customWidth="1"/>
    <col min="11525" max="11525" width="6.5703125" style="70" bestFit="1" customWidth="1"/>
    <col min="11526" max="11526" width="9.5703125" style="70" bestFit="1" customWidth="1"/>
    <col min="11527" max="11527" width="5.7109375" style="70" bestFit="1" customWidth="1"/>
    <col min="11528" max="11528" width="11.7109375" style="70" customWidth="1"/>
    <col min="11529" max="11529" width="21.140625" style="70" customWidth="1"/>
    <col min="11530" max="11530" width="10.5703125" style="70" bestFit="1" customWidth="1"/>
    <col min="11531" max="11531" width="10.140625" style="70" customWidth="1"/>
    <col min="11532" max="11776" width="9.140625" style="70"/>
    <col min="11777" max="11777" width="4.5703125" style="70" customWidth="1"/>
    <col min="11778" max="11778" width="4" style="70" customWidth="1"/>
    <col min="11779" max="11779" width="50.5703125" style="70" customWidth="1"/>
    <col min="11780" max="11780" width="12.140625" style="70" customWidth="1"/>
    <col min="11781" max="11781" width="6.5703125" style="70" bestFit="1" customWidth="1"/>
    <col min="11782" max="11782" width="9.5703125" style="70" bestFit="1" customWidth="1"/>
    <col min="11783" max="11783" width="5.7109375" style="70" bestFit="1" customWidth="1"/>
    <col min="11784" max="11784" width="11.7109375" style="70" customWidth="1"/>
    <col min="11785" max="11785" width="21.140625" style="70" customWidth="1"/>
    <col min="11786" max="11786" width="10.5703125" style="70" bestFit="1" customWidth="1"/>
    <col min="11787" max="11787" width="10.140625" style="70" customWidth="1"/>
    <col min="11788" max="12032" width="9.140625" style="70"/>
    <col min="12033" max="12033" width="4.5703125" style="70" customWidth="1"/>
    <col min="12034" max="12034" width="4" style="70" customWidth="1"/>
    <col min="12035" max="12035" width="50.5703125" style="70" customWidth="1"/>
    <col min="12036" max="12036" width="12.140625" style="70" customWidth="1"/>
    <col min="12037" max="12037" width="6.5703125" style="70" bestFit="1" customWidth="1"/>
    <col min="12038" max="12038" width="9.5703125" style="70" bestFit="1" customWidth="1"/>
    <col min="12039" max="12039" width="5.7109375" style="70" bestFit="1" customWidth="1"/>
    <col min="12040" max="12040" width="11.7109375" style="70" customWidth="1"/>
    <col min="12041" max="12041" width="21.140625" style="70" customWidth="1"/>
    <col min="12042" max="12042" width="10.5703125" style="70" bestFit="1" customWidth="1"/>
    <col min="12043" max="12043" width="10.140625" style="70" customWidth="1"/>
    <col min="12044" max="12288" width="9.140625" style="70"/>
    <col min="12289" max="12289" width="4.5703125" style="70" customWidth="1"/>
    <col min="12290" max="12290" width="4" style="70" customWidth="1"/>
    <col min="12291" max="12291" width="50.5703125" style="70" customWidth="1"/>
    <col min="12292" max="12292" width="12.140625" style="70" customWidth="1"/>
    <col min="12293" max="12293" width="6.5703125" style="70" bestFit="1" customWidth="1"/>
    <col min="12294" max="12294" width="9.5703125" style="70" bestFit="1" customWidth="1"/>
    <col min="12295" max="12295" width="5.7109375" style="70" bestFit="1" customWidth="1"/>
    <col min="12296" max="12296" width="11.7109375" style="70" customWidth="1"/>
    <col min="12297" max="12297" width="21.140625" style="70" customWidth="1"/>
    <col min="12298" max="12298" width="10.5703125" style="70" bestFit="1" customWidth="1"/>
    <col min="12299" max="12299" width="10.140625" style="70" customWidth="1"/>
    <col min="12300" max="12544" width="9.140625" style="70"/>
    <col min="12545" max="12545" width="4.5703125" style="70" customWidth="1"/>
    <col min="12546" max="12546" width="4" style="70" customWidth="1"/>
    <col min="12547" max="12547" width="50.5703125" style="70" customWidth="1"/>
    <col min="12548" max="12548" width="12.140625" style="70" customWidth="1"/>
    <col min="12549" max="12549" width="6.5703125" style="70" bestFit="1" customWidth="1"/>
    <col min="12550" max="12550" width="9.5703125" style="70" bestFit="1" customWidth="1"/>
    <col min="12551" max="12551" width="5.7109375" style="70" bestFit="1" customWidth="1"/>
    <col min="12552" max="12552" width="11.7109375" style="70" customWidth="1"/>
    <col min="12553" max="12553" width="21.140625" style="70" customWidth="1"/>
    <col min="12554" max="12554" width="10.5703125" style="70" bestFit="1" customWidth="1"/>
    <col min="12555" max="12555" width="10.140625" style="70" customWidth="1"/>
    <col min="12556" max="12800" width="9.140625" style="70"/>
    <col min="12801" max="12801" width="4.5703125" style="70" customWidth="1"/>
    <col min="12802" max="12802" width="4" style="70" customWidth="1"/>
    <col min="12803" max="12803" width="50.5703125" style="70" customWidth="1"/>
    <col min="12804" max="12804" width="12.140625" style="70" customWidth="1"/>
    <col min="12805" max="12805" width="6.5703125" style="70" bestFit="1" customWidth="1"/>
    <col min="12806" max="12806" width="9.5703125" style="70" bestFit="1" customWidth="1"/>
    <col min="12807" max="12807" width="5.7109375" style="70" bestFit="1" customWidth="1"/>
    <col min="12808" max="12808" width="11.7109375" style="70" customWidth="1"/>
    <col min="12809" max="12809" width="21.140625" style="70" customWidth="1"/>
    <col min="12810" max="12810" width="10.5703125" style="70" bestFit="1" customWidth="1"/>
    <col min="12811" max="12811" width="10.140625" style="70" customWidth="1"/>
    <col min="12812" max="13056" width="9.140625" style="70"/>
    <col min="13057" max="13057" width="4.5703125" style="70" customWidth="1"/>
    <col min="13058" max="13058" width="4" style="70" customWidth="1"/>
    <col min="13059" max="13059" width="50.5703125" style="70" customWidth="1"/>
    <col min="13060" max="13060" width="12.140625" style="70" customWidth="1"/>
    <col min="13061" max="13061" width="6.5703125" style="70" bestFit="1" customWidth="1"/>
    <col min="13062" max="13062" width="9.5703125" style="70" bestFit="1" customWidth="1"/>
    <col min="13063" max="13063" width="5.7109375" style="70" bestFit="1" customWidth="1"/>
    <col min="13064" max="13064" width="11.7109375" style="70" customWidth="1"/>
    <col min="13065" max="13065" width="21.140625" style="70" customWidth="1"/>
    <col min="13066" max="13066" width="10.5703125" style="70" bestFit="1" customWidth="1"/>
    <col min="13067" max="13067" width="10.140625" style="70" customWidth="1"/>
    <col min="13068" max="13312" width="9.140625" style="70"/>
    <col min="13313" max="13313" width="4.5703125" style="70" customWidth="1"/>
    <col min="13314" max="13314" width="4" style="70" customWidth="1"/>
    <col min="13315" max="13315" width="50.5703125" style="70" customWidth="1"/>
    <col min="13316" max="13316" width="12.140625" style="70" customWidth="1"/>
    <col min="13317" max="13317" width="6.5703125" style="70" bestFit="1" customWidth="1"/>
    <col min="13318" max="13318" width="9.5703125" style="70" bestFit="1" customWidth="1"/>
    <col min="13319" max="13319" width="5.7109375" style="70" bestFit="1" customWidth="1"/>
    <col min="13320" max="13320" width="11.7109375" style="70" customWidth="1"/>
    <col min="13321" max="13321" width="21.140625" style="70" customWidth="1"/>
    <col min="13322" max="13322" width="10.5703125" style="70" bestFit="1" customWidth="1"/>
    <col min="13323" max="13323" width="10.140625" style="70" customWidth="1"/>
    <col min="13324" max="13568" width="9.140625" style="70"/>
    <col min="13569" max="13569" width="4.5703125" style="70" customWidth="1"/>
    <col min="13570" max="13570" width="4" style="70" customWidth="1"/>
    <col min="13571" max="13571" width="50.5703125" style="70" customWidth="1"/>
    <col min="13572" max="13572" width="12.140625" style="70" customWidth="1"/>
    <col min="13573" max="13573" width="6.5703125" style="70" bestFit="1" customWidth="1"/>
    <col min="13574" max="13574" width="9.5703125" style="70" bestFit="1" customWidth="1"/>
    <col min="13575" max="13575" width="5.7109375" style="70" bestFit="1" customWidth="1"/>
    <col min="13576" max="13576" width="11.7109375" style="70" customWidth="1"/>
    <col min="13577" max="13577" width="21.140625" style="70" customWidth="1"/>
    <col min="13578" max="13578" width="10.5703125" style="70" bestFit="1" customWidth="1"/>
    <col min="13579" max="13579" width="10.140625" style="70" customWidth="1"/>
    <col min="13580" max="13824" width="9.140625" style="70"/>
    <col min="13825" max="13825" width="4.5703125" style="70" customWidth="1"/>
    <col min="13826" max="13826" width="4" style="70" customWidth="1"/>
    <col min="13827" max="13827" width="50.5703125" style="70" customWidth="1"/>
    <col min="13828" max="13828" width="12.140625" style="70" customWidth="1"/>
    <col min="13829" max="13829" width="6.5703125" style="70" bestFit="1" customWidth="1"/>
    <col min="13830" max="13830" width="9.5703125" style="70" bestFit="1" customWidth="1"/>
    <col min="13831" max="13831" width="5.7109375" style="70" bestFit="1" customWidth="1"/>
    <col min="13832" max="13832" width="11.7109375" style="70" customWidth="1"/>
    <col min="13833" max="13833" width="21.140625" style="70" customWidth="1"/>
    <col min="13834" max="13834" width="10.5703125" style="70" bestFit="1" customWidth="1"/>
    <col min="13835" max="13835" width="10.140625" style="70" customWidth="1"/>
    <col min="13836" max="14080" width="9.140625" style="70"/>
    <col min="14081" max="14081" width="4.5703125" style="70" customWidth="1"/>
    <col min="14082" max="14082" width="4" style="70" customWidth="1"/>
    <col min="14083" max="14083" width="50.5703125" style="70" customWidth="1"/>
    <col min="14084" max="14084" width="12.140625" style="70" customWidth="1"/>
    <col min="14085" max="14085" width="6.5703125" style="70" bestFit="1" customWidth="1"/>
    <col min="14086" max="14086" width="9.5703125" style="70" bestFit="1" customWidth="1"/>
    <col min="14087" max="14087" width="5.7109375" style="70" bestFit="1" customWidth="1"/>
    <col min="14088" max="14088" width="11.7109375" style="70" customWidth="1"/>
    <col min="14089" max="14089" width="21.140625" style="70" customWidth="1"/>
    <col min="14090" max="14090" width="10.5703125" style="70" bestFit="1" customWidth="1"/>
    <col min="14091" max="14091" width="10.140625" style="70" customWidth="1"/>
    <col min="14092" max="14336" width="9.140625" style="70"/>
    <col min="14337" max="14337" width="4.5703125" style="70" customWidth="1"/>
    <col min="14338" max="14338" width="4" style="70" customWidth="1"/>
    <col min="14339" max="14339" width="50.5703125" style="70" customWidth="1"/>
    <col min="14340" max="14340" width="12.140625" style="70" customWidth="1"/>
    <col min="14341" max="14341" width="6.5703125" style="70" bestFit="1" customWidth="1"/>
    <col min="14342" max="14342" width="9.5703125" style="70" bestFit="1" customWidth="1"/>
    <col min="14343" max="14343" width="5.7109375" style="70" bestFit="1" customWidth="1"/>
    <col min="14344" max="14344" width="11.7109375" style="70" customWidth="1"/>
    <col min="14345" max="14345" width="21.140625" style="70" customWidth="1"/>
    <col min="14346" max="14346" width="10.5703125" style="70" bestFit="1" customWidth="1"/>
    <col min="14347" max="14347" width="10.140625" style="70" customWidth="1"/>
    <col min="14348" max="14592" width="9.140625" style="70"/>
    <col min="14593" max="14593" width="4.5703125" style="70" customWidth="1"/>
    <col min="14594" max="14594" width="4" style="70" customWidth="1"/>
    <col min="14595" max="14595" width="50.5703125" style="70" customWidth="1"/>
    <col min="14596" max="14596" width="12.140625" style="70" customWidth="1"/>
    <col min="14597" max="14597" width="6.5703125" style="70" bestFit="1" customWidth="1"/>
    <col min="14598" max="14598" width="9.5703125" style="70" bestFit="1" customWidth="1"/>
    <col min="14599" max="14599" width="5.7109375" style="70" bestFit="1" customWidth="1"/>
    <col min="14600" max="14600" width="11.7109375" style="70" customWidth="1"/>
    <col min="14601" max="14601" width="21.140625" style="70" customWidth="1"/>
    <col min="14602" max="14602" width="10.5703125" style="70" bestFit="1" customWidth="1"/>
    <col min="14603" max="14603" width="10.140625" style="70" customWidth="1"/>
    <col min="14604" max="14848" width="9.140625" style="70"/>
    <col min="14849" max="14849" width="4.5703125" style="70" customWidth="1"/>
    <col min="14850" max="14850" width="4" style="70" customWidth="1"/>
    <col min="14851" max="14851" width="50.5703125" style="70" customWidth="1"/>
    <col min="14852" max="14852" width="12.140625" style="70" customWidth="1"/>
    <col min="14853" max="14853" width="6.5703125" style="70" bestFit="1" customWidth="1"/>
    <col min="14854" max="14854" width="9.5703125" style="70" bestFit="1" customWidth="1"/>
    <col min="14855" max="14855" width="5.7109375" style="70" bestFit="1" customWidth="1"/>
    <col min="14856" max="14856" width="11.7109375" style="70" customWidth="1"/>
    <col min="14857" max="14857" width="21.140625" style="70" customWidth="1"/>
    <col min="14858" max="14858" width="10.5703125" style="70" bestFit="1" customWidth="1"/>
    <col min="14859" max="14859" width="10.140625" style="70" customWidth="1"/>
    <col min="14860" max="15104" width="9.140625" style="70"/>
    <col min="15105" max="15105" width="4.5703125" style="70" customWidth="1"/>
    <col min="15106" max="15106" width="4" style="70" customWidth="1"/>
    <col min="15107" max="15107" width="50.5703125" style="70" customWidth="1"/>
    <col min="15108" max="15108" width="12.140625" style="70" customWidth="1"/>
    <col min="15109" max="15109" width="6.5703125" style="70" bestFit="1" customWidth="1"/>
    <col min="15110" max="15110" width="9.5703125" style="70" bestFit="1" customWidth="1"/>
    <col min="15111" max="15111" width="5.7109375" style="70" bestFit="1" customWidth="1"/>
    <col min="15112" max="15112" width="11.7109375" style="70" customWidth="1"/>
    <col min="15113" max="15113" width="21.140625" style="70" customWidth="1"/>
    <col min="15114" max="15114" width="10.5703125" style="70" bestFit="1" customWidth="1"/>
    <col min="15115" max="15115" width="10.140625" style="70" customWidth="1"/>
    <col min="15116" max="15360" width="9.140625" style="70"/>
    <col min="15361" max="15361" width="4.5703125" style="70" customWidth="1"/>
    <col min="15362" max="15362" width="4" style="70" customWidth="1"/>
    <col min="15363" max="15363" width="50.5703125" style="70" customWidth="1"/>
    <col min="15364" max="15364" width="12.140625" style="70" customWidth="1"/>
    <col min="15365" max="15365" width="6.5703125" style="70" bestFit="1" customWidth="1"/>
    <col min="15366" max="15366" width="9.5703125" style="70" bestFit="1" customWidth="1"/>
    <col min="15367" max="15367" width="5.7109375" style="70" bestFit="1" customWidth="1"/>
    <col min="15368" max="15368" width="11.7109375" style="70" customWidth="1"/>
    <col min="15369" max="15369" width="21.140625" style="70" customWidth="1"/>
    <col min="15370" max="15370" width="10.5703125" style="70" bestFit="1" customWidth="1"/>
    <col min="15371" max="15371" width="10.140625" style="70" customWidth="1"/>
    <col min="15372" max="15616" width="9.140625" style="70"/>
    <col min="15617" max="15617" width="4.5703125" style="70" customWidth="1"/>
    <col min="15618" max="15618" width="4" style="70" customWidth="1"/>
    <col min="15619" max="15619" width="50.5703125" style="70" customWidth="1"/>
    <col min="15620" max="15620" width="12.140625" style="70" customWidth="1"/>
    <col min="15621" max="15621" width="6.5703125" style="70" bestFit="1" customWidth="1"/>
    <col min="15622" max="15622" width="9.5703125" style="70" bestFit="1" customWidth="1"/>
    <col min="15623" max="15623" width="5.7109375" style="70" bestFit="1" customWidth="1"/>
    <col min="15624" max="15624" width="11.7109375" style="70" customWidth="1"/>
    <col min="15625" max="15625" width="21.140625" style="70" customWidth="1"/>
    <col min="15626" max="15626" width="10.5703125" style="70" bestFit="1" customWidth="1"/>
    <col min="15627" max="15627" width="10.140625" style="70" customWidth="1"/>
    <col min="15628" max="15872" width="9.140625" style="70"/>
    <col min="15873" max="15873" width="4.5703125" style="70" customWidth="1"/>
    <col min="15874" max="15874" width="4" style="70" customWidth="1"/>
    <col min="15875" max="15875" width="50.5703125" style="70" customWidth="1"/>
    <col min="15876" max="15876" width="12.140625" style="70" customWidth="1"/>
    <col min="15877" max="15877" width="6.5703125" style="70" bestFit="1" customWidth="1"/>
    <col min="15878" max="15878" width="9.5703125" style="70" bestFit="1" customWidth="1"/>
    <col min="15879" max="15879" width="5.7109375" style="70" bestFit="1" customWidth="1"/>
    <col min="15880" max="15880" width="11.7109375" style="70" customWidth="1"/>
    <col min="15881" max="15881" width="21.140625" style="70" customWidth="1"/>
    <col min="15882" max="15882" width="10.5703125" style="70" bestFit="1" customWidth="1"/>
    <col min="15883" max="15883" width="10.140625" style="70" customWidth="1"/>
    <col min="15884" max="16128" width="9.140625" style="70"/>
    <col min="16129" max="16129" width="4.5703125" style="70" customWidth="1"/>
    <col min="16130" max="16130" width="4" style="70" customWidth="1"/>
    <col min="16131" max="16131" width="50.5703125" style="70" customWidth="1"/>
    <col min="16132" max="16132" width="12.140625" style="70" customWidth="1"/>
    <col min="16133" max="16133" width="6.5703125" style="70" bestFit="1" customWidth="1"/>
    <col min="16134" max="16134" width="9.5703125" style="70" bestFit="1" customWidth="1"/>
    <col min="16135" max="16135" width="5.7109375" style="70" bestFit="1" customWidth="1"/>
    <col min="16136" max="16136" width="11.7109375" style="70" customWidth="1"/>
    <col min="16137" max="16137" width="21.140625" style="70" customWidth="1"/>
    <col min="16138" max="16138" width="10.5703125" style="70" bestFit="1" customWidth="1"/>
    <col min="16139" max="16139" width="10.140625" style="70" customWidth="1"/>
    <col min="16140" max="16384" width="9.140625" style="70"/>
  </cols>
  <sheetData>
    <row r="1" spans="1:14" ht="18">
      <c r="C1" s="3115" t="s">
        <v>2227</v>
      </c>
      <c r="D1" s="3115"/>
      <c r="E1" s="3115"/>
      <c r="F1" s="597"/>
      <c r="G1" s="597"/>
      <c r="H1" s="597"/>
      <c r="I1" s="597"/>
      <c r="J1" s="597"/>
    </row>
    <row r="2" spans="1:14">
      <c r="A2" s="832"/>
      <c r="B2" s="833"/>
      <c r="C2" s="834"/>
      <c r="D2" s="834"/>
      <c r="E2" s="834"/>
      <c r="F2" s="834"/>
      <c r="G2" s="834"/>
      <c r="J2" s="835"/>
    </row>
    <row r="3" spans="1:14" ht="15">
      <c r="B3" s="805"/>
      <c r="C3" s="3243" t="s">
        <v>2228</v>
      </c>
      <c r="D3" s="3243"/>
      <c r="E3" s="3243"/>
      <c r="F3" s="3243"/>
      <c r="G3" s="809"/>
      <c r="H3" s="809"/>
    </row>
    <row r="4" spans="1:14" ht="15">
      <c r="A4" s="805"/>
      <c r="B4" s="805"/>
      <c r="C4" s="805"/>
      <c r="D4" s="805"/>
      <c r="E4" s="805"/>
      <c r="F4" s="805"/>
      <c r="G4" s="805"/>
      <c r="H4" s="805"/>
    </row>
    <row r="5" spans="1:14" ht="18.75" customHeight="1">
      <c r="A5" s="805"/>
      <c r="B5" s="805"/>
      <c r="C5" s="805"/>
      <c r="D5" s="805"/>
      <c r="E5" s="805"/>
      <c r="F5" s="805"/>
      <c r="G5" s="805"/>
      <c r="H5" s="1581" t="s">
        <v>89</v>
      </c>
    </row>
    <row r="6" spans="1:14" ht="27" customHeight="1">
      <c r="A6" s="836" t="s">
        <v>2</v>
      </c>
      <c r="B6" s="3244" t="s">
        <v>3</v>
      </c>
      <c r="C6" s="3245"/>
      <c r="D6" s="837" t="s">
        <v>1421</v>
      </c>
      <c r="E6" s="838" t="s">
        <v>5</v>
      </c>
      <c r="F6" s="838" t="s">
        <v>9</v>
      </c>
      <c r="G6" s="838" t="s">
        <v>2118</v>
      </c>
      <c r="H6" s="838" t="s">
        <v>1668</v>
      </c>
    </row>
    <row r="7" spans="1:14">
      <c r="A7" s="839">
        <v>1</v>
      </c>
      <c r="B7" s="3246">
        <v>2</v>
      </c>
      <c r="C7" s="3247"/>
      <c r="D7" s="839">
        <v>3</v>
      </c>
      <c r="E7" s="839">
        <v>4</v>
      </c>
      <c r="F7" s="839">
        <v>5</v>
      </c>
      <c r="G7" s="839">
        <v>6</v>
      </c>
      <c r="H7" s="839">
        <v>7</v>
      </c>
    </row>
    <row r="8" spans="1:14" ht="15" customHeight="1">
      <c r="A8" s="3248">
        <v>1</v>
      </c>
      <c r="B8" s="838"/>
      <c r="C8" s="1541" t="s">
        <v>2229</v>
      </c>
      <c r="D8" s="1542"/>
      <c r="E8" s="1542"/>
      <c r="F8" s="1542"/>
      <c r="G8" s="1542"/>
      <c r="H8" s="1543"/>
    </row>
    <row r="9" spans="1:14" ht="15" customHeight="1">
      <c r="A9" s="3249"/>
      <c r="B9" s="1537">
        <v>1</v>
      </c>
      <c r="C9" s="1544" t="s">
        <v>2230</v>
      </c>
      <c r="D9" s="1545"/>
      <c r="E9" s="1537" t="s">
        <v>2231</v>
      </c>
      <c r="F9" s="1546" t="s">
        <v>114</v>
      </c>
      <c r="G9" s="1537"/>
      <c r="H9" s="1546"/>
    </row>
    <row r="10" spans="1:14" ht="55.5" customHeight="1">
      <c r="A10" s="3249"/>
      <c r="B10" s="1537">
        <v>2</v>
      </c>
      <c r="C10" s="1547" t="s">
        <v>2270</v>
      </c>
      <c r="D10" s="1545"/>
      <c r="E10" s="1548" t="s">
        <v>21</v>
      </c>
      <c r="F10" s="1546">
        <v>406</v>
      </c>
      <c r="G10" s="1537">
        <v>32</v>
      </c>
      <c r="H10" s="1546">
        <f>G10*F10</f>
        <v>12992</v>
      </c>
      <c r="I10" s="754" t="s">
        <v>1827</v>
      </c>
      <c r="J10" s="806"/>
      <c r="K10" s="806"/>
      <c r="L10" s="806"/>
      <c r="M10" s="806"/>
      <c r="N10" s="806"/>
    </row>
    <row r="11" spans="1:14" ht="42" customHeight="1">
      <c r="A11" s="3249"/>
      <c r="B11" s="1537">
        <v>3</v>
      </c>
      <c r="C11" s="1547" t="s">
        <v>2271</v>
      </c>
      <c r="D11" s="1545"/>
      <c r="E11" s="1537" t="s">
        <v>33</v>
      </c>
      <c r="F11" s="1546">
        <v>35276</v>
      </c>
      <c r="G11" s="1537">
        <v>1</v>
      </c>
      <c r="H11" s="1546">
        <f>G11*F11</f>
        <v>35276</v>
      </c>
      <c r="I11" s="754" t="s">
        <v>1827</v>
      </c>
      <c r="J11" s="840"/>
      <c r="K11" s="840"/>
      <c r="L11" s="840"/>
      <c r="M11" s="840"/>
      <c r="N11" s="840"/>
    </row>
    <row r="12" spans="1:14" ht="15" customHeight="1">
      <c r="A12" s="3250"/>
      <c r="B12" s="838">
        <v>4</v>
      </c>
      <c r="C12" s="1549" t="s">
        <v>2232</v>
      </c>
      <c r="D12" s="1550"/>
      <c r="E12" s="838"/>
      <c r="F12" s="838"/>
      <c r="G12" s="838"/>
      <c r="H12" s="1551">
        <f>SUM(H10:H11)</f>
        <v>48268</v>
      </c>
    </row>
    <row r="13" spans="1:14" s="841" customFormat="1" ht="15" customHeight="1">
      <c r="A13" s="3248">
        <v>2</v>
      </c>
      <c r="B13" s="838"/>
      <c r="C13" s="1552" t="s">
        <v>2233</v>
      </c>
      <c r="D13" s="1553"/>
      <c r="E13" s="1554"/>
      <c r="F13" s="1554"/>
      <c r="G13" s="1554"/>
      <c r="H13" s="1555"/>
    </row>
    <row r="14" spans="1:14" ht="15" customHeight="1">
      <c r="A14" s="3249"/>
      <c r="B14" s="1537">
        <v>1</v>
      </c>
      <c r="C14" s="1544" t="s">
        <v>2234</v>
      </c>
      <c r="D14" s="1556">
        <v>7132220091</v>
      </c>
      <c r="E14" s="1537" t="s">
        <v>12</v>
      </c>
      <c r="F14" s="1546">
        <f>VLOOKUP(D14,'SOR RATE'!A:D,4,0)</f>
        <v>1287998.3799999999</v>
      </c>
      <c r="G14" s="1537">
        <v>1</v>
      </c>
      <c r="H14" s="1546">
        <f t="shared" ref="H14:H19" si="0">G14*F14</f>
        <v>1287998.3799999999</v>
      </c>
    </row>
    <row r="15" spans="1:14" ht="15" customHeight="1">
      <c r="A15" s="3249"/>
      <c r="B15" s="1548">
        <v>2</v>
      </c>
      <c r="C15" s="1544" t="s">
        <v>2263</v>
      </c>
      <c r="D15" s="1556">
        <v>7130800033</v>
      </c>
      <c r="E15" s="1537" t="s">
        <v>12</v>
      </c>
      <c r="F15" s="1546">
        <f>VLOOKUP(D15,'SOR RATE'!A196:D196,4,0)</f>
        <v>4451.53</v>
      </c>
      <c r="G15" s="1537">
        <v>2</v>
      </c>
      <c r="H15" s="1546">
        <f>G15*F15</f>
        <v>8903.06</v>
      </c>
    </row>
    <row r="16" spans="1:14" ht="15" customHeight="1">
      <c r="A16" s="3249"/>
      <c r="B16" s="3251">
        <v>3</v>
      </c>
      <c r="C16" s="1544" t="s">
        <v>2235</v>
      </c>
      <c r="D16" s="1556">
        <v>7130810595</v>
      </c>
      <c r="E16" s="1537" t="s">
        <v>12</v>
      </c>
      <c r="F16" s="1546">
        <f>VLOOKUP(D16,'SOR RATE'!A:D,4,0)</f>
        <v>3070.95</v>
      </c>
      <c r="G16" s="1537">
        <v>2</v>
      </c>
      <c r="H16" s="1546">
        <f>G16*F16</f>
        <v>6141.9</v>
      </c>
    </row>
    <row r="17" spans="1:9" ht="15" customHeight="1">
      <c r="A17" s="3249"/>
      <c r="B17" s="3252"/>
      <c r="C17" s="1557" t="s">
        <v>2236</v>
      </c>
      <c r="D17" s="1556">
        <v>7130810361</v>
      </c>
      <c r="E17" s="1537" t="s">
        <v>15</v>
      </c>
      <c r="F17" s="1546">
        <f>VLOOKUP(D17,'SOR RATE'!A:D,4,0)</f>
        <v>393.51</v>
      </c>
      <c r="G17" s="1537">
        <v>2</v>
      </c>
      <c r="H17" s="1546">
        <f>G17*F17</f>
        <v>787.02</v>
      </c>
    </row>
    <row r="18" spans="1:9" ht="15" customHeight="1">
      <c r="A18" s="3249"/>
      <c r="B18" s="1537">
        <v>4</v>
      </c>
      <c r="C18" s="1544" t="s">
        <v>2237</v>
      </c>
      <c r="D18" s="1556">
        <v>7130810676</v>
      </c>
      <c r="E18" s="1537" t="s">
        <v>12</v>
      </c>
      <c r="F18" s="1546">
        <f>VLOOKUP(D18,'SOR RATE'!A:D,4,0)</f>
        <v>510.95</v>
      </c>
      <c r="G18" s="1537">
        <v>5</v>
      </c>
      <c r="H18" s="1546">
        <f>G18*F18</f>
        <v>2554.75</v>
      </c>
    </row>
    <row r="19" spans="1:9" ht="15" customHeight="1">
      <c r="A19" s="3249"/>
      <c r="B19" s="1548">
        <v>5</v>
      </c>
      <c r="C19" s="1544" t="s">
        <v>934</v>
      </c>
      <c r="D19" s="1556">
        <v>7131930321</v>
      </c>
      <c r="E19" s="1537" t="s">
        <v>33</v>
      </c>
      <c r="F19" s="1546">
        <f>VLOOKUP(D19,'SOR RATE'!A:D,4,0)</f>
        <v>22056.66</v>
      </c>
      <c r="G19" s="1537">
        <v>1</v>
      </c>
      <c r="H19" s="1546">
        <f t="shared" si="0"/>
        <v>22056.66</v>
      </c>
    </row>
    <row r="20" spans="1:9" ht="15" customHeight="1">
      <c r="A20" s="3249"/>
      <c r="B20" s="1548">
        <v>6</v>
      </c>
      <c r="C20" s="1544" t="s">
        <v>2238</v>
      </c>
      <c r="D20" s="1556">
        <v>7131930415</v>
      </c>
      <c r="E20" s="1537" t="s">
        <v>33</v>
      </c>
      <c r="F20" s="1546">
        <f>VLOOKUP(D20,'SOR RATE'!A:D,4,0)</f>
        <v>3005.12</v>
      </c>
      <c r="G20" s="1537">
        <v>3</v>
      </c>
      <c r="H20" s="1546">
        <f t="shared" ref="H20:H27" si="1">G20*F20</f>
        <v>9015.36</v>
      </c>
    </row>
    <row r="21" spans="1:9" ht="15" customHeight="1">
      <c r="A21" s="3249"/>
      <c r="B21" s="1537">
        <v>7</v>
      </c>
      <c r="C21" s="1558" t="s">
        <v>2062</v>
      </c>
      <c r="D21" s="1556">
        <v>7130840021</v>
      </c>
      <c r="E21" s="1537" t="s">
        <v>33</v>
      </c>
      <c r="F21" s="1546">
        <f>VLOOKUP(D21,'SOR RATE'!A:D,4,0)</f>
        <v>4094.6</v>
      </c>
      <c r="G21" s="1537">
        <v>3</v>
      </c>
      <c r="H21" s="1546">
        <f t="shared" si="1"/>
        <v>12283.8</v>
      </c>
      <c r="I21" s="812" t="s">
        <v>1827</v>
      </c>
    </row>
    <row r="22" spans="1:9" ht="15" customHeight="1">
      <c r="A22" s="3249"/>
      <c r="B22" s="1548">
        <v>8</v>
      </c>
      <c r="C22" s="1544" t="s">
        <v>1908</v>
      </c>
      <c r="D22" s="1556">
        <v>7130820009</v>
      </c>
      <c r="E22" s="1537" t="s">
        <v>33</v>
      </c>
      <c r="F22" s="1546">
        <f>VLOOKUP(D22,'SOR RATE'!A:D,4,0)</f>
        <v>288.23</v>
      </c>
      <c r="G22" s="1537">
        <v>9</v>
      </c>
      <c r="H22" s="1546">
        <f t="shared" si="1"/>
        <v>2594.0700000000002</v>
      </c>
    </row>
    <row r="23" spans="1:9" ht="26.25" customHeight="1">
      <c r="A23" s="3249"/>
      <c r="B23" s="1559">
        <v>9</v>
      </c>
      <c r="C23" s="1560" t="s">
        <v>2239</v>
      </c>
      <c r="D23" s="1545">
        <v>7130810684</v>
      </c>
      <c r="E23" s="1561" t="s">
        <v>12</v>
      </c>
      <c r="F23" s="1546">
        <f>VLOOKUP(D23,'SOR RATE'!A:D,4,0)</f>
        <v>11136.81</v>
      </c>
      <c r="G23" s="1561">
        <v>2</v>
      </c>
      <c r="H23" s="1546">
        <f t="shared" si="1"/>
        <v>22273.62</v>
      </c>
      <c r="I23" s="866" t="s">
        <v>2269</v>
      </c>
    </row>
    <row r="24" spans="1:9" ht="15" customHeight="1">
      <c r="A24" s="3249"/>
      <c r="B24" s="1548">
        <v>10</v>
      </c>
      <c r="C24" s="1544" t="s">
        <v>2240</v>
      </c>
      <c r="D24" s="1556">
        <v>7130800012</v>
      </c>
      <c r="E24" s="1537" t="s">
        <v>12</v>
      </c>
      <c r="F24" s="1546">
        <f>VLOOKUP(D24,'SOR RATE'!A:D,4,0)</f>
        <v>2298.46</v>
      </c>
      <c r="G24" s="1537">
        <v>8</v>
      </c>
      <c r="H24" s="1546">
        <f t="shared" si="1"/>
        <v>18387.68</v>
      </c>
    </row>
    <row r="25" spans="1:9" ht="15" customHeight="1">
      <c r="A25" s="3249"/>
      <c r="B25" s="1548">
        <v>11</v>
      </c>
      <c r="C25" s="1544" t="s">
        <v>2241</v>
      </c>
      <c r="D25" s="1556">
        <v>7130810684</v>
      </c>
      <c r="E25" s="1537" t="s">
        <v>12</v>
      </c>
      <c r="F25" s="1546">
        <f>VLOOKUP(D25,'SOR RATE'!A:D,4,0)</f>
        <v>11136.81</v>
      </c>
      <c r="G25" s="1537">
        <v>16</v>
      </c>
      <c r="H25" s="1546">
        <f t="shared" si="1"/>
        <v>178188.96</v>
      </c>
    </row>
    <row r="26" spans="1:9" ht="15" customHeight="1">
      <c r="A26" s="3249"/>
      <c r="B26" s="1548">
        <v>12</v>
      </c>
      <c r="C26" s="1544" t="s">
        <v>2242</v>
      </c>
      <c r="D26" s="1556">
        <v>7131930221</v>
      </c>
      <c r="E26" s="1537" t="s">
        <v>33</v>
      </c>
      <c r="F26" s="1546">
        <f>VLOOKUP(D26,'SOR RATE'!A:D,4,0)</f>
        <v>9934.19</v>
      </c>
      <c r="G26" s="1537">
        <v>3</v>
      </c>
      <c r="H26" s="1546">
        <f t="shared" si="1"/>
        <v>29802.57</v>
      </c>
    </row>
    <row r="27" spans="1:9" ht="15" customHeight="1">
      <c r="A27" s="3249"/>
      <c r="B27" s="1548">
        <v>13</v>
      </c>
      <c r="C27" s="1544" t="s">
        <v>712</v>
      </c>
      <c r="D27" s="1556">
        <v>7130840029</v>
      </c>
      <c r="E27" s="1537" t="s">
        <v>33</v>
      </c>
      <c r="F27" s="1546">
        <f>VLOOKUP(D27,'SOR RATE'!A:D,4,0)</f>
        <v>368.52</v>
      </c>
      <c r="G27" s="1537">
        <v>3</v>
      </c>
      <c r="H27" s="1546">
        <f t="shared" si="1"/>
        <v>1105.56</v>
      </c>
    </row>
    <row r="28" spans="1:9" ht="15" customHeight="1">
      <c r="A28" s="3249"/>
      <c r="B28" s="3251">
        <v>14</v>
      </c>
      <c r="C28" s="1552" t="s">
        <v>2243</v>
      </c>
      <c r="D28" s="1556"/>
      <c r="E28" s="1537" t="s">
        <v>40</v>
      </c>
      <c r="F28" s="1546"/>
      <c r="G28" s="838">
        <v>21</v>
      </c>
      <c r="H28" s="1546"/>
    </row>
    <row r="29" spans="1:9" ht="15" customHeight="1">
      <c r="A29" s="3249"/>
      <c r="B29" s="3253"/>
      <c r="C29" s="1544" t="s">
        <v>2244</v>
      </c>
      <c r="D29" s="1556">
        <v>7130820010</v>
      </c>
      <c r="E29" s="1537" t="s">
        <v>12</v>
      </c>
      <c r="F29" s="1546">
        <f>VLOOKUP(D29,'SOR RATE'!A:D,4,0)</f>
        <v>118.97</v>
      </c>
      <c r="G29" s="1537">
        <v>21</v>
      </c>
      <c r="H29" s="1546">
        <f t="shared" ref="H29:H35" si="2">G29*F29</f>
        <v>2498.37</v>
      </c>
    </row>
    <row r="30" spans="1:9" ht="15" customHeight="1">
      <c r="A30" s="3249"/>
      <c r="B30" s="3252"/>
      <c r="C30" s="1544" t="s">
        <v>2245</v>
      </c>
      <c r="D30" s="1556">
        <v>7130820241</v>
      </c>
      <c r="E30" s="1537" t="s">
        <v>12</v>
      </c>
      <c r="F30" s="1546">
        <f>VLOOKUP(D30,'SOR RATE'!A:D,4,0)</f>
        <v>153.49</v>
      </c>
      <c r="G30" s="1537">
        <v>21</v>
      </c>
      <c r="H30" s="1546">
        <f t="shared" si="2"/>
        <v>3223.29</v>
      </c>
    </row>
    <row r="31" spans="1:9" ht="15" customHeight="1">
      <c r="A31" s="3249"/>
      <c r="B31" s="1548">
        <v>15</v>
      </c>
      <c r="C31" s="1544" t="s">
        <v>2246</v>
      </c>
      <c r="D31" s="1556">
        <v>7130830060</v>
      </c>
      <c r="E31" s="1537" t="s">
        <v>190</v>
      </c>
      <c r="F31" s="1546">
        <f>VLOOKUP(D31,'SOR RATE'!A:D,4,0)/1000</f>
        <v>70.920659999999998</v>
      </c>
      <c r="G31" s="1537">
        <v>20</v>
      </c>
      <c r="H31" s="1546">
        <f t="shared" si="2"/>
        <v>1418.4132</v>
      </c>
    </row>
    <row r="32" spans="1:9" ht="15" customHeight="1">
      <c r="A32" s="3249"/>
      <c r="B32" s="1548">
        <v>16</v>
      </c>
      <c r="C32" s="1544" t="s">
        <v>2247</v>
      </c>
      <c r="D32" s="1556">
        <v>7130830586</v>
      </c>
      <c r="E32" s="1537" t="s">
        <v>12</v>
      </c>
      <c r="F32" s="1546">
        <f>VLOOKUP(D32,'SOR RATE'!A271:D271,4,0)</f>
        <v>276.55</v>
      </c>
      <c r="G32" s="1537">
        <v>27</v>
      </c>
      <c r="H32" s="1546">
        <f t="shared" si="2"/>
        <v>7466.85</v>
      </c>
    </row>
    <row r="33" spans="1:12" ht="15" customHeight="1">
      <c r="A33" s="3249"/>
      <c r="B33" s="1548">
        <v>17</v>
      </c>
      <c r="C33" s="1544" t="s">
        <v>2248</v>
      </c>
      <c r="D33" s="1556">
        <v>7130830052</v>
      </c>
      <c r="E33" s="1537" t="s">
        <v>12</v>
      </c>
      <c r="F33" s="1546">
        <f>VLOOKUP(D33,'SOR RATE'!A:D,4,0)</f>
        <v>887.14</v>
      </c>
      <c r="G33" s="1537">
        <v>12</v>
      </c>
      <c r="H33" s="1546">
        <f t="shared" si="2"/>
        <v>10645.68</v>
      </c>
    </row>
    <row r="34" spans="1:12" ht="15" customHeight="1">
      <c r="A34" s="3249"/>
      <c r="B34" s="1562">
        <v>18</v>
      </c>
      <c r="C34" s="1563" t="s">
        <v>28</v>
      </c>
      <c r="D34" s="1559">
        <v>7130211158</v>
      </c>
      <c r="E34" s="1559" t="s">
        <v>29</v>
      </c>
      <c r="F34" s="1546">
        <f>VLOOKUP(D34,'SOR RATE'!A:D,4,0)</f>
        <v>193.62</v>
      </c>
      <c r="G34" s="1537">
        <v>5</v>
      </c>
      <c r="H34" s="1546">
        <f t="shared" si="2"/>
        <v>968.1</v>
      </c>
      <c r="I34" s="91"/>
    </row>
    <row r="35" spans="1:12" ht="15" customHeight="1">
      <c r="A35" s="3249"/>
      <c r="B35" s="1562">
        <v>19</v>
      </c>
      <c r="C35" s="1563" t="s">
        <v>30</v>
      </c>
      <c r="D35" s="1559">
        <v>7130210809</v>
      </c>
      <c r="E35" s="1559" t="s">
        <v>29</v>
      </c>
      <c r="F35" s="1546">
        <f>VLOOKUP(D35,'SOR RATE'!A:D,4,0)</f>
        <v>432.63</v>
      </c>
      <c r="G35" s="1537">
        <v>5</v>
      </c>
      <c r="H35" s="1546">
        <f t="shared" si="2"/>
        <v>2163.15</v>
      </c>
      <c r="I35" s="91"/>
    </row>
    <row r="36" spans="1:12" ht="15" customHeight="1">
      <c r="A36" s="3249"/>
      <c r="B36" s="3251">
        <v>20</v>
      </c>
      <c r="C36" s="1552" t="s">
        <v>2039</v>
      </c>
      <c r="D36" s="1556"/>
      <c r="E36" s="1537" t="s">
        <v>26</v>
      </c>
      <c r="F36" s="1546"/>
      <c r="G36" s="838">
        <f>SUM(G37:G42)</f>
        <v>125</v>
      </c>
      <c r="H36" s="1546"/>
    </row>
    <row r="37" spans="1:12" ht="15" customHeight="1">
      <c r="A37" s="3249"/>
      <c r="B37" s="3253"/>
      <c r="C37" s="1558" t="s">
        <v>2040</v>
      </c>
      <c r="D37" s="1556">
        <v>7130620609</v>
      </c>
      <c r="E37" s="1537" t="s">
        <v>26</v>
      </c>
      <c r="F37" s="1546">
        <f>VLOOKUP(D37,'SOR RATE'!A:D,4,0)</f>
        <v>87.23</v>
      </c>
      <c r="G37" s="1537">
        <v>2</v>
      </c>
      <c r="H37" s="1546">
        <f t="shared" ref="H37:H43" si="3">G37*F37</f>
        <v>174.46</v>
      </c>
    </row>
    <row r="38" spans="1:12" ht="15" customHeight="1">
      <c r="A38" s="3249"/>
      <c r="B38" s="3253"/>
      <c r="C38" s="1558" t="s">
        <v>2041</v>
      </c>
      <c r="D38" s="1556">
        <v>7130620614</v>
      </c>
      <c r="E38" s="1537" t="s">
        <v>26</v>
      </c>
      <c r="F38" s="1546">
        <f>VLOOKUP(D38,'SOR RATE'!A:D,4,0)</f>
        <v>85.77</v>
      </c>
      <c r="G38" s="1537">
        <v>2</v>
      </c>
      <c r="H38" s="1546">
        <f t="shared" si="3"/>
        <v>171.54</v>
      </c>
    </row>
    <row r="39" spans="1:12" ht="15" customHeight="1">
      <c r="A39" s="3249"/>
      <c r="B39" s="3253"/>
      <c r="C39" s="1558" t="s">
        <v>2042</v>
      </c>
      <c r="D39" s="1556">
        <v>7130620619</v>
      </c>
      <c r="E39" s="1537" t="s">
        <v>26</v>
      </c>
      <c r="F39" s="1546">
        <f>VLOOKUP(D39,'SOR RATE'!A:D,4,0)</f>
        <v>85.77</v>
      </c>
      <c r="G39" s="1537">
        <v>25</v>
      </c>
      <c r="H39" s="1546">
        <f t="shared" si="3"/>
        <v>2144.25</v>
      </c>
    </row>
    <row r="40" spans="1:12" ht="15" customHeight="1">
      <c r="A40" s="3249"/>
      <c r="B40" s="3253"/>
      <c r="C40" s="1558" t="s">
        <v>2043</v>
      </c>
      <c r="D40" s="1556">
        <v>7130620627</v>
      </c>
      <c r="E40" s="1537" t="s">
        <v>26</v>
      </c>
      <c r="F40" s="1546">
        <f>VLOOKUP(D40,'SOR RATE'!A:D,4,0)</f>
        <v>84.32</v>
      </c>
      <c r="G40" s="1537">
        <v>40</v>
      </c>
      <c r="H40" s="1546">
        <f t="shared" si="3"/>
        <v>3372.7999999999997</v>
      </c>
    </row>
    <row r="41" spans="1:12" ht="15" customHeight="1">
      <c r="A41" s="3249"/>
      <c r="B41" s="3253"/>
      <c r="C41" s="1558" t="s">
        <v>2044</v>
      </c>
      <c r="D41" s="1556">
        <v>7130620631</v>
      </c>
      <c r="E41" s="1537" t="s">
        <v>26</v>
      </c>
      <c r="F41" s="1546">
        <f>VLOOKUP(D41,'SOR RATE'!A:D,4,0)</f>
        <v>84.32</v>
      </c>
      <c r="G41" s="1537">
        <v>50</v>
      </c>
      <c r="H41" s="1546">
        <f t="shared" si="3"/>
        <v>4216</v>
      </c>
    </row>
    <row r="42" spans="1:12" ht="15" customHeight="1">
      <c r="A42" s="3249"/>
      <c r="B42" s="3252"/>
      <c r="C42" s="1558" t="s">
        <v>2045</v>
      </c>
      <c r="D42" s="1556">
        <v>7130620637</v>
      </c>
      <c r="E42" s="1537" t="s">
        <v>26</v>
      </c>
      <c r="F42" s="1546">
        <f>VLOOKUP(D42,'SOR RATE'!A:D,4,0)</f>
        <v>84.32</v>
      </c>
      <c r="G42" s="1537">
        <v>6</v>
      </c>
      <c r="H42" s="1546">
        <f t="shared" si="3"/>
        <v>505.91999999999996</v>
      </c>
    </row>
    <row r="43" spans="1:12" ht="15" customHeight="1">
      <c r="A43" s="3249"/>
      <c r="B43" s="1548">
        <v>21</v>
      </c>
      <c r="C43" s="1544" t="s">
        <v>2249</v>
      </c>
      <c r="D43" s="1556">
        <v>7130600173</v>
      </c>
      <c r="E43" s="1537" t="s">
        <v>26</v>
      </c>
      <c r="F43" s="1546">
        <f>VLOOKUP(D43,'SOR RATE'!A:D,4,0)/1000</f>
        <v>57.763910000000003</v>
      </c>
      <c r="G43" s="1537">
        <v>100</v>
      </c>
      <c r="H43" s="1546">
        <f t="shared" si="3"/>
        <v>5776.3910000000005</v>
      </c>
    </row>
    <row r="44" spans="1:12" ht="15" customHeight="1">
      <c r="A44" s="3249"/>
      <c r="B44" s="3251">
        <v>22</v>
      </c>
      <c r="C44" s="1552" t="s">
        <v>2250</v>
      </c>
      <c r="D44" s="1545"/>
      <c r="E44" s="1537"/>
      <c r="F44" s="1546">
        <f>H45+H46+H47+H48+H49+H50</f>
        <v>17515.242999999999</v>
      </c>
      <c r="G44" s="1537"/>
      <c r="H44" s="1546"/>
    </row>
    <row r="45" spans="1:12" ht="27.75" customHeight="1">
      <c r="A45" s="3249"/>
      <c r="B45" s="3253"/>
      <c r="C45" s="1564" t="s">
        <v>2251</v>
      </c>
      <c r="D45" s="1556">
        <v>7130642039</v>
      </c>
      <c r="E45" s="1537" t="s">
        <v>12</v>
      </c>
      <c r="F45" s="1546">
        <f>VLOOKUP(D45,'SOR RATE'!A:D,4,0)</f>
        <v>998.57</v>
      </c>
      <c r="G45" s="1537">
        <v>12</v>
      </c>
      <c r="H45" s="1546">
        <f>G45*F45</f>
        <v>11982.84</v>
      </c>
    </row>
    <row r="46" spans="1:12" ht="15" customHeight="1">
      <c r="A46" s="3249"/>
      <c r="B46" s="3253"/>
      <c r="C46" s="1558" t="s">
        <v>2252</v>
      </c>
      <c r="D46" s="1556">
        <v>7130600173</v>
      </c>
      <c r="E46" s="1537" t="s">
        <v>26</v>
      </c>
      <c r="F46" s="1546">
        <f>VLOOKUP(D46,'SOR RATE'!A:D,4,0)/1000</f>
        <v>57.763910000000003</v>
      </c>
      <c r="G46" s="1548">
        <v>60</v>
      </c>
      <c r="H46" s="1546">
        <f>G46*F46</f>
        <v>3465.8346000000001</v>
      </c>
      <c r="I46" s="842"/>
      <c r="J46" s="843"/>
      <c r="K46" s="843"/>
      <c r="L46" s="843"/>
    </row>
    <row r="47" spans="1:12" ht="15" customHeight="1">
      <c r="A47" s="3249"/>
      <c r="B47" s="3253"/>
      <c r="C47" s="1565" t="s">
        <v>2253</v>
      </c>
      <c r="D47" s="1556">
        <v>7130870043</v>
      </c>
      <c r="E47" s="1537" t="s">
        <v>26</v>
      </c>
      <c r="F47" s="1546">
        <f>VLOOKUP(D47,'SOR RATE'!A:D,4,0)/1000</f>
        <v>80.521839999999997</v>
      </c>
      <c r="G47" s="1548">
        <v>10</v>
      </c>
      <c r="H47" s="1546">
        <f>G47*F47</f>
        <v>805.21839999999997</v>
      </c>
    </row>
    <row r="48" spans="1:12" ht="15" customHeight="1">
      <c r="A48" s="3249"/>
      <c r="B48" s="3253"/>
      <c r="C48" s="1566" t="s">
        <v>2254</v>
      </c>
      <c r="D48" s="1556">
        <v>7130620133</v>
      </c>
      <c r="E48" s="1537" t="s">
        <v>26</v>
      </c>
      <c r="F48" s="1546">
        <f>VLOOKUP(D48,'SOR RATE'!A:D,4,0)</f>
        <v>120.67</v>
      </c>
      <c r="G48" s="1548">
        <v>5</v>
      </c>
      <c r="H48" s="1546">
        <f>G48*F48</f>
        <v>603.35</v>
      </c>
    </row>
    <row r="49" spans="1:16" ht="15" customHeight="1">
      <c r="A49" s="3249"/>
      <c r="B49" s="3253"/>
      <c r="C49" s="1560" t="s">
        <v>2255</v>
      </c>
      <c r="D49" s="1545">
        <v>7130620140</v>
      </c>
      <c r="E49" s="1537" t="s">
        <v>26</v>
      </c>
      <c r="F49" s="1546">
        <f>VLOOKUP(D49,'SOR RATE'!A:D,4,0)</f>
        <v>120.67</v>
      </c>
      <c r="G49" s="1548">
        <v>4</v>
      </c>
      <c r="H49" s="1546">
        <f>G49*F49</f>
        <v>482.68</v>
      </c>
      <c r="I49" s="844"/>
      <c r="J49" s="807"/>
      <c r="K49" s="807"/>
      <c r="L49" s="807"/>
    </row>
    <row r="50" spans="1:16" ht="15" customHeight="1">
      <c r="A50" s="3249"/>
      <c r="B50" s="3252"/>
      <c r="C50" s="1558" t="s">
        <v>2256</v>
      </c>
      <c r="D50" s="1556">
        <v>7130622922</v>
      </c>
      <c r="E50" s="1537" t="s">
        <v>26</v>
      </c>
      <c r="F50" s="1546">
        <f>VLOOKUP(D50,'SOR RATE'!A:D,4,0)</f>
        <v>175.32</v>
      </c>
      <c r="G50" s="1548">
        <v>1</v>
      </c>
      <c r="H50" s="1546">
        <f t="shared" ref="H50" si="4">G50*F50</f>
        <v>175.32</v>
      </c>
    </row>
    <row r="51" spans="1:16" ht="15" customHeight="1">
      <c r="A51" s="3250"/>
      <c r="B51" s="838">
        <v>23</v>
      </c>
      <c r="C51" s="1552" t="s">
        <v>2297</v>
      </c>
      <c r="D51" s="1550"/>
      <c r="E51" s="838"/>
      <c r="F51" s="838"/>
      <c r="G51" s="838"/>
      <c r="H51" s="1551">
        <f>SUM(H14:H50)</f>
        <v>1664353.8472000004</v>
      </c>
    </row>
    <row r="52" spans="1:16" ht="27" customHeight="1">
      <c r="A52" s="1567">
        <v>3</v>
      </c>
      <c r="B52" s="838"/>
      <c r="C52" s="1568" t="s">
        <v>2299</v>
      </c>
      <c r="D52" s="1550"/>
      <c r="E52" s="838"/>
      <c r="F52" s="838"/>
      <c r="G52" s="838"/>
      <c r="H52" s="1551">
        <f>H51/1.18</f>
        <v>1410469.3620338987</v>
      </c>
      <c r="I52" s="87"/>
    </row>
    <row r="53" spans="1:16" ht="17.25" customHeight="1">
      <c r="A53" s="1569">
        <v>4</v>
      </c>
      <c r="B53" s="1537"/>
      <c r="C53" s="1570" t="s">
        <v>2298</v>
      </c>
      <c r="D53" s="1545"/>
      <c r="E53" s="1537"/>
      <c r="F53" s="1537">
        <v>7.4999999999999997E-2</v>
      </c>
      <c r="G53" s="1537"/>
      <c r="H53" s="1546">
        <f>H51*F53</f>
        <v>124826.53854000002</v>
      </c>
      <c r="I53" s="89"/>
      <c r="J53" s="845"/>
    </row>
    <row r="54" spans="1:16" ht="15" customHeight="1">
      <c r="A54" s="1569">
        <v>5</v>
      </c>
      <c r="B54" s="1537"/>
      <c r="C54" s="1544" t="s">
        <v>2257</v>
      </c>
      <c r="D54" s="1545"/>
      <c r="E54" s="1537" t="s">
        <v>12</v>
      </c>
      <c r="F54" s="1546">
        <f>3497.48020819598*1.043</f>
        <v>3647.8718571484069</v>
      </c>
      <c r="G54" s="1537">
        <v>1</v>
      </c>
      <c r="H54" s="1546">
        <f>G54*F54</f>
        <v>3647.8718571484069</v>
      </c>
      <c r="I54" s="579"/>
      <c r="L54" s="1582"/>
      <c r="M54" s="804"/>
    </row>
    <row r="55" spans="1:16" ht="15" customHeight="1">
      <c r="A55" s="1548">
        <v>6</v>
      </c>
      <c r="B55" s="1537"/>
      <c r="C55" s="1560" t="s">
        <v>2258</v>
      </c>
      <c r="D55" s="1545"/>
      <c r="E55" s="1537"/>
      <c r="F55" s="1546"/>
      <c r="G55" s="1537"/>
      <c r="H55" s="1546">
        <v>115893.45</v>
      </c>
      <c r="I55" s="846"/>
      <c r="J55" s="806"/>
      <c r="K55" s="806"/>
      <c r="L55" s="1582"/>
      <c r="M55" s="1583"/>
    </row>
    <row r="56" spans="1:16" ht="26.25" customHeight="1">
      <c r="A56" s="1569">
        <v>7</v>
      </c>
      <c r="B56" s="1537"/>
      <c r="C56" s="1560" t="s">
        <v>2295</v>
      </c>
      <c r="D56" s="1545"/>
      <c r="E56" s="1537"/>
      <c r="F56" s="1537">
        <v>0.01</v>
      </c>
      <c r="G56" s="1537"/>
      <c r="H56" s="1571">
        <f>(H14/1.18)*F56</f>
        <v>10915.240508474575</v>
      </c>
      <c r="I56" s="737" t="s">
        <v>1827</v>
      </c>
      <c r="J56" s="848"/>
      <c r="K56" s="82"/>
      <c r="L56" s="1582"/>
      <c r="M56" s="803"/>
      <c r="N56" s="848"/>
      <c r="O56" s="848"/>
      <c r="P56" s="848"/>
    </row>
    <row r="57" spans="1:16" ht="43.5" customHeight="1">
      <c r="A57" s="1569">
        <v>8</v>
      </c>
      <c r="B57" s="1537"/>
      <c r="C57" s="1560" t="s">
        <v>2296</v>
      </c>
      <c r="D57" s="1545"/>
      <c r="E57" s="1537"/>
      <c r="F57" s="1537">
        <v>0.04</v>
      </c>
      <c r="G57" s="1537"/>
      <c r="H57" s="1571">
        <f>((H51-H14)/1.18)*F57</f>
        <v>12757.812447457647</v>
      </c>
      <c r="I57" s="739" t="s">
        <v>119</v>
      </c>
      <c r="J57" s="848"/>
      <c r="K57" s="82"/>
      <c r="L57" s="1582"/>
      <c r="M57" s="803"/>
      <c r="N57" s="848"/>
      <c r="O57" s="848"/>
      <c r="P57" s="848"/>
    </row>
    <row r="58" spans="1:16" ht="38.25" customHeight="1">
      <c r="A58" s="1569">
        <v>9</v>
      </c>
      <c r="B58" s="1537"/>
      <c r="C58" s="1572" t="s">
        <v>2300</v>
      </c>
      <c r="D58" s="1545"/>
      <c r="E58" s="1537"/>
      <c r="F58" s="1537"/>
      <c r="G58" s="1537"/>
      <c r="H58" s="1571">
        <f>(H51+H53+H54+H55+H56+H57)*0.125</f>
        <v>241549.34506913513</v>
      </c>
      <c r="I58" s="847"/>
      <c r="J58" s="808"/>
      <c r="K58" s="82"/>
      <c r="L58" s="887"/>
      <c r="M58" s="848"/>
      <c r="N58" s="848"/>
      <c r="O58" s="848"/>
      <c r="P58" s="848"/>
    </row>
    <row r="59" spans="1:16" ht="29.25" customHeight="1">
      <c r="A59" s="1573">
        <v>10</v>
      </c>
      <c r="B59" s="1537"/>
      <c r="C59" s="1574" t="s">
        <v>2301</v>
      </c>
      <c r="D59" s="1545"/>
      <c r="E59" s="1537"/>
      <c r="F59" s="1537"/>
      <c r="G59" s="1537"/>
      <c r="H59" s="1551">
        <f>SUM(H52:H58)</f>
        <v>1920059.6204561144</v>
      </c>
      <c r="I59" s="842"/>
      <c r="K59" s="579"/>
    </row>
    <row r="60" spans="1:16" ht="17.25" customHeight="1">
      <c r="A60" s="1569">
        <v>11</v>
      </c>
      <c r="B60" s="1537"/>
      <c r="C60" s="1572" t="s">
        <v>2302</v>
      </c>
      <c r="D60" s="1545"/>
      <c r="E60" s="1537"/>
      <c r="F60" s="1537">
        <v>0.09</v>
      </c>
      <c r="G60" s="1537"/>
      <c r="H60" s="1571">
        <f>H59*F60</f>
        <v>172805.36584105028</v>
      </c>
      <c r="I60" s="842"/>
    </row>
    <row r="61" spans="1:16" ht="18" customHeight="1">
      <c r="A61" s="1569">
        <v>12</v>
      </c>
      <c r="B61" s="1537"/>
      <c r="C61" s="1572" t="s">
        <v>2303</v>
      </c>
      <c r="D61" s="1545"/>
      <c r="E61" s="1537"/>
      <c r="F61" s="1537">
        <v>0.09</v>
      </c>
      <c r="G61" s="1537"/>
      <c r="H61" s="1546">
        <f>H59*F61</f>
        <v>172805.36584105028</v>
      </c>
      <c r="I61" s="95"/>
    </row>
    <row r="62" spans="1:16" ht="18" customHeight="1">
      <c r="A62" s="1569">
        <v>13</v>
      </c>
      <c r="B62" s="1537"/>
      <c r="C62" s="1572" t="s">
        <v>2304</v>
      </c>
      <c r="D62" s="1545"/>
      <c r="E62" s="1537"/>
      <c r="F62" s="1537"/>
      <c r="G62" s="1537"/>
      <c r="H62" s="1546">
        <f>H59+H60+H61</f>
        <v>2265670.3521382147</v>
      </c>
      <c r="I62" s="87"/>
    </row>
    <row r="63" spans="1:16" ht="18" customHeight="1">
      <c r="A63" s="1573">
        <v>14</v>
      </c>
      <c r="B63" s="1537"/>
      <c r="C63" s="1574" t="s">
        <v>59</v>
      </c>
      <c r="D63" s="1545"/>
      <c r="E63" s="1537"/>
      <c r="F63" s="1537"/>
      <c r="G63" s="1537"/>
      <c r="H63" s="1551">
        <f>ROUND(H62,0)</f>
        <v>2265670</v>
      </c>
      <c r="I63" s="87"/>
    </row>
    <row r="64" spans="1:16" ht="15" customHeight="1">
      <c r="A64" s="1575">
        <v>15</v>
      </c>
      <c r="B64" s="1537"/>
      <c r="C64" s="1544" t="s">
        <v>2305</v>
      </c>
      <c r="D64" s="1545"/>
      <c r="E64" s="1537"/>
      <c r="F64" s="1537"/>
      <c r="G64" s="1537"/>
      <c r="H64" s="1546">
        <f>H12+H62</f>
        <v>2313938.3521382147</v>
      </c>
      <c r="I64" s="579"/>
      <c r="K64" s="579"/>
    </row>
    <row r="65" spans="1:10" ht="15" customHeight="1">
      <c r="A65" s="1576">
        <v>16</v>
      </c>
      <c r="B65" s="1577"/>
      <c r="C65" s="1578" t="s">
        <v>2259</v>
      </c>
      <c r="D65" s="1579"/>
      <c r="E65" s="1577"/>
      <c r="F65" s="1577"/>
      <c r="G65" s="1577"/>
      <c r="H65" s="1580">
        <f>ROUND(H64,0)</f>
        <v>2313938</v>
      </c>
      <c r="J65" s="579"/>
    </row>
    <row r="66" spans="1:10" ht="15" customHeight="1">
      <c r="B66" s="849"/>
      <c r="C66" s="802"/>
      <c r="D66" s="850"/>
      <c r="E66" s="851"/>
    </row>
    <row r="67" spans="1:10" ht="16.5" customHeight="1">
      <c r="A67" s="852"/>
      <c r="B67" s="853"/>
      <c r="C67" s="3241" t="s">
        <v>1765</v>
      </c>
      <c r="D67" s="3242"/>
      <c r="E67" s="802"/>
    </row>
    <row r="68" spans="1:10">
      <c r="A68" s="849"/>
      <c r="B68" s="854"/>
      <c r="C68" s="798"/>
      <c r="D68" s="855"/>
      <c r="E68" s="798"/>
      <c r="F68" s="798"/>
      <c r="G68" s="798"/>
    </row>
    <row r="90" spans="1:8">
      <c r="C90" s="841"/>
      <c r="D90" s="856"/>
      <c r="E90" s="841"/>
      <c r="F90" s="841"/>
      <c r="G90" s="841"/>
      <c r="H90" s="841"/>
    </row>
    <row r="93" spans="1:8" ht="15">
      <c r="A93" s="819"/>
      <c r="B93" s="819"/>
      <c r="C93" s="857"/>
      <c r="D93" s="858"/>
      <c r="E93" s="857"/>
      <c r="F93" s="857"/>
      <c r="G93" s="857"/>
      <c r="H93" s="857"/>
    </row>
  </sheetData>
  <mergeCells count="11">
    <mergeCell ref="A8:A12"/>
    <mergeCell ref="A13:A51"/>
    <mergeCell ref="B16:B17"/>
    <mergeCell ref="B28:B30"/>
    <mergeCell ref="B36:B42"/>
    <mergeCell ref="B44:B50"/>
    <mergeCell ref="C67:D67"/>
    <mergeCell ref="C1:E1"/>
    <mergeCell ref="C3:F3"/>
    <mergeCell ref="B6:C6"/>
    <mergeCell ref="B7:C7"/>
  </mergeCells>
  <conditionalFormatting sqref="C52">
    <cfRule type="cellIs" dxfId="113" priority="1" stopIfTrue="1" operator="equal">
      <formula>"?"</formula>
    </cfRule>
  </conditionalFormatting>
  <printOptions horizontalCentered="1"/>
  <pageMargins left="0.72" right="0.16" top="0.87" bottom="0.39" header="0.61" footer="0.17"/>
  <pageSetup scale="120"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5"/>
  <sheetViews>
    <sheetView zoomScaleNormal="100" zoomScaleSheetLayoutView="70" workbookViewId="0">
      <pane xSplit="3" ySplit="8" topLeftCell="D46" activePane="bottomRight" state="frozen"/>
      <selection pane="topRight" activeCell="D1" sqref="D1"/>
      <selection pane="bottomLeft" activeCell="A9" sqref="A9"/>
      <selection pane="bottomRight" activeCell="K43" sqref="K43"/>
    </sheetView>
  </sheetViews>
  <sheetFormatPr defaultRowHeight="12.75"/>
  <cols>
    <col min="1" max="1" width="4.140625" style="6" customWidth="1"/>
    <col min="2" max="2" width="48.28515625" style="4" customWidth="1"/>
    <col min="3" max="3" width="13" style="45" customWidth="1"/>
    <col min="4" max="4" width="5.7109375" style="4" customWidth="1"/>
    <col min="5" max="5" width="5.85546875" style="4" customWidth="1"/>
    <col min="6" max="6" width="9" style="4" customWidth="1"/>
    <col min="7" max="7" width="11.85546875" style="4" customWidth="1"/>
    <col min="8" max="8" width="5.85546875" style="4" customWidth="1"/>
    <col min="9" max="9" width="9.42578125" style="4" customWidth="1"/>
    <col min="10" max="10" width="11.7109375" style="4" customWidth="1"/>
    <col min="11" max="11" width="20.7109375" style="4" customWidth="1"/>
    <col min="12" max="12" width="24.140625" style="4" customWidth="1"/>
    <col min="13" max="13" width="22.28515625" style="4" bestFit="1" customWidth="1"/>
    <col min="14" max="16384" width="9.140625" style="4"/>
  </cols>
  <sheetData>
    <row r="1" spans="1:15" ht="18">
      <c r="A1" s="3254"/>
      <c r="B1" s="3255"/>
      <c r="C1" s="3047" t="s">
        <v>0</v>
      </c>
      <c r="D1" s="3047"/>
      <c r="E1" s="3047"/>
      <c r="F1" s="3047"/>
      <c r="G1" s="3047"/>
      <c r="H1" s="2"/>
      <c r="I1" s="3"/>
      <c r="J1" s="3"/>
    </row>
    <row r="2" spans="1:15" ht="11.25" customHeight="1">
      <c r="A2" s="5"/>
      <c r="B2" s="5"/>
      <c r="C2" s="5"/>
      <c r="D2" s="5"/>
      <c r="E2" s="5"/>
      <c r="F2" s="5"/>
      <c r="G2" s="5"/>
      <c r="H2" s="5"/>
      <c r="I2" s="5"/>
      <c r="J2" s="5"/>
    </row>
    <row r="3" spans="1:15" ht="33.75" customHeight="1">
      <c r="B3" s="3075" t="s">
        <v>1</v>
      </c>
      <c r="C3" s="3075"/>
      <c r="D3" s="3075"/>
      <c r="E3" s="3075"/>
      <c r="F3" s="3075"/>
      <c r="G3" s="3075"/>
      <c r="H3" s="3075"/>
      <c r="I3" s="7"/>
      <c r="J3" s="8"/>
      <c r="M3" s="9"/>
      <c r="N3" s="9"/>
    </row>
    <row r="4" spans="1:15" ht="16.5" customHeight="1">
      <c r="A4" s="8"/>
      <c r="B4" s="8"/>
      <c r="C4" s="8"/>
      <c r="D4" s="8"/>
      <c r="E4" s="8"/>
      <c r="F4" s="8"/>
      <c r="G4" s="8"/>
      <c r="H4" s="8"/>
      <c r="I4" s="7"/>
      <c r="J4" s="726" t="s">
        <v>89</v>
      </c>
      <c r="M4" s="10"/>
      <c r="N4" s="10"/>
      <c r="O4" s="10"/>
    </row>
    <row r="5" spans="1:15" ht="8.25" customHeight="1">
      <c r="A5" s="11"/>
      <c r="B5" s="11"/>
      <c r="C5" s="11"/>
      <c r="D5" s="11"/>
      <c r="E5" s="11"/>
      <c r="F5" s="11"/>
      <c r="G5" s="11"/>
      <c r="H5" s="11"/>
      <c r="I5" s="11"/>
      <c r="J5" s="11"/>
      <c r="K5" s="12"/>
    </row>
    <row r="6" spans="1:15" ht="17.25" customHeight="1">
      <c r="A6" s="3256" t="s">
        <v>2</v>
      </c>
      <c r="B6" s="3256" t="s">
        <v>3</v>
      </c>
      <c r="C6" s="3256" t="s">
        <v>4</v>
      </c>
      <c r="D6" s="3238" t="s">
        <v>5</v>
      </c>
      <c r="E6" s="3180" t="s">
        <v>6</v>
      </c>
      <c r="F6" s="3180"/>
      <c r="G6" s="3180"/>
      <c r="H6" s="3180" t="s">
        <v>7</v>
      </c>
      <c r="I6" s="3180"/>
      <c r="J6" s="3180"/>
    </row>
    <row r="7" spans="1:15" ht="15" customHeight="1">
      <c r="A7" s="3257"/>
      <c r="B7" s="3257"/>
      <c r="C7" s="3257"/>
      <c r="D7" s="3221"/>
      <c r="E7" s="13" t="s">
        <v>8</v>
      </c>
      <c r="F7" s="13" t="s">
        <v>9</v>
      </c>
      <c r="G7" s="13" t="s">
        <v>10</v>
      </c>
      <c r="H7" s="13" t="s">
        <v>8</v>
      </c>
      <c r="I7" s="13" t="s">
        <v>9</v>
      </c>
      <c r="J7" s="13" t="s">
        <v>10</v>
      </c>
    </row>
    <row r="8" spans="1:15">
      <c r="A8" s="14">
        <v>1</v>
      </c>
      <c r="B8" s="14">
        <v>2</v>
      </c>
      <c r="C8" s="14">
        <v>3</v>
      </c>
      <c r="D8" s="14">
        <v>4</v>
      </c>
      <c r="E8" s="14">
        <v>5</v>
      </c>
      <c r="F8" s="14">
        <v>6</v>
      </c>
      <c r="G8" s="14">
        <v>7</v>
      </c>
      <c r="H8" s="14">
        <v>8</v>
      </c>
      <c r="I8" s="14">
        <v>9</v>
      </c>
      <c r="J8" s="14">
        <v>10</v>
      </c>
    </row>
    <row r="9" spans="1:15" ht="16.5" customHeight="1">
      <c r="A9" s="1340">
        <v>1</v>
      </c>
      <c r="B9" s="1517" t="s">
        <v>11</v>
      </c>
      <c r="C9" s="1339">
        <v>7130800012</v>
      </c>
      <c r="D9" s="1340" t="s">
        <v>12</v>
      </c>
      <c r="E9" s="1340">
        <v>16</v>
      </c>
      <c r="F9" s="1341">
        <v>2298.46</v>
      </c>
      <c r="G9" s="1341">
        <f t="shared" ref="G9:G15" si="0">F9*E9</f>
        <v>36775.360000000001</v>
      </c>
      <c r="H9" s="1340">
        <v>16</v>
      </c>
      <c r="I9" s="1341">
        <f>+F9</f>
        <v>2298.46</v>
      </c>
      <c r="J9" s="1341">
        <f t="shared" ref="J9:J14" si="1">I9*H9</f>
        <v>36775.360000000001</v>
      </c>
    </row>
    <row r="10" spans="1:15" ht="27" customHeight="1">
      <c r="A10" s="1391">
        <v>2</v>
      </c>
      <c r="B10" s="1338" t="s">
        <v>13</v>
      </c>
      <c r="C10" s="1339">
        <v>7130810495</v>
      </c>
      <c r="D10" s="1340" t="s">
        <v>12</v>
      </c>
      <c r="E10" s="1340">
        <v>16</v>
      </c>
      <c r="F10" s="1341">
        <v>1380.08</v>
      </c>
      <c r="G10" s="1341">
        <f t="shared" si="0"/>
        <v>22081.279999999999</v>
      </c>
      <c r="H10" s="1340">
        <v>16</v>
      </c>
      <c r="I10" s="1341">
        <f t="shared" ref="I10:I35" si="2">+F10</f>
        <v>1380.08</v>
      </c>
      <c r="J10" s="1341">
        <f t="shared" si="1"/>
        <v>22081.279999999999</v>
      </c>
    </row>
    <row r="11" spans="1:15" ht="17.25" customHeight="1">
      <c r="A11" s="1340">
        <v>3</v>
      </c>
      <c r="B11" s="1338" t="s">
        <v>14</v>
      </c>
      <c r="C11" s="1339">
        <v>7130810361</v>
      </c>
      <c r="D11" s="1340" t="s">
        <v>15</v>
      </c>
      <c r="E11" s="1340">
        <v>16</v>
      </c>
      <c r="F11" s="1341">
        <v>393.51</v>
      </c>
      <c r="G11" s="1341">
        <f t="shared" si="0"/>
        <v>6296.16</v>
      </c>
      <c r="H11" s="1340">
        <v>16</v>
      </c>
      <c r="I11" s="1341">
        <f>+F11</f>
        <v>393.51</v>
      </c>
      <c r="J11" s="1341">
        <f t="shared" si="1"/>
        <v>6296.16</v>
      </c>
    </row>
    <row r="12" spans="1:15" ht="16.5" customHeight="1">
      <c r="A12" s="1340">
        <v>4</v>
      </c>
      <c r="B12" s="1517" t="s">
        <v>16</v>
      </c>
      <c r="C12" s="1339">
        <v>7130810679</v>
      </c>
      <c r="D12" s="1340" t="s">
        <v>12</v>
      </c>
      <c r="E12" s="1340">
        <v>16</v>
      </c>
      <c r="F12" s="1341">
        <v>387.16</v>
      </c>
      <c r="G12" s="1341">
        <f t="shared" si="0"/>
        <v>6194.56</v>
      </c>
      <c r="H12" s="1340">
        <v>16</v>
      </c>
      <c r="I12" s="1341">
        <f t="shared" si="2"/>
        <v>387.16</v>
      </c>
      <c r="J12" s="1341">
        <f t="shared" si="1"/>
        <v>6194.56</v>
      </c>
    </row>
    <row r="13" spans="1:15" ht="18.75" customHeight="1">
      <c r="A13" s="1340">
        <v>5</v>
      </c>
      <c r="B13" s="1584" t="s">
        <v>17</v>
      </c>
      <c r="C13" s="1339">
        <v>7130870013</v>
      </c>
      <c r="D13" s="1352" t="s">
        <v>12</v>
      </c>
      <c r="E13" s="1352" t="s">
        <v>18</v>
      </c>
      <c r="F13" s="1341">
        <v>152.88999999999999</v>
      </c>
      <c r="G13" s="1341">
        <f t="shared" si="0"/>
        <v>2446.2399999999998</v>
      </c>
      <c r="H13" s="1352" t="s">
        <v>18</v>
      </c>
      <c r="I13" s="1341">
        <f t="shared" si="2"/>
        <v>152.88999999999999</v>
      </c>
      <c r="J13" s="1341">
        <f t="shared" si="1"/>
        <v>2446.2399999999998</v>
      </c>
    </row>
    <row r="14" spans="1:15" ht="15.75" customHeight="1">
      <c r="A14" s="1340">
        <v>6</v>
      </c>
      <c r="B14" s="1517" t="s">
        <v>19</v>
      </c>
      <c r="C14" s="1339">
        <v>7130820008</v>
      </c>
      <c r="D14" s="1340" t="s">
        <v>12</v>
      </c>
      <c r="E14" s="1340">
        <v>48</v>
      </c>
      <c r="F14" s="1341">
        <v>157.08000000000001</v>
      </c>
      <c r="G14" s="1341">
        <f t="shared" si="0"/>
        <v>7539.84</v>
      </c>
      <c r="H14" s="1340">
        <v>48</v>
      </c>
      <c r="I14" s="1341">
        <f t="shared" si="2"/>
        <v>157.08000000000001</v>
      </c>
      <c r="J14" s="1341">
        <f t="shared" si="1"/>
        <v>7539.84</v>
      </c>
    </row>
    <row r="15" spans="1:15" ht="14.25" customHeight="1">
      <c r="A15" s="1340">
        <v>7</v>
      </c>
      <c r="B15" s="1517" t="s">
        <v>20</v>
      </c>
      <c r="C15" s="1339">
        <v>7130830057</v>
      </c>
      <c r="D15" s="1340" t="s">
        <v>21</v>
      </c>
      <c r="E15" s="1340">
        <v>3100</v>
      </c>
      <c r="F15" s="1341">
        <f>46676.09/1000</f>
        <v>46.676089999999995</v>
      </c>
      <c r="G15" s="1341">
        <f t="shared" si="0"/>
        <v>144695.87899999999</v>
      </c>
      <c r="H15" s="1340"/>
      <c r="I15" s="1341"/>
      <c r="J15" s="1341"/>
    </row>
    <row r="16" spans="1:15" ht="14.25" customHeight="1">
      <c r="A16" s="1340">
        <v>8</v>
      </c>
      <c r="B16" s="1517" t="s">
        <v>22</v>
      </c>
      <c r="C16" s="1339">
        <v>7130830055</v>
      </c>
      <c r="D16" s="1340" t="s">
        <v>21</v>
      </c>
      <c r="E16" s="1340"/>
      <c r="F16" s="1341"/>
      <c r="G16" s="1341"/>
      <c r="H16" s="1340">
        <v>3100</v>
      </c>
      <c r="I16" s="1341">
        <f>28020.76/1000</f>
        <v>28.020759999999999</v>
      </c>
      <c r="J16" s="1341">
        <f t="shared" ref="J16:J25" si="3">I16*H16</f>
        <v>86864.356</v>
      </c>
    </row>
    <row r="17" spans="1:13" ht="27" customHeight="1">
      <c r="A17" s="1391">
        <v>9</v>
      </c>
      <c r="B17" s="1338" t="s">
        <v>23</v>
      </c>
      <c r="C17" s="1339">
        <v>7130830050</v>
      </c>
      <c r="D17" s="935" t="s">
        <v>12</v>
      </c>
      <c r="E17" s="1340">
        <v>6</v>
      </c>
      <c r="F17" s="1341">
        <v>46.85</v>
      </c>
      <c r="G17" s="1341">
        <f t="shared" ref="G17:G25" si="4">F17*E17</f>
        <v>281.10000000000002</v>
      </c>
      <c r="H17" s="1340">
        <v>6</v>
      </c>
      <c r="I17" s="1341">
        <f t="shared" si="2"/>
        <v>46.85</v>
      </c>
      <c r="J17" s="1341">
        <f t="shared" si="3"/>
        <v>281.10000000000002</v>
      </c>
    </row>
    <row r="18" spans="1:13" ht="15.75" customHeight="1">
      <c r="A18" s="3187">
        <v>10</v>
      </c>
      <c r="B18" s="1220" t="s">
        <v>24</v>
      </c>
      <c r="C18" s="1339">
        <v>7130860032</v>
      </c>
      <c r="D18" s="1340" t="s">
        <v>12</v>
      </c>
      <c r="E18" s="1409">
        <v>4</v>
      </c>
      <c r="F18" s="1341">
        <v>566.19000000000005</v>
      </c>
      <c r="G18" s="1341">
        <f t="shared" si="4"/>
        <v>2264.7600000000002</v>
      </c>
      <c r="H18" s="1409">
        <v>4</v>
      </c>
      <c r="I18" s="1341">
        <f t="shared" si="2"/>
        <v>566.19000000000005</v>
      </c>
      <c r="J18" s="1341">
        <f t="shared" si="3"/>
        <v>2264.7600000000002</v>
      </c>
    </row>
    <row r="19" spans="1:13" ht="15.75" customHeight="1">
      <c r="A19" s="3188"/>
      <c r="B19" s="1517" t="s">
        <v>25</v>
      </c>
      <c r="C19" s="1339">
        <v>7130860077</v>
      </c>
      <c r="D19" s="1340" t="s">
        <v>26</v>
      </c>
      <c r="E19" s="1340">
        <v>22</v>
      </c>
      <c r="F19" s="1341">
        <f>93766.43/1000</f>
        <v>93.76643</v>
      </c>
      <c r="G19" s="1341">
        <f t="shared" si="4"/>
        <v>2062.8614600000001</v>
      </c>
      <c r="H19" s="1340">
        <v>22</v>
      </c>
      <c r="I19" s="1341">
        <f t="shared" si="2"/>
        <v>93.76643</v>
      </c>
      <c r="J19" s="1341">
        <f t="shared" si="3"/>
        <v>2062.8614600000001</v>
      </c>
    </row>
    <row r="20" spans="1:13" ht="15.75" customHeight="1">
      <c r="A20" s="3189"/>
      <c r="B20" s="1517" t="s">
        <v>27</v>
      </c>
      <c r="C20" s="1339">
        <v>7130810026</v>
      </c>
      <c r="D20" s="1409" t="s">
        <v>15</v>
      </c>
      <c r="E20" s="1340">
        <v>4</v>
      </c>
      <c r="F20" s="1341">
        <v>198.14</v>
      </c>
      <c r="G20" s="1341">
        <f t="shared" si="4"/>
        <v>792.56</v>
      </c>
      <c r="H20" s="1340">
        <v>4</v>
      </c>
      <c r="I20" s="1341">
        <f>+F20</f>
        <v>198.14</v>
      </c>
      <c r="J20" s="1341">
        <f t="shared" si="3"/>
        <v>792.56</v>
      </c>
    </row>
    <row r="21" spans="1:13" ht="15.75" customHeight="1">
      <c r="A21" s="1340">
        <v>11</v>
      </c>
      <c r="B21" s="1517" t="s">
        <v>28</v>
      </c>
      <c r="C21" s="1339">
        <v>7130211158</v>
      </c>
      <c r="D21" s="1340" t="s">
        <v>29</v>
      </c>
      <c r="E21" s="1340">
        <v>4</v>
      </c>
      <c r="F21" s="1341">
        <v>193.62</v>
      </c>
      <c r="G21" s="1341">
        <f t="shared" si="4"/>
        <v>774.48</v>
      </c>
      <c r="H21" s="1340">
        <v>4</v>
      </c>
      <c r="I21" s="1341">
        <f t="shared" si="2"/>
        <v>193.62</v>
      </c>
      <c r="J21" s="1341">
        <f t="shared" si="3"/>
        <v>774.48</v>
      </c>
    </row>
    <row r="22" spans="1:13" ht="15.75" customHeight="1">
      <c r="A22" s="1340">
        <v>12</v>
      </c>
      <c r="B22" s="1517" t="s">
        <v>30</v>
      </c>
      <c r="C22" s="1339">
        <v>7130210809</v>
      </c>
      <c r="D22" s="1340" t="s">
        <v>29</v>
      </c>
      <c r="E22" s="1340">
        <v>4</v>
      </c>
      <c r="F22" s="1341">
        <v>432.63</v>
      </c>
      <c r="G22" s="1341">
        <f t="shared" si="4"/>
        <v>1730.52</v>
      </c>
      <c r="H22" s="1340">
        <v>4</v>
      </c>
      <c r="I22" s="1341">
        <f>+F22</f>
        <v>432.63</v>
      </c>
      <c r="J22" s="1341">
        <f t="shared" si="3"/>
        <v>1730.52</v>
      </c>
    </row>
    <row r="23" spans="1:13" ht="15.75" customHeight="1">
      <c r="A23" s="1340">
        <v>13</v>
      </c>
      <c r="B23" s="1372" t="s">
        <v>31</v>
      </c>
      <c r="C23" s="1370">
        <v>7130610206</v>
      </c>
      <c r="D23" s="1340" t="s">
        <v>26</v>
      </c>
      <c r="E23" s="1340">
        <v>32</v>
      </c>
      <c r="F23" s="1341">
        <f>97233.43/1000</f>
        <v>97.233429999999998</v>
      </c>
      <c r="G23" s="1341">
        <f t="shared" si="4"/>
        <v>3111.46976</v>
      </c>
      <c r="H23" s="1340">
        <v>32</v>
      </c>
      <c r="I23" s="1341">
        <f t="shared" si="2"/>
        <v>97.233429999999998</v>
      </c>
      <c r="J23" s="1341">
        <f t="shared" si="3"/>
        <v>3111.46976</v>
      </c>
      <c r="K23" s="15"/>
      <c r="L23" s="16"/>
      <c r="M23" s="17"/>
    </row>
    <row r="24" spans="1:13" ht="15.75" customHeight="1">
      <c r="A24" s="1340">
        <v>14</v>
      </c>
      <c r="B24" s="1517" t="s">
        <v>32</v>
      </c>
      <c r="C24" s="1339">
        <v>7130880041</v>
      </c>
      <c r="D24" s="1340" t="s">
        <v>33</v>
      </c>
      <c r="E24" s="1340">
        <v>16</v>
      </c>
      <c r="F24" s="1341">
        <v>113.77</v>
      </c>
      <c r="G24" s="1341">
        <f t="shared" si="4"/>
        <v>1820.32</v>
      </c>
      <c r="H24" s="1340">
        <v>16</v>
      </c>
      <c r="I24" s="1341">
        <f t="shared" si="2"/>
        <v>113.77</v>
      </c>
      <c r="J24" s="1341">
        <f t="shared" si="3"/>
        <v>1820.32</v>
      </c>
    </row>
    <row r="25" spans="1:13" ht="15.75" customHeight="1">
      <c r="A25" s="1340">
        <v>15</v>
      </c>
      <c r="B25" s="1517" t="s">
        <v>34</v>
      </c>
      <c r="C25" s="1339">
        <v>7130830006</v>
      </c>
      <c r="D25" s="1340" t="s">
        <v>26</v>
      </c>
      <c r="E25" s="1340">
        <v>3</v>
      </c>
      <c r="F25" s="1341">
        <v>201.5</v>
      </c>
      <c r="G25" s="1341">
        <f t="shared" si="4"/>
        <v>604.5</v>
      </c>
      <c r="H25" s="1340">
        <v>3</v>
      </c>
      <c r="I25" s="1341">
        <f t="shared" si="2"/>
        <v>201.5</v>
      </c>
      <c r="J25" s="1341">
        <f t="shared" si="3"/>
        <v>604.5</v>
      </c>
      <c r="M25" s="18"/>
    </row>
    <row r="26" spans="1:13" ht="15.75" customHeight="1">
      <c r="A26" s="3187">
        <v>16</v>
      </c>
      <c r="B26" s="679" t="s">
        <v>35</v>
      </c>
      <c r="C26" s="1339"/>
      <c r="D26" s="1340" t="s">
        <v>26</v>
      </c>
      <c r="E26" s="1409">
        <f>E27+E28</f>
        <v>18</v>
      </c>
      <c r="F26" s="1341"/>
      <c r="G26" s="1430"/>
      <c r="H26" s="1409">
        <f>H27+H28</f>
        <v>18</v>
      </c>
      <c r="I26" s="1341"/>
      <c r="J26" s="1341"/>
    </row>
    <row r="27" spans="1:13" ht="15.75" customHeight="1">
      <c r="A27" s="3188"/>
      <c r="B27" s="1585" t="s">
        <v>36</v>
      </c>
      <c r="C27" s="1339">
        <v>7130620619</v>
      </c>
      <c r="D27" s="1340" t="s">
        <v>26</v>
      </c>
      <c r="E27" s="1340">
        <v>2</v>
      </c>
      <c r="F27" s="1341">
        <v>85.77</v>
      </c>
      <c r="G27" s="1341">
        <f>F27*E27</f>
        <v>171.54</v>
      </c>
      <c r="H27" s="1340">
        <v>2</v>
      </c>
      <c r="I27" s="1341">
        <f t="shared" si="2"/>
        <v>85.77</v>
      </c>
      <c r="J27" s="1341">
        <f>I27*H27</f>
        <v>171.54</v>
      </c>
    </row>
    <row r="28" spans="1:13" ht="15.75" customHeight="1">
      <c r="A28" s="3189"/>
      <c r="B28" s="1585" t="s">
        <v>37</v>
      </c>
      <c r="C28" s="1339">
        <v>7130620627</v>
      </c>
      <c r="D28" s="1340" t="s">
        <v>26</v>
      </c>
      <c r="E28" s="252">
        <v>16</v>
      </c>
      <c r="F28" s="1341">
        <v>84.32</v>
      </c>
      <c r="G28" s="1341">
        <f>F28*E28</f>
        <v>1349.12</v>
      </c>
      <c r="H28" s="1340">
        <v>16</v>
      </c>
      <c r="I28" s="1341">
        <f t="shared" si="2"/>
        <v>84.32</v>
      </c>
      <c r="J28" s="1341">
        <f>I28*H28</f>
        <v>1349.12</v>
      </c>
    </row>
    <row r="29" spans="1:13" ht="15.75" customHeight="1">
      <c r="A29" s="3258">
        <v>17</v>
      </c>
      <c r="B29" s="679" t="s">
        <v>38</v>
      </c>
      <c r="C29" s="1339"/>
      <c r="D29" s="1340"/>
      <c r="E29" s="1340"/>
      <c r="F29" s="1343">
        <f>G30+G31+G32+G33+G34+G35</f>
        <v>9274.9851300000009</v>
      </c>
      <c r="G29" s="1341"/>
      <c r="H29" s="1340"/>
      <c r="I29" s="1343">
        <f>J30+J31+J32+J33+J34+J35</f>
        <v>9274.9851300000009</v>
      </c>
      <c r="J29" s="1341"/>
    </row>
    <row r="30" spans="1:13" ht="15.75" customHeight="1">
      <c r="A30" s="3259"/>
      <c r="B30" s="1517" t="s">
        <v>39</v>
      </c>
      <c r="C30" s="1367">
        <v>7130810511</v>
      </c>
      <c r="D30" s="1340" t="s">
        <v>40</v>
      </c>
      <c r="E30" s="1340">
        <v>1</v>
      </c>
      <c r="F30" s="1341">
        <v>3272.43</v>
      </c>
      <c r="G30" s="1341">
        <f t="shared" ref="G30:G35" si="5">F30*E30</f>
        <v>3272.43</v>
      </c>
      <c r="H30" s="1340">
        <v>1</v>
      </c>
      <c r="I30" s="1341">
        <f t="shared" si="2"/>
        <v>3272.43</v>
      </c>
      <c r="J30" s="1341">
        <f t="shared" ref="J30:J35" si="6">I30*H30</f>
        <v>3272.43</v>
      </c>
    </row>
    <row r="31" spans="1:13" ht="15.75" customHeight="1">
      <c r="A31" s="3259"/>
      <c r="B31" s="1517" t="s">
        <v>41</v>
      </c>
      <c r="C31" s="1339">
        <v>7130870043</v>
      </c>
      <c r="D31" s="1340" t="s">
        <v>26</v>
      </c>
      <c r="E31" s="1340">
        <v>35</v>
      </c>
      <c r="F31" s="1341">
        <f>80521.84/1000</f>
        <v>80.521839999999997</v>
      </c>
      <c r="G31" s="1341">
        <f t="shared" si="5"/>
        <v>2818.2644</v>
      </c>
      <c r="H31" s="1340">
        <v>35</v>
      </c>
      <c r="I31" s="1341">
        <f t="shared" si="2"/>
        <v>80.521839999999997</v>
      </c>
      <c r="J31" s="1341">
        <f t="shared" si="6"/>
        <v>2818.2644</v>
      </c>
    </row>
    <row r="32" spans="1:13" ht="15.75" customHeight="1">
      <c r="A32" s="3259"/>
      <c r="B32" s="1517" t="s">
        <v>27</v>
      </c>
      <c r="C32" s="1586">
        <v>7130810026</v>
      </c>
      <c r="D32" s="1409" t="s">
        <v>15</v>
      </c>
      <c r="E32" s="1340">
        <v>2</v>
      </c>
      <c r="F32" s="1341">
        <f>+F20</f>
        <v>198.14</v>
      </c>
      <c r="G32" s="1341">
        <f>F32*E32</f>
        <v>396.28</v>
      </c>
      <c r="H32" s="1340">
        <v>2</v>
      </c>
      <c r="I32" s="1341">
        <f t="shared" si="2"/>
        <v>198.14</v>
      </c>
      <c r="J32" s="1341">
        <f>I32*H32</f>
        <v>396.28</v>
      </c>
    </row>
    <row r="33" spans="1:14" ht="15.75" customHeight="1">
      <c r="A33" s="3259"/>
      <c r="B33" s="1517" t="s">
        <v>42</v>
      </c>
      <c r="C33" s="1339">
        <v>7130860077</v>
      </c>
      <c r="D33" s="1386" t="s">
        <v>26</v>
      </c>
      <c r="E33" s="1386">
        <v>11</v>
      </c>
      <c r="F33" s="1341">
        <f>+F19</f>
        <v>93.76643</v>
      </c>
      <c r="G33" s="1341">
        <f t="shared" si="5"/>
        <v>1031.43073</v>
      </c>
      <c r="H33" s="1386">
        <v>11</v>
      </c>
      <c r="I33" s="1341">
        <f t="shared" si="2"/>
        <v>93.76643</v>
      </c>
      <c r="J33" s="1341">
        <f t="shared" si="6"/>
        <v>1031.43073</v>
      </c>
      <c r="M33" s="19"/>
    </row>
    <row r="34" spans="1:14" ht="15.75" customHeight="1">
      <c r="A34" s="3259"/>
      <c r="B34" s="1517" t="s">
        <v>43</v>
      </c>
      <c r="C34" s="1339">
        <v>7130860032</v>
      </c>
      <c r="D34" s="1340" t="s">
        <v>12</v>
      </c>
      <c r="E34" s="1340">
        <v>2</v>
      </c>
      <c r="F34" s="1341">
        <f>+F18</f>
        <v>566.19000000000005</v>
      </c>
      <c r="G34" s="1341">
        <f>F34*E34</f>
        <v>1132.3800000000001</v>
      </c>
      <c r="H34" s="1340">
        <v>2</v>
      </c>
      <c r="I34" s="1341">
        <f t="shared" si="2"/>
        <v>566.19000000000005</v>
      </c>
      <c r="J34" s="1341">
        <f>I34*H34</f>
        <v>1132.3800000000001</v>
      </c>
    </row>
    <row r="35" spans="1:14" ht="15.75" customHeight="1">
      <c r="A35" s="3260"/>
      <c r="B35" s="1517" t="s">
        <v>44</v>
      </c>
      <c r="C35" s="1339">
        <v>7130620013</v>
      </c>
      <c r="D35" s="1383" t="s">
        <v>12</v>
      </c>
      <c r="E35" s="1340">
        <v>4</v>
      </c>
      <c r="F35" s="1341">
        <v>156.05000000000001</v>
      </c>
      <c r="G35" s="1341">
        <f t="shared" si="5"/>
        <v>624.20000000000005</v>
      </c>
      <c r="H35" s="1340">
        <v>4</v>
      </c>
      <c r="I35" s="1341">
        <f t="shared" si="2"/>
        <v>156.05000000000001</v>
      </c>
      <c r="J35" s="1341">
        <f t="shared" si="6"/>
        <v>624.20000000000005</v>
      </c>
    </row>
    <row r="36" spans="1:14" ht="30.75" customHeight="1">
      <c r="A36" s="3261">
        <v>18</v>
      </c>
      <c r="B36" s="1220" t="s">
        <v>45</v>
      </c>
      <c r="C36" s="1587"/>
      <c r="D36" s="1383"/>
      <c r="E36" s="1382">
        <f>16+(4+2)</f>
        <v>22</v>
      </c>
      <c r="F36" s="1341"/>
      <c r="G36" s="1341"/>
      <c r="H36" s="1382">
        <f>16+(4+2)</f>
        <v>22</v>
      </c>
      <c r="I36" s="1341"/>
      <c r="J36" s="1341"/>
    </row>
    <row r="37" spans="1:14" ht="15.75" customHeight="1">
      <c r="A37" s="3262"/>
      <c r="B37" s="1369" t="s">
        <v>46</v>
      </c>
      <c r="C37" s="1587">
        <v>7130640008</v>
      </c>
      <c r="D37" s="1588" t="s">
        <v>33</v>
      </c>
      <c r="E37" s="1382">
        <f>(16+12)</f>
        <v>28</v>
      </c>
      <c r="F37" s="1341">
        <f>VLOOKUP(C37,'[26]SOR RATE'!A$1:D$65536,4,0)</f>
        <v>158</v>
      </c>
      <c r="G37" s="1341">
        <f>F37*E37</f>
        <v>4424</v>
      </c>
      <c r="H37" s="1382">
        <f>(16+12)</f>
        <v>28</v>
      </c>
      <c r="I37" s="1341">
        <f>VLOOKUP(C37,'[26]SOR RATE'!A$1:D$65536,4,0)</f>
        <v>158</v>
      </c>
      <c r="J37" s="1341">
        <f>I37*H37</f>
        <v>4424</v>
      </c>
      <c r="K37" s="3263" t="s">
        <v>47</v>
      </c>
      <c r="L37" s="3264"/>
    </row>
    <row r="38" spans="1:14" ht="15.75" customHeight="1">
      <c r="A38" s="932">
        <v>19</v>
      </c>
      <c r="B38" s="1426" t="s">
        <v>48</v>
      </c>
      <c r="C38" s="1589"/>
      <c r="D38" s="943"/>
      <c r="E38" s="942"/>
      <c r="F38" s="932"/>
      <c r="G38" s="1343">
        <f>SUM(G9:G37)</f>
        <v>254691.53535000002</v>
      </c>
      <c r="H38" s="1343"/>
      <c r="I38" s="1343"/>
      <c r="J38" s="1343">
        <f>SUM(J9:J37)</f>
        <v>196860.01235000003</v>
      </c>
      <c r="K38" s="20"/>
      <c r="L38" s="21"/>
    </row>
    <row r="39" spans="1:14" ht="15.75" customHeight="1">
      <c r="A39" s="946">
        <v>20</v>
      </c>
      <c r="B39" s="1426" t="s">
        <v>49</v>
      </c>
      <c r="C39" s="1589"/>
      <c r="D39" s="932"/>
      <c r="E39" s="932"/>
      <c r="F39" s="932"/>
      <c r="G39" s="1343">
        <f>G38/1.18</f>
        <v>215840.28419491529</v>
      </c>
      <c r="H39" s="1343"/>
      <c r="I39" s="1343"/>
      <c r="J39" s="1343">
        <f>J38/1.18</f>
        <v>166830.51894067801</v>
      </c>
      <c r="K39" s="17"/>
      <c r="L39" s="21"/>
    </row>
    <row r="40" spans="1:14" ht="15.75" customHeight="1">
      <c r="A40" s="1512">
        <v>21</v>
      </c>
      <c r="B40" s="1372" t="s">
        <v>50</v>
      </c>
      <c r="C40" s="1590"/>
      <c r="D40" s="1590"/>
      <c r="E40" s="1590"/>
      <c r="F40" s="1339">
        <v>7.4999999999999997E-2</v>
      </c>
      <c r="G40" s="1341">
        <f>G38*F40</f>
        <v>19101.86515125</v>
      </c>
      <c r="H40" s="1339"/>
      <c r="I40" s="1339">
        <v>7.4999999999999997E-2</v>
      </c>
      <c r="J40" s="1341">
        <f>J38*I40</f>
        <v>14764.500926250003</v>
      </c>
      <c r="K40" s="16"/>
      <c r="L40" s="21"/>
    </row>
    <row r="41" spans="1:14" ht="17.25" customHeight="1">
      <c r="A41" s="935">
        <v>22</v>
      </c>
      <c r="B41" s="1338" t="s">
        <v>51</v>
      </c>
      <c r="C41" s="1591"/>
      <c r="D41" s="935" t="s">
        <v>12</v>
      </c>
      <c r="E41" s="935">
        <v>12</v>
      </c>
      <c r="F41" s="336">
        <f>339.936450725958*1.043</f>
        <v>354.55371810717418</v>
      </c>
      <c r="G41" s="1341">
        <f>F41*E41</f>
        <v>4254.6446172860906</v>
      </c>
      <c r="H41" s="935">
        <v>12</v>
      </c>
      <c r="I41" s="1592">
        <f>+F41</f>
        <v>354.55371810717418</v>
      </c>
      <c r="J41" s="1341">
        <f>I41*H41</f>
        <v>4254.6446172860906</v>
      </c>
      <c r="L41" s="18"/>
      <c r="M41" s="18"/>
      <c r="N41" s="18"/>
    </row>
    <row r="42" spans="1:14" ht="16.5" customHeight="1">
      <c r="A42" s="1340">
        <v>23</v>
      </c>
      <c r="B42" s="1517" t="s">
        <v>52</v>
      </c>
      <c r="C42" s="1339"/>
      <c r="D42" s="1340"/>
      <c r="E42" s="1340"/>
      <c r="F42" s="1340"/>
      <c r="G42" s="1341">
        <v>43458.19</v>
      </c>
      <c r="H42" s="1341"/>
      <c r="I42" s="1593"/>
      <c r="J42" s="1341">
        <v>42378.69</v>
      </c>
      <c r="K42" s="22"/>
      <c r="L42" s="23"/>
      <c r="M42" s="17"/>
      <c r="N42" s="17"/>
    </row>
    <row r="43" spans="1:14" ht="18.75" customHeight="1">
      <c r="A43" s="935">
        <v>24</v>
      </c>
      <c r="B43" s="1338" t="s">
        <v>53</v>
      </c>
      <c r="C43" s="1591"/>
      <c r="D43" s="935"/>
      <c r="E43" s="935"/>
      <c r="F43" s="1592"/>
      <c r="G43" s="1430">
        <f>G39*0.04</f>
        <v>8633.6113677966114</v>
      </c>
      <c r="H43" s="935"/>
      <c r="I43" s="1594"/>
      <c r="J43" s="1592">
        <f>J39*0.04</f>
        <v>6673.2207576271203</v>
      </c>
      <c r="K43" s="754" t="s">
        <v>1827</v>
      </c>
      <c r="L43" s="24"/>
      <c r="N43" s="18"/>
    </row>
    <row r="44" spans="1:14" ht="27.75" customHeight="1">
      <c r="A44" s="1595">
        <v>25</v>
      </c>
      <c r="B44" s="1596" t="s">
        <v>54</v>
      </c>
      <c r="C44" s="1591"/>
      <c r="D44" s="935"/>
      <c r="E44" s="935"/>
      <c r="F44" s="1592"/>
      <c r="G44" s="1430">
        <f>(G38+G40+G41+G42+G43)*0.125</f>
        <v>41267.480810791589</v>
      </c>
      <c r="H44" s="1430"/>
      <c r="I44" s="1430"/>
      <c r="J44" s="1430">
        <f>(J38+J40+J41+J42+J43)*0.125</f>
        <v>33116.383581395407</v>
      </c>
      <c r="K44" s="25"/>
      <c r="L44" s="26"/>
      <c r="N44" s="18"/>
    </row>
    <row r="45" spans="1:14" ht="30" customHeight="1">
      <c r="A45" s="933">
        <v>26</v>
      </c>
      <c r="B45" s="1457" t="s">
        <v>55</v>
      </c>
      <c r="C45" s="1591"/>
      <c r="D45" s="935"/>
      <c r="E45" s="935"/>
      <c r="F45" s="1592"/>
      <c r="G45" s="1364">
        <f>SUM(G39:G44)</f>
        <v>332556.07614203962</v>
      </c>
      <c r="H45" s="933"/>
      <c r="I45" s="1597"/>
      <c r="J45" s="1364">
        <f>SUM(J39:J44)</f>
        <v>268017.95882323664</v>
      </c>
      <c r="K45" s="27"/>
      <c r="L45" s="28"/>
      <c r="N45" s="18"/>
    </row>
    <row r="46" spans="1:14" ht="17.25" customHeight="1">
      <c r="A46" s="1363">
        <v>27</v>
      </c>
      <c r="B46" s="1372" t="s">
        <v>56</v>
      </c>
      <c r="C46" s="1591"/>
      <c r="D46" s="935"/>
      <c r="E46" s="935"/>
      <c r="F46" s="1592">
        <v>0.09</v>
      </c>
      <c r="G46" s="336">
        <f>G45*F46</f>
        <v>29930.046852783566</v>
      </c>
      <c r="H46" s="933"/>
      <c r="I46" s="336">
        <v>0.09</v>
      </c>
      <c r="J46" s="336">
        <f>J45*I46</f>
        <v>24121.616294091298</v>
      </c>
      <c r="K46" s="22"/>
      <c r="L46" s="29"/>
      <c r="N46" s="18"/>
    </row>
    <row r="47" spans="1:14" ht="17.25" customHeight="1">
      <c r="A47" s="935">
        <v>28</v>
      </c>
      <c r="B47" s="1372" t="s">
        <v>57</v>
      </c>
      <c r="C47" s="1591"/>
      <c r="D47" s="935"/>
      <c r="E47" s="935"/>
      <c r="F47" s="1592">
        <v>0.09</v>
      </c>
      <c r="G47" s="1592">
        <f>G45*F47</f>
        <v>29930.046852783566</v>
      </c>
      <c r="H47" s="935"/>
      <c r="I47" s="1592">
        <v>0.09</v>
      </c>
      <c r="J47" s="1592">
        <f>J45*I47</f>
        <v>24121.616294091298</v>
      </c>
      <c r="K47" s="22"/>
      <c r="L47" s="29"/>
      <c r="N47" s="18"/>
    </row>
    <row r="48" spans="1:14" ht="15.75" customHeight="1">
      <c r="A48" s="1340">
        <v>29</v>
      </c>
      <c r="B48" s="1372" t="s">
        <v>58</v>
      </c>
      <c r="C48" s="1339"/>
      <c r="D48" s="1340"/>
      <c r="E48" s="1340"/>
      <c r="F48" s="1340"/>
      <c r="G48" s="1341">
        <f>G45+G46+G47</f>
        <v>392416.1698476068</v>
      </c>
      <c r="H48" s="1341"/>
      <c r="I48" s="1341"/>
      <c r="J48" s="1341">
        <f>J45+J46+J47</f>
        <v>316261.19141141919</v>
      </c>
      <c r="K48" s="22"/>
    </row>
    <row r="49" spans="1:13" ht="20.25" customHeight="1">
      <c r="A49" s="933">
        <v>30</v>
      </c>
      <c r="B49" s="1457" t="s">
        <v>59</v>
      </c>
      <c r="C49" s="1598"/>
      <c r="D49" s="209"/>
      <c r="E49" s="209"/>
      <c r="F49" s="1599"/>
      <c r="G49" s="1599">
        <f>ROUND(G48,0)</f>
        <v>392416</v>
      </c>
      <c r="H49" s="209"/>
      <c r="I49" s="1600"/>
      <c r="J49" s="1599">
        <f>ROUND(J48,0)</f>
        <v>316261</v>
      </c>
      <c r="K49" s="22"/>
    </row>
    <row r="50" spans="1:13" ht="9" customHeight="1">
      <c r="A50" s="30"/>
      <c r="B50" s="31"/>
      <c r="C50" s="32"/>
      <c r="D50" s="33"/>
      <c r="E50" s="33"/>
      <c r="F50" s="34"/>
      <c r="G50" s="34"/>
      <c r="H50" s="33"/>
      <c r="I50" s="35"/>
      <c r="J50" s="34"/>
    </row>
    <row r="51" spans="1:13" ht="14.25" customHeight="1">
      <c r="A51" s="36" t="s">
        <v>60</v>
      </c>
      <c r="B51" s="37"/>
      <c r="C51" s="38"/>
      <c r="I51" s="39"/>
    </row>
    <row r="52" spans="1:13" ht="14.25" customHeight="1">
      <c r="A52" s="40"/>
      <c r="B52" s="41" t="s">
        <v>61</v>
      </c>
      <c r="C52" s="42"/>
      <c r="D52" s="43"/>
      <c r="E52" s="43"/>
      <c r="F52" s="43"/>
      <c r="G52" s="43"/>
      <c r="I52" s="39"/>
    </row>
    <row r="53" spans="1:13" ht="15">
      <c r="A53" s="44" t="s">
        <v>62</v>
      </c>
      <c r="B53" s="29" t="s">
        <v>63</v>
      </c>
    </row>
    <row r="54" spans="1:13" ht="15">
      <c r="B54" s="46"/>
      <c r="C54" s="46"/>
      <c r="M54" s="46"/>
    </row>
    <row r="55" spans="1:13" ht="15.75" customHeight="1">
      <c r="B55" s="46"/>
      <c r="C55" s="46"/>
    </row>
  </sheetData>
  <mergeCells count="14">
    <mergeCell ref="A18:A20"/>
    <mergeCell ref="A26:A28"/>
    <mergeCell ref="A29:A35"/>
    <mergeCell ref="A36:A37"/>
    <mergeCell ref="K37:L37"/>
    <mergeCell ref="A1:B1"/>
    <mergeCell ref="C1:G1"/>
    <mergeCell ref="B3:H3"/>
    <mergeCell ref="A6:A7"/>
    <mergeCell ref="B6:B7"/>
    <mergeCell ref="C6:C7"/>
    <mergeCell ref="D6:D7"/>
    <mergeCell ref="E6:G6"/>
    <mergeCell ref="H6:J6"/>
  </mergeCells>
  <conditionalFormatting sqref="B38">
    <cfRule type="cellIs" dxfId="112" priority="2" stopIfTrue="1" operator="equal">
      <formula>"?"</formula>
    </cfRule>
  </conditionalFormatting>
  <conditionalFormatting sqref="B39">
    <cfRule type="cellIs" dxfId="111" priority="1" stopIfTrue="1" operator="equal">
      <formula>"?"</formula>
    </cfRule>
  </conditionalFormatting>
  <printOptions horizontalCentered="1" gridLines="1"/>
  <pageMargins left="1" right="0.17" top="0.56000000000000005" bottom="0.21" header="0.27" footer="0.12"/>
  <pageSetup paperSize="9" scale="105" fitToHeight="2" orientation="landscape" horizontalDpi="4294967295" r:id="rId1"/>
  <headerFooter alignWithMargins="0"/>
  <rowBreaks count="2" manualBreakCount="2">
    <brk id="25" max="16383" man="1"/>
    <brk id="5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3"/>
  <sheetViews>
    <sheetView zoomScaleNormal="100" zoomScaleSheetLayoutView="70" workbookViewId="0">
      <pane xSplit="3" ySplit="8" topLeftCell="D38" activePane="bottomRight" state="frozen"/>
      <selection pane="topRight" activeCell="D1" sqref="D1"/>
      <selection pane="bottomLeft" activeCell="A9" sqref="A9"/>
      <selection pane="bottomRight" activeCell="H35" sqref="H35"/>
    </sheetView>
  </sheetViews>
  <sheetFormatPr defaultRowHeight="12.75"/>
  <cols>
    <col min="1" max="1" width="6" style="6" customWidth="1"/>
    <col min="2" max="2" width="52.42578125" style="4" customWidth="1"/>
    <col min="3" max="3" width="11.7109375" style="45" customWidth="1"/>
    <col min="4" max="4" width="6" style="4" customWidth="1"/>
    <col min="5" max="5" width="5.5703125" style="4" customWidth="1"/>
    <col min="6" max="6" width="8.85546875" style="4" customWidth="1"/>
    <col min="7" max="7" width="11" style="4" bestFit="1" customWidth="1"/>
    <col min="8" max="8" width="20.7109375" style="4" customWidth="1"/>
    <col min="9" max="9" width="17.85546875" style="4" customWidth="1"/>
    <col min="10" max="10" width="9.140625" style="4"/>
    <col min="11" max="11" width="10.5703125" style="4" bestFit="1" customWidth="1"/>
    <col min="12" max="256" width="9.140625" style="4"/>
    <col min="257" max="257" width="6" style="4" customWidth="1"/>
    <col min="258" max="258" width="52.42578125" style="4" customWidth="1"/>
    <col min="259" max="259" width="11.7109375" style="4" customWidth="1"/>
    <col min="260" max="260" width="6" style="4" customWidth="1"/>
    <col min="261" max="261" width="5.5703125" style="4" customWidth="1"/>
    <col min="262" max="262" width="8.85546875" style="4" customWidth="1"/>
    <col min="263" max="263" width="11" style="4" bestFit="1" customWidth="1"/>
    <col min="264" max="264" width="20.7109375" style="4" customWidth="1"/>
    <col min="265" max="265" width="17.85546875" style="4" customWidth="1"/>
    <col min="266" max="266" width="9.140625" style="4"/>
    <col min="267" max="267" width="10.5703125" style="4" bestFit="1" customWidth="1"/>
    <col min="268" max="512" width="9.140625" style="4"/>
    <col min="513" max="513" width="6" style="4" customWidth="1"/>
    <col min="514" max="514" width="52.42578125" style="4" customWidth="1"/>
    <col min="515" max="515" width="11.7109375" style="4" customWidth="1"/>
    <col min="516" max="516" width="6" style="4" customWidth="1"/>
    <col min="517" max="517" width="5.5703125" style="4" customWidth="1"/>
    <col min="518" max="518" width="8.85546875" style="4" customWidth="1"/>
    <col min="519" max="519" width="11" style="4" bestFit="1" customWidth="1"/>
    <col min="520" max="520" width="20.7109375" style="4" customWidth="1"/>
    <col min="521" max="521" width="17.85546875" style="4" customWidth="1"/>
    <col min="522" max="522" width="9.140625" style="4"/>
    <col min="523" max="523" width="10.5703125" style="4" bestFit="1" customWidth="1"/>
    <col min="524" max="768" width="9.140625" style="4"/>
    <col min="769" max="769" width="6" style="4" customWidth="1"/>
    <col min="770" max="770" width="52.42578125" style="4" customWidth="1"/>
    <col min="771" max="771" width="11.7109375" style="4" customWidth="1"/>
    <col min="772" max="772" width="6" style="4" customWidth="1"/>
    <col min="773" max="773" width="5.5703125" style="4" customWidth="1"/>
    <col min="774" max="774" width="8.85546875" style="4" customWidth="1"/>
    <col min="775" max="775" width="11" style="4" bestFit="1" customWidth="1"/>
    <col min="776" max="776" width="20.7109375" style="4" customWidth="1"/>
    <col min="777" max="777" width="17.85546875" style="4" customWidth="1"/>
    <col min="778" max="778" width="9.140625" style="4"/>
    <col min="779" max="779" width="10.5703125" style="4" bestFit="1" customWidth="1"/>
    <col min="780" max="1024" width="9.140625" style="4"/>
    <col min="1025" max="1025" width="6" style="4" customWidth="1"/>
    <col min="1026" max="1026" width="52.42578125" style="4" customWidth="1"/>
    <col min="1027" max="1027" width="11.7109375" style="4" customWidth="1"/>
    <col min="1028" max="1028" width="6" style="4" customWidth="1"/>
    <col min="1029" max="1029" width="5.5703125" style="4" customWidth="1"/>
    <col min="1030" max="1030" width="8.85546875" style="4" customWidth="1"/>
    <col min="1031" max="1031" width="11" style="4" bestFit="1" customWidth="1"/>
    <col min="1032" max="1032" width="20.7109375" style="4" customWidth="1"/>
    <col min="1033" max="1033" width="17.85546875" style="4" customWidth="1"/>
    <col min="1034" max="1034" width="9.140625" style="4"/>
    <col min="1035" max="1035" width="10.5703125" style="4" bestFit="1" customWidth="1"/>
    <col min="1036" max="1280" width="9.140625" style="4"/>
    <col min="1281" max="1281" width="6" style="4" customWidth="1"/>
    <col min="1282" max="1282" width="52.42578125" style="4" customWidth="1"/>
    <col min="1283" max="1283" width="11.7109375" style="4" customWidth="1"/>
    <col min="1284" max="1284" width="6" style="4" customWidth="1"/>
    <col min="1285" max="1285" width="5.5703125" style="4" customWidth="1"/>
    <col min="1286" max="1286" width="8.85546875" style="4" customWidth="1"/>
    <col min="1287" max="1287" width="11" style="4" bestFit="1" customWidth="1"/>
    <col min="1288" max="1288" width="20.7109375" style="4" customWidth="1"/>
    <col min="1289" max="1289" width="17.85546875" style="4" customWidth="1"/>
    <col min="1290" max="1290" width="9.140625" style="4"/>
    <col min="1291" max="1291" width="10.5703125" style="4" bestFit="1" customWidth="1"/>
    <col min="1292" max="1536" width="9.140625" style="4"/>
    <col min="1537" max="1537" width="6" style="4" customWidth="1"/>
    <col min="1538" max="1538" width="52.42578125" style="4" customWidth="1"/>
    <col min="1539" max="1539" width="11.7109375" style="4" customWidth="1"/>
    <col min="1540" max="1540" width="6" style="4" customWidth="1"/>
    <col min="1541" max="1541" width="5.5703125" style="4" customWidth="1"/>
    <col min="1542" max="1542" width="8.85546875" style="4" customWidth="1"/>
    <col min="1543" max="1543" width="11" style="4" bestFit="1" customWidth="1"/>
    <col min="1544" max="1544" width="20.7109375" style="4" customWidth="1"/>
    <col min="1545" max="1545" width="17.85546875" style="4" customWidth="1"/>
    <col min="1546" max="1546" width="9.140625" style="4"/>
    <col min="1547" max="1547" width="10.5703125" style="4" bestFit="1" customWidth="1"/>
    <col min="1548" max="1792" width="9.140625" style="4"/>
    <col min="1793" max="1793" width="6" style="4" customWidth="1"/>
    <col min="1794" max="1794" width="52.42578125" style="4" customWidth="1"/>
    <col min="1795" max="1795" width="11.7109375" style="4" customWidth="1"/>
    <col min="1796" max="1796" width="6" style="4" customWidth="1"/>
    <col min="1797" max="1797" width="5.5703125" style="4" customWidth="1"/>
    <col min="1798" max="1798" width="8.85546875" style="4" customWidth="1"/>
    <col min="1799" max="1799" width="11" style="4" bestFit="1" customWidth="1"/>
    <col min="1800" max="1800" width="20.7109375" style="4" customWidth="1"/>
    <col min="1801" max="1801" width="17.85546875" style="4" customWidth="1"/>
    <col min="1802" max="1802" width="9.140625" style="4"/>
    <col min="1803" max="1803" width="10.5703125" style="4" bestFit="1" customWidth="1"/>
    <col min="1804" max="2048" width="9.140625" style="4"/>
    <col min="2049" max="2049" width="6" style="4" customWidth="1"/>
    <col min="2050" max="2050" width="52.42578125" style="4" customWidth="1"/>
    <col min="2051" max="2051" width="11.7109375" style="4" customWidth="1"/>
    <col min="2052" max="2052" width="6" style="4" customWidth="1"/>
    <col min="2053" max="2053" width="5.5703125" style="4" customWidth="1"/>
    <col min="2054" max="2054" width="8.85546875" style="4" customWidth="1"/>
    <col min="2055" max="2055" width="11" style="4" bestFit="1" customWidth="1"/>
    <col min="2056" max="2056" width="20.7109375" style="4" customWidth="1"/>
    <col min="2057" max="2057" width="17.85546875" style="4" customWidth="1"/>
    <col min="2058" max="2058" width="9.140625" style="4"/>
    <col min="2059" max="2059" width="10.5703125" style="4" bestFit="1" customWidth="1"/>
    <col min="2060" max="2304" width="9.140625" style="4"/>
    <col min="2305" max="2305" width="6" style="4" customWidth="1"/>
    <col min="2306" max="2306" width="52.42578125" style="4" customWidth="1"/>
    <col min="2307" max="2307" width="11.7109375" style="4" customWidth="1"/>
    <col min="2308" max="2308" width="6" style="4" customWidth="1"/>
    <col min="2309" max="2309" width="5.5703125" style="4" customWidth="1"/>
    <col min="2310" max="2310" width="8.85546875" style="4" customWidth="1"/>
    <col min="2311" max="2311" width="11" style="4" bestFit="1" customWidth="1"/>
    <col min="2312" max="2312" width="20.7109375" style="4" customWidth="1"/>
    <col min="2313" max="2313" width="17.85546875" style="4" customWidth="1"/>
    <col min="2314" max="2314" width="9.140625" style="4"/>
    <col min="2315" max="2315" width="10.5703125" style="4" bestFit="1" customWidth="1"/>
    <col min="2316" max="2560" width="9.140625" style="4"/>
    <col min="2561" max="2561" width="6" style="4" customWidth="1"/>
    <col min="2562" max="2562" width="52.42578125" style="4" customWidth="1"/>
    <col min="2563" max="2563" width="11.7109375" style="4" customWidth="1"/>
    <col min="2564" max="2564" width="6" style="4" customWidth="1"/>
    <col min="2565" max="2565" width="5.5703125" style="4" customWidth="1"/>
    <col min="2566" max="2566" width="8.85546875" style="4" customWidth="1"/>
    <col min="2567" max="2567" width="11" style="4" bestFit="1" customWidth="1"/>
    <col min="2568" max="2568" width="20.7109375" style="4" customWidth="1"/>
    <col min="2569" max="2569" width="17.85546875" style="4" customWidth="1"/>
    <col min="2570" max="2570" width="9.140625" style="4"/>
    <col min="2571" max="2571" width="10.5703125" style="4" bestFit="1" customWidth="1"/>
    <col min="2572" max="2816" width="9.140625" style="4"/>
    <col min="2817" max="2817" width="6" style="4" customWidth="1"/>
    <col min="2818" max="2818" width="52.42578125" style="4" customWidth="1"/>
    <col min="2819" max="2819" width="11.7109375" style="4" customWidth="1"/>
    <col min="2820" max="2820" width="6" style="4" customWidth="1"/>
    <col min="2821" max="2821" width="5.5703125" style="4" customWidth="1"/>
    <col min="2822" max="2822" width="8.85546875" style="4" customWidth="1"/>
    <col min="2823" max="2823" width="11" style="4" bestFit="1" customWidth="1"/>
    <col min="2824" max="2824" width="20.7109375" style="4" customWidth="1"/>
    <col min="2825" max="2825" width="17.85546875" style="4" customWidth="1"/>
    <col min="2826" max="2826" width="9.140625" style="4"/>
    <col min="2827" max="2827" width="10.5703125" style="4" bestFit="1" customWidth="1"/>
    <col min="2828" max="3072" width="9.140625" style="4"/>
    <col min="3073" max="3073" width="6" style="4" customWidth="1"/>
    <col min="3074" max="3074" width="52.42578125" style="4" customWidth="1"/>
    <col min="3075" max="3075" width="11.7109375" style="4" customWidth="1"/>
    <col min="3076" max="3076" width="6" style="4" customWidth="1"/>
    <col min="3077" max="3077" width="5.5703125" style="4" customWidth="1"/>
    <col min="3078" max="3078" width="8.85546875" style="4" customWidth="1"/>
    <col min="3079" max="3079" width="11" style="4" bestFit="1" customWidth="1"/>
    <col min="3080" max="3080" width="20.7109375" style="4" customWidth="1"/>
    <col min="3081" max="3081" width="17.85546875" style="4" customWidth="1"/>
    <col min="3082" max="3082" width="9.140625" style="4"/>
    <col min="3083" max="3083" width="10.5703125" style="4" bestFit="1" customWidth="1"/>
    <col min="3084" max="3328" width="9.140625" style="4"/>
    <col min="3329" max="3329" width="6" style="4" customWidth="1"/>
    <col min="3330" max="3330" width="52.42578125" style="4" customWidth="1"/>
    <col min="3331" max="3331" width="11.7109375" style="4" customWidth="1"/>
    <col min="3332" max="3332" width="6" style="4" customWidth="1"/>
    <col min="3333" max="3333" width="5.5703125" style="4" customWidth="1"/>
    <col min="3334" max="3334" width="8.85546875" style="4" customWidth="1"/>
    <col min="3335" max="3335" width="11" style="4" bestFit="1" customWidth="1"/>
    <col min="3336" max="3336" width="20.7109375" style="4" customWidth="1"/>
    <col min="3337" max="3337" width="17.85546875" style="4" customWidth="1"/>
    <col min="3338" max="3338" width="9.140625" style="4"/>
    <col min="3339" max="3339" width="10.5703125" style="4" bestFit="1" customWidth="1"/>
    <col min="3340" max="3584" width="9.140625" style="4"/>
    <col min="3585" max="3585" width="6" style="4" customWidth="1"/>
    <col min="3586" max="3586" width="52.42578125" style="4" customWidth="1"/>
    <col min="3587" max="3587" width="11.7109375" style="4" customWidth="1"/>
    <col min="3588" max="3588" width="6" style="4" customWidth="1"/>
    <col min="3589" max="3589" width="5.5703125" style="4" customWidth="1"/>
    <col min="3590" max="3590" width="8.85546875" style="4" customWidth="1"/>
    <col min="3591" max="3591" width="11" style="4" bestFit="1" customWidth="1"/>
    <col min="3592" max="3592" width="20.7109375" style="4" customWidth="1"/>
    <col min="3593" max="3593" width="17.85546875" style="4" customWidth="1"/>
    <col min="3594" max="3594" width="9.140625" style="4"/>
    <col min="3595" max="3595" width="10.5703125" style="4" bestFit="1" customWidth="1"/>
    <col min="3596" max="3840" width="9.140625" style="4"/>
    <col min="3841" max="3841" width="6" style="4" customWidth="1"/>
    <col min="3842" max="3842" width="52.42578125" style="4" customWidth="1"/>
    <col min="3843" max="3843" width="11.7109375" style="4" customWidth="1"/>
    <col min="3844" max="3844" width="6" style="4" customWidth="1"/>
    <col min="3845" max="3845" width="5.5703125" style="4" customWidth="1"/>
    <col min="3846" max="3846" width="8.85546875" style="4" customWidth="1"/>
    <col min="3847" max="3847" width="11" style="4" bestFit="1" customWidth="1"/>
    <col min="3848" max="3848" width="20.7109375" style="4" customWidth="1"/>
    <col min="3849" max="3849" width="17.85546875" style="4" customWidth="1"/>
    <col min="3850" max="3850" width="9.140625" style="4"/>
    <col min="3851" max="3851" width="10.5703125" style="4" bestFit="1" customWidth="1"/>
    <col min="3852" max="4096" width="9.140625" style="4"/>
    <col min="4097" max="4097" width="6" style="4" customWidth="1"/>
    <col min="4098" max="4098" width="52.42578125" style="4" customWidth="1"/>
    <col min="4099" max="4099" width="11.7109375" style="4" customWidth="1"/>
    <col min="4100" max="4100" width="6" style="4" customWidth="1"/>
    <col min="4101" max="4101" width="5.5703125" style="4" customWidth="1"/>
    <col min="4102" max="4102" width="8.85546875" style="4" customWidth="1"/>
    <col min="4103" max="4103" width="11" style="4" bestFit="1" customWidth="1"/>
    <col min="4104" max="4104" width="20.7109375" style="4" customWidth="1"/>
    <col min="4105" max="4105" width="17.85546875" style="4" customWidth="1"/>
    <col min="4106" max="4106" width="9.140625" style="4"/>
    <col min="4107" max="4107" width="10.5703125" style="4" bestFit="1" customWidth="1"/>
    <col min="4108" max="4352" width="9.140625" style="4"/>
    <col min="4353" max="4353" width="6" style="4" customWidth="1"/>
    <col min="4354" max="4354" width="52.42578125" style="4" customWidth="1"/>
    <col min="4355" max="4355" width="11.7109375" style="4" customWidth="1"/>
    <col min="4356" max="4356" width="6" style="4" customWidth="1"/>
    <col min="4357" max="4357" width="5.5703125" style="4" customWidth="1"/>
    <col min="4358" max="4358" width="8.85546875" style="4" customWidth="1"/>
    <col min="4359" max="4359" width="11" style="4" bestFit="1" customWidth="1"/>
    <col min="4360" max="4360" width="20.7109375" style="4" customWidth="1"/>
    <col min="4361" max="4361" width="17.85546875" style="4" customWidth="1"/>
    <col min="4362" max="4362" width="9.140625" style="4"/>
    <col min="4363" max="4363" width="10.5703125" style="4" bestFit="1" customWidth="1"/>
    <col min="4364" max="4608" width="9.140625" style="4"/>
    <col min="4609" max="4609" width="6" style="4" customWidth="1"/>
    <col min="4610" max="4610" width="52.42578125" style="4" customWidth="1"/>
    <col min="4611" max="4611" width="11.7109375" style="4" customWidth="1"/>
    <col min="4612" max="4612" width="6" style="4" customWidth="1"/>
    <col min="4613" max="4613" width="5.5703125" style="4" customWidth="1"/>
    <col min="4614" max="4614" width="8.85546875" style="4" customWidth="1"/>
    <col min="4615" max="4615" width="11" style="4" bestFit="1" customWidth="1"/>
    <col min="4616" max="4616" width="20.7109375" style="4" customWidth="1"/>
    <col min="4617" max="4617" width="17.85546875" style="4" customWidth="1"/>
    <col min="4618" max="4618" width="9.140625" style="4"/>
    <col min="4619" max="4619" width="10.5703125" style="4" bestFit="1" customWidth="1"/>
    <col min="4620" max="4864" width="9.140625" style="4"/>
    <col min="4865" max="4865" width="6" style="4" customWidth="1"/>
    <col min="4866" max="4866" width="52.42578125" style="4" customWidth="1"/>
    <col min="4867" max="4867" width="11.7109375" style="4" customWidth="1"/>
    <col min="4868" max="4868" width="6" style="4" customWidth="1"/>
    <col min="4869" max="4869" width="5.5703125" style="4" customWidth="1"/>
    <col min="4870" max="4870" width="8.85546875" style="4" customWidth="1"/>
    <col min="4871" max="4871" width="11" style="4" bestFit="1" customWidth="1"/>
    <col min="4872" max="4872" width="20.7109375" style="4" customWidth="1"/>
    <col min="4873" max="4873" width="17.85546875" style="4" customWidth="1"/>
    <col min="4874" max="4874" width="9.140625" style="4"/>
    <col min="4875" max="4875" width="10.5703125" style="4" bestFit="1" customWidth="1"/>
    <col min="4876" max="5120" width="9.140625" style="4"/>
    <col min="5121" max="5121" width="6" style="4" customWidth="1"/>
    <col min="5122" max="5122" width="52.42578125" style="4" customWidth="1"/>
    <col min="5123" max="5123" width="11.7109375" style="4" customWidth="1"/>
    <col min="5124" max="5124" width="6" style="4" customWidth="1"/>
    <col min="5125" max="5125" width="5.5703125" style="4" customWidth="1"/>
    <col min="5126" max="5126" width="8.85546875" style="4" customWidth="1"/>
    <col min="5127" max="5127" width="11" style="4" bestFit="1" customWidth="1"/>
    <col min="5128" max="5128" width="20.7109375" style="4" customWidth="1"/>
    <col min="5129" max="5129" width="17.85546875" style="4" customWidth="1"/>
    <col min="5130" max="5130" width="9.140625" style="4"/>
    <col min="5131" max="5131" width="10.5703125" style="4" bestFit="1" customWidth="1"/>
    <col min="5132" max="5376" width="9.140625" style="4"/>
    <col min="5377" max="5377" width="6" style="4" customWidth="1"/>
    <col min="5378" max="5378" width="52.42578125" style="4" customWidth="1"/>
    <col min="5379" max="5379" width="11.7109375" style="4" customWidth="1"/>
    <col min="5380" max="5380" width="6" style="4" customWidth="1"/>
    <col min="5381" max="5381" width="5.5703125" style="4" customWidth="1"/>
    <col min="5382" max="5382" width="8.85546875" style="4" customWidth="1"/>
    <col min="5383" max="5383" width="11" style="4" bestFit="1" customWidth="1"/>
    <col min="5384" max="5384" width="20.7109375" style="4" customWidth="1"/>
    <col min="5385" max="5385" width="17.85546875" style="4" customWidth="1"/>
    <col min="5386" max="5386" width="9.140625" style="4"/>
    <col min="5387" max="5387" width="10.5703125" style="4" bestFit="1" customWidth="1"/>
    <col min="5388" max="5632" width="9.140625" style="4"/>
    <col min="5633" max="5633" width="6" style="4" customWidth="1"/>
    <col min="5634" max="5634" width="52.42578125" style="4" customWidth="1"/>
    <col min="5635" max="5635" width="11.7109375" style="4" customWidth="1"/>
    <col min="5636" max="5636" width="6" style="4" customWidth="1"/>
    <col min="5637" max="5637" width="5.5703125" style="4" customWidth="1"/>
    <col min="5638" max="5638" width="8.85546875" style="4" customWidth="1"/>
    <col min="5639" max="5639" width="11" style="4" bestFit="1" customWidth="1"/>
    <col min="5640" max="5640" width="20.7109375" style="4" customWidth="1"/>
    <col min="5641" max="5641" width="17.85546875" style="4" customWidth="1"/>
    <col min="5642" max="5642" width="9.140625" style="4"/>
    <col min="5643" max="5643" width="10.5703125" style="4" bestFit="1" customWidth="1"/>
    <col min="5644" max="5888" width="9.140625" style="4"/>
    <col min="5889" max="5889" width="6" style="4" customWidth="1"/>
    <col min="5890" max="5890" width="52.42578125" style="4" customWidth="1"/>
    <col min="5891" max="5891" width="11.7109375" style="4" customWidth="1"/>
    <col min="5892" max="5892" width="6" style="4" customWidth="1"/>
    <col min="5893" max="5893" width="5.5703125" style="4" customWidth="1"/>
    <col min="5894" max="5894" width="8.85546875" style="4" customWidth="1"/>
    <col min="5895" max="5895" width="11" style="4" bestFit="1" customWidth="1"/>
    <col min="5896" max="5896" width="20.7109375" style="4" customWidth="1"/>
    <col min="5897" max="5897" width="17.85546875" style="4" customWidth="1"/>
    <col min="5898" max="5898" width="9.140625" style="4"/>
    <col min="5899" max="5899" width="10.5703125" style="4" bestFit="1" customWidth="1"/>
    <col min="5900" max="6144" width="9.140625" style="4"/>
    <col min="6145" max="6145" width="6" style="4" customWidth="1"/>
    <col min="6146" max="6146" width="52.42578125" style="4" customWidth="1"/>
    <col min="6147" max="6147" width="11.7109375" style="4" customWidth="1"/>
    <col min="6148" max="6148" width="6" style="4" customWidth="1"/>
    <col min="6149" max="6149" width="5.5703125" style="4" customWidth="1"/>
    <col min="6150" max="6150" width="8.85546875" style="4" customWidth="1"/>
    <col min="6151" max="6151" width="11" style="4" bestFit="1" customWidth="1"/>
    <col min="6152" max="6152" width="20.7109375" style="4" customWidth="1"/>
    <col min="6153" max="6153" width="17.85546875" style="4" customWidth="1"/>
    <col min="6154" max="6154" width="9.140625" style="4"/>
    <col min="6155" max="6155" width="10.5703125" style="4" bestFit="1" customWidth="1"/>
    <col min="6156" max="6400" width="9.140625" style="4"/>
    <col min="6401" max="6401" width="6" style="4" customWidth="1"/>
    <col min="6402" max="6402" width="52.42578125" style="4" customWidth="1"/>
    <col min="6403" max="6403" width="11.7109375" style="4" customWidth="1"/>
    <col min="6404" max="6404" width="6" style="4" customWidth="1"/>
    <col min="6405" max="6405" width="5.5703125" style="4" customWidth="1"/>
    <col min="6406" max="6406" width="8.85546875" style="4" customWidth="1"/>
    <col min="6407" max="6407" width="11" style="4" bestFit="1" customWidth="1"/>
    <col min="6408" max="6408" width="20.7109375" style="4" customWidth="1"/>
    <col min="6409" max="6409" width="17.85546875" style="4" customWidth="1"/>
    <col min="6410" max="6410" width="9.140625" style="4"/>
    <col min="6411" max="6411" width="10.5703125" style="4" bestFit="1" customWidth="1"/>
    <col min="6412" max="6656" width="9.140625" style="4"/>
    <col min="6657" max="6657" width="6" style="4" customWidth="1"/>
    <col min="6658" max="6658" width="52.42578125" style="4" customWidth="1"/>
    <col min="6659" max="6659" width="11.7109375" style="4" customWidth="1"/>
    <col min="6660" max="6660" width="6" style="4" customWidth="1"/>
    <col min="6661" max="6661" width="5.5703125" style="4" customWidth="1"/>
    <col min="6662" max="6662" width="8.85546875" style="4" customWidth="1"/>
    <col min="6663" max="6663" width="11" style="4" bestFit="1" customWidth="1"/>
    <col min="6664" max="6664" width="20.7109375" style="4" customWidth="1"/>
    <col min="6665" max="6665" width="17.85546875" style="4" customWidth="1"/>
    <col min="6666" max="6666" width="9.140625" style="4"/>
    <col min="6667" max="6667" width="10.5703125" style="4" bestFit="1" customWidth="1"/>
    <col min="6668" max="6912" width="9.140625" style="4"/>
    <col min="6913" max="6913" width="6" style="4" customWidth="1"/>
    <col min="6914" max="6914" width="52.42578125" style="4" customWidth="1"/>
    <col min="6915" max="6915" width="11.7109375" style="4" customWidth="1"/>
    <col min="6916" max="6916" width="6" style="4" customWidth="1"/>
    <col min="6917" max="6917" width="5.5703125" style="4" customWidth="1"/>
    <col min="6918" max="6918" width="8.85546875" style="4" customWidth="1"/>
    <col min="6919" max="6919" width="11" style="4" bestFit="1" customWidth="1"/>
    <col min="6920" max="6920" width="20.7109375" style="4" customWidth="1"/>
    <col min="6921" max="6921" width="17.85546875" style="4" customWidth="1"/>
    <col min="6922" max="6922" width="9.140625" style="4"/>
    <col min="6923" max="6923" width="10.5703125" style="4" bestFit="1" customWidth="1"/>
    <col min="6924" max="7168" width="9.140625" style="4"/>
    <col min="7169" max="7169" width="6" style="4" customWidth="1"/>
    <col min="7170" max="7170" width="52.42578125" style="4" customWidth="1"/>
    <col min="7171" max="7171" width="11.7109375" style="4" customWidth="1"/>
    <col min="7172" max="7172" width="6" style="4" customWidth="1"/>
    <col min="7173" max="7173" width="5.5703125" style="4" customWidth="1"/>
    <col min="7174" max="7174" width="8.85546875" style="4" customWidth="1"/>
    <col min="7175" max="7175" width="11" style="4" bestFit="1" customWidth="1"/>
    <col min="7176" max="7176" width="20.7109375" style="4" customWidth="1"/>
    <col min="7177" max="7177" width="17.85546875" style="4" customWidth="1"/>
    <col min="7178" max="7178" width="9.140625" style="4"/>
    <col min="7179" max="7179" width="10.5703125" style="4" bestFit="1" customWidth="1"/>
    <col min="7180" max="7424" width="9.140625" style="4"/>
    <col min="7425" max="7425" width="6" style="4" customWidth="1"/>
    <col min="7426" max="7426" width="52.42578125" style="4" customWidth="1"/>
    <col min="7427" max="7427" width="11.7109375" style="4" customWidth="1"/>
    <col min="7428" max="7428" width="6" style="4" customWidth="1"/>
    <col min="7429" max="7429" width="5.5703125" style="4" customWidth="1"/>
    <col min="7430" max="7430" width="8.85546875" style="4" customWidth="1"/>
    <col min="7431" max="7431" width="11" style="4" bestFit="1" customWidth="1"/>
    <col min="7432" max="7432" width="20.7109375" style="4" customWidth="1"/>
    <col min="7433" max="7433" width="17.85546875" style="4" customWidth="1"/>
    <col min="7434" max="7434" width="9.140625" style="4"/>
    <col min="7435" max="7435" width="10.5703125" style="4" bestFit="1" customWidth="1"/>
    <col min="7436" max="7680" width="9.140625" style="4"/>
    <col min="7681" max="7681" width="6" style="4" customWidth="1"/>
    <col min="7682" max="7682" width="52.42578125" style="4" customWidth="1"/>
    <col min="7683" max="7683" width="11.7109375" style="4" customWidth="1"/>
    <col min="7684" max="7684" width="6" style="4" customWidth="1"/>
    <col min="7685" max="7685" width="5.5703125" style="4" customWidth="1"/>
    <col min="7686" max="7686" width="8.85546875" style="4" customWidth="1"/>
    <col min="7687" max="7687" width="11" style="4" bestFit="1" customWidth="1"/>
    <col min="7688" max="7688" width="20.7109375" style="4" customWidth="1"/>
    <col min="7689" max="7689" width="17.85546875" style="4" customWidth="1"/>
    <col min="7690" max="7690" width="9.140625" style="4"/>
    <col min="7691" max="7691" width="10.5703125" style="4" bestFit="1" customWidth="1"/>
    <col min="7692" max="7936" width="9.140625" style="4"/>
    <col min="7937" max="7937" width="6" style="4" customWidth="1"/>
    <col min="7938" max="7938" width="52.42578125" style="4" customWidth="1"/>
    <col min="7939" max="7939" width="11.7109375" style="4" customWidth="1"/>
    <col min="7940" max="7940" width="6" style="4" customWidth="1"/>
    <col min="7941" max="7941" width="5.5703125" style="4" customWidth="1"/>
    <col min="7942" max="7942" width="8.85546875" style="4" customWidth="1"/>
    <col min="7943" max="7943" width="11" style="4" bestFit="1" customWidth="1"/>
    <col min="7944" max="7944" width="20.7109375" style="4" customWidth="1"/>
    <col min="7945" max="7945" width="17.85546875" style="4" customWidth="1"/>
    <col min="7946" max="7946" width="9.140625" style="4"/>
    <col min="7947" max="7947" width="10.5703125" style="4" bestFit="1" customWidth="1"/>
    <col min="7948" max="8192" width="9.140625" style="4"/>
    <col min="8193" max="8193" width="6" style="4" customWidth="1"/>
    <col min="8194" max="8194" width="52.42578125" style="4" customWidth="1"/>
    <col min="8195" max="8195" width="11.7109375" style="4" customWidth="1"/>
    <col min="8196" max="8196" width="6" style="4" customWidth="1"/>
    <col min="8197" max="8197" width="5.5703125" style="4" customWidth="1"/>
    <col min="8198" max="8198" width="8.85546875" style="4" customWidth="1"/>
    <col min="8199" max="8199" width="11" style="4" bestFit="1" customWidth="1"/>
    <col min="8200" max="8200" width="20.7109375" style="4" customWidth="1"/>
    <col min="8201" max="8201" width="17.85546875" style="4" customWidth="1"/>
    <col min="8202" max="8202" width="9.140625" style="4"/>
    <col min="8203" max="8203" width="10.5703125" style="4" bestFit="1" customWidth="1"/>
    <col min="8204" max="8448" width="9.140625" style="4"/>
    <col min="8449" max="8449" width="6" style="4" customWidth="1"/>
    <col min="8450" max="8450" width="52.42578125" style="4" customWidth="1"/>
    <col min="8451" max="8451" width="11.7109375" style="4" customWidth="1"/>
    <col min="8452" max="8452" width="6" style="4" customWidth="1"/>
    <col min="8453" max="8453" width="5.5703125" style="4" customWidth="1"/>
    <col min="8454" max="8454" width="8.85546875" style="4" customWidth="1"/>
    <col min="8455" max="8455" width="11" style="4" bestFit="1" customWidth="1"/>
    <col min="8456" max="8456" width="20.7109375" style="4" customWidth="1"/>
    <col min="8457" max="8457" width="17.85546875" style="4" customWidth="1"/>
    <col min="8458" max="8458" width="9.140625" style="4"/>
    <col min="8459" max="8459" width="10.5703125" style="4" bestFit="1" customWidth="1"/>
    <col min="8460" max="8704" width="9.140625" style="4"/>
    <col min="8705" max="8705" width="6" style="4" customWidth="1"/>
    <col min="8706" max="8706" width="52.42578125" style="4" customWidth="1"/>
    <col min="8707" max="8707" width="11.7109375" style="4" customWidth="1"/>
    <col min="8708" max="8708" width="6" style="4" customWidth="1"/>
    <col min="8709" max="8709" width="5.5703125" style="4" customWidth="1"/>
    <col min="8710" max="8710" width="8.85546875" style="4" customWidth="1"/>
    <col min="8711" max="8711" width="11" style="4" bestFit="1" customWidth="1"/>
    <col min="8712" max="8712" width="20.7109375" style="4" customWidth="1"/>
    <col min="8713" max="8713" width="17.85546875" style="4" customWidth="1"/>
    <col min="8714" max="8714" width="9.140625" style="4"/>
    <col min="8715" max="8715" width="10.5703125" style="4" bestFit="1" customWidth="1"/>
    <col min="8716" max="8960" width="9.140625" style="4"/>
    <col min="8961" max="8961" width="6" style="4" customWidth="1"/>
    <col min="8962" max="8962" width="52.42578125" style="4" customWidth="1"/>
    <col min="8963" max="8963" width="11.7109375" style="4" customWidth="1"/>
    <col min="8964" max="8964" width="6" style="4" customWidth="1"/>
    <col min="8965" max="8965" width="5.5703125" style="4" customWidth="1"/>
    <col min="8966" max="8966" width="8.85546875" style="4" customWidth="1"/>
    <col min="8967" max="8967" width="11" style="4" bestFit="1" customWidth="1"/>
    <col min="8968" max="8968" width="20.7109375" style="4" customWidth="1"/>
    <col min="8969" max="8969" width="17.85546875" style="4" customWidth="1"/>
    <col min="8970" max="8970" width="9.140625" style="4"/>
    <col min="8971" max="8971" width="10.5703125" style="4" bestFit="1" customWidth="1"/>
    <col min="8972" max="9216" width="9.140625" style="4"/>
    <col min="9217" max="9217" width="6" style="4" customWidth="1"/>
    <col min="9218" max="9218" width="52.42578125" style="4" customWidth="1"/>
    <col min="9219" max="9219" width="11.7109375" style="4" customWidth="1"/>
    <col min="9220" max="9220" width="6" style="4" customWidth="1"/>
    <col min="9221" max="9221" width="5.5703125" style="4" customWidth="1"/>
    <col min="9222" max="9222" width="8.85546875" style="4" customWidth="1"/>
    <col min="9223" max="9223" width="11" style="4" bestFit="1" customWidth="1"/>
    <col min="9224" max="9224" width="20.7109375" style="4" customWidth="1"/>
    <col min="9225" max="9225" width="17.85546875" style="4" customWidth="1"/>
    <col min="9226" max="9226" width="9.140625" style="4"/>
    <col min="9227" max="9227" width="10.5703125" style="4" bestFit="1" customWidth="1"/>
    <col min="9228" max="9472" width="9.140625" style="4"/>
    <col min="9473" max="9473" width="6" style="4" customWidth="1"/>
    <col min="9474" max="9474" width="52.42578125" style="4" customWidth="1"/>
    <col min="9475" max="9475" width="11.7109375" style="4" customWidth="1"/>
    <col min="9476" max="9476" width="6" style="4" customWidth="1"/>
    <col min="9477" max="9477" width="5.5703125" style="4" customWidth="1"/>
    <col min="9478" max="9478" width="8.85546875" style="4" customWidth="1"/>
    <col min="9479" max="9479" width="11" style="4" bestFit="1" customWidth="1"/>
    <col min="9480" max="9480" width="20.7109375" style="4" customWidth="1"/>
    <col min="9481" max="9481" width="17.85546875" style="4" customWidth="1"/>
    <col min="9482" max="9482" width="9.140625" style="4"/>
    <col min="9483" max="9483" width="10.5703125" style="4" bestFit="1" customWidth="1"/>
    <col min="9484" max="9728" width="9.140625" style="4"/>
    <col min="9729" max="9729" width="6" style="4" customWidth="1"/>
    <col min="9730" max="9730" width="52.42578125" style="4" customWidth="1"/>
    <col min="9731" max="9731" width="11.7109375" style="4" customWidth="1"/>
    <col min="9732" max="9732" width="6" style="4" customWidth="1"/>
    <col min="9733" max="9733" width="5.5703125" style="4" customWidth="1"/>
    <col min="9734" max="9734" width="8.85546875" style="4" customWidth="1"/>
    <col min="9735" max="9735" width="11" style="4" bestFit="1" customWidth="1"/>
    <col min="9736" max="9736" width="20.7109375" style="4" customWidth="1"/>
    <col min="9737" max="9737" width="17.85546875" style="4" customWidth="1"/>
    <col min="9738" max="9738" width="9.140625" style="4"/>
    <col min="9739" max="9739" width="10.5703125" style="4" bestFit="1" customWidth="1"/>
    <col min="9740" max="9984" width="9.140625" style="4"/>
    <col min="9985" max="9985" width="6" style="4" customWidth="1"/>
    <col min="9986" max="9986" width="52.42578125" style="4" customWidth="1"/>
    <col min="9987" max="9987" width="11.7109375" style="4" customWidth="1"/>
    <col min="9988" max="9988" width="6" style="4" customWidth="1"/>
    <col min="9989" max="9989" width="5.5703125" style="4" customWidth="1"/>
    <col min="9990" max="9990" width="8.85546875" style="4" customWidth="1"/>
    <col min="9991" max="9991" width="11" style="4" bestFit="1" customWidth="1"/>
    <col min="9992" max="9992" width="20.7109375" style="4" customWidth="1"/>
    <col min="9993" max="9993" width="17.85546875" style="4" customWidth="1"/>
    <col min="9994" max="9994" width="9.140625" style="4"/>
    <col min="9995" max="9995" width="10.5703125" style="4" bestFit="1" customWidth="1"/>
    <col min="9996" max="10240" width="9.140625" style="4"/>
    <col min="10241" max="10241" width="6" style="4" customWidth="1"/>
    <col min="10242" max="10242" width="52.42578125" style="4" customWidth="1"/>
    <col min="10243" max="10243" width="11.7109375" style="4" customWidth="1"/>
    <col min="10244" max="10244" width="6" style="4" customWidth="1"/>
    <col min="10245" max="10245" width="5.5703125" style="4" customWidth="1"/>
    <col min="10246" max="10246" width="8.85546875" style="4" customWidth="1"/>
    <col min="10247" max="10247" width="11" style="4" bestFit="1" customWidth="1"/>
    <col min="10248" max="10248" width="20.7109375" style="4" customWidth="1"/>
    <col min="10249" max="10249" width="17.85546875" style="4" customWidth="1"/>
    <col min="10250" max="10250" width="9.140625" style="4"/>
    <col min="10251" max="10251" width="10.5703125" style="4" bestFit="1" customWidth="1"/>
    <col min="10252" max="10496" width="9.140625" style="4"/>
    <col min="10497" max="10497" width="6" style="4" customWidth="1"/>
    <col min="10498" max="10498" width="52.42578125" style="4" customWidth="1"/>
    <col min="10499" max="10499" width="11.7109375" style="4" customWidth="1"/>
    <col min="10500" max="10500" width="6" style="4" customWidth="1"/>
    <col min="10501" max="10501" width="5.5703125" style="4" customWidth="1"/>
    <col min="10502" max="10502" width="8.85546875" style="4" customWidth="1"/>
    <col min="10503" max="10503" width="11" style="4" bestFit="1" customWidth="1"/>
    <col min="10504" max="10504" width="20.7109375" style="4" customWidth="1"/>
    <col min="10505" max="10505" width="17.85546875" style="4" customWidth="1"/>
    <col min="10506" max="10506" width="9.140625" style="4"/>
    <col min="10507" max="10507" width="10.5703125" style="4" bestFit="1" customWidth="1"/>
    <col min="10508" max="10752" width="9.140625" style="4"/>
    <col min="10753" max="10753" width="6" style="4" customWidth="1"/>
    <col min="10754" max="10754" width="52.42578125" style="4" customWidth="1"/>
    <col min="10755" max="10755" width="11.7109375" style="4" customWidth="1"/>
    <col min="10756" max="10756" width="6" style="4" customWidth="1"/>
    <col min="10757" max="10757" width="5.5703125" style="4" customWidth="1"/>
    <col min="10758" max="10758" width="8.85546875" style="4" customWidth="1"/>
    <col min="10759" max="10759" width="11" style="4" bestFit="1" customWidth="1"/>
    <col min="10760" max="10760" width="20.7109375" style="4" customWidth="1"/>
    <col min="10761" max="10761" width="17.85546875" style="4" customWidth="1"/>
    <col min="10762" max="10762" width="9.140625" style="4"/>
    <col min="10763" max="10763" width="10.5703125" style="4" bestFit="1" customWidth="1"/>
    <col min="10764" max="11008" width="9.140625" style="4"/>
    <col min="11009" max="11009" width="6" style="4" customWidth="1"/>
    <col min="11010" max="11010" width="52.42578125" style="4" customWidth="1"/>
    <col min="11011" max="11011" width="11.7109375" style="4" customWidth="1"/>
    <col min="11012" max="11012" width="6" style="4" customWidth="1"/>
    <col min="11013" max="11013" width="5.5703125" style="4" customWidth="1"/>
    <col min="11014" max="11014" width="8.85546875" style="4" customWidth="1"/>
    <col min="11015" max="11015" width="11" style="4" bestFit="1" customWidth="1"/>
    <col min="11016" max="11016" width="20.7109375" style="4" customWidth="1"/>
    <col min="11017" max="11017" width="17.85546875" style="4" customWidth="1"/>
    <col min="11018" max="11018" width="9.140625" style="4"/>
    <col min="11019" max="11019" width="10.5703125" style="4" bestFit="1" customWidth="1"/>
    <col min="11020" max="11264" width="9.140625" style="4"/>
    <col min="11265" max="11265" width="6" style="4" customWidth="1"/>
    <col min="11266" max="11266" width="52.42578125" style="4" customWidth="1"/>
    <col min="11267" max="11267" width="11.7109375" style="4" customWidth="1"/>
    <col min="11268" max="11268" width="6" style="4" customWidth="1"/>
    <col min="11269" max="11269" width="5.5703125" style="4" customWidth="1"/>
    <col min="11270" max="11270" width="8.85546875" style="4" customWidth="1"/>
    <col min="11271" max="11271" width="11" style="4" bestFit="1" customWidth="1"/>
    <col min="11272" max="11272" width="20.7109375" style="4" customWidth="1"/>
    <col min="11273" max="11273" width="17.85546875" style="4" customWidth="1"/>
    <col min="11274" max="11274" width="9.140625" style="4"/>
    <col min="11275" max="11275" width="10.5703125" style="4" bestFit="1" customWidth="1"/>
    <col min="11276" max="11520" width="9.140625" style="4"/>
    <col min="11521" max="11521" width="6" style="4" customWidth="1"/>
    <col min="11522" max="11522" width="52.42578125" style="4" customWidth="1"/>
    <col min="11523" max="11523" width="11.7109375" style="4" customWidth="1"/>
    <col min="11524" max="11524" width="6" style="4" customWidth="1"/>
    <col min="11525" max="11525" width="5.5703125" style="4" customWidth="1"/>
    <col min="11526" max="11526" width="8.85546875" style="4" customWidth="1"/>
    <col min="11527" max="11527" width="11" style="4" bestFit="1" customWidth="1"/>
    <col min="11528" max="11528" width="20.7109375" style="4" customWidth="1"/>
    <col min="11529" max="11529" width="17.85546875" style="4" customWidth="1"/>
    <col min="11530" max="11530" width="9.140625" style="4"/>
    <col min="11531" max="11531" width="10.5703125" style="4" bestFit="1" customWidth="1"/>
    <col min="11532" max="11776" width="9.140625" style="4"/>
    <col min="11777" max="11777" width="6" style="4" customWidth="1"/>
    <col min="11778" max="11778" width="52.42578125" style="4" customWidth="1"/>
    <col min="11779" max="11779" width="11.7109375" style="4" customWidth="1"/>
    <col min="11780" max="11780" width="6" style="4" customWidth="1"/>
    <col min="11781" max="11781" width="5.5703125" style="4" customWidth="1"/>
    <col min="11782" max="11782" width="8.85546875" style="4" customWidth="1"/>
    <col min="11783" max="11783" width="11" style="4" bestFit="1" customWidth="1"/>
    <col min="11784" max="11784" width="20.7109375" style="4" customWidth="1"/>
    <col min="11785" max="11785" width="17.85546875" style="4" customWidth="1"/>
    <col min="11786" max="11786" width="9.140625" style="4"/>
    <col min="11787" max="11787" width="10.5703125" style="4" bestFit="1" customWidth="1"/>
    <col min="11788" max="12032" width="9.140625" style="4"/>
    <col min="12033" max="12033" width="6" style="4" customWidth="1"/>
    <col min="12034" max="12034" width="52.42578125" style="4" customWidth="1"/>
    <col min="12035" max="12035" width="11.7109375" style="4" customWidth="1"/>
    <col min="12036" max="12036" width="6" style="4" customWidth="1"/>
    <col min="12037" max="12037" width="5.5703125" style="4" customWidth="1"/>
    <col min="12038" max="12038" width="8.85546875" style="4" customWidth="1"/>
    <col min="12039" max="12039" width="11" style="4" bestFit="1" customWidth="1"/>
    <col min="12040" max="12040" width="20.7109375" style="4" customWidth="1"/>
    <col min="12041" max="12041" width="17.85546875" style="4" customWidth="1"/>
    <col min="12042" max="12042" width="9.140625" style="4"/>
    <col min="12043" max="12043" width="10.5703125" style="4" bestFit="1" customWidth="1"/>
    <col min="12044" max="12288" width="9.140625" style="4"/>
    <col min="12289" max="12289" width="6" style="4" customWidth="1"/>
    <col min="12290" max="12290" width="52.42578125" style="4" customWidth="1"/>
    <col min="12291" max="12291" width="11.7109375" style="4" customWidth="1"/>
    <col min="12292" max="12292" width="6" style="4" customWidth="1"/>
    <col min="12293" max="12293" width="5.5703125" style="4" customWidth="1"/>
    <col min="12294" max="12294" width="8.85546875" style="4" customWidth="1"/>
    <col min="12295" max="12295" width="11" style="4" bestFit="1" customWidth="1"/>
    <col min="12296" max="12296" width="20.7109375" style="4" customWidth="1"/>
    <col min="12297" max="12297" width="17.85546875" style="4" customWidth="1"/>
    <col min="12298" max="12298" width="9.140625" style="4"/>
    <col min="12299" max="12299" width="10.5703125" style="4" bestFit="1" customWidth="1"/>
    <col min="12300" max="12544" width="9.140625" style="4"/>
    <col min="12545" max="12545" width="6" style="4" customWidth="1"/>
    <col min="12546" max="12546" width="52.42578125" style="4" customWidth="1"/>
    <col min="12547" max="12547" width="11.7109375" style="4" customWidth="1"/>
    <col min="12548" max="12548" width="6" style="4" customWidth="1"/>
    <col min="12549" max="12549" width="5.5703125" style="4" customWidth="1"/>
    <col min="12550" max="12550" width="8.85546875" style="4" customWidth="1"/>
    <col min="12551" max="12551" width="11" style="4" bestFit="1" customWidth="1"/>
    <col min="12552" max="12552" width="20.7109375" style="4" customWidth="1"/>
    <col min="12553" max="12553" width="17.85546875" style="4" customWidth="1"/>
    <col min="12554" max="12554" width="9.140625" style="4"/>
    <col min="12555" max="12555" width="10.5703125" style="4" bestFit="1" customWidth="1"/>
    <col min="12556" max="12800" width="9.140625" style="4"/>
    <col min="12801" max="12801" width="6" style="4" customWidth="1"/>
    <col min="12802" max="12802" width="52.42578125" style="4" customWidth="1"/>
    <col min="12803" max="12803" width="11.7109375" style="4" customWidth="1"/>
    <col min="12804" max="12804" width="6" style="4" customWidth="1"/>
    <col min="12805" max="12805" width="5.5703125" style="4" customWidth="1"/>
    <col min="12806" max="12806" width="8.85546875" style="4" customWidth="1"/>
    <col min="12807" max="12807" width="11" style="4" bestFit="1" customWidth="1"/>
    <col min="12808" max="12808" width="20.7109375" style="4" customWidth="1"/>
    <col min="12809" max="12809" width="17.85546875" style="4" customWidth="1"/>
    <col min="12810" max="12810" width="9.140625" style="4"/>
    <col min="12811" max="12811" width="10.5703125" style="4" bestFit="1" customWidth="1"/>
    <col min="12812" max="13056" width="9.140625" style="4"/>
    <col min="13057" max="13057" width="6" style="4" customWidth="1"/>
    <col min="13058" max="13058" width="52.42578125" style="4" customWidth="1"/>
    <col min="13059" max="13059" width="11.7109375" style="4" customWidth="1"/>
    <col min="13060" max="13060" width="6" style="4" customWidth="1"/>
    <col min="13061" max="13061" width="5.5703125" style="4" customWidth="1"/>
    <col min="13062" max="13062" width="8.85546875" style="4" customWidth="1"/>
    <col min="13063" max="13063" width="11" style="4" bestFit="1" customWidth="1"/>
    <col min="13064" max="13064" width="20.7109375" style="4" customWidth="1"/>
    <col min="13065" max="13065" width="17.85546875" style="4" customWidth="1"/>
    <col min="13066" max="13066" width="9.140625" style="4"/>
    <col min="13067" max="13067" width="10.5703125" style="4" bestFit="1" customWidth="1"/>
    <col min="13068" max="13312" width="9.140625" style="4"/>
    <col min="13313" max="13313" width="6" style="4" customWidth="1"/>
    <col min="13314" max="13314" width="52.42578125" style="4" customWidth="1"/>
    <col min="13315" max="13315" width="11.7109375" style="4" customWidth="1"/>
    <col min="13316" max="13316" width="6" style="4" customWidth="1"/>
    <col min="13317" max="13317" width="5.5703125" style="4" customWidth="1"/>
    <col min="13318" max="13318" width="8.85546875" style="4" customWidth="1"/>
    <col min="13319" max="13319" width="11" style="4" bestFit="1" customWidth="1"/>
    <col min="13320" max="13320" width="20.7109375" style="4" customWidth="1"/>
    <col min="13321" max="13321" width="17.85546875" style="4" customWidth="1"/>
    <col min="13322" max="13322" width="9.140625" style="4"/>
    <col min="13323" max="13323" width="10.5703125" style="4" bestFit="1" customWidth="1"/>
    <col min="13324" max="13568" width="9.140625" style="4"/>
    <col min="13569" max="13569" width="6" style="4" customWidth="1"/>
    <col min="13570" max="13570" width="52.42578125" style="4" customWidth="1"/>
    <col min="13571" max="13571" width="11.7109375" style="4" customWidth="1"/>
    <col min="13572" max="13572" width="6" style="4" customWidth="1"/>
    <col min="13573" max="13573" width="5.5703125" style="4" customWidth="1"/>
    <col min="13574" max="13574" width="8.85546875" style="4" customWidth="1"/>
    <col min="13575" max="13575" width="11" style="4" bestFit="1" customWidth="1"/>
    <col min="13576" max="13576" width="20.7109375" style="4" customWidth="1"/>
    <col min="13577" max="13577" width="17.85546875" style="4" customWidth="1"/>
    <col min="13578" max="13578" width="9.140625" style="4"/>
    <col min="13579" max="13579" width="10.5703125" style="4" bestFit="1" customWidth="1"/>
    <col min="13580" max="13824" width="9.140625" style="4"/>
    <col min="13825" max="13825" width="6" style="4" customWidth="1"/>
    <col min="13826" max="13826" width="52.42578125" style="4" customWidth="1"/>
    <col min="13827" max="13827" width="11.7109375" style="4" customWidth="1"/>
    <col min="13828" max="13828" width="6" style="4" customWidth="1"/>
    <col min="13829" max="13829" width="5.5703125" style="4" customWidth="1"/>
    <col min="13830" max="13830" width="8.85546875" style="4" customWidth="1"/>
    <col min="13831" max="13831" width="11" style="4" bestFit="1" customWidth="1"/>
    <col min="13832" max="13832" width="20.7109375" style="4" customWidth="1"/>
    <col min="13833" max="13833" width="17.85546875" style="4" customWidth="1"/>
    <col min="13834" max="13834" width="9.140625" style="4"/>
    <col min="13835" max="13835" width="10.5703125" style="4" bestFit="1" customWidth="1"/>
    <col min="13836" max="14080" width="9.140625" style="4"/>
    <col min="14081" max="14081" width="6" style="4" customWidth="1"/>
    <col min="14082" max="14082" width="52.42578125" style="4" customWidth="1"/>
    <col min="14083" max="14083" width="11.7109375" style="4" customWidth="1"/>
    <col min="14084" max="14084" width="6" style="4" customWidth="1"/>
    <col min="14085" max="14085" width="5.5703125" style="4" customWidth="1"/>
    <col min="14086" max="14086" width="8.85546875" style="4" customWidth="1"/>
    <col min="14087" max="14087" width="11" style="4" bestFit="1" customWidth="1"/>
    <col min="14088" max="14088" width="20.7109375" style="4" customWidth="1"/>
    <col min="14089" max="14089" width="17.85546875" style="4" customWidth="1"/>
    <col min="14090" max="14090" width="9.140625" style="4"/>
    <col min="14091" max="14091" width="10.5703125" style="4" bestFit="1" customWidth="1"/>
    <col min="14092" max="14336" width="9.140625" style="4"/>
    <col min="14337" max="14337" width="6" style="4" customWidth="1"/>
    <col min="14338" max="14338" width="52.42578125" style="4" customWidth="1"/>
    <col min="14339" max="14339" width="11.7109375" style="4" customWidth="1"/>
    <col min="14340" max="14340" width="6" style="4" customWidth="1"/>
    <col min="14341" max="14341" width="5.5703125" style="4" customWidth="1"/>
    <col min="14342" max="14342" width="8.85546875" style="4" customWidth="1"/>
    <col min="14343" max="14343" width="11" style="4" bestFit="1" customWidth="1"/>
    <col min="14344" max="14344" width="20.7109375" style="4" customWidth="1"/>
    <col min="14345" max="14345" width="17.85546875" style="4" customWidth="1"/>
    <col min="14346" max="14346" width="9.140625" style="4"/>
    <col min="14347" max="14347" width="10.5703125" style="4" bestFit="1" customWidth="1"/>
    <col min="14348" max="14592" width="9.140625" style="4"/>
    <col min="14593" max="14593" width="6" style="4" customWidth="1"/>
    <col min="14594" max="14594" width="52.42578125" style="4" customWidth="1"/>
    <col min="14595" max="14595" width="11.7109375" style="4" customWidth="1"/>
    <col min="14596" max="14596" width="6" style="4" customWidth="1"/>
    <col min="14597" max="14597" width="5.5703125" style="4" customWidth="1"/>
    <col min="14598" max="14598" width="8.85546875" style="4" customWidth="1"/>
    <col min="14599" max="14599" width="11" style="4" bestFit="1" customWidth="1"/>
    <col min="14600" max="14600" width="20.7109375" style="4" customWidth="1"/>
    <col min="14601" max="14601" width="17.85546875" style="4" customWidth="1"/>
    <col min="14602" max="14602" width="9.140625" style="4"/>
    <col min="14603" max="14603" width="10.5703125" style="4" bestFit="1" customWidth="1"/>
    <col min="14604" max="14848" width="9.140625" style="4"/>
    <col min="14849" max="14849" width="6" style="4" customWidth="1"/>
    <col min="14850" max="14850" width="52.42578125" style="4" customWidth="1"/>
    <col min="14851" max="14851" width="11.7109375" style="4" customWidth="1"/>
    <col min="14852" max="14852" width="6" style="4" customWidth="1"/>
    <col min="14853" max="14853" width="5.5703125" style="4" customWidth="1"/>
    <col min="14854" max="14854" width="8.85546875" style="4" customWidth="1"/>
    <col min="14855" max="14855" width="11" style="4" bestFit="1" customWidth="1"/>
    <col min="14856" max="14856" width="20.7109375" style="4" customWidth="1"/>
    <col min="14857" max="14857" width="17.85546875" style="4" customWidth="1"/>
    <col min="14858" max="14858" width="9.140625" style="4"/>
    <col min="14859" max="14859" width="10.5703125" style="4" bestFit="1" customWidth="1"/>
    <col min="14860" max="15104" width="9.140625" style="4"/>
    <col min="15105" max="15105" width="6" style="4" customWidth="1"/>
    <col min="15106" max="15106" width="52.42578125" style="4" customWidth="1"/>
    <col min="15107" max="15107" width="11.7109375" style="4" customWidth="1"/>
    <col min="15108" max="15108" width="6" style="4" customWidth="1"/>
    <col min="15109" max="15109" width="5.5703125" style="4" customWidth="1"/>
    <col min="15110" max="15110" width="8.85546875" style="4" customWidth="1"/>
    <col min="15111" max="15111" width="11" style="4" bestFit="1" customWidth="1"/>
    <col min="15112" max="15112" width="20.7109375" style="4" customWidth="1"/>
    <col min="15113" max="15113" width="17.85546875" style="4" customWidth="1"/>
    <col min="15114" max="15114" width="9.140625" style="4"/>
    <col min="15115" max="15115" width="10.5703125" style="4" bestFit="1" customWidth="1"/>
    <col min="15116" max="15360" width="9.140625" style="4"/>
    <col min="15361" max="15361" width="6" style="4" customWidth="1"/>
    <col min="15362" max="15362" width="52.42578125" style="4" customWidth="1"/>
    <col min="15363" max="15363" width="11.7109375" style="4" customWidth="1"/>
    <col min="15364" max="15364" width="6" style="4" customWidth="1"/>
    <col min="15365" max="15365" width="5.5703125" style="4" customWidth="1"/>
    <col min="15366" max="15366" width="8.85546875" style="4" customWidth="1"/>
    <col min="15367" max="15367" width="11" style="4" bestFit="1" customWidth="1"/>
    <col min="15368" max="15368" width="20.7109375" style="4" customWidth="1"/>
    <col min="15369" max="15369" width="17.85546875" style="4" customWidth="1"/>
    <col min="15370" max="15370" width="9.140625" style="4"/>
    <col min="15371" max="15371" width="10.5703125" style="4" bestFit="1" customWidth="1"/>
    <col min="15372" max="15616" width="9.140625" style="4"/>
    <col min="15617" max="15617" width="6" style="4" customWidth="1"/>
    <col min="15618" max="15618" width="52.42578125" style="4" customWidth="1"/>
    <col min="15619" max="15619" width="11.7109375" style="4" customWidth="1"/>
    <col min="15620" max="15620" width="6" style="4" customWidth="1"/>
    <col min="15621" max="15621" width="5.5703125" style="4" customWidth="1"/>
    <col min="15622" max="15622" width="8.85546875" style="4" customWidth="1"/>
    <col min="15623" max="15623" width="11" style="4" bestFit="1" customWidth="1"/>
    <col min="15624" max="15624" width="20.7109375" style="4" customWidth="1"/>
    <col min="15625" max="15625" width="17.85546875" style="4" customWidth="1"/>
    <col min="15626" max="15626" width="9.140625" style="4"/>
    <col min="15627" max="15627" width="10.5703125" style="4" bestFit="1" customWidth="1"/>
    <col min="15628" max="15872" width="9.140625" style="4"/>
    <col min="15873" max="15873" width="6" style="4" customWidth="1"/>
    <col min="15874" max="15874" width="52.42578125" style="4" customWidth="1"/>
    <col min="15875" max="15875" width="11.7109375" style="4" customWidth="1"/>
    <col min="15876" max="15876" width="6" style="4" customWidth="1"/>
    <col min="15877" max="15877" width="5.5703125" style="4" customWidth="1"/>
    <col min="15878" max="15878" width="8.85546875" style="4" customWidth="1"/>
    <col min="15879" max="15879" width="11" style="4" bestFit="1" customWidth="1"/>
    <col min="15880" max="15880" width="20.7109375" style="4" customWidth="1"/>
    <col min="15881" max="15881" width="17.85546875" style="4" customWidth="1"/>
    <col min="15882" max="15882" width="9.140625" style="4"/>
    <col min="15883" max="15883" width="10.5703125" style="4" bestFit="1" customWidth="1"/>
    <col min="15884" max="16128" width="9.140625" style="4"/>
    <col min="16129" max="16129" width="6" style="4" customWidth="1"/>
    <col min="16130" max="16130" width="52.42578125" style="4" customWidth="1"/>
    <col min="16131" max="16131" width="11.7109375" style="4" customWidth="1"/>
    <col min="16132" max="16132" width="6" style="4" customWidth="1"/>
    <col min="16133" max="16133" width="5.5703125" style="4" customWidth="1"/>
    <col min="16134" max="16134" width="8.85546875" style="4" customWidth="1"/>
    <col min="16135" max="16135" width="11" style="4" bestFit="1" customWidth="1"/>
    <col min="16136" max="16136" width="20.7109375" style="4" customWidth="1"/>
    <col min="16137" max="16137" width="17.85546875" style="4" customWidth="1"/>
    <col min="16138" max="16138" width="9.140625" style="4"/>
    <col min="16139" max="16139" width="10.5703125" style="4" bestFit="1" customWidth="1"/>
    <col min="16140" max="16384" width="9.140625" style="4"/>
  </cols>
  <sheetData>
    <row r="1" spans="1:7" ht="18">
      <c r="B1" s="3047" t="s">
        <v>64</v>
      </c>
      <c r="C1" s="3047"/>
      <c r="D1" s="3"/>
      <c r="E1" s="3"/>
      <c r="F1" s="3"/>
      <c r="G1" s="3"/>
    </row>
    <row r="2" spans="1:7" ht="12.75" customHeight="1">
      <c r="B2" s="47"/>
      <c r="C2" s="47"/>
      <c r="D2" s="3"/>
      <c r="E2" s="3"/>
      <c r="F2" s="3"/>
      <c r="G2" s="3"/>
    </row>
    <row r="3" spans="1:7" ht="34.5" customHeight="1">
      <c r="B3" s="3061" t="s">
        <v>65</v>
      </c>
      <c r="C3" s="3061"/>
      <c r="D3" s="3061"/>
      <c r="E3" s="3061"/>
      <c r="F3" s="3061"/>
      <c r="G3" s="48"/>
    </row>
    <row r="4" spans="1:7" ht="15.75">
      <c r="A4" s="19"/>
      <c r="B4" s="49"/>
      <c r="C4" s="49"/>
      <c r="D4" s="49"/>
      <c r="E4" s="49"/>
      <c r="F4" s="49"/>
      <c r="G4" s="49"/>
    </row>
    <row r="5" spans="1:7" ht="15.75">
      <c r="A5" s="1"/>
      <c r="B5" s="12"/>
      <c r="C5" s="50"/>
      <c r="D5" s="12"/>
      <c r="E5" s="12"/>
      <c r="F5" s="51"/>
      <c r="G5" s="941" t="s">
        <v>89</v>
      </c>
    </row>
    <row r="6" spans="1:7" ht="15.75">
      <c r="A6" s="1"/>
      <c r="B6" s="12"/>
      <c r="C6" s="50"/>
      <c r="D6" s="12"/>
      <c r="E6" s="12"/>
      <c r="F6" s="51"/>
      <c r="G6" s="52"/>
    </row>
    <row r="7" spans="1:7" ht="28.5" customHeight="1">
      <c r="A7" s="53" t="s">
        <v>2</v>
      </c>
      <c r="B7" s="13" t="s">
        <v>3</v>
      </c>
      <c r="C7" s="54" t="s">
        <v>4</v>
      </c>
      <c r="D7" s="13" t="s">
        <v>5</v>
      </c>
      <c r="E7" s="13" t="s">
        <v>8</v>
      </c>
      <c r="F7" s="55" t="s">
        <v>9</v>
      </c>
      <c r="G7" s="13" t="s">
        <v>10</v>
      </c>
    </row>
    <row r="8" spans="1:7" ht="15.75" customHeight="1">
      <c r="A8" s="13">
        <v>1</v>
      </c>
      <c r="B8" s="13">
        <v>2</v>
      </c>
      <c r="C8" s="13">
        <v>3</v>
      </c>
      <c r="D8" s="13">
        <v>4</v>
      </c>
      <c r="E8" s="13">
        <v>5</v>
      </c>
      <c r="F8" s="13">
        <v>6</v>
      </c>
      <c r="G8" s="13">
        <v>7</v>
      </c>
    </row>
    <row r="9" spans="1:7" ht="15" customHeight="1">
      <c r="A9" s="1340">
        <v>1</v>
      </c>
      <c r="B9" s="1516" t="s">
        <v>11</v>
      </c>
      <c r="C9" s="1510">
        <v>7130800012</v>
      </c>
      <c r="D9" s="1340" t="s">
        <v>12</v>
      </c>
      <c r="E9" s="1340">
        <v>2</v>
      </c>
      <c r="F9" s="1341">
        <v>2298.46</v>
      </c>
      <c r="G9" s="1341">
        <f>F9*E9</f>
        <v>4596.92</v>
      </c>
    </row>
    <row r="10" spans="1:7" ht="15" customHeight="1">
      <c r="A10" s="1340">
        <v>2</v>
      </c>
      <c r="B10" s="1601" t="s">
        <v>66</v>
      </c>
      <c r="C10" s="1510">
        <v>7130810512</v>
      </c>
      <c r="D10" s="1340" t="s">
        <v>40</v>
      </c>
      <c r="E10" s="1340">
        <v>1</v>
      </c>
      <c r="F10" s="1341">
        <v>5188.4799999999996</v>
      </c>
      <c r="G10" s="1341">
        <f>F10*E10</f>
        <v>5188.4799999999996</v>
      </c>
    </row>
    <row r="11" spans="1:7" ht="15.75" customHeight="1">
      <c r="A11" s="1340">
        <v>3</v>
      </c>
      <c r="B11" s="1516" t="s">
        <v>67</v>
      </c>
      <c r="C11" s="1510">
        <v>7130820010</v>
      </c>
      <c r="D11" s="1340" t="s">
        <v>68</v>
      </c>
      <c r="E11" s="1340">
        <v>6</v>
      </c>
      <c r="F11" s="1341">
        <v>118.97</v>
      </c>
      <c r="G11" s="1341">
        <f>F11*E11</f>
        <v>713.81999999999994</v>
      </c>
    </row>
    <row r="12" spans="1:7" ht="15.75" customHeight="1">
      <c r="A12" s="1340">
        <v>4</v>
      </c>
      <c r="B12" s="1516" t="s">
        <v>69</v>
      </c>
      <c r="C12" s="1510">
        <v>7130820241</v>
      </c>
      <c r="D12" s="1340" t="s">
        <v>12</v>
      </c>
      <c r="E12" s="1340">
        <v>6</v>
      </c>
      <c r="F12" s="1341">
        <v>153.49</v>
      </c>
      <c r="G12" s="1341">
        <f>F12*E12</f>
        <v>920.94</v>
      </c>
    </row>
    <row r="13" spans="1:7" ht="13.5" customHeight="1">
      <c r="A13" s="1438">
        <v>5</v>
      </c>
      <c r="B13" s="1516" t="s">
        <v>19</v>
      </c>
      <c r="C13" s="1521">
        <v>7130820008</v>
      </c>
      <c r="D13" s="1438" t="s">
        <v>12</v>
      </c>
      <c r="E13" s="1438">
        <v>3</v>
      </c>
      <c r="F13" s="1341">
        <v>157.08000000000001</v>
      </c>
      <c r="G13" s="1423">
        <f>F13*E13</f>
        <v>471.24</v>
      </c>
    </row>
    <row r="14" spans="1:7" ht="25.5">
      <c r="A14" s="3227">
        <v>6</v>
      </c>
      <c r="B14" s="1342" t="s">
        <v>70</v>
      </c>
      <c r="C14" s="1510"/>
      <c r="D14" s="1340" t="s">
        <v>40</v>
      </c>
      <c r="E14" s="1181"/>
      <c r="F14" s="1341"/>
      <c r="G14" s="1341"/>
    </row>
    <row r="15" spans="1:7" ht="14.25" customHeight="1">
      <c r="A15" s="3228"/>
      <c r="B15" s="1601" t="s">
        <v>71</v>
      </c>
      <c r="C15" s="1510">
        <v>7130600032</v>
      </c>
      <c r="D15" s="1340" t="s">
        <v>26</v>
      </c>
      <c r="E15" s="1409">
        <v>52</v>
      </c>
      <c r="F15" s="1341">
        <f>54512.97/1000</f>
        <v>54.512970000000003</v>
      </c>
      <c r="G15" s="1341">
        <f t="shared" ref="G15:G20" si="0">F15*E15</f>
        <v>2834.6744400000002</v>
      </c>
    </row>
    <row r="16" spans="1:7" ht="13.5" customHeight="1">
      <c r="A16" s="3229"/>
      <c r="B16" s="1601" t="s">
        <v>72</v>
      </c>
      <c r="C16" s="1510">
        <v>7130810692</v>
      </c>
      <c r="D16" s="1354" t="s">
        <v>15</v>
      </c>
      <c r="E16" s="1409">
        <v>4</v>
      </c>
      <c r="F16" s="1341">
        <v>410.25</v>
      </c>
      <c r="G16" s="1341">
        <f t="shared" si="0"/>
        <v>1641</v>
      </c>
    </row>
    <row r="17" spans="1:11">
      <c r="A17" s="3227">
        <v>7</v>
      </c>
      <c r="B17" s="1369" t="s">
        <v>24</v>
      </c>
      <c r="C17" s="1521">
        <v>7130860032</v>
      </c>
      <c r="D17" s="1438" t="s">
        <v>12</v>
      </c>
      <c r="E17" s="1413">
        <v>6</v>
      </c>
      <c r="F17" s="1341">
        <v>566.19000000000005</v>
      </c>
      <c r="G17" s="1423">
        <f t="shared" si="0"/>
        <v>3397.1400000000003</v>
      </c>
    </row>
    <row r="18" spans="1:11" ht="15" customHeight="1">
      <c r="A18" s="3228"/>
      <c r="B18" s="1517" t="s">
        <v>73</v>
      </c>
      <c r="C18" s="1510">
        <v>7130860077</v>
      </c>
      <c r="D18" s="1340" t="s">
        <v>26</v>
      </c>
      <c r="E18" s="1340">
        <v>33</v>
      </c>
      <c r="F18" s="1341">
        <f>93766.43/1000</f>
        <v>93.76643</v>
      </c>
      <c r="G18" s="1341">
        <f t="shared" si="0"/>
        <v>3094.2921900000001</v>
      </c>
    </row>
    <row r="19" spans="1:11">
      <c r="A19" s="3229"/>
      <c r="B19" s="1517" t="s">
        <v>74</v>
      </c>
      <c r="C19" s="1521">
        <v>7130810026</v>
      </c>
      <c r="D19" s="1413" t="s">
        <v>15</v>
      </c>
      <c r="E19" s="1438">
        <v>6</v>
      </c>
      <c r="F19" s="1341">
        <v>198.14</v>
      </c>
      <c r="G19" s="1423">
        <f t="shared" si="0"/>
        <v>1188.8399999999999</v>
      </c>
    </row>
    <row r="20" spans="1:11" ht="15" customHeight="1">
      <c r="A20" s="1512">
        <v>8</v>
      </c>
      <c r="B20" s="1509" t="s">
        <v>75</v>
      </c>
      <c r="C20" s="1510">
        <v>7130200202</v>
      </c>
      <c r="D20" s="1340" t="s">
        <v>76</v>
      </c>
      <c r="E20" s="932">
        <f>(2*0.3)+(6*0.2)</f>
        <v>1.8000000000000003</v>
      </c>
      <c r="F20" s="1341">
        <v>2970</v>
      </c>
      <c r="G20" s="1341">
        <f t="shared" si="0"/>
        <v>5346.0000000000009</v>
      </c>
      <c r="H20" s="3263" t="s">
        <v>47</v>
      </c>
      <c r="I20" s="3265"/>
    </row>
    <row r="21" spans="1:11" ht="15" customHeight="1">
      <c r="A21" s="1438">
        <v>9</v>
      </c>
      <c r="B21" s="1516" t="s">
        <v>77</v>
      </c>
      <c r="C21" s="1510">
        <v>7130870013</v>
      </c>
      <c r="D21" s="1340" t="s">
        <v>12</v>
      </c>
      <c r="E21" s="1340">
        <v>2</v>
      </c>
      <c r="F21" s="1341">
        <v>152.88999999999999</v>
      </c>
      <c r="G21" s="1341">
        <f>F21*E21</f>
        <v>305.77999999999997</v>
      </c>
    </row>
    <row r="22" spans="1:11" ht="15" customHeight="1">
      <c r="A22" s="1340">
        <v>10</v>
      </c>
      <c r="B22" s="1517" t="s">
        <v>78</v>
      </c>
      <c r="C22" s="1510">
        <v>7130211158</v>
      </c>
      <c r="D22" s="1340" t="s">
        <v>29</v>
      </c>
      <c r="E22" s="1340">
        <v>0.5</v>
      </c>
      <c r="F22" s="1341">
        <v>193.62</v>
      </c>
      <c r="G22" s="1341">
        <f>F22*E22</f>
        <v>96.81</v>
      </c>
    </row>
    <row r="23" spans="1:11" ht="15" customHeight="1">
      <c r="A23" s="1340">
        <v>11</v>
      </c>
      <c r="B23" s="1517" t="s">
        <v>30</v>
      </c>
      <c r="C23" s="1510">
        <v>7130210809</v>
      </c>
      <c r="D23" s="1340" t="s">
        <v>29</v>
      </c>
      <c r="E23" s="1340">
        <v>0.5</v>
      </c>
      <c r="F23" s="1341">
        <v>432.63</v>
      </c>
      <c r="G23" s="1341">
        <f>F23*E23</f>
        <v>216.315</v>
      </c>
    </row>
    <row r="24" spans="1:11" ht="15" customHeight="1">
      <c r="A24" s="1340">
        <v>12</v>
      </c>
      <c r="B24" s="1372" t="s">
        <v>31</v>
      </c>
      <c r="C24" s="1602">
        <v>7130610206</v>
      </c>
      <c r="D24" s="1340" t="s">
        <v>26</v>
      </c>
      <c r="E24" s="1340">
        <v>4</v>
      </c>
      <c r="F24" s="1341">
        <f>97233.43/1000</f>
        <v>97.233429999999998</v>
      </c>
      <c r="G24" s="1341">
        <f>F24*E24</f>
        <v>388.93371999999999</v>
      </c>
      <c r="H24" s="56"/>
      <c r="I24" s="16"/>
      <c r="J24" s="17"/>
    </row>
    <row r="25" spans="1:11" ht="15" customHeight="1">
      <c r="A25" s="1340">
        <v>13</v>
      </c>
      <c r="B25" s="1516" t="s">
        <v>32</v>
      </c>
      <c r="C25" s="1510">
        <v>7130880041</v>
      </c>
      <c r="D25" s="1340" t="s">
        <v>33</v>
      </c>
      <c r="E25" s="1340">
        <v>1</v>
      </c>
      <c r="F25" s="1341">
        <v>113.77</v>
      </c>
      <c r="G25" s="1341">
        <f>F25*E25</f>
        <v>113.77</v>
      </c>
    </row>
    <row r="26" spans="1:11" ht="15" customHeight="1">
      <c r="A26" s="3227">
        <v>14</v>
      </c>
      <c r="B26" s="679" t="s">
        <v>35</v>
      </c>
      <c r="C26" s="1521"/>
      <c r="D26" s="1438" t="s">
        <v>26</v>
      </c>
      <c r="E26" s="14">
        <v>6</v>
      </c>
      <c r="F26" s="1423"/>
      <c r="G26" s="1423"/>
    </row>
    <row r="27" spans="1:11" ht="15" customHeight="1">
      <c r="A27" s="3228"/>
      <c r="B27" s="1585" t="s">
        <v>79</v>
      </c>
      <c r="C27" s="1510">
        <v>7130620609</v>
      </c>
      <c r="D27" s="1340" t="s">
        <v>26</v>
      </c>
      <c r="E27" s="1340">
        <v>0.5</v>
      </c>
      <c r="F27" s="1341">
        <v>87.23</v>
      </c>
      <c r="G27" s="1341">
        <f>F27*E27</f>
        <v>43.615000000000002</v>
      </c>
    </row>
    <row r="28" spans="1:11" ht="15" customHeight="1">
      <c r="A28" s="3229"/>
      <c r="B28" s="1585" t="s">
        <v>80</v>
      </c>
      <c r="C28" s="1510">
        <v>7130620631</v>
      </c>
      <c r="D28" s="1340" t="s">
        <v>26</v>
      </c>
      <c r="E28" s="1340">
        <v>5.5</v>
      </c>
      <c r="F28" s="1341">
        <v>84.32</v>
      </c>
      <c r="G28" s="1341">
        <f>F28*E28</f>
        <v>463.76</v>
      </c>
    </row>
    <row r="29" spans="1:11" ht="15.75" customHeight="1">
      <c r="A29" s="932">
        <v>15</v>
      </c>
      <c r="B29" s="1426" t="s">
        <v>48</v>
      </c>
      <c r="C29" s="1603"/>
      <c r="D29" s="1330"/>
      <c r="E29" s="14"/>
      <c r="F29" s="1604"/>
      <c r="G29" s="1343">
        <f>SUM(G9:G28)</f>
        <v>31022.33035</v>
      </c>
      <c r="H29" s="20"/>
      <c r="I29" s="21"/>
    </row>
    <row r="30" spans="1:11" ht="15.75" customHeight="1">
      <c r="A30" s="946">
        <v>16</v>
      </c>
      <c r="B30" s="1426" t="s">
        <v>49</v>
      </c>
      <c r="C30" s="1603"/>
      <c r="D30" s="1330"/>
      <c r="E30" s="14"/>
      <c r="F30" s="1604"/>
      <c r="G30" s="1343">
        <f>G29/1.18</f>
        <v>26290.110466101698</v>
      </c>
      <c r="H30" s="17"/>
      <c r="I30" s="21"/>
    </row>
    <row r="31" spans="1:11" ht="20.25" customHeight="1">
      <c r="A31" s="1512">
        <v>17</v>
      </c>
      <c r="B31" s="1372" t="s">
        <v>50</v>
      </c>
      <c r="C31" s="1375"/>
      <c r="D31" s="1375"/>
      <c r="E31" s="1375"/>
      <c r="F31" s="1339">
        <v>7.4999999999999997E-2</v>
      </c>
      <c r="G31" s="1341">
        <f>G29*F31</f>
        <v>2326.6747762499999</v>
      </c>
      <c r="H31" s="16"/>
      <c r="I31" s="21"/>
    </row>
    <row r="32" spans="1:11" ht="16.5" customHeight="1">
      <c r="A32" s="1512">
        <v>18</v>
      </c>
      <c r="B32" s="1338" t="s">
        <v>51</v>
      </c>
      <c r="C32" s="1335"/>
      <c r="D32" s="1340" t="s">
        <v>12</v>
      </c>
      <c r="E32" s="1340">
        <v>2</v>
      </c>
      <c r="F32" s="336">
        <f>339.936450725958*1.043</f>
        <v>354.55371810717418</v>
      </c>
      <c r="G32" s="1341">
        <f>F32*E32</f>
        <v>709.10743621434835</v>
      </c>
      <c r="H32" s="27"/>
      <c r="I32" s="18"/>
      <c r="J32" s="12"/>
      <c r="K32" s="18"/>
    </row>
    <row r="33" spans="1:11" ht="18">
      <c r="A33" s="1340">
        <v>19</v>
      </c>
      <c r="B33" s="1516" t="s">
        <v>81</v>
      </c>
      <c r="C33" s="1521"/>
      <c r="D33" s="966"/>
      <c r="E33" s="1438"/>
      <c r="F33" s="1605"/>
      <c r="G33" s="1341">
        <v>7454.13</v>
      </c>
      <c r="H33" s="57"/>
      <c r="I33" s="1611"/>
      <c r="J33" s="12"/>
      <c r="K33" s="12"/>
    </row>
    <row r="34" spans="1:11" ht="15.75" customHeight="1">
      <c r="A34" s="1438">
        <v>20</v>
      </c>
      <c r="B34" s="1520" t="s">
        <v>82</v>
      </c>
      <c r="C34" s="1521"/>
      <c r="D34" s="1409" t="s">
        <v>76</v>
      </c>
      <c r="E34" s="1340">
        <v>1.8</v>
      </c>
      <c r="F34" s="1341">
        <f>453*1.2778*1.0524*1.055*1.035*1.043</f>
        <v>693.77563415902353</v>
      </c>
      <c r="G34" s="1341">
        <f>E34*F34</f>
        <v>1248.7961414862423</v>
      </c>
      <c r="H34" s="59"/>
      <c r="I34" s="224"/>
      <c r="J34" s="12"/>
      <c r="K34" s="224"/>
    </row>
    <row r="35" spans="1:11" ht="18" customHeight="1">
      <c r="A35" s="1340">
        <v>21</v>
      </c>
      <c r="B35" s="1338" t="s">
        <v>90</v>
      </c>
      <c r="C35" s="1606"/>
      <c r="D35" s="966"/>
      <c r="E35" s="1340">
        <v>0.04</v>
      </c>
      <c r="F35" s="1605"/>
      <c r="G35" s="1430">
        <f>G30*E35</f>
        <v>1051.6044186440679</v>
      </c>
      <c r="H35" s="754" t="s">
        <v>1827</v>
      </c>
      <c r="I35" s="24"/>
      <c r="J35" s="12"/>
      <c r="K35" s="12"/>
    </row>
    <row r="36" spans="1:11" ht="28.5" customHeight="1">
      <c r="A36" s="1340">
        <v>22</v>
      </c>
      <c r="B36" s="1596" t="s">
        <v>83</v>
      </c>
      <c r="C36" s="1606"/>
      <c r="D36" s="966"/>
      <c r="E36" s="1438"/>
      <c r="F36" s="1605"/>
      <c r="G36" s="1430">
        <f>(G29+G31+G32+G33+G34+G35)*0.125</f>
        <v>5476.5803903243323</v>
      </c>
      <c r="H36" s="40"/>
      <c r="I36" s="26"/>
    </row>
    <row r="37" spans="1:11" ht="29.25" customHeight="1">
      <c r="A37" s="932">
        <v>23</v>
      </c>
      <c r="B37" s="1457" t="s">
        <v>84</v>
      </c>
      <c r="C37" s="1607"/>
      <c r="D37" s="1517"/>
      <c r="E37" s="1340"/>
      <c r="F37" s="1593"/>
      <c r="G37" s="1343">
        <f>SUM(G30:G36)</f>
        <v>44557.003629020692</v>
      </c>
      <c r="H37" s="27"/>
      <c r="I37" s="29"/>
    </row>
    <row r="38" spans="1:11" ht="17.25" customHeight="1">
      <c r="A38" s="1409">
        <v>24</v>
      </c>
      <c r="B38" s="1372" t="s">
        <v>85</v>
      </c>
      <c r="C38" s="1607"/>
      <c r="D38" s="1517"/>
      <c r="E38" s="1340"/>
      <c r="F38" s="1341">
        <v>0.09</v>
      </c>
      <c r="G38" s="1430">
        <f>G37*F38</f>
        <v>4010.1303266118621</v>
      </c>
      <c r="H38" s="27"/>
      <c r="I38" s="29"/>
    </row>
    <row r="39" spans="1:11" ht="17.25" customHeight="1">
      <c r="A39" s="1340">
        <v>25</v>
      </c>
      <c r="B39" s="1372" t="s">
        <v>86</v>
      </c>
      <c r="C39" s="1606"/>
      <c r="D39" s="966"/>
      <c r="E39" s="1438"/>
      <c r="F39" s="1341">
        <v>0.09</v>
      </c>
      <c r="G39" s="1341">
        <f>G37*F39</f>
        <v>4010.1303266118621</v>
      </c>
      <c r="H39" s="60"/>
      <c r="I39" s="29"/>
    </row>
    <row r="40" spans="1:11" ht="17.25" customHeight="1">
      <c r="A40" s="1340">
        <v>26</v>
      </c>
      <c r="B40" s="1372" t="s">
        <v>87</v>
      </c>
      <c r="C40" s="1521"/>
      <c r="D40" s="966"/>
      <c r="E40" s="1438"/>
      <c r="F40" s="1605"/>
      <c r="G40" s="1341">
        <f>G37+G38+G39</f>
        <v>52577.264282244418</v>
      </c>
    </row>
    <row r="41" spans="1:11" ht="16.5" customHeight="1">
      <c r="A41" s="1312">
        <v>27</v>
      </c>
      <c r="B41" s="1323" t="s">
        <v>59</v>
      </c>
      <c r="C41" s="1608"/>
      <c r="D41" s="1609"/>
      <c r="E41" s="1460"/>
      <c r="F41" s="1610"/>
      <c r="G41" s="1599">
        <f>ROUND(G40,0)</f>
        <v>52577</v>
      </c>
    </row>
    <row r="42" spans="1:11">
      <c r="A42" s="61"/>
      <c r="B42" s="62"/>
      <c r="C42" s="63"/>
      <c r="D42" s="64"/>
      <c r="E42" s="61"/>
      <c r="F42" s="65"/>
      <c r="G42" s="66"/>
    </row>
    <row r="43" spans="1:11">
      <c r="A43" s="67" t="s">
        <v>88</v>
      </c>
      <c r="B43" s="68" t="s">
        <v>61</v>
      </c>
      <c r="C43" s="42"/>
      <c r="D43" s="69"/>
      <c r="F43" s="39"/>
    </row>
  </sheetData>
  <mergeCells count="6">
    <mergeCell ref="H20:I20"/>
    <mergeCell ref="A26:A28"/>
    <mergeCell ref="B1:C1"/>
    <mergeCell ref="B3:F3"/>
    <mergeCell ref="A14:A16"/>
    <mergeCell ref="A17:A19"/>
  </mergeCells>
  <conditionalFormatting sqref="B29">
    <cfRule type="cellIs" dxfId="110" priority="2" stopIfTrue="1" operator="equal">
      <formula>"?"</formula>
    </cfRule>
  </conditionalFormatting>
  <conditionalFormatting sqref="B30">
    <cfRule type="cellIs" dxfId="109" priority="1" stopIfTrue="1" operator="equal">
      <formula>"?"</formula>
    </cfRule>
  </conditionalFormatting>
  <printOptions horizontalCentered="1" gridLines="1"/>
  <pageMargins left="0.84" right="0.22" top="0.81" bottom="0.39" header="0.64" footer="0.15"/>
  <pageSetup paperSize="9" scale="130" orientation="landscape"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127"/>
  <sheetViews>
    <sheetView zoomScaleNormal="100" workbookViewId="0">
      <pane xSplit="3" ySplit="7" topLeftCell="D52" activePane="bottomRight" state="frozen"/>
      <selection pane="topRight" activeCell="D1" sqref="D1"/>
      <selection pane="bottomLeft" activeCell="A8" sqref="A8"/>
      <selection pane="bottomRight" activeCell="F10" sqref="F10"/>
    </sheetView>
  </sheetViews>
  <sheetFormatPr defaultRowHeight="12.75"/>
  <cols>
    <col min="1" max="1" width="4.28515625" style="70" customWidth="1"/>
    <col min="2" max="2" width="59.28515625" style="70" customWidth="1"/>
    <col min="3" max="3" width="13.28515625" style="111" customWidth="1"/>
    <col min="4" max="4" width="6.140625" style="70" customWidth="1"/>
    <col min="5" max="5" width="7.85546875" style="112" bestFit="1" customWidth="1"/>
    <col min="6" max="6" width="9.7109375" style="70" customWidth="1"/>
    <col min="7" max="7" width="11.5703125" style="70" customWidth="1"/>
    <col min="8" max="8" width="6.5703125" style="70" customWidth="1"/>
    <col min="9" max="9" width="9.5703125" style="70" bestFit="1" customWidth="1"/>
    <col min="10" max="10" width="11.5703125" style="70" customWidth="1"/>
    <col min="11" max="11" width="20.42578125" style="70" customWidth="1"/>
    <col min="12" max="12" width="17.85546875" style="70" customWidth="1"/>
    <col min="13" max="13" width="13" style="70" customWidth="1"/>
    <col min="14" max="14" width="9.85546875" style="70" customWidth="1"/>
    <col min="15" max="256" width="9.140625" style="70"/>
    <col min="257" max="257" width="4.28515625" style="70" customWidth="1"/>
    <col min="258" max="258" width="59.28515625" style="70" customWidth="1"/>
    <col min="259" max="259" width="13.28515625" style="70" customWidth="1"/>
    <col min="260" max="260" width="6.140625" style="70" customWidth="1"/>
    <col min="261" max="261" width="7.85546875" style="70" bestFit="1" customWidth="1"/>
    <col min="262" max="262" width="9.7109375" style="70" customWidth="1"/>
    <col min="263" max="263" width="11.5703125" style="70" customWidth="1"/>
    <col min="264" max="264" width="6.5703125" style="70" customWidth="1"/>
    <col min="265" max="265" width="9.5703125" style="70" bestFit="1" customWidth="1"/>
    <col min="266" max="266" width="11.5703125" style="70" customWidth="1"/>
    <col min="267" max="267" width="20.42578125" style="70" customWidth="1"/>
    <col min="268" max="268" width="17.85546875" style="70" customWidth="1"/>
    <col min="269" max="269" width="13" style="70" customWidth="1"/>
    <col min="270" max="512" width="9.140625" style="70"/>
    <col min="513" max="513" width="4.28515625" style="70" customWidth="1"/>
    <col min="514" max="514" width="59.28515625" style="70" customWidth="1"/>
    <col min="515" max="515" width="13.28515625" style="70" customWidth="1"/>
    <col min="516" max="516" width="6.140625" style="70" customWidth="1"/>
    <col min="517" max="517" width="7.85546875" style="70" bestFit="1" customWidth="1"/>
    <col min="518" max="518" width="9.7109375" style="70" customWidth="1"/>
    <col min="519" max="519" width="11.5703125" style="70" customWidth="1"/>
    <col min="520" max="520" width="6.5703125" style="70" customWidth="1"/>
    <col min="521" max="521" width="9.5703125" style="70" bestFit="1" customWidth="1"/>
    <col min="522" max="522" width="11.5703125" style="70" customWidth="1"/>
    <col min="523" max="523" width="20.42578125" style="70" customWidth="1"/>
    <col min="524" max="524" width="17.85546875" style="70" customWidth="1"/>
    <col min="525" max="525" width="13" style="70" customWidth="1"/>
    <col min="526" max="768" width="9.140625" style="70"/>
    <col min="769" max="769" width="4.28515625" style="70" customWidth="1"/>
    <col min="770" max="770" width="59.28515625" style="70" customWidth="1"/>
    <col min="771" max="771" width="13.28515625" style="70" customWidth="1"/>
    <col min="772" max="772" width="6.140625" style="70" customWidth="1"/>
    <col min="773" max="773" width="7.85546875" style="70" bestFit="1" customWidth="1"/>
    <col min="774" max="774" width="9.7109375" style="70" customWidth="1"/>
    <col min="775" max="775" width="11.5703125" style="70" customWidth="1"/>
    <col min="776" max="776" width="6.5703125" style="70" customWidth="1"/>
    <col min="777" max="777" width="9.5703125" style="70" bestFit="1" customWidth="1"/>
    <col min="778" max="778" width="11.5703125" style="70" customWidth="1"/>
    <col min="779" max="779" width="20.42578125" style="70" customWidth="1"/>
    <col min="780" max="780" width="17.85546875" style="70" customWidth="1"/>
    <col min="781" max="781" width="13" style="70" customWidth="1"/>
    <col min="782" max="1024" width="9.140625" style="70"/>
    <col min="1025" max="1025" width="4.28515625" style="70" customWidth="1"/>
    <col min="1026" max="1026" width="59.28515625" style="70" customWidth="1"/>
    <col min="1027" max="1027" width="13.28515625" style="70" customWidth="1"/>
    <col min="1028" max="1028" width="6.140625" style="70" customWidth="1"/>
    <col min="1029" max="1029" width="7.85546875" style="70" bestFit="1" customWidth="1"/>
    <col min="1030" max="1030" width="9.7109375" style="70" customWidth="1"/>
    <col min="1031" max="1031" width="11.5703125" style="70" customWidth="1"/>
    <col min="1032" max="1032" width="6.5703125" style="70" customWidth="1"/>
    <col min="1033" max="1033" width="9.5703125" style="70" bestFit="1" customWidth="1"/>
    <col min="1034" max="1034" width="11.5703125" style="70" customWidth="1"/>
    <col min="1035" max="1035" width="20.42578125" style="70" customWidth="1"/>
    <col min="1036" max="1036" width="17.85546875" style="70" customWidth="1"/>
    <col min="1037" max="1037" width="13" style="70" customWidth="1"/>
    <col min="1038" max="1280" width="9.140625" style="70"/>
    <col min="1281" max="1281" width="4.28515625" style="70" customWidth="1"/>
    <col min="1282" max="1282" width="59.28515625" style="70" customWidth="1"/>
    <col min="1283" max="1283" width="13.28515625" style="70" customWidth="1"/>
    <col min="1284" max="1284" width="6.140625" style="70" customWidth="1"/>
    <col min="1285" max="1285" width="7.85546875" style="70" bestFit="1" customWidth="1"/>
    <col min="1286" max="1286" width="9.7109375" style="70" customWidth="1"/>
    <col min="1287" max="1287" width="11.5703125" style="70" customWidth="1"/>
    <col min="1288" max="1288" width="6.5703125" style="70" customWidth="1"/>
    <col min="1289" max="1289" width="9.5703125" style="70" bestFit="1" customWidth="1"/>
    <col min="1290" max="1290" width="11.5703125" style="70" customWidth="1"/>
    <col min="1291" max="1291" width="20.42578125" style="70" customWidth="1"/>
    <col min="1292" max="1292" width="17.85546875" style="70" customWidth="1"/>
    <col min="1293" max="1293" width="13" style="70" customWidth="1"/>
    <col min="1294" max="1536" width="9.140625" style="70"/>
    <col min="1537" max="1537" width="4.28515625" style="70" customWidth="1"/>
    <col min="1538" max="1538" width="59.28515625" style="70" customWidth="1"/>
    <col min="1539" max="1539" width="13.28515625" style="70" customWidth="1"/>
    <col min="1540" max="1540" width="6.140625" style="70" customWidth="1"/>
    <col min="1541" max="1541" width="7.85546875" style="70" bestFit="1" customWidth="1"/>
    <col min="1542" max="1542" width="9.7109375" style="70" customWidth="1"/>
    <col min="1543" max="1543" width="11.5703125" style="70" customWidth="1"/>
    <col min="1544" max="1544" width="6.5703125" style="70" customWidth="1"/>
    <col min="1545" max="1545" width="9.5703125" style="70" bestFit="1" customWidth="1"/>
    <col min="1546" max="1546" width="11.5703125" style="70" customWidth="1"/>
    <col min="1547" max="1547" width="20.42578125" style="70" customWidth="1"/>
    <col min="1548" max="1548" width="17.85546875" style="70" customWidth="1"/>
    <col min="1549" max="1549" width="13" style="70" customWidth="1"/>
    <col min="1550" max="1792" width="9.140625" style="70"/>
    <col min="1793" max="1793" width="4.28515625" style="70" customWidth="1"/>
    <col min="1794" max="1794" width="59.28515625" style="70" customWidth="1"/>
    <col min="1795" max="1795" width="13.28515625" style="70" customWidth="1"/>
    <col min="1796" max="1796" width="6.140625" style="70" customWidth="1"/>
    <col min="1797" max="1797" width="7.85546875" style="70" bestFit="1" customWidth="1"/>
    <col min="1798" max="1798" width="9.7109375" style="70" customWidth="1"/>
    <col min="1799" max="1799" width="11.5703125" style="70" customWidth="1"/>
    <col min="1800" max="1800" width="6.5703125" style="70" customWidth="1"/>
    <col min="1801" max="1801" width="9.5703125" style="70" bestFit="1" customWidth="1"/>
    <col min="1802" max="1802" width="11.5703125" style="70" customWidth="1"/>
    <col min="1803" max="1803" width="20.42578125" style="70" customWidth="1"/>
    <col min="1804" max="1804" width="17.85546875" style="70" customWidth="1"/>
    <col min="1805" max="1805" width="13" style="70" customWidth="1"/>
    <col min="1806" max="2048" width="9.140625" style="70"/>
    <col min="2049" max="2049" width="4.28515625" style="70" customWidth="1"/>
    <col min="2050" max="2050" width="59.28515625" style="70" customWidth="1"/>
    <col min="2051" max="2051" width="13.28515625" style="70" customWidth="1"/>
    <col min="2052" max="2052" width="6.140625" style="70" customWidth="1"/>
    <col min="2053" max="2053" width="7.85546875" style="70" bestFit="1" customWidth="1"/>
    <col min="2054" max="2054" width="9.7109375" style="70" customWidth="1"/>
    <col min="2055" max="2055" width="11.5703125" style="70" customWidth="1"/>
    <col min="2056" max="2056" width="6.5703125" style="70" customWidth="1"/>
    <col min="2057" max="2057" width="9.5703125" style="70" bestFit="1" customWidth="1"/>
    <col min="2058" max="2058" width="11.5703125" style="70" customWidth="1"/>
    <col min="2059" max="2059" width="20.42578125" style="70" customWidth="1"/>
    <col min="2060" max="2060" width="17.85546875" style="70" customWidth="1"/>
    <col min="2061" max="2061" width="13" style="70" customWidth="1"/>
    <col min="2062" max="2304" width="9.140625" style="70"/>
    <col min="2305" max="2305" width="4.28515625" style="70" customWidth="1"/>
    <col min="2306" max="2306" width="59.28515625" style="70" customWidth="1"/>
    <col min="2307" max="2307" width="13.28515625" style="70" customWidth="1"/>
    <col min="2308" max="2308" width="6.140625" style="70" customWidth="1"/>
    <col min="2309" max="2309" width="7.85546875" style="70" bestFit="1" customWidth="1"/>
    <col min="2310" max="2310" width="9.7109375" style="70" customWidth="1"/>
    <col min="2311" max="2311" width="11.5703125" style="70" customWidth="1"/>
    <col min="2312" max="2312" width="6.5703125" style="70" customWidth="1"/>
    <col min="2313" max="2313" width="9.5703125" style="70" bestFit="1" customWidth="1"/>
    <col min="2314" max="2314" width="11.5703125" style="70" customWidth="1"/>
    <col min="2315" max="2315" width="20.42578125" style="70" customWidth="1"/>
    <col min="2316" max="2316" width="17.85546875" style="70" customWidth="1"/>
    <col min="2317" max="2317" width="13" style="70" customWidth="1"/>
    <col min="2318" max="2560" width="9.140625" style="70"/>
    <col min="2561" max="2561" width="4.28515625" style="70" customWidth="1"/>
    <col min="2562" max="2562" width="59.28515625" style="70" customWidth="1"/>
    <col min="2563" max="2563" width="13.28515625" style="70" customWidth="1"/>
    <col min="2564" max="2564" width="6.140625" style="70" customWidth="1"/>
    <col min="2565" max="2565" width="7.85546875" style="70" bestFit="1" customWidth="1"/>
    <col min="2566" max="2566" width="9.7109375" style="70" customWidth="1"/>
    <col min="2567" max="2567" width="11.5703125" style="70" customWidth="1"/>
    <col min="2568" max="2568" width="6.5703125" style="70" customWidth="1"/>
    <col min="2569" max="2569" width="9.5703125" style="70" bestFit="1" customWidth="1"/>
    <col min="2570" max="2570" width="11.5703125" style="70" customWidth="1"/>
    <col min="2571" max="2571" width="20.42578125" style="70" customWidth="1"/>
    <col min="2572" max="2572" width="17.85546875" style="70" customWidth="1"/>
    <col min="2573" max="2573" width="13" style="70" customWidth="1"/>
    <col min="2574" max="2816" width="9.140625" style="70"/>
    <col min="2817" max="2817" width="4.28515625" style="70" customWidth="1"/>
    <col min="2818" max="2818" width="59.28515625" style="70" customWidth="1"/>
    <col min="2819" max="2819" width="13.28515625" style="70" customWidth="1"/>
    <col min="2820" max="2820" width="6.140625" style="70" customWidth="1"/>
    <col min="2821" max="2821" width="7.85546875" style="70" bestFit="1" customWidth="1"/>
    <col min="2822" max="2822" width="9.7109375" style="70" customWidth="1"/>
    <col min="2823" max="2823" width="11.5703125" style="70" customWidth="1"/>
    <col min="2824" max="2824" width="6.5703125" style="70" customWidth="1"/>
    <col min="2825" max="2825" width="9.5703125" style="70" bestFit="1" customWidth="1"/>
    <col min="2826" max="2826" width="11.5703125" style="70" customWidth="1"/>
    <col min="2827" max="2827" width="20.42578125" style="70" customWidth="1"/>
    <col min="2828" max="2828" width="17.85546875" style="70" customWidth="1"/>
    <col min="2829" max="2829" width="13" style="70" customWidth="1"/>
    <col min="2830" max="3072" width="9.140625" style="70"/>
    <col min="3073" max="3073" width="4.28515625" style="70" customWidth="1"/>
    <col min="3074" max="3074" width="59.28515625" style="70" customWidth="1"/>
    <col min="3075" max="3075" width="13.28515625" style="70" customWidth="1"/>
    <col min="3076" max="3076" width="6.140625" style="70" customWidth="1"/>
    <col min="3077" max="3077" width="7.85546875" style="70" bestFit="1" customWidth="1"/>
    <col min="3078" max="3078" width="9.7109375" style="70" customWidth="1"/>
    <col min="3079" max="3079" width="11.5703125" style="70" customWidth="1"/>
    <col min="3080" max="3080" width="6.5703125" style="70" customWidth="1"/>
    <col min="3081" max="3081" width="9.5703125" style="70" bestFit="1" customWidth="1"/>
    <col min="3082" max="3082" width="11.5703125" style="70" customWidth="1"/>
    <col min="3083" max="3083" width="20.42578125" style="70" customWidth="1"/>
    <col min="3084" max="3084" width="17.85546875" style="70" customWidth="1"/>
    <col min="3085" max="3085" width="13" style="70" customWidth="1"/>
    <col min="3086" max="3328" width="9.140625" style="70"/>
    <col min="3329" max="3329" width="4.28515625" style="70" customWidth="1"/>
    <col min="3330" max="3330" width="59.28515625" style="70" customWidth="1"/>
    <col min="3331" max="3331" width="13.28515625" style="70" customWidth="1"/>
    <col min="3332" max="3332" width="6.140625" style="70" customWidth="1"/>
    <col min="3333" max="3333" width="7.85546875" style="70" bestFit="1" customWidth="1"/>
    <col min="3334" max="3334" width="9.7109375" style="70" customWidth="1"/>
    <col min="3335" max="3335" width="11.5703125" style="70" customWidth="1"/>
    <col min="3336" max="3336" width="6.5703125" style="70" customWidth="1"/>
    <col min="3337" max="3337" width="9.5703125" style="70" bestFit="1" customWidth="1"/>
    <col min="3338" max="3338" width="11.5703125" style="70" customWidth="1"/>
    <col min="3339" max="3339" width="20.42578125" style="70" customWidth="1"/>
    <col min="3340" max="3340" width="17.85546875" style="70" customWidth="1"/>
    <col min="3341" max="3341" width="13" style="70" customWidth="1"/>
    <col min="3342" max="3584" width="9.140625" style="70"/>
    <col min="3585" max="3585" width="4.28515625" style="70" customWidth="1"/>
    <col min="3586" max="3586" width="59.28515625" style="70" customWidth="1"/>
    <col min="3587" max="3587" width="13.28515625" style="70" customWidth="1"/>
    <col min="3588" max="3588" width="6.140625" style="70" customWidth="1"/>
    <col min="3589" max="3589" width="7.85546875" style="70" bestFit="1" customWidth="1"/>
    <col min="3590" max="3590" width="9.7109375" style="70" customWidth="1"/>
    <col min="3591" max="3591" width="11.5703125" style="70" customWidth="1"/>
    <col min="3592" max="3592" width="6.5703125" style="70" customWidth="1"/>
    <col min="3593" max="3593" width="9.5703125" style="70" bestFit="1" customWidth="1"/>
    <col min="3594" max="3594" width="11.5703125" style="70" customWidth="1"/>
    <col min="3595" max="3595" width="20.42578125" style="70" customWidth="1"/>
    <col min="3596" max="3596" width="17.85546875" style="70" customWidth="1"/>
    <col min="3597" max="3597" width="13" style="70" customWidth="1"/>
    <col min="3598" max="3840" width="9.140625" style="70"/>
    <col min="3841" max="3841" width="4.28515625" style="70" customWidth="1"/>
    <col min="3842" max="3842" width="59.28515625" style="70" customWidth="1"/>
    <col min="3843" max="3843" width="13.28515625" style="70" customWidth="1"/>
    <col min="3844" max="3844" width="6.140625" style="70" customWidth="1"/>
    <col min="3845" max="3845" width="7.85546875" style="70" bestFit="1" customWidth="1"/>
    <col min="3846" max="3846" width="9.7109375" style="70" customWidth="1"/>
    <col min="3847" max="3847" width="11.5703125" style="70" customWidth="1"/>
    <col min="3848" max="3848" width="6.5703125" style="70" customWidth="1"/>
    <col min="3849" max="3849" width="9.5703125" style="70" bestFit="1" customWidth="1"/>
    <col min="3850" max="3850" width="11.5703125" style="70" customWidth="1"/>
    <col min="3851" max="3851" width="20.42578125" style="70" customWidth="1"/>
    <col min="3852" max="3852" width="17.85546875" style="70" customWidth="1"/>
    <col min="3853" max="3853" width="13" style="70" customWidth="1"/>
    <col min="3854" max="4096" width="9.140625" style="70"/>
    <col min="4097" max="4097" width="4.28515625" style="70" customWidth="1"/>
    <col min="4098" max="4098" width="59.28515625" style="70" customWidth="1"/>
    <col min="4099" max="4099" width="13.28515625" style="70" customWidth="1"/>
    <col min="4100" max="4100" width="6.140625" style="70" customWidth="1"/>
    <col min="4101" max="4101" width="7.85546875" style="70" bestFit="1" customWidth="1"/>
    <col min="4102" max="4102" width="9.7109375" style="70" customWidth="1"/>
    <col min="4103" max="4103" width="11.5703125" style="70" customWidth="1"/>
    <col min="4104" max="4104" width="6.5703125" style="70" customWidth="1"/>
    <col min="4105" max="4105" width="9.5703125" style="70" bestFit="1" customWidth="1"/>
    <col min="4106" max="4106" width="11.5703125" style="70" customWidth="1"/>
    <col min="4107" max="4107" width="20.42578125" style="70" customWidth="1"/>
    <col min="4108" max="4108" width="17.85546875" style="70" customWidth="1"/>
    <col min="4109" max="4109" width="13" style="70" customWidth="1"/>
    <col min="4110" max="4352" width="9.140625" style="70"/>
    <col min="4353" max="4353" width="4.28515625" style="70" customWidth="1"/>
    <col min="4354" max="4354" width="59.28515625" style="70" customWidth="1"/>
    <col min="4355" max="4355" width="13.28515625" style="70" customWidth="1"/>
    <col min="4356" max="4356" width="6.140625" style="70" customWidth="1"/>
    <col min="4357" max="4357" width="7.85546875" style="70" bestFit="1" customWidth="1"/>
    <col min="4358" max="4358" width="9.7109375" style="70" customWidth="1"/>
    <col min="4359" max="4359" width="11.5703125" style="70" customWidth="1"/>
    <col min="4360" max="4360" width="6.5703125" style="70" customWidth="1"/>
    <col min="4361" max="4361" width="9.5703125" style="70" bestFit="1" customWidth="1"/>
    <col min="4362" max="4362" width="11.5703125" style="70" customWidth="1"/>
    <col min="4363" max="4363" width="20.42578125" style="70" customWidth="1"/>
    <col min="4364" max="4364" width="17.85546875" style="70" customWidth="1"/>
    <col min="4365" max="4365" width="13" style="70" customWidth="1"/>
    <col min="4366" max="4608" width="9.140625" style="70"/>
    <col min="4609" max="4609" width="4.28515625" style="70" customWidth="1"/>
    <col min="4610" max="4610" width="59.28515625" style="70" customWidth="1"/>
    <col min="4611" max="4611" width="13.28515625" style="70" customWidth="1"/>
    <col min="4612" max="4612" width="6.140625" style="70" customWidth="1"/>
    <col min="4613" max="4613" width="7.85546875" style="70" bestFit="1" customWidth="1"/>
    <col min="4614" max="4614" width="9.7109375" style="70" customWidth="1"/>
    <col min="4615" max="4615" width="11.5703125" style="70" customWidth="1"/>
    <col min="4616" max="4616" width="6.5703125" style="70" customWidth="1"/>
    <col min="4617" max="4617" width="9.5703125" style="70" bestFit="1" customWidth="1"/>
    <col min="4618" max="4618" width="11.5703125" style="70" customWidth="1"/>
    <col min="4619" max="4619" width="20.42578125" style="70" customWidth="1"/>
    <col min="4620" max="4620" width="17.85546875" style="70" customWidth="1"/>
    <col min="4621" max="4621" width="13" style="70" customWidth="1"/>
    <col min="4622" max="4864" width="9.140625" style="70"/>
    <col min="4865" max="4865" width="4.28515625" style="70" customWidth="1"/>
    <col min="4866" max="4866" width="59.28515625" style="70" customWidth="1"/>
    <col min="4867" max="4867" width="13.28515625" style="70" customWidth="1"/>
    <col min="4868" max="4868" width="6.140625" style="70" customWidth="1"/>
    <col min="4869" max="4869" width="7.85546875" style="70" bestFit="1" customWidth="1"/>
    <col min="4870" max="4870" width="9.7109375" style="70" customWidth="1"/>
    <col min="4871" max="4871" width="11.5703125" style="70" customWidth="1"/>
    <col min="4872" max="4872" width="6.5703125" style="70" customWidth="1"/>
    <col min="4873" max="4873" width="9.5703125" style="70" bestFit="1" customWidth="1"/>
    <col min="4874" max="4874" width="11.5703125" style="70" customWidth="1"/>
    <col min="4875" max="4875" width="20.42578125" style="70" customWidth="1"/>
    <col min="4876" max="4876" width="17.85546875" style="70" customWidth="1"/>
    <col min="4877" max="4877" width="13" style="70" customWidth="1"/>
    <col min="4878" max="5120" width="9.140625" style="70"/>
    <col min="5121" max="5121" width="4.28515625" style="70" customWidth="1"/>
    <col min="5122" max="5122" width="59.28515625" style="70" customWidth="1"/>
    <col min="5123" max="5123" width="13.28515625" style="70" customWidth="1"/>
    <col min="5124" max="5124" width="6.140625" style="70" customWidth="1"/>
    <col min="5125" max="5125" width="7.85546875" style="70" bestFit="1" customWidth="1"/>
    <col min="5126" max="5126" width="9.7109375" style="70" customWidth="1"/>
    <col min="5127" max="5127" width="11.5703125" style="70" customWidth="1"/>
    <col min="5128" max="5128" width="6.5703125" style="70" customWidth="1"/>
    <col min="5129" max="5129" width="9.5703125" style="70" bestFit="1" customWidth="1"/>
    <col min="5130" max="5130" width="11.5703125" style="70" customWidth="1"/>
    <col min="5131" max="5131" width="20.42578125" style="70" customWidth="1"/>
    <col min="5132" max="5132" width="17.85546875" style="70" customWidth="1"/>
    <col min="5133" max="5133" width="13" style="70" customWidth="1"/>
    <col min="5134" max="5376" width="9.140625" style="70"/>
    <col min="5377" max="5377" width="4.28515625" style="70" customWidth="1"/>
    <col min="5378" max="5378" width="59.28515625" style="70" customWidth="1"/>
    <col min="5379" max="5379" width="13.28515625" style="70" customWidth="1"/>
    <col min="5380" max="5380" width="6.140625" style="70" customWidth="1"/>
    <col min="5381" max="5381" width="7.85546875" style="70" bestFit="1" customWidth="1"/>
    <col min="5382" max="5382" width="9.7109375" style="70" customWidth="1"/>
    <col min="5383" max="5383" width="11.5703125" style="70" customWidth="1"/>
    <col min="5384" max="5384" width="6.5703125" style="70" customWidth="1"/>
    <col min="5385" max="5385" width="9.5703125" style="70" bestFit="1" customWidth="1"/>
    <col min="5386" max="5386" width="11.5703125" style="70" customWidth="1"/>
    <col min="5387" max="5387" width="20.42578125" style="70" customWidth="1"/>
    <col min="5388" max="5388" width="17.85546875" style="70" customWidth="1"/>
    <col min="5389" max="5389" width="13" style="70" customWidth="1"/>
    <col min="5390" max="5632" width="9.140625" style="70"/>
    <col min="5633" max="5633" width="4.28515625" style="70" customWidth="1"/>
    <col min="5634" max="5634" width="59.28515625" style="70" customWidth="1"/>
    <col min="5635" max="5635" width="13.28515625" style="70" customWidth="1"/>
    <col min="5636" max="5636" width="6.140625" style="70" customWidth="1"/>
    <col min="5637" max="5637" width="7.85546875" style="70" bestFit="1" customWidth="1"/>
    <col min="5638" max="5638" width="9.7109375" style="70" customWidth="1"/>
    <col min="5639" max="5639" width="11.5703125" style="70" customWidth="1"/>
    <col min="5640" max="5640" width="6.5703125" style="70" customWidth="1"/>
    <col min="5641" max="5641" width="9.5703125" style="70" bestFit="1" customWidth="1"/>
    <col min="5642" max="5642" width="11.5703125" style="70" customWidth="1"/>
    <col min="5643" max="5643" width="20.42578125" style="70" customWidth="1"/>
    <col min="5644" max="5644" width="17.85546875" style="70" customWidth="1"/>
    <col min="5645" max="5645" width="13" style="70" customWidth="1"/>
    <col min="5646" max="5888" width="9.140625" style="70"/>
    <col min="5889" max="5889" width="4.28515625" style="70" customWidth="1"/>
    <col min="5890" max="5890" width="59.28515625" style="70" customWidth="1"/>
    <col min="5891" max="5891" width="13.28515625" style="70" customWidth="1"/>
    <col min="5892" max="5892" width="6.140625" style="70" customWidth="1"/>
    <col min="5893" max="5893" width="7.85546875" style="70" bestFit="1" customWidth="1"/>
    <col min="5894" max="5894" width="9.7109375" style="70" customWidth="1"/>
    <col min="5895" max="5895" width="11.5703125" style="70" customWidth="1"/>
    <col min="5896" max="5896" width="6.5703125" style="70" customWidth="1"/>
    <col min="5897" max="5897" width="9.5703125" style="70" bestFit="1" customWidth="1"/>
    <col min="5898" max="5898" width="11.5703125" style="70" customWidth="1"/>
    <col min="5899" max="5899" width="20.42578125" style="70" customWidth="1"/>
    <col min="5900" max="5900" width="17.85546875" style="70" customWidth="1"/>
    <col min="5901" max="5901" width="13" style="70" customWidth="1"/>
    <col min="5902" max="6144" width="9.140625" style="70"/>
    <col min="6145" max="6145" width="4.28515625" style="70" customWidth="1"/>
    <col min="6146" max="6146" width="59.28515625" style="70" customWidth="1"/>
    <col min="6147" max="6147" width="13.28515625" style="70" customWidth="1"/>
    <col min="6148" max="6148" width="6.140625" style="70" customWidth="1"/>
    <col min="6149" max="6149" width="7.85546875" style="70" bestFit="1" customWidth="1"/>
    <col min="6150" max="6150" width="9.7109375" style="70" customWidth="1"/>
    <col min="6151" max="6151" width="11.5703125" style="70" customWidth="1"/>
    <col min="6152" max="6152" width="6.5703125" style="70" customWidth="1"/>
    <col min="6153" max="6153" width="9.5703125" style="70" bestFit="1" customWidth="1"/>
    <col min="6154" max="6154" width="11.5703125" style="70" customWidth="1"/>
    <col min="6155" max="6155" width="20.42578125" style="70" customWidth="1"/>
    <col min="6156" max="6156" width="17.85546875" style="70" customWidth="1"/>
    <col min="6157" max="6157" width="13" style="70" customWidth="1"/>
    <col min="6158" max="6400" width="9.140625" style="70"/>
    <col min="6401" max="6401" width="4.28515625" style="70" customWidth="1"/>
    <col min="6402" max="6402" width="59.28515625" style="70" customWidth="1"/>
    <col min="6403" max="6403" width="13.28515625" style="70" customWidth="1"/>
    <col min="6404" max="6404" width="6.140625" style="70" customWidth="1"/>
    <col min="6405" max="6405" width="7.85546875" style="70" bestFit="1" customWidth="1"/>
    <col min="6406" max="6406" width="9.7109375" style="70" customWidth="1"/>
    <col min="6407" max="6407" width="11.5703125" style="70" customWidth="1"/>
    <col min="6408" max="6408" width="6.5703125" style="70" customWidth="1"/>
    <col min="6409" max="6409" width="9.5703125" style="70" bestFit="1" customWidth="1"/>
    <col min="6410" max="6410" width="11.5703125" style="70" customWidth="1"/>
    <col min="6411" max="6411" width="20.42578125" style="70" customWidth="1"/>
    <col min="6412" max="6412" width="17.85546875" style="70" customWidth="1"/>
    <col min="6413" max="6413" width="13" style="70" customWidth="1"/>
    <col min="6414" max="6656" width="9.140625" style="70"/>
    <col min="6657" max="6657" width="4.28515625" style="70" customWidth="1"/>
    <col min="6658" max="6658" width="59.28515625" style="70" customWidth="1"/>
    <col min="6659" max="6659" width="13.28515625" style="70" customWidth="1"/>
    <col min="6660" max="6660" width="6.140625" style="70" customWidth="1"/>
    <col min="6661" max="6661" width="7.85546875" style="70" bestFit="1" customWidth="1"/>
    <col min="6662" max="6662" width="9.7109375" style="70" customWidth="1"/>
    <col min="6663" max="6663" width="11.5703125" style="70" customWidth="1"/>
    <col min="6664" max="6664" width="6.5703125" style="70" customWidth="1"/>
    <col min="6665" max="6665" width="9.5703125" style="70" bestFit="1" customWidth="1"/>
    <col min="6666" max="6666" width="11.5703125" style="70" customWidth="1"/>
    <col min="6667" max="6667" width="20.42578125" style="70" customWidth="1"/>
    <col min="6668" max="6668" width="17.85546875" style="70" customWidth="1"/>
    <col min="6669" max="6669" width="13" style="70" customWidth="1"/>
    <col min="6670" max="6912" width="9.140625" style="70"/>
    <col min="6913" max="6913" width="4.28515625" style="70" customWidth="1"/>
    <col min="6914" max="6914" width="59.28515625" style="70" customWidth="1"/>
    <col min="6915" max="6915" width="13.28515625" style="70" customWidth="1"/>
    <col min="6916" max="6916" width="6.140625" style="70" customWidth="1"/>
    <col min="6917" max="6917" width="7.85546875" style="70" bestFit="1" customWidth="1"/>
    <col min="6918" max="6918" width="9.7109375" style="70" customWidth="1"/>
    <col min="6919" max="6919" width="11.5703125" style="70" customWidth="1"/>
    <col min="6920" max="6920" width="6.5703125" style="70" customWidth="1"/>
    <col min="6921" max="6921" width="9.5703125" style="70" bestFit="1" customWidth="1"/>
    <col min="6922" max="6922" width="11.5703125" style="70" customWidth="1"/>
    <col min="6923" max="6923" width="20.42578125" style="70" customWidth="1"/>
    <col min="6924" max="6924" width="17.85546875" style="70" customWidth="1"/>
    <col min="6925" max="6925" width="13" style="70" customWidth="1"/>
    <col min="6926" max="7168" width="9.140625" style="70"/>
    <col min="7169" max="7169" width="4.28515625" style="70" customWidth="1"/>
    <col min="7170" max="7170" width="59.28515625" style="70" customWidth="1"/>
    <col min="7171" max="7171" width="13.28515625" style="70" customWidth="1"/>
    <col min="7172" max="7172" width="6.140625" style="70" customWidth="1"/>
    <col min="7173" max="7173" width="7.85546875" style="70" bestFit="1" customWidth="1"/>
    <col min="7174" max="7174" width="9.7109375" style="70" customWidth="1"/>
    <col min="7175" max="7175" width="11.5703125" style="70" customWidth="1"/>
    <col min="7176" max="7176" width="6.5703125" style="70" customWidth="1"/>
    <col min="7177" max="7177" width="9.5703125" style="70" bestFit="1" customWidth="1"/>
    <col min="7178" max="7178" width="11.5703125" style="70" customWidth="1"/>
    <col min="7179" max="7179" width="20.42578125" style="70" customWidth="1"/>
    <col min="7180" max="7180" width="17.85546875" style="70" customWidth="1"/>
    <col min="7181" max="7181" width="13" style="70" customWidth="1"/>
    <col min="7182" max="7424" width="9.140625" style="70"/>
    <col min="7425" max="7425" width="4.28515625" style="70" customWidth="1"/>
    <col min="7426" max="7426" width="59.28515625" style="70" customWidth="1"/>
    <col min="7427" max="7427" width="13.28515625" style="70" customWidth="1"/>
    <col min="7428" max="7428" width="6.140625" style="70" customWidth="1"/>
    <col min="7429" max="7429" width="7.85546875" style="70" bestFit="1" customWidth="1"/>
    <col min="7430" max="7430" width="9.7109375" style="70" customWidth="1"/>
    <col min="7431" max="7431" width="11.5703125" style="70" customWidth="1"/>
    <col min="7432" max="7432" width="6.5703125" style="70" customWidth="1"/>
    <col min="7433" max="7433" width="9.5703125" style="70" bestFit="1" customWidth="1"/>
    <col min="7434" max="7434" width="11.5703125" style="70" customWidth="1"/>
    <col min="7435" max="7435" width="20.42578125" style="70" customWidth="1"/>
    <col min="7436" max="7436" width="17.85546875" style="70" customWidth="1"/>
    <col min="7437" max="7437" width="13" style="70" customWidth="1"/>
    <col min="7438" max="7680" width="9.140625" style="70"/>
    <col min="7681" max="7681" width="4.28515625" style="70" customWidth="1"/>
    <col min="7682" max="7682" width="59.28515625" style="70" customWidth="1"/>
    <col min="7683" max="7683" width="13.28515625" style="70" customWidth="1"/>
    <col min="7684" max="7684" width="6.140625" style="70" customWidth="1"/>
    <col min="7685" max="7685" width="7.85546875" style="70" bestFit="1" customWidth="1"/>
    <col min="7686" max="7686" width="9.7109375" style="70" customWidth="1"/>
    <col min="7687" max="7687" width="11.5703125" style="70" customWidth="1"/>
    <col min="7688" max="7688" width="6.5703125" style="70" customWidth="1"/>
    <col min="7689" max="7689" width="9.5703125" style="70" bestFit="1" customWidth="1"/>
    <col min="7690" max="7690" width="11.5703125" style="70" customWidth="1"/>
    <col min="7691" max="7691" width="20.42578125" style="70" customWidth="1"/>
    <col min="7692" max="7692" width="17.85546875" style="70" customWidth="1"/>
    <col min="7693" max="7693" width="13" style="70" customWidth="1"/>
    <col min="7694" max="7936" width="9.140625" style="70"/>
    <col min="7937" max="7937" width="4.28515625" style="70" customWidth="1"/>
    <col min="7938" max="7938" width="59.28515625" style="70" customWidth="1"/>
    <col min="7939" max="7939" width="13.28515625" style="70" customWidth="1"/>
    <col min="7940" max="7940" width="6.140625" style="70" customWidth="1"/>
    <col min="7941" max="7941" width="7.85546875" style="70" bestFit="1" customWidth="1"/>
    <col min="7942" max="7942" width="9.7109375" style="70" customWidth="1"/>
    <col min="7943" max="7943" width="11.5703125" style="70" customWidth="1"/>
    <col min="7944" max="7944" width="6.5703125" style="70" customWidth="1"/>
    <col min="7945" max="7945" width="9.5703125" style="70" bestFit="1" customWidth="1"/>
    <col min="7946" max="7946" width="11.5703125" style="70" customWidth="1"/>
    <col min="7947" max="7947" width="20.42578125" style="70" customWidth="1"/>
    <col min="7948" max="7948" width="17.85546875" style="70" customWidth="1"/>
    <col min="7949" max="7949" width="13" style="70" customWidth="1"/>
    <col min="7950" max="8192" width="9.140625" style="70"/>
    <col min="8193" max="8193" width="4.28515625" style="70" customWidth="1"/>
    <col min="8194" max="8194" width="59.28515625" style="70" customWidth="1"/>
    <col min="8195" max="8195" width="13.28515625" style="70" customWidth="1"/>
    <col min="8196" max="8196" width="6.140625" style="70" customWidth="1"/>
    <col min="8197" max="8197" width="7.85546875" style="70" bestFit="1" customWidth="1"/>
    <col min="8198" max="8198" width="9.7109375" style="70" customWidth="1"/>
    <col min="8199" max="8199" width="11.5703125" style="70" customWidth="1"/>
    <col min="8200" max="8200" width="6.5703125" style="70" customWidth="1"/>
    <col min="8201" max="8201" width="9.5703125" style="70" bestFit="1" customWidth="1"/>
    <col min="8202" max="8202" width="11.5703125" style="70" customWidth="1"/>
    <col min="8203" max="8203" width="20.42578125" style="70" customWidth="1"/>
    <col min="8204" max="8204" width="17.85546875" style="70" customWidth="1"/>
    <col min="8205" max="8205" width="13" style="70" customWidth="1"/>
    <col min="8206" max="8448" width="9.140625" style="70"/>
    <col min="8449" max="8449" width="4.28515625" style="70" customWidth="1"/>
    <col min="8450" max="8450" width="59.28515625" style="70" customWidth="1"/>
    <col min="8451" max="8451" width="13.28515625" style="70" customWidth="1"/>
    <col min="8452" max="8452" width="6.140625" style="70" customWidth="1"/>
    <col min="8453" max="8453" width="7.85546875" style="70" bestFit="1" customWidth="1"/>
    <col min="8454" max="8454" width="9.7109375" style="70" customWidth="1"/>
    <col min="8455" max="8455" width="11.5703125" style="70" customWidth="1"/>
    <col min="8456" max="8456" width="6.5703125" style="70" customWidth="1"/>
    <col min="8457" max="8457" width="9.5703125" style="70" bestFit="1" customWidth="1"/>
    <col min="8458" max="8458" width="11.5703125" style="70" customWidth="1"/>
    <col min="8459" max="8459" width="20.42578125" style="70" customWidth="1"/>
    <col min="8460" max="8460" width="17.85546875" style="70" customWidth="1"/>
    <col min="8461" max="8461" width="13" style="70" customWidth="1"/>
    <col min="8462" max="8704" width="9.140625" style="70"/>
    <col min="8705" max="8705" width="4.28515625" style="70" customWidth="1"/>
    <col min="8706" max="8706" width="59.28515625" style="70" customWidth="1"/>
    <col min="8707" max="8707" width="13.28515625" style="70" customWidth="1"/>
    <col min="8708" max="8708" width="6.140625" style="70" customWidth="1"/>
    <col min="8709" max="8709" width="7.85546875" style="70" bestFit="1" customWidth="1"/>
    <col min="8710" max="8710" width="9.7109375" style="70" customWidth="1"/>
    <col min="8711" max="8711" width="11.5703125" style="70" customWidth="1"/>
    <col min="8712" max="8712" width="6.5703125" style="70" customWidth="1"/>
    <col min="8713" max="8713" width="9.5703125" style="70" bestFit="1" customWidth="1"/>
    <col min="8714" max="8714" width="11.5703125" style="70" customWidth="1"/>
    <col min="8715" max="8715" width="20.42578125" style="70" customWidth="1"/>
    <col min="8716" max="8716" width="17.85546875" style="70" customWidth="1"/>
    <col min="8717" max="8717" width="13" style="70" customWidth="1"/>
    <col min="8718" max="8960" width="9.140625" style="70"/>
    <col min="8961" max="8961" width="4.28515625" style="70" customWidth="1"/>
    <col min="8962" max="8962" width="59.28515625" style="70" customWidth="1"/>
    <col min="8963" max="8963" width="13.28515625" style="70" customWidth="1"/>
    <col min="8964" max="8964" width="6.140625" style="70" customWidth="1"/>
    <col min="8965" max="8965" width="7.85546875" style="70" bestFit="1" customWidth="1"/>
    <col min="8966" max="8966" width="9.7109375" style="70" customWidth="1"/>
    <col min="8967" max="8967" width="11.5703125" style="70" customWidth="1"/>
    <col min="8968" max="8968" width="6.5703125" style="70" customWidth="1"/>
    <col min="8969" max="8969" width="9.5703125" style="70" bestFit="1" customWidth="1"/>
    <col min="8970" max="8970" width="11.5703125" style="70" customWidth="1"/>
    <col min="8971" max="8971" width="20.42578125" style="70" customWidth="1"/>
    <col min="8972" max="8972" width="17.85546875" style="70" customWidth="1"/>
    <col min="8973" max="8973" width="13" style="70" customWidth="1"/>
    <col min="8974" max="9216" width="9.140625" style="70"/>
    <col min="9217" max="9217" width="4.28515625" style="70" customWidth="1"/>
    <col min="9218" max="9218" width="59.28515625" style="70" customWidth="1"/>
    <col min="9219" max="9219" width="13.28515625" style="70" customWidth="1"/>
    <col min="9220" max="9220" width="6.140625" style="70" customWidth="1"/>
    <col min="9221" max="9221" width="7.85546875" style="70" bestFit="1" customWidth="1"/>
    <col min="9222" max="9222" width="9.7109375" style="70" customWidth="1"/>
    <col min="9223" max="9223" width="11.5703125" style="70" customWidth="1"/>
    <col min="9224" max="9224" width="6.5703125" style="70" customWidth="1"/>
    <col min="9225" max="9225" width="9.5703125" style="70" bestFit="1" customWidth="1"/>
    <col min="9226" max="9226" width="11.5703125" style="70" customWidth="1"/>
    <col min="9227" max="9227" width="20.42578125" style="70" customWidth="1"/>
    <col min="9228" max="9228" width="17.85546875" style="70" customWidth="1"/>
    <col min="9229" max="9229" width="13" style="70" customWidth="1"/>
    <col min="9230" max="9472" width="9.140625" style="70"/>
    <col min="9473" max="9473" width="4.28515625" style="70" customWidth="1"/>
    <col min="9474" max="9474" width="59.28515625" style="70" customWidth="1"/>
    <col min="9475" max="9475" width="13.28515625" style="70" customWidth="1"/>
    <col min="9476" max="9476" width="6.140625" style="70" customWidth="1"/>
    <col min="9477" max="9477" width="7.85546875" style="70" bestFit="1" customWidth="1"/>
    <col min="9478" max="9478" width="9.7109375" style="70" customWidth="1"/>
    <col min="9479" max="9479" width="11.5703125" style="70" customWidth="1"/>
    <col min="9480" max="9480" width="6.5703125" style="70" customWidth="1"/>
    <col min="9481" max="9481" width="9.5703125" style="70" bestFit="1" customWidth="1"/>
    <col min="9482" max="9482" width="11.5703125" style="70" customWidth="1"/>
    <col min="9483" max="9483" width="20.42578125" style="70" customWidth="1"/>
    <col min="9484" max="9484" width="17.85546875" style="70" customWidth="1"/>
    <col min="9485" max="9485" width="13" style="70" customWidth="1"/>
    <col min="9486" max="9728" width="9.140625" style="70"/>
    <col min="9729" max="9729" width="4.28515625" style="70" customWidth="1"/>
    <col min="9730" max="9730" width="59.28515625" style="70" customWidth="1"/>
    <col min="9731" max="9731" width="13.28515625" style="70" customWidth="1"/>
    <col min="9732" max="9732" width="6.140625" style="70" customWidth="1"/>
    <col min="9733" max="9733" width="7.85546875" style="70" bestFit="1" customWidth="1"/>
    <col min="9734" max="9734" width="9.7109375" style="70" customWidth="1"/>
    <col min="9735" max="9735" width="11.5703125" style="70" customWidth="1"/>
    <col min="9736" max="9736" width="6.5703125" style="70" customWidth="1"/>
    <col min="9737" max="9737" width="9.5703125" style="70" bestFit="1" customWidth="1"/>
    <col min="9738" max="9738" width="11.5703125" style="70" customWidth="1"/>
    <col min="9739" max="9739" width="20.42578125" style="70" customWidth="1"/>
    <col min="9740" max="9740" width="17.85546875" style="70" customWidth="1"/>
    <col min="9741" max="9741" width="13" style="70" customWidth="1"/>
    <col min="9742" max="9984" width="9.140625" style="70"/>
    <col min="9985" max="9985" width="4.28515625" style="70" customWidth="1"/>
    <col min="9986" max="9986" width="59.28515625" style="70" customWidth="1"/>
    <col min="9987" max="9987" width="13.28515625" style="70" customWidth="1"/>
    <col min="9988" max="9988" width="6.140625" style="70" customWidth="1"/>
    <col min="9989" max="9989" width="7.85546875" style="70" bestFit="1" customWidth="1"/>
    <col min="9990" max="9990" width="9.7109375" style="70" customWidth="1"/>
    <col min="9991" max="9991" width="11.5703125" style="70" customWidth="1"/>
    <col min="9992" max="9992" width="6.5703125" style="70" customWidth="1"/>
    <col min="9993" max="9993" width="9.5703125" style="70" bestFit="1" customWidth="1"/>
    <col min="9994" max="9994" width="11.5703125" style="70" customWidth="1"/>
    <col min="9995" max="9995" width="20.42578125" style="70" customWidth="1"/>
    <col min="9996" max="9996" width="17.85546875" style="70" customWidth="1"/>
    <col min="9997" max="9997" width="13" style="70" customWidth="1"/>
    <col min="9998" max="10240" width="9.140625" style="70"/>
    <col min="10241" max="10241" width="4.28515625" style="70" customWidth="1"/>
    <col min="10242" max="10242" width="59.28515625" style="70" customWidth="1"/>
    <col min="10243" max="10243" width="13.28515625" style="70" customWidth="1"/>
    <col min="10244" max="10244" width="6.140625" style="70" customWidth="1"/>
    <col min="10245" max="10245" width="7.85546875" style="70" bestFit="1" customWidth="1"/>
    <col min="10246" max="10246" width="9.7109375" style="70" customWidth="1"/>
    <col min="10247" max="10247" width="11.5703125" style="70" customWidth="1"/>
    <col min="10248" max="10248" width="6.5703125" style="70" customWidth="1"/>
    <col min="10249" max="10249" width="9.5703125" style="70" bestFit="1" customWidth="1"/>
    <col min="10250" max="10250" width="11.5703125" style="70" customWidth="1"/>
    <col min="10251" max="10251" width="20.42578125" style="70" customWidth="1"/>
    <col min="10252" max="10252" width="17.85546875" style="70" customWidth="1"/>
    <col min="10253" max="10253" width="13" style="70" customWidth="1"/>
    <col min="10254" max="10496" width="9.140625" style="70"/>
    <col min="10497" max="10497" width="4.28515625" style="70" customWidth="1"/>
    <col min="10498" max="10498" width="59.28515625" style="70" customWidth="1"/>
    <col min="10499" max="10499" width="13.28515625" style="70" customWidth="1"/>
    <col min="10500" max="10500" width="6.140625" style="70" customWidth="1"/>
    <col min="10501" max="10501" width="7.85546875" style="70" bestFit="1" customWidth="1"/>
    <col min="10502" max="10502" width="9.7109375" style="70" customWidth="1"/>
    <col min="10503" max="10503" width="11.5703125" style="70" customWidth="1"/>
    <col min="10504" max="10504" width="6.5703125" style="70" customWidth="1"/>
    <col min="10505" max="10505" width="9.5703125" style="70" bestFit="1" customWidth="1"/>
    <col min="10506" max="10506" width="11.5703125" style="70" customWidth="1"/>
    <col min="10507" max="10507" width="20.42578125" style="70" customWidth="1"/>
    <col min="10508" max="10508" width="17.85546875" style="70" customWidth="1"/>
    <col min="10509" max="10509" width="13" style="70" customWidth="1"/>
    <col min="10510" max="10752" width="9.140625" style="70"/>
    <col min="10753" max="10753" width="4.28515625" style="70" customWidth="1"/>
    <col min="10754" max="10754" width="59.28515625" style="70" customWidth="1"/>
    <col min="10755" max="10755" width="13.28515625" style="70" customWidth="1"/>
    <col min="10756" max="10756" width="6.140625" style="70" customWidth="1"/>
    <col min="10757" max="10757" width="7.85546875" style="70" bestFit="1" customWidth="1"/>
    <col min="10758" max="10758" width="9.7109375" style="70" customWidth="1"/>
    <col min="10759" max="10759" width="11.5703125" style="70" customWidth="1"/>
    <col min="10760" max="10760" width="6.5703125" style="70" customWidth="1"/>
    <col min="10761" max="10761" width="9.5703125" style="70" bestFit="1" customWidth="1"/>
    <col min="10762" max="10762" width="11.5703125" style="70" customWidth="1"/>
    <col min="10763" max="10763" width="20.42578125" style="70" customWidth="1"/>
    <col min="10764" max="10764" width="17.85546875" style="70" customWidth="1"/>
    <col min="10765" max="10765" width="13" style="70" customWidth="1"/>
    <col min="10766" max="11008" width="9.140625" style="70"/>
    <col min="11009" max="11009" width="4.28515625" style="70" customWidth="1"/>
    <col min="11010" max="11010" width="59.28515625" style="70" customWidth="1"/>
    <col min="11011" max="11011" width="13.28515625" style="70" customWidth="1"/>
    <col min="11012" max="11012" width="6.140625" style="70" customWidth="1"/>
    <col min="11013" max="11013" width="7.85546875" style="70" bestFit="1" customWidth="1"/>
    <col min="11014" max="11014" width="9.7109375" style="70" customWidth="1"/>
    <col min="11015" max="11015" width="11.5703125" style="70" customWidth="1"/>
    <col min="11016" max="11016" width="6.5703125" style="70" customWidth="1"/>
    <col min="11017" max="11017" width="9.5703125" style="70" bestFit="1" customWidth="1"/>
    <col min="11018" max="11018" width="11.5703125" style="70" customWidth="1"/>
    <col min="11019" max="11019" width="20.42578125" style="70" customWidth="1"/>
    <col min="11020" max="11020" width="17.85546875" style="70" customWidth="1"/>
    <col min="11021" max="11021" width="13" style="70" customWidth="1"/>
    <col min="11022" max="11264" width="9.140625" style="70"/>
    <col min="11265" max="11265" width="4.28515625" style="70" customWidth="1"/>
    <col min="11266" max="11266" width="59.28515625" style="70" customWidth="1"/>
    <col min="11267" max="11267" width="13.28515625" style="70" customWidth="1"/>
    <col min="11268" max="11268" width="6.140625" style="70" customWidth="1"/>
    <col min="11269" max="11269" width="7.85546875" style="70" bestFit="1" customWidth="1"/>
    <col min="11270" max="11270" width="9.7109375" style="70" customWidth="1"/>
    <col min="11271" max="11271" width="11.5703125" style="70" customWidth="1"/>
    <col min="11272" max="11272" width="6.5703125" style="70" customWidth="1"/>
    <col min="11273" max="11273" width="9.5703125" style="70" bestFit="1" customWidth="1"/>
    <col min="11274" max="11274" width="11.5703125" style="70" customWidth="1"/>
    <col min="11275" max="11275" width="20.42578125" style="70" customWidth="1"/>
    <col min="11276" max="11276" width="17.85546875" style="70" customWidth="1"/>
    <col min="11277" max="11277" width="13" style="70" customWidth="1"/>
    <col min="11278" max="11520" width="9.140625" style="70"/>
    <col min="11521" max="11521" width="4.28515625" style="70" customWidth="1"/>
    <col min="11522" max="11522" width="59.28515625" style="70" customWidth="1"/>
    <col min="11523" max="11523" width="13.28515625" style="70" customWidth="1"/>
    <col min="11524" max="11524" width="6.140625" style="70" customWidth="1"/>
    <col min="11525" max="11525" width="7.85546875" style="70" bestFit="1" customWidth="1"/>
    <col min="11526" max="11526" width="9.7109375" style="70" customWidth="1"/>
    <col min="11527" max="11527" width="11.5703125" style="70" customWidth="1"/>
    <col min="11528" max="11528" width="6.5703125" style="70" customWidth="1"/>
    <col min="11529" max="11529" width="9.5703125" style="70" bestFit="1" customWidth="1"/>
    <col min="11530" max="11530" width="11.5703125" style="70" customWidth="1"/>
    <col min="11531" max="11531" width="20.42578125" style="70" customWidth="1"/>
    <col min="11532" max="11532" width="17.85546875" style="70" customWidth="1"/>
    <col min="11533" max="11533" width="13" style="70" customWidth="1"/>
    <col min="11534" max="11776" width="9.140625" style="70"/>
    <col min="11777" max="11777" width="4.28515625" style="70" customWidth="1"/>
    <col min="11778" max="11778" width="59.28515625" style="70" customWidth="1"/>
    <col min="11779" max="11779" width="13.28515625" style="70" customWidth="1"/>
    <col min="11780" max="11780" width="6.140625" style="70" customWidth="1"/>
    <col min="11781" max="11781" width="7.85546875" style="70" bestFit="1" customWidth="1"/>
    <col min="11782" max="11782" width="9.7109375" style="70" customWidth="1"/>
    <col min="11783" max="11783" width="11.5703125" style="70" customWidth="1"/>
    <col min="11784" max="11784" width="6.5703125" style="70" customWidth="1"/>
    <col min="11785" max="11785" width="9.5703125" style="70" bestFit="1" customWidth="1"/>
    <col min="11786" max="11786" width="11.5703125" style="70" customWidth="1"/>
    <col min="11787" max="11787" width="20.42578125" style="70" customWidth="1"/>
    <col min="11788" max="11788" width="17.85546875" style="70" customWidth="1"/>
    <col min="11789" max="11789" width="13" style="70" customWidth="1"/>
    <col min="11790" max="12032" width="9.140625" style="70"/>
    <col min="12033" max="12033" width="4.28515625" style="70" customWidth="1"/>
    <col min="12034" max="12034" width="59.28515625" style="70" customWidth="1"/>
    <col min="12035" max="12035" width="13.28515625" style="70" customWidth="1"/>
    <col min="12036" max="12036" width="6.140625" style="70" customWidth="1"/>
    <col min="12037" max="12037" width="7.85546875" style="70" bestFit="1" customWidth="1"/>
    <col min="12038" max="12038" width="9.7109375" style="70" customWidth="1"/>
    <col min="12039" max="12039" width="11.5703125" style="70" customWidth="1"/>
    <col min="12040" max="12040" width="6.5703125" style="70" customWidth="1"/>
    <col min="12041" max="12041" width="9.5703125" style="70" bestFit="1" customWidth="1"/>
    <col min="12042" max="12042" width="11.5703125" style="70" customWidth="1"/>
    <col min="12043" max="12043" width="20.42578125" style="70" customWidth="1"/>
    <col min="12044" max="12044" width="17.85546875" style="70" customWidth="1"/>
    <col min="12045" max="12045" width="13" style="70" customWidth="1"/>
    <col min="12046" max="12288" width="9.140625" style="70"/>
    <col min="12289" max="12289" width="4.28515625" style="70" customWidth="1"/>
    <col min="12290" max="12290" width="59.28515625" style="70" customWidth="1"/>
    <col min="12291" max="12291" width="13.28515625" style="70" customWidth="1"/>
    <col min="12292" max="12292" width="6.140625" style="70" customWidth="1"/>
    <col min="12293" max="12293" width="7.85546875" style="70" bestFit="1" customWidth="1"/>
    <col min="12294" max="12294" width="9.7109375" style="70" customWidth="1"/>
    <col min="12295" max="12295" width="11.5703125" style="70" customWidth="1"/>
    <col min="12296" max="12296" width="6.5703125" style="70" customWidth="1"/>
    <col min="12297" max="12297" width="9.5703125" style="70" bestFit="1" customWidth="1"/>
    <col min="12298" max="12298" width="11.5703125" style="70" customWidth="1"/>
    <col min="12299" max="12299" width="20.42578125" style="70" customWidth="1"/>
    <col min="12300" max="12300" width="17.85546875" style="70" customWidth="1"/>
    <col min="12301" max="12301" width="13" style="70" customWidth="1"/>
    <col min="12302" max="12544" width="9.140625" style="70"/>
    <col min="12545" max="12545" width="4.28515625" style="70" customWidth="1"/>
    <col min="12546" max="12546" width="59.28515625" style="70" customWidth="1"/>
    <col min="12547" max="12547" width="13.28515625" style="70" customWidth="1"/>
    <col min="12548" max="12548" width="6.140625" style="70" customWidth="1"/>
    <col min="12549" max="12549" width="7.85546875" style="70" bestFit="1" customWidth="1"/>
    <col min="12550" max="12550" width="9.7109375" style="70" customWidth="1"/>
    <col min="12551" max="12551" width="11.5703125" style="70" customWidth="1"/>
    <col min="12552" max="12552" width="6.5703125" style="70" customWidth="1"/>
    <col min="12553" max="12553" width="9.5703125" style="70" bestFit="1" customWidth="1"/>
    <col min="12554" max="12554" width="11.5703125" style="70" customWidth="1"/>
    <col min="12555" max="12555" width="20.42578125" style="70" customWidth="1"/>
    <col min="12556" max="12556" width="17.85546875" style="70" customWidth="1"/>
    <col min="12557" max="12557" width="13" style="70" customWidth="1"/>
    <col min="12558" max="12800" width="9.140625" style="70"/>
    <col min="12801" max="12801" width="4.28515625" style="70" customWidth="1"/>
    <col min="12802" max="12802" width="59.28515625" style="70" customWidth="1"/>
    <col min="12803" max="12803" width="13.28515625" style="70" customWidth="1"/>
    <col min="12804" max="12804" width="6.140625" style="70" customWidth="1"/>
    <col min="12805" max="12805" width="7.85546875" style="70" bestFit="1" customWidth="1"/>
    <col min="12806" max="12806" width="9.7109375" style="70" customWidth="1"/>
    <col min="12807" max="12807" width="11.5703125" style="70" customWidth="1"/>
    <col min="12808" max="12808" width="6.5703125" style="70" customWidth="1"/>
    <col min="12809" max="12809" width="9.5703125" style="70" bestFit="1" customWidth="1"/>
    <col min="12810" max="12810" width="11.5703125" style="70" customWidth="1"/>
    <col min="12811" max="12811" width="20.42578125" style="70" customWidth="1"/>
    <col min="12812" max="12812" width="17.85546875" style="70" customWidth="1"/>
    <col min="12813" max="12813" width="13" style="70" customWidth="1"/>
    <col min="12814" max="13056" width="9.140625" style="70"/>
    <col min="13057" max="13057" width="4.28515625" style="70" customWidth="1"/>
    <col min="13058" max="13058" width="59.28515625" style="70" customWidth="1"/>
    <col min="13059" max="13059" width="13.28515625" style="70" customWidth="1"/>
    <col min="13060" max="13060" width="6.140625" style="70" customWidth="1"/>
    <col min="13061" max="13061" width="7.85546875" style="70" bestFit="1" customWidth="1"/>
    <col min="13062" max="13062" width="9.7109375" style="70" customWidth="1"/>
    <col min="13063" max="13063" width="11.5703125" style="70" customWidth="1"/>
    <col min="13064" max="13064" width="6.5703125" style="70" customWidth="1"/>
    <col min="13065" max="13065" width="9.5703125" style="70" bestFit="1" customWidth="1"/>
    <col min="13066" max="13066" width="11.5703125" style="70" customWidth="1"/>
    <col min="13067" max="13067" width="20.42578125" style="70" customWidth="1"/>
    <col min="13068" max="13068" width="17.85546875" style="70" customWidth="1"/>
    <col min="13069" max="13069" width="13" style="70" customWidth="1"/>
    <col min="13070" max="13312" width="9.140625" style="70"/>
    <col min="13313" max="13313" width="4.28515625" style="70" customWidth="1"/>
    <col min="13314" max="13314" width="59.28515625" style="70" customWidth="1"/>
    <col min="13315" max="13315" width="13.28515625" style="70" customWidth="1"/>
    <col min="13316" max="13316" width="6.140625" style="70" customWidth="1"/>
    <col min="13317" max="13317" width="7.85546875" style="70" bestFit="1" customWidth="1"/>
    <col min="13318" max="13318" width="9.7109375" style="70" customWidth="1"/>
    <col min="13319" max="13319" width="11.5703125" style="70" customWidth="1"/>
    <col min="13320" max="13320" width="6.5703125" style="70" customWidth="1"/>
    <col min="13321" max="13321" width="9.5703125" style="70" bestFit="1" customWidth="1"/>
    <col min="13322" max="13322" width="11.5703125" style="70" customWidth="1"/>
    <col min="13323" max="13323" width="20.42578125" style="70" customWidth="1"/>
    <col min="13324" max="13324" width="17.85546875" style="70" customWidth="1"/>
    <col min="13325" max="13325" width="13" style="70" customWidth="1"/>
    <col min="13326" max="13568" width="9.140625" style="70"/>
    <col min="13569" max="13569" width="4.28515625" style="70" customWidth="1"/>
    <col min="13570" max="13570" width="59.28515625" style="70" customWidth="1"/>
    <col min="13571" max="13571" width="13.28515625" style="70" customWidth="1"/>
    <col min="13572" max="13572" width="6.140625" style="70" customWidth="1"/>
    <col min="13573" max="13573" width="7.85546875" style="70" bestFit="1" customWidth="1"/>
    <col min="13574" max="13574" width="9.7109375" style="70" customWidth="1"/>
    <col min="13575" max="13575" width="11.5703125" style="70" customWidth="1"/>
    <col min="13576" max="13576" width="6.5703125" style="70" customWidth="1"/>
    <col min="13577" max="13577" width="9.5703125" style="70" bestFit="1" customWidth="1"/>
    <col min="13578" max="13578" width="11.5703125" style="70" customWidth="1"/>
    <col min="13579" max="13579" width="20.42578125" style="70" customWidth="1"/>
    <col min="13580" max="13580" width="17.85546875" style="70" customWidth="1"/>
    <col min="13581" max="13581" width="13" style="70" customWidth="1"/>
    <col min="13582" max="13824" width="9.140625" style="70"/>
    <col min="13825" max="13825" width="4.28515625" style="70" customWidth="1"/>
    <col min="13826" max="13826" width="59.28515625" style="70" customWidth="1"/>
    <col min="13827" max="13827" width="13.28515625" style="70" customWidth="1"/>
    <col min="13828" max="13828" width="6.140625" style="70" customWidth="1"/>
    <col min="13829" max="13829" width="7.85546875" style="70" bestFit="1" customWidth="1"/>
    <col min="13830" max="13830" width="9.7109375" style="70" customWidth="1"/>
    <col min="13831" max="13831" width="11.5703125" style="70" customWidth="1"/>
    <col min="13832" max="13832" width="6.5703125" style="70" customWidth="1"/>
    <col min="13833" max="13833" width="9.5703125" style="70" bestFit="1" customWidth="1"/>
    <col min="13834" max="13834" width="11.5703125" style="70" customWidth="1"/>
    <col min="13835" max="13835" width="20.42578125" style="70" customWidth="1"/>
    <col min="13836" max="13836" width="17.85546875" style="70" customWidth="1"/>
    <col min="13837" max="13837" width="13" style="70" customWidth="1"/>
    <col min="13838" max="14080" width="9.140625" style="70"/>
    <col min="14081" max="14081" width="4.28515625" style="70" customWidth="1"/>
    <col min="14082" max="14082" width="59.28515625" style="70" customWidth="1"/>
    <col min="14083" max="14083" width="13.28515625" style="70" customWidth="1"/>
    <col min="14084" max="14084" width="6.140625" style="70" customWidth="1"/>
    <col min="14085" max="14085" width="7.85546875" style="70" bestFit="1" customWidth="1"/>
    <col min="14086" max="14086" width="9.7109375" style="70" customWidth="1"/>
    <col min="14087" max="14087" width="11.5703125" style="70" customWidth="1"/>
    <col min="14088" max="14088" width="6.5703125" style="70" customWidth="1"/>
    <col min="14089" max="14089" width="9.5703125" style="70" bestFit="1" customWidth="1"/>
    <col min="14090" max="14090" width="11.5703125" style="70" customWidth="1"/>
    <col min="14091" max="14091" width="20.42578125" style="70" customWidth="1"/>
    <col min="14092" max="14092" width="17.85546875" style="70" customWidth="1"/>
    <col min="14093" max="14093" width="13" style="70" customWidth="1"/>
    <col min="14094" max="14336" width="9.140625" style="70"/>
    <col min="14337" max="14337" width="4.28515625" style="70" customWidth="1"/>
    <col min="14338" max="14338" width="59.28515625" style="70" customWidth="1"/>
    <col min="14339" max="14339" width="13.28515625" style="70" customWidth="1"/>
    <col min="14340" max="14340" width="6.140625" style="70" customWidth="1"/>
    <col min="14341" max="14341" width="7.85546875" style="70" bestFit="1" customWidth="1"/>
    <col min="14342" max="14342" width="9.7109375" style="70" customWidth="1"/>
    <col min="14343" max="14343" width="11.5703125" style="70" customWidth="1"/>
    <col min="14344" max="14344" width="6.5703125" style="70" customWidth="1"/>
    <col min="14345" max="14345" width="9.5703125" style="70" bestFit="1" customWidth="1"/>
    <col min="14346" max="14346" width="11.5703125" style="70" customWidth="1"/>
    <col min="14347" max="14347" width="20.42578125" style="70" customWidth="1"/>
    <col min="14348" max="14348" width="17.85546875" style="70" customWidth="1"/>
    <col min="14349" max="14349" width="13" style="70" customWidth="1"/>
    <col min="14350" max="14592" width="9.140625" style="70"/>
    <col min="14593" max="14593" width="4.28515625" style="70" customWidth="1"/>
    <col min="14594" max="14594" width="59.28515625" style="70" customWidth="1"/>
    <col min="14595" max="14595" width="13.28515625" style="70" customWidth="1"/>
    <col min="14596" max="14596" width="6.140625" style="70" customWidth="1"/>
    <col min="14597" max="14597" width="7.85546875" style="70" bestFit="1" customWidth="1"/>
    <col min="14598" max="14598" width="9.7109375" style="70" customWidth="1"/>
    <col min="14599" max="14599" width="11.5703125" style="70" customWidth="1"/>
    <col min="14600" max="14600" width="6.5703125" style="70" customWidth="1"/>
    <col min="14601" max="14601" width="9.5703125" style="70" bestFit="1" customWidth="1"/>
    <col min="14602" max="14602" width="11.5703125" style="70" customWidth="1"/>
    <col min="14603" max="14603" width="20.42578125" style="70" customWidth="1"/>
    <col min="14604" max="14604" width="17.85546875" style="70" customWidth="1"/>
    <col min="14605" max="14605" width="13" style="70" customWidth="1"/>
    <col min="14606" max="14848" width="9.140625" style="70"/>
    <col min="14849" max="14849" width="4.28515625" style="70" customWidth="1"/>
    <col min="14850" max="14850" width="59.28515625" style="70" customWidth="1"/>
    <col min="14851" max="14851" width="13.28515625" style="70" customWidth="1"/>
    <col min="14852" max="14852" width="6.140625" style="70" customWidth="1"/>
    <col min="14853" max="14853" width="7.85546875" style="70" bestFit="1" customWidth="1"/>
    <col min="14854" max="14854" width="9.7109375" style="70" customWidth="1"/>
    <col min="14855" max="14855" width="11.5703125" style="70" customWidth="1"/>
    <col min="14856" max="14856" width="6.5703125" style="70" customWidth="1"/>
    <col min="14857" max="14857" width="9.5703125" style="70" bestFit="1" customWidth="1"/>
    <col min="14858" max="14858" width="11.5703125" style="70" customWidth="1"/>
    <col min="14859" max="14859" width="20.42578125" style="70" customWidth="1"/>
    <col min="14860" max="14860" width="17.85546875" style="70" customWidth="1"/>
    <col min="14861" max="14861" width="13" style="70" customWidth="1"/>
    <col min="14862" max="15104" width="9.140625" style="70"/>
    <col min="15105" max="15105" width="4.28515625" style="70" customWidth="1"/>
    <col min="15106" max="15106" width="59.28515625" style="70" customWidth="1"/>
    <col min="15107" max="15107" width="13.28515625" style="70" customWidth="1"/>
    <col min="15108" max="15108" width="6.140625" style="70" customWidth="1"/>
    <col min="15109" max="15109" width="7.85546875" style="70" bestFit="1" customWidth="1"/>
    <col min="15110" max="15110" width="9.7109375" style="70" customWidth="1"/>
    <col min="15111" max="15111" width="11.5703125" style="70" customWidth="1"/>
    <col min="15112" max="15112" width="6.5703125" style="70" customWidth="1"/>
    <col min="15113" max="15113" width="9.5703125" style="70" bestFit="1" customWidth="1"/>
    <col min="15114" max="15114" width="11.5703125" style="70" customWidth="1"/>
    <col min="15115" max="15115" width="20.42578125" style="70" customWidth="1"/>
    <col min="15116" max="15116" width="17.85546875" style="70" customWidth="1"/>
    <col min="15117" max="15117" width="13" style="70" customWidth="1"/>
    <col min="15118" max="15360" width="9.140625" style="70"/>
    <col min="15361" max="15361" width="4.28515625" style="70" customWidth="1"/>
    <col min="15362" max="15362" width="59.28515625" style="70" customWidth="1"/>
    <col min="15363" max="15363" width="13.28515625" style="70" customWidth="1"/>
    <col min="15364" max="15364" width="6.140625" style="70" customWidth="1"/>
    <col min="15365" max="15365" width="7.85546875" style="70" bestFit="1" customWidth="1"/>
    <col min="15366" max="15366" width="9.7109375" style="70" customWidth="1"/>
    <col min="15367" max="15367" width="11.5703125" style="70" customWidth="1"/>
    <col min="15368" max="15368" width="6.5703125" style="70" customWidth="1"/>
    <col min="15369" max="15369" width="9.5703125" style="70" bestFit="1" customWidth="1"/>
    <col min="15370" max="15370" width="11.5703125" style="70" customWidth="1"/>
    <col min="15371" max="15371" width="20.42578125" style="70" customWidth="1"/>
    <col min="15372" max="15372" width="17.85546875" style="70" customWidth="1"/>
    <col min="15373" max="15373" width="13" style="70" customWidth="1"/>
    <col min="15374" max="15616" width="9.140625" style="70"/>
    <col min="15617" max="15617" width="4.28515625" style="70" customWidth="1"/>
    <col min="15618" max="15618" width="59.28515625" style="70" customWidth="1"/>
    <col min="15619" max="15619" width="13.28515625" style="70" customWidth="1"/>
    <col min="15620" max="15620" width="6.140625" style="70" customWidth="1"/>
    <col min="15621" max="15621" width="7.85546875" style="70" bestFit="1" customWidth="1"/>
    <col min="15622" max="15622" width="9.7109375" style="70" customWidth="1"/>
    <col min="15623" max="15623" width="11.5703125" style="70" customWidth="1"/>
    <col min="15624" max="15624" width="6.5703125" style="70" customWidth="1"/>
    <col min="15625" max="15625" width="9.5703125" style="70" bestFit="1" customWidth="1"/>
    <col min="15626" max="15626" width="11.5703125" style="70" customWidth="1"/>
    <col min="15627" max="15627" width="20.42578125" style="70" customWidth="1"/>
    <col min="15628" max="15628" width="17.85546875" style="70" customWidth="1"/>
    <col min="15629" max="15629" width="13" style="70" customWidth="1"/>
    <col min="15630" max="15872" width="9.140625" style="70"/>
    <col min="15873" max="15873" width="4.28515625" style="70" customWidth="1"/>
    <col min="15874" max="15874" width="59.28515625" style="70" customWidth="1"/>
    <col min="15875" max="15875" width="13.28515625" style="70" customWidth="1"/>
    <col min="15876" max="15876" width="6.140625" style="70" customWidth="1"/>
    <col min="15877" max="15877" width="7.85546875" style="70" bestFit="1" customWidth="1"/>
    <col min="15878" max="15878" width="9.7109375" style="70" customWidth="1"/>
    <col min="15879" max="15879" width="11.5703125" style="70" customWidth="1"/>
    <col min="15880" max="15880" width="6.5703125" style="70" customWidth="1"/>
    <col min="15881" max="15881" width="9.5703125" style="70" bestFit="1" customWidth="1"/>
    <col min="15882" max="15882" width="11.5703125" style="70" customWidth="1"/>
    <col min="15883" max="15883" width="20.42578125" style="70" customWidth="1"/>
    <col min="15884" max="15884" width="17.85546875" style="70" customWidth="1"/>
    <col min="15885" max="15885" width="13" style="70" customWidth="1"/>
    <col min="15886" max="16128" width="9.140625" style="70"/>
    <col min="16129" max="16129" width="4.28515625" style="70" customWidth="1"/>
    <col min="16130" max="16130" width="59.28515625" style="70" customWidth="1"/>
    <col min="16131" max="16131" width="13.28515625" style="70" customWidth="1"/>
    <col min="16132" max="16132" width="6.140625" style="70" customWidth="1"/>
    <col min="16133" max="16133" width="7.85546875" style="70" bestFit="1" customWidth="1"/>
    <col min="16134" max="16134" width="9.7109375" style="70" customWidth="1"/>
    <col min="16135" max="16135" width="11.5703125" style="70" customWidth="1"/>
    <col min="16136" max="16136" width="6.5703125" style="70" customWidth="1"/>
    <col min="16137" max="16137" width="9.5703125" style="70" bestFit="1" customWidth="1"/>
    <col min="16138" max="16138" width="11.5703125" style="70" customWidth="1"/>
    <col min="16139" max="16139" width="20.42578125" style="70" customWidth="1"/>
    <col min="16140" max="16140" width="17.85546875" style="70" customWidth="1"/>
    <col min="16141" max="16141" width="13" style="70" customWidth="1"/>
    <col min="16142" max="16384" width="9.140625" style="70"/>
  </cols>
  <sheetData>
    <row r="1" spans="1:13" ht="20.25">
      <c r="B1" s="3115" t="s">
        <v>91</v>
      </c>
      <c r="C1" s="3115"/>
      <c r="D1" s="3115"/>
      <c r="E1" s="71"/>
      <c r="F1" s="71"/>
      <c r="G1" s="72"/>
    </row>
    <row r="2" spans="1:13" ht="18" customHeight="1">
      <c r="A2" s="73"/>
      <c r="B2" s="73"/>
      <c r="C2" s="74"/>
      <c r="D2" s="73"/>
      <c r="E2" s="75"/>
      <c r="F2" s="73"/>
      <c r="I2" s="1612" t="s">
        <v>89</v>
      </c>
    </row>
    <row r="3" spans="1:13" ht="38.25" customHeight="1">
      <c r="B3" s="3095" t="s">
        <v>92</v>
      </c>
      <c r="C3" s="3095"/>
      <c r="D3" s="3095"/>
      <c r="E3" s="3095"/>
      <c r="F3" s="3095"/>
      <c r="G3" s="3095"/>
      <c r="H3" s="3095"/>
      <c r="I3" s="3095"/>
      <c r="J3" s="76"/>
      <c r="K3" s="76"/>
      <c r="L3" s="76"/>
      <c r="M3" s="76"/>
    </row>
    <row r="4" spans="1:13" ht="11.25" customHeight="1">
      <c r="A4" s="77"/>
      <c r="B4" s="77"/>
      <c r="C4" s="78"/>
      <c r="D4" s="77"/>
      <c r="E4" s="79"/>
      <c r="F4" s="77"/>
      <c r="G4" s="77"/>
      <c r="H4" s="80"/>
      <c r="I4" s="80"/>
      <c r="J4" s="80"/>
      <c r="K4" s="81"/>
      <c r="L4" s="81"/>
    </row>
    <row r="5" spans="1:13" ht="32.25" customHeight="1">
      <c r="A5" s="3117" t="s">
        <v>2</v>
      </c>
      <c r="B5" s="3273" t="s">
        <v>3</v>
      </c>
      <c r="C5" s="3274" t="s">
        <v>4</v>
      </c>
      <c r="D5" s="3276" t="s">
        <v>5</v>
      </c>
      <c r="E5" s="3273" t="s">
        <v>93</v>
      </c>
      <c r="F5" s="3277"/>
      <c r="G5" s="3276"/>
      <c r="H5" s="3278" t="s">
        <v>94</v>
      </c>
      <c r="I5" s="3278"/>
      <c r="J5" s="3278"/>
      <c r="L5" s="82"/>
    </row>
    <row r="6" spans="1:13" ht="17.25" customHeight="1">
      <c r="A6" s="3117"/>
      <c r="B6" s="3273"/>
      <c r="C6" s="3275"/>
      <c r="D6" s="3276"/>
      <c r="E6" s="926" t="s">
        <v>95</v>
      </c>
      <c r="F6" s="926" t="s">
        <v>9</v>
      </c>
      <c r="G6" s="926" t="s">
        <v>10</v>
      </c>
      <c r="H6" s="1072" t="s">
        <v>95</v>
      </c>
      <c r="I6" s="1072" t="s">
        <v>96</v>
      </c>
      <c r="J6" s="1072" t="s">
        <v>10</v>
      </c>
    </row>
    <row r="7" spans="1:13" ht="15">
      <c r="A7" s="1613">
        <v>1</v>
      </c>
      <c r="B7" s="1613">
        <v>2</v>
      </c>
      <c r="C7" s="1613">
        <v>3</v>
      </c>
      <c r="D7" s="1613">
        <v>4</v>
      </c>
      <c r="E7" s="1613">
        <v>5</v>
      </c>
      <c r="F7" s="1613">
        <v>6</v>
      </c>
      <c r="G7" s="1614">
        <v>7</v>
      </c>
      <c r="H7" s="1613">
        <v>8</v>
      </c>
      <c r="I7" s="1613">
        <v>9</v>
      </c>
      <c r="J7" s="1613">
        <v>10</v>
      </c>
    </row>
    <row r="8" spans="1:13" ht="33" customHeight="1">
      <c r="A8" s="907">
        <v>1</v>
      </c>
      <c r="B8" s="1615" t="s">
        <v>97</v>
      </c>
      <c r="C8" s="1616">
        <v>7130601965</v>
      </c>
      <c r="D8" s="907" t="s">
        <v>26</v>
      </c>
      <c r="E8" s="907">
        <f>37.1*11*12</f>
        <v>4897.2000000000007</v>
      </c>
      <c r="F8" s="1132">
        <f>63913.52/1000</f>
        <v>63.913519999999998</v>
      </c>
      <c r="G8" s="1617">
        <f>F8*E8</f>
        <v>312997.29014400003</v>
      </c>
      <c r="H8" s="1618"/>
      <c r="I8" s="1618"/>
      <c r="J8" s="1618"/>
      <c r="K8" s="83"/>
      <c r="L8" s="83"/>
      <c r="M8" s="83"/>
    </row>
    <row r="9" spans="1:13" ht="18" customHeight="1">
      <c r="A9" s="907">
        <v>2</v>
      </c>
      <c r="B9" s="1619" t="s">
        <v>98</v>
      </c>
      <c r="C9" s="1616">
        <v>7130800002</v>
      </c>
      <c r="D9" s="1620" t="s">
        <v>12</v>
      </c>
      <c r="E9" s="907"/>
      <c r="F9" s="1132"/>
      <c r="G9" s="1617"/>
      <c r="H9" s="1621">
        <v>12</v>
      </c>
      <c r="I9" s="1132">
        <f>VLOOKUP(C9,'SOR RATE'!A:D,4,0)</f>
        <v>7656.89</v>
      </c>
      <c r="J9" s="1132">
        <f>H9*I9</f>
        <v>91882.680000000008</v>
      </c>
      <c r="K9" s="83"/>
      <c r="L9" s="84"/>
      <c r="M9" s="84"/>
    </row>
    <row r="10" spans="1:13" ht="18" customHeight="1">
      <c r="A10" s="907">
        <v>3</v>
      </c>
      <c r="B10" s="1615" t="s">
        <v>13</v>
      </c>
      <c r="C10" s="1616">
        <v>7130810495</v>
      </c>
      <c r="D10" s="907" t="s">
        <v>12</v>
      </c>
      <c r="E10" s="907">
        <v>12</v>
      </c>
      <c r="F10" s="1132">
        <f>VLOOKUP(C10,'SOR RATE'!A:D,4,0)</f>
        <v>1380.08</v>
      </c>
      <c r="G10" s="1617">
        <f>F10*E10</f>
        <v>16560.96</v>
      </c>
      <c r="H10" s="1621">
        <v>12</v>
      </c>
      <c r="I10" s="1132">
        <f>VLOOKUP(C10,'SOR RATE'!A:D,4,0)</f>
        <v>1380.08</v>
      </c>
      <c r="J10" s="1132">
        <f>H10*I10</f>
        <v>16560.96</v>
      </c>
    </row>
    <row r="11" spans="1:13" ht="16.5" customHeight="1">
      <c r="A11" s="3266">
        <v>4</v>
      </c>
      <c r="B11" s="1615" t="s">
        <v>99</v>
      </c>
      <c r="C11" s="1622"/>
      <c r="D11" s="1623"/>
      <c r="E11" s="1623"/>
      <c r="F11" s="1623"/>
      <c r="G11" s="1623"/>
      <c r="H11" s="1621"/>
      <c r="I11" s="1132"/>
      <c r="J11" s="1132"/>
    </row>
    <row r="12" spans="1:13" ht="15.75" customHeight="1">
      <c r="A12" s="3267"/>
      <c r="B12" s="1624" t="s">
        <v>100</v>
      </c>
      <c r="C12" s="1625">
        <v>7130810692</v>
      </c>
      <c r="D12" s="1620" t="s">
        <v>15</v>
      </c>
      <c r="E12" s="907">
        <v>12</v>
      </c>
      <c r="F12" s="1132">
        <f>VLOOKUP(C12,'SOR RATE'!A:D,4,0)</f>
        <v>410.25</v>
      </c>
      <c r="G12" s="1617">
        <f>F12*E12</f>
        <v>4923</v>
      </c>
      <c r="H12" s="1621"/>
      <c r="I12" s="1132"/>
      <c r="J12" s="1132"/>
    </row>
    <row r="13" spans="1:13" ht="15.75" customHeight="1">
      <c r="A13" s="3268"/>
      <c r="B13" s="1626" t="s">
        <v>101</v>
      </c>
      <c r="C13" s="1627">
        <v>7130810193</v>
      </c>
      <c r="D13" s="1628" t="s">
        <v>15</v>
      </c>
      <c r="E13" s="1629"/>
      <c r="F13" s="1630"/>
      <c r="G13" s="1631"/>
      <c r="H13" s="1632">
        <v>12</v>
      </c>
      <c r="I13" s="1630">
        <f>VLOOKUP(C13,'SOR RATE'!A:D,4,0)</f>
        <v>369.79</v>
      </c>
      <c r="J13" s="1630">
        <f>H13*I13</f>
        <v>4437.4800000000005</v>
      </c>
    </row>
    <row r="14" spans="1:13" ht="17.25" customHeight="1">
      <c r="A14" s="907">
        <v>5</v>
      </c>
      <c r="B14" s="1633" t="s">
        <v>16</v>
      </c>
      <c r="C14" s="1616">
        <v>7130810679</v>
      </c>
      <c r="D14" s="907" t="s">
        <v>12</v>
      </c>
      <c r="E14" s="907">
        <v>12</v>
      </c>
      <c r="F14" s="1132">
        <f>VLOOKUP(C14,'SOR RATE'!A:D,4,0)</f>
        <v>387.16</v>
      </c>
      <c r="G14" s="1617">
        <f>F14*E14</f>
        <v>4645.92</v>
      </c>
      <c r="H14" s="1621">
        <v>12</v>
      </c>
      <c r="I14" s="1132">
        <f>VLOOKUP(C14,'SOR RATE'!A:D,4,0)</f>
        <v>387.16</v>
      </c>
      <c r="J14" s="1132">
        <f>H14*I14</f>
        <v>4645.92</v>
      </c>
    </row>
    <row r="15" spans="1:13" ht="18" customHeight="1">
      <c r="A15" s="907">
        <v>6</v>
      </c>
      <c r="B15" s="1615" t="s">
        <v>135</v>
      </c>
      <c r="C15" s="1616">
        <v>7130870013</v>
      </c>
      <c r="D15" s="907" t="s">
        <v>12</v>
      </c>
      <c r="E15" s="907">
        <v>12</v>
      </c>
      <c r="F15" s="1132">
        <f>VLOOKUP(C15,'SOR RATE'!A:D,4,0)</f>
        <v>152.88999999999999</v>
      </c>
      <c r="G15" s="1617">
        <f>F15*E15</f>
        <v>1834.6799999999998</v>
      </c>
      <c r="H15" s="1621">
        <v>12</v>
      </c>
      <c r="I15" s="1132">
        <f>VLOOKUP(C15,'SOR RATE'!A:D,4,0)</f>
        <v>152.88999999999999</v>
      </c>
      <c r="J15" s="1132">
        <f>H15*I15</f>
        <v>1834.6799999999998</v>
      </c>
    </row>
    <row r="16" spans="1:13" ht="17.25" customHeight="1">
      <c r="A16" s="907">
        <v>7</v>
      </c>
      <c r="B16" s="1619" t="s">
        <v>102</v>
      </c>
      <c r="C16" s="1625">
        <v>7130820008</v>
      </c>
      <c r="D16" s="907" t="s">
        <v>12</v>
      </c>
      <c r="E16" s="907">
        <v>36</v>
      </c>
      <c r="F16" s="1132">
        <f>VLOOKUP(C16,'SOR RATE'!A:D,4,0)</f>
        <v>157.08000000000001</v>
      </c>
      <c r="G16" s="1617">
        <f>F16*E16</f>
        <v>5654.88</v>
      </c>
      <c r="H16" s="1621">
        <v>36</v>
      </c>
      <c r="I16" s="1132">
        <f>VLOOKUP(C16,'SOR RATE'!A:D,4,0)</f>
        <v>157.08000000000001</v>
      </c>
      <c r="J16" s="1132">
        <f>H16*I16</f>
        <v>5654.88</v>
      </c>
      <c r="L16" s="85"/>
      <c r="M16" s="85"/>
    </row>
    <row r="17" spans="1:13" ht="17.25" customHeight="1">
      <c r="A17" s="907">
        <v>8</v>
      </c>
      <c r="B17" s="1634" t="s">
        <v>20</v>
      </c>
      <c r="C17" s="1616">
        <v>7130830057</v>
      </c>
      <c r="D17" s="907" t="s">
        <v>21</v>
      </c>
      <c r="E17" s="907">
        <v>3100</v>
      </c>
      <c r="F17" s="1132">
        <f>VLOOKUP(C17,'SOR RATE'!A:D,4,0)/1000</f>
        <v>46.676089999999995</v>
      </c>
      <c r="G17" s="1617">
        <f t="shared" ref="G17" si="0">F17*E17</f>
        <v>144695.87899999999</v>
      </c>
      <c r="H17" s="1621">
        <v>3100</v>
      </c>
      <c r="I17" s="1132">
        <f>+F17</f>
        <v>46.676089999999995</v>
      </c>
      <c r="J17" s="1132">
        <f t="shared" ref="J17:J37" si="1">H17*I17</f>
        <v>144695.87899999999</v>
      </c>
    </row>
    <row r="18" spans="1:13" ht="17.25" customHeight="1">
      <c r="A18" s="907">
        <v>9</v>
      </c>
      <c r="B18" s="1615" t="s">
        <v>103</v>
      </c>
      <c r="C18" s="1616">
        <v>7130830854</v>
      </c>
      <c r="D18" s="907" t="s">
        <v>12</v>
      </c>
      <c r="E18" s="907">
        <v>6</v>
      </c>
      <c r="F18" s="1132">
        <f>VLOOKUP(C18,'SOR RATE'!A:D,4,0)</f>
        <v>37.78</v>
      </c>
      <c r="G18" s="1617">
        <f>F18*E18</f>
        <v>226.68</v>
      </c>
      <c r="H18" s="1621">
        <v>6</v>
      </c>
      <c r="I18" s="1132">
        <f>VLOOKUP(C18,'SOR RATE'!A:D,4,0)</f>
        <v>37.78</v>
      </c>
      <c r="J18" s="1132">
        <f>H18*I18</f>
        <v>226.68</v>
      </c>
    </row>
    <row r="19" spans="1:13" ht="17.25" customHeight="1">
      <c r="A19" s="3266">
        <v>10</v>
      </c>
      <c r="B19" s="1615" t="s">
        <v>104</v>
      </c>
      <c r="C19" s="1616">
        <v>7130860032</v>
      </c>
      <c r="D19" s="907" t="s">
        <v>12</v>
      </c>
      <c r="E19" s="907">
        <v>4</v>
      </c>
      <c r="F19" s="1132">
        <f>VLOOKUP(C19,'SOR RATE'!A:D,4,0)</f>
        <v>566.19000000000005</v>
      </c>
      <c r="G19" s="1617">
        <f>F19*E19</f>
        <v>2264.7600000000002</v>
      </c>
      <c r="H19" s="1621">
        <v>4</v>
      </c>
      <c r="I19" s="1132">
        <f>VLOOKUP(C19,'SOR RATE'!A:D,4,0)</f>
        <v>566.19000000000005</v>
      </c>
      <c r="J19" s="1132">
        <f>H19*I19</f>
        <v>2264.7600000000002</v>
      </c>
    </row>
    <row r="20" spans="1:13" ht="15.75" customHeight="1">
      <c r="A20" s="3267"/>
      <c r="B20" s="1634" t="s">
        <v>105</v>
      </c>
      <c r="C20" s="1616">
        <v>7130860077</v>
      </c>
      <c r="D20" s="907" t="s">
        <v>26</v>
      </c>
      <c r="E20" s="907">
        <v>34</v>
      </c>
      <c r="F20" s="1132">
        <f>VLOOKUP(C20,'SOR RATE'!A:D,4,0)/1000</f>
        <v>93.76643</v>
      </c>
      <c r="G20" s="1617">
        <f>F20*E20</f>
        <v>3188.0586199999998</v>
      </c>
      <c r="H20" s="1621">
        <v>34</v>
      </c>
      <c r="I20" s="1132">
        <f>VLOOKUP(C20,'SOR RATE'!A:D,4,0)/1000</f>
        <v>93.76643</v>
      </c>
      <c r="J20" s="1132">
        <f>H20*I20</f>
        <v>3188.0586199999998</v>
      </c>
    </row>
    <row r="21" spans="1:13" ht="17.25" customHeight="1">
      <c r="A21" s="3267"/>
      <c r="B21" s="1634" t="s">
        <v>106</v>
      </c>
      <c r="C21" s="1635"/>
      <c r="D21" s="1636"/>
      <c r="E21" s="1636"/>
      <c r="F21" s="1636"/>
      <c r="G21" s="1636"/>
      <c r="H21" s="1132"/>
      <c r="I21" s="1132"/>
      <c r="J21" s="1132"/>
    </row>
    <row r="22" spans="1:13" ht="17.25" customHeight="1">
      <c r="A22" s="3267"/>
      <c r="B22" s="1624" t="s">
        <v>107</v>
      </c>
      <c r="C22" s="1625">
        <v>7130810692</v>
      </c>
      <c r="D22" s="1620" t="s">
        <v>15</v>
      </c>
      <c r="E22" s="907">
        <v>4</v>
      </c>
      <c r="F22" s="1132">
        <f>VLOOKUP(C22,'SOR RATE'!A:D,4,0)</f>
        <v>410.25</v>
      </c>
      <c r="G22" s="1617">
        <f>F22*E22</f>
        <v>1641</v>
      </c>
      <c r="H22" s="1132"/>
      <c r="I22" s="1132"/>
      <c r="J22" s="1132"/>
    </row>
    <row r="23" spans="1:13" ht="17.25" customHeight="1">
      <c r="A23" s="3268"/>
      <c r="B23" s="1619" t="s">
        <v>101</v>
      </c>
      <c r="C23" s="1625">
        <v>7130810193</v>
      </c>
      <c r="D23" s="1620" t="s">
        <v>15</v>
      </c>
      <c r="E23" s="907"/>
      <c r="F23" s="1132"/>
      <c r="G23" s="1617"/>
      <c r="H23" s="1621">
        <v>4</v>
      </c>
      <c r="I23" s="1132">
        <f>VLOOKUP(C23,'SOR RATE'!A:D,4,0)</f>
        <v>369.79</v>
      </c>
      <c r="J23" s="1132">
        <f t="shared" ref="J23:J29" si="2">H23*I23</f>
        <v>1479.16</v>
      </c>
    </row>
    <row r="24" spans="1:13" ht="47.25" customHeight="1">
      <c r="A24" s="1291">
        <v>11</v>
      </c>
      <c r="B24" s="1615" t="s">
        <v>108</v>
      </c>
      <c r="C24" s="1616">
        <v>7130200202</v>
      </c>
      <c r="D24" s="1291" t="s">
        <v>109</v>
      </c>
      <c r="E24" s="1291">
        <f>(12*0.65)+(6*0.2)</f>
        <v>9</v>
      </c>
      <c r="F24" s="1132">
        <f>VLOOKUP(C24,'SOR RATE'!A:D,4,0)</f>
        <v>2970</v>
      </c>
      <c r="G24" s="1617">
        <f t="shared" ref="G24:G29" si="3">F24*E24</f>
        <v>26730</v>
      </c>
      <c r="H24" s="1291">
        <f>(12*0.55)+(6*0.2)</f>
        <v>7.8000000000000007</v>
      </c>
      <c r="I24" s="1132">
        <f>VLOOKUP(C24,'SOR RATE'!A:D,4,0)</f>
        <v>2970</v>
      </c>
      <c r="J24" s="1132">
        <f t="shared" si="2"/>
        <v>23166.000000000004</v>
      </c>
      <c r="K24" s="86" t="s">
        <v>47</v>
      </c>
      <c r="L24" s="87"/>
    </row>
    <row r="25" spans="1:13" ht="17.25" customHeight="1">
      <c r="A25" s="907">
        <v>12</v>
      </c>
      <c r="B25" s="1634" t="s">
        <v>28</v>
      </c>
      <c r="C25" s="1616">
        <v>7130211158</v>
      </c>
      <c r="D25" s="907" t="s">
        <v>29</v>
      </c>
      <c r="E25" s="907">
        <v>3</v>
      </c>
      <c r="F25" s="1132">
        <f>VLOOKUP(C25,'SOR RATE'!A:D,4,0)</f>
        <v>193.62</v>
      </c>
      <c r="G25" s="1617">
        <f t="shared" si="3"/>
        <v>580.86</v>
      </c>
      <c r="H25" s="1637">
        <v>1.7</v>
      </c>
      <c r="I25" s="1132">
        <f>VLOOKUP(C25,'SOR RATE'!A:D,4,0)</f>
        <v>193.62</v>
      </c>
      <c r="J25" s="1132">
        <f t="shared" si="2"/>
        <v>329.154</v>
      </c>
    </row>
    <row r="26" spans="1:13" ht="17.25" customHeight="1">
      <c r="A26" s="907">
        <v>13</v>
      </c>
      <c r="B26" s="1634" t="s">
        <v>30</v>
      </c>
      <c r="C26" s="1616">
        <v>7130210809</v>
      </c>
      <c r="D26" s="907" t="s">
        <v>29</v>
      </c>
      <c r="E26" s="907">
        <v>3</v>
      </c>
      <c r="F26" s="1132">
        <f>VLOOKUP(C26,'SOR RATE'!A:D,4,0)</f>
        <v>432.63</v>
      </c>
      <c r="G26" s="1617">
        <f t="shared" si="3"/>
        <v>1297.8899999999999</v>
      </c>
      <c r="H26" s="1637">
        <v>1.8</v>
      </c>
      <c r="I26" s="1132">
        <f>VLOOKUP(C26,'SOR RATE'!A:D,4,0)</f>
        <v>432.63</v>
      </c>
      <c r="J26" s="1132">
        <f t="shared" si="2"/>
        <v>778.73400000000004</v>
      </c>
    </row>
    <row r="27" spans="1:13" ht="16.5" customHeight="1">
      <c r="A27" s="907">
        <v>14</v>
      </c>
      <c r="B27" s="1619" t="s">
        <v>31</v>
      </c>
      <c r="C27" s="1625">
        <v>7130610206</v>
      </c>
      <c r="D27" s="907" t="s">
        <v>26</v>
      </c>
      <c r="E27" s="907">
        <v>24</v>
      </c>
      <c r="F27" s="1132">
        <f>VLOOKUP(C27,'SOR RATE'!A:D,4,0)/1000</f>
        <v>97.233429999999998</v>
      </c>
      <c r="G27" s="1617">
        <f t="shared" si="3"/>
        <v>2333.60232</v>
      </c>
      <c r="H27" s="1621">
        <v>24</v>
      </c>
      <c r="I27" s="1132">
        <f>VLOOKUP(C27,'SOR RATE'!A:D,4,0)/1000</f>
        <v>97.233429999999998</v>
      </c>
      <c r="J27" s="1132">
        <f t="shared" si="2"/>
        <v>2333.60232</v>
      </c>
      <c r="K27" s="88"/>
      <c r="L27" s="89"/>
      <c r="M27" s="87"/>
    </row>
    <row r="28" spans="1:13" ht="16.5" customHeight="1">
      <c r="A28" s="907">
        <v>15</v>
      </c>
      <c r="B28" s="1634" t="s">
        <v>32</v>
      </c>
      <c r="C28" s="1616">
        <v>7130880041</v>
      </c>
      <c r="D28" s="907" t="s">
        <v>33</v>
      </c>
      <c r="E28" s="907">
        <v>12</v>
      </c>
      <c r="F28" s="1132">
        <f>VLOOKUP(C28,'SOR RATE'!A:D,4,0)</f>
        <v>113.77</v>
      </c>
      <c r="G28" s="1617">
        <f t="shared" si="3"/>
        <v>1365.24</v>
      </c>
      <c r="H28" s="1621">
        <v>12</v>
      </c>
      <c r="I28" s="1132">
        <f>VLOOKUP(C28,'SOR RATE'!A:D,4,0)</f>
        <v>113.77</v>
      </c>
      <c r="J28" s="1132">
        <f t="shared" si="2"/>
        <v>1365.24</v>
      </c>
    </row>
    <row r="29" spans="1:13" ht="16.5" customHeight="1">
      <c r="A29" s="907">
        <v>16</v>
      </c>
      <c r="B29" s="1634" t="s">
        <v>110</v>
      </c>
      <c r="C29" s="1616">
        <v>7130830006</v>
      </c>
      <c r="D29" s="907" t="s">
        <v>26</v>
      </c>
      <c r="E29" s="907">
        <v>3</v>
      </c>
      <c r="F29" s="1132">
        <f>VLOOKUP(C29,'SOR RATE'!A:D,4,0)</f>
        <v>201.5</v>
      </c>
      <c r="G29" s="1617">
        <f t="shared" si="3"/>
        <v>604.5</v>
      </c>
      <c r="H29" s="1637">
        <v>3.5</v>
      </c>
      <c r="I29" s="1132">
        <f>VLOOKUP(C29,'SOR RATE'!A:D,4,0)</f>
        <v>201.5</v>
      </c>
      <c r="J29" s="1132">
        <f t="shared" si="2"/>
        <v>705.25</v>
      </c>
    </row>
    <row r="30" spans="1:13" ht="14.25">
      <c r="A30" s="3269">
        <v>17</v>
      </c>
      <c r="B30" s="1634" t="s">
        <v>35</v>
      </c>
      <c r="C30" s="1616"/>
      <c r="D30" s="907" t="s">
        <v>26</v>
      </c>
      <c r="E30" s="907">
        <f>SUM(E31:E35)</f>
        <v>13</v>
      </c>
      <c r="F30" s="1132"/>
      <c r="G30" s="1617"/>
      <c r="H30" s="1621">
        <f>SUM(H31:H35)</f>
        <v>18</v>
      </c>
      <c r="I30" s="1132"/>
      <c r="J30" s="1132"/>
    </row>
    <row r="31" spans="1:13" ht="15.75" customHeight="1">
      <c r="A31" s="3270"/>
      <c r="B31" s="1624" t="s">
        <v>79</v>
      </c>
      <c r="C31" s="1616">
        <v>7130620609</v>
      </c>
      <c r="D31" s="907" t="s">
        <v>26</v>
      </c>
      <c r="E31" s="907">
        <v>0.5</v>
      </c>
      <c r="F31" s="1132">
        <f>VLOOKUP(C31,'SOR RATE'!A:D,4,0)</f>
        <v>87.23</v>
      </c>
      <c r="G31" s="1617">
        <f>F31*E31</f>
        <v>43.615000000000002</v>
      </c>
      <c r="H31" s="1132"/>
      <c r="I31" s="1132"/>
      <c r="J31" s="1132"/>
    </row>
    <row r="32" spans="1:13" ht="17.25" customHeight="1">
      <c r="A32" s="3270"/>
      <c r="B32" s="1624" t="s">
        <v>111</v>
      </c>
      <c r="C32" s="1616">
        <v>7130620614</v>
      </c>
      <c r="D32" s="907" t="s">
        <v>26</v>
      </c>
      <c r="E32" s="907">
        <v>6</v>
      </c>
      <c r="F32" s="1132">
        <f>VLOOKUP(C32,'SOR RATE'!A:D,4,0)</f>
        <v>85.77</v>
      </c>
      <c r="G32" s="1617">
        <f>F32*E32</f>
        <v>514.62</v>
      </c>
      <c r="H32" s="1132"/>
      <c r="I32" s="1132"/>
      <c r="J32" s="1132"/>
    </row>
    <row r="33" spans="1:14" ht="17.25" customHeight="1">
      <c r="A33" s="3270"/>
      <c r="B33" s="1619" t="s">
        <v>36</v>
      </c>
      <c r="C33" s="1625">
        <v>7130620619</v>
      </c>
      <c r="D33" s="1620" t="s">
        <v>26</v>
      </c>
      <c r="E33" s="907"/>
      <c r="F33" s="1132"/>
      <c r="G33" s="1617"/>
      <c r="H33" s="1637">
        <v>3.5</v>
      </c>
      <c r="I33" s="1132">
        <f>VLOOKUP(C33,'SOR RATE'!A:D,4,0)</f>
        <v>85.77</v>
      </c>
      <c r="J33" s="1132">
        <f>H33*I33</f>
        <v>300.19499999999999</v>
      </c>
    </row>
    <row r="34" spans="1:14" ht="15.75" customHeight="1">
      <c r="A34" s="3270"/>
      <c r="B34" s="1624" t="s">
        <v>112</v>
      </c>
      <c r="C34" s="1616">
        <v>7130620625</v>
      </c>
      <c r="D34" s="907" t="s">
        <v>26</v>
      </c>
      <c r="E34" s="907">
        <v>6.5</v>
      </c>
      <c r="F34" s="1132">
        <f>VLOOKUP(C34,'SOR RATE'!A:D,4,0)</f>
        <v>84.32</v>
      </c>
      <c r="G34" s="1617">
        <f>F34*E34</f>
        <v>548.07999999999993</v>
      </c>
      <c r="H34" s="1132"/>
      <c r="I34" s="1132"/>
      <c r="J34" s="1132"/>
    </row>
    <row r="35" spans="1:14" ht="15.75" customHeight="1">
      <c r="A35" s="3271"/>
      <c r="B35" s="1619" t="s">
        <v>37</v>
      </c>
      <c r="C35" s="1625">
        <v>7130620627</v>
      </c>
      <c r="D35" s="1620" t="s">
        <v>26</v>
      </c>
      <c r="E35" s="907"/>
      <c r="F35" s="1132"/>
      <c r="G35" s="1617"/>
      <c r="H35" s="1637">
        <v>14.5</v>
      </c>
      <c r="I35" s="1132">
        <f>VLOOKUP(C35,'SOR RATE'!A:D,4,0)</f>
        <v>84.32</v>
      </c>
      <c r="J35" s="1132">
        <f>H35*I35</f>
        <v>1222.6399999999999</v>
      </c>
    </row>
    <row r="36" spans="1:14" ht="16.5" customHeight="1">
      <c r="A36" s="3272">
        <v>18</v>
      </c>
      <c r="B36" s="1634" t="s">
        <v>113</v>
      </c>
      <c r="C36" s="1616"/>
      <c r="D36" s="907" t="s">
        <v>114</v>
      </c>
      <c r="E36" s="907"/>
      <c r="F36" s="1132"/>
      <c r="G36" s="1617"/>
      <c r="H36" s="1132"/>
      <c r="I36" s="1132"/>
      <c r="J36" s="1132"/>
    </row>
    <row r="37" spans="1:14" ht="14.25">
      <c r="A37" s="3272"/>
      <c r="B37" s="1634" t="s">
        <v>115</v>
      </c>
      <c r="C37" s="1616">
        <v>7130810511</v>
      </c>
      <c r="D37" s="907" t="s">
        <v>12</v>
      </c>
      <c r="E37" s="907">
        <v>1</v>
      </c>
      <c r="F37" s="1132">
        <f>VLOOKUP(C37,'SOR RATE'!A:D,4,0)</f>
        <v>3272.43</v>
      </c>
      <c r="G37" s="1617">
        <f t="shared" ref="G37" si="4">F37*E37</f>
        <v>3272.43</v>
      </c>
      <c r="H37" s="1621">
        <v>1</v>
      </c>
      <c r="I37" s="1132">
        <f>VLOOKUP(C37,'SOR RATE'!A:D,4,0)</f>
        <v>3272.43</v>
      </c>
      <c r="J37" s="1132">
        <f t="shared" si="1"/>
        <v>3272.43</v>
      </c>
    </row>
    <row r="38" spans="1:14" ht="14.25">
      <c r="A38" s="3272"/>
      <c r="B38" s="1634" t="s">
        <v>41</v>
      </c>
      <c r="C38" s="1616">
        <v>7130870043</v>
      </c>
      <c r="D38" s="907" t="s">
        <v>26</v>
      </c>
      <c r="E38" s="907">
        <v>35</v>
      </c>
      <c r="F38" s="1132">
        <f>80521.84/1000</f>
        <v>80.521839999999997</v>
      </c>
      <c r="G38" s="1617">
        <f>F38*E38</f>
        <v>2818.2644</v>
      </c>
      <c r="H38" s="1621">
        <v>35</v>
      </c>
      <c r="I38" s="1132">
        <f>+F38</f>
        <v>80.521839999999997</v>
      </c>
      <c r="J38" s="1132">
        <f>H38*I38</f>
        <v>2818.2644</v>
      </c>
    </row>
    <row r="39" spans="1:14" ht="14.25">
      <c r="A39" s="3272"/>
      <c r="B39" s="1634" t="s">
        <v>27</v>
      </c>
      <c r="C39" s="1616">
        <v>7130810026</v>
      </c>
      <c r="D39" s="1638" t="s">
        <v>15</v>
      </c>
      <c r="E39" s="907">
        <v>2</v>
      </c>
      <c r="F39" s="1132">
        <f>VLOOKUP(C39,'SOR RATE'!A201:D201,4,0)</f>
        <v>198.14</v>
      </c>
      <c r="G39" s="1617">
        <f>F39*E39</f>
        <v>396.28</v>
      </c>
      <c r="H39" s="1621">
        <v>2</v>
      </c>
      <c r="I39" s="1132">
        <f>VLOOKUP(C39,'SOR RATE'!A201:D201,4,0)</f>
        <v>198.14</v>
      </c>
      <c r="J39" s="1132">
        <f>H39*I39</f>
        <v>396.28</v>
      </c>
    </row>
    <row r="40" spans="1:14" ht="14.25">
      <c r="A40" s="3272"/>
      <c r="B40" s="1634" t="s">
        <v>116</v>
      </c>
      <c r="C40" s="1616">
        <v>7130860077</v>
      </c>
      <c r="D40" s="907" t="s">
        <v>26</v>
      </c>
      <c r="E40" s="907">
        <v>17</v>
      </c>
      <c r="F40" s="1132">
        <f>VLOOKUP(C40,'SOR RATE'!A:D,4,0)/1000</f>
        <v>93.76643</v>
      </c>
      <c r="G40" s="1617">
        <f>F40*E40</f>
        <v>1594.0293099999999</v>
      </c>
      <c r="H40" s="1621">
        <v>17</v>
      </c>
      <c r="I40" s="1132">
        <f>VLOOKUP(C40,'SOR RATE'!A:D,4,0)/1000</f>
        <v>93.76643</v>
      </c>
      <c r="J40" s="1132">
        <f>H40*I40</f>
        <v>1594.0293099999999</v>
      </c>
    </row>
    <row r="41" spans="1:14" ht="14.25">
      <c r="A41" s="3272"/>
      <c r="B41" s="1634" t="s">
        <v>117</v>
      </c>
      <c r="C41" s="1616">
        <v>7130860032</v>
      </c>
      <c r="D41" s="907" t="s">
        <v>12</v>
      </c>
      <c r="E41" s="907">
        <v>2</v>
      </c>
      <c r="F41" s="1132">
        <f>VLOOKUP(C41,'SOR RATE'!A:D,4,0)</f>
        <v>566.19000000000005</v>
      </c>
      <c r="G41" s="1617">
        <f>F41*E41</f>
        <v>1132.3800000000001</v>
      </c>
      <c r="H41" s="1621">
        <v>2</v>
      </c>
      <c r="I41" s="1132">
        <f>VLOOKUP(C41,'SOR RATE'!A:D,4,0)</f>
        <v>566.19000000000005</v>
      </c>
      <c r="J41" s="1132">
        <f>H41*I41</f>
        <v>1132.3800000000001</v>
      </c>
    </row>
    <row r="42" spans="1:14" ht="16.5" customHeight="1">
      <c r="A42" s="3272"/>
      <c r="B42" s="1624" t="s">
        <v>118</v>
      </c>
      <c r="C42" s="1616">
        <v>7130620013</v>
      </c>
      <c r="D42" s="907" t="s">
        <v>68</v>
      </c>
      <c r="E42" s="907">
        <v>4</v>
      </c>
      <c r="F42" s="1132">
        <f>VLOOKUP(C42,'SOR RATE'!A:D,4,0)</f>
        <v>156.05000000000001</v>
      </c>
      <c r="G42" s="1617">
        <f>F42*E42</f>
        <v>624.20000000000005</v>
      </c>
      <c r="H42" s="1621">
        <v>4</v>
      </c>
      <c r="I42" s="1132">
        <f>VLOOKUP(C42,'SOR RATE'!A:D,4,0)</f>
        <v>156.05000000000001</v>
      </c>
      <c r="J42" s="1132">
        <f>H42*I42</f>
        <v>624.20000000000005</v>
      </c>
    </row>
    <row r="43" spans="1:14" ht="18" customHeight="1">
      <c r="A43" s="957">
        <v>19</v>
      </c>
      <c r="B43" s="1639" t="s">
        <v>48</v>
      </c>
      <c r="C43" s="1640"/>
      <c r="D43" s="957"/>
      <c r="E43" s="957"/>
      <c r="F43" s="957"/>
      <c r="G43" s="1641">
        <f>SUM(G8:G42)</f>
        <v>542489.09879399999</v>
      </c>
      <c r="H43" s="1642"/>
      <c r="I43" s="1642"/>
      <c r="J43" s="1642">
        <f>SUM(J8:J42)</f>
        <v>316909.53665000002</v>
      </c>
    </row>
    <row r="44" spans="1:14" ht="18" customHeight="1">
      <c r="A44" s="1643">
        <v>20</v>
      </c>
      <c r="B44" s="1639" t="s">
        <v>49</v>
      </c>
      <c r="C44" s="1640"/>
      <c r="D44" s="957"/>
      <c r="E44" s="957"/>
      <c r="F44" s="957"/>
      <c r="G44" s="1641">
        <f>G43/1.18</f>
        <v>459736.52440169494</v>
      </c>
      <c r="H44" s="1642"/>
      <c r="I44" s="1642"/>
      <c r="J44" s="1642">
        <f>J43/1.18</f>
        <v>268567.40394067799</v>
      </c>
      <c r="K44" s="87"/>
    </row>
    <row r="45" spans="1:14" ht="18" customHeight="1">
      <c r="A45" s="1644">
        <v>21</v>
      </c>
      <c r="B45" s="1619" t="s">
        <v>50</v>
      </c>
      <c r="C45" s="1645"/>
      <c r="D45" s="1645"/>
      <c r="E45" s="1645"/>
      <c r="F45" s="1616">
        <v>7.4999999999999997E-2</v>
      </c>
      <c r="G45" s="1617">
        <f>G43*F45</f>
        <v>40686.682409549998</v>
      </c>
      <c r="H45" s="1620"/>
      <c r="I45" s="1620" t="s">
        <v>120</v>
      </c>
      <c r="J45" s="1132">
        <f>J43*I45</f>
        <v>23768.215248750003</v>
      </c>
      <c r="K45" s="89"/>
    </row>
    <row r="46" spans="1:14" ht="18" customHeight="1">
      <c r="A46" s="907">
        <v>22</v>
      </c>
      <c r="B46" s="1634" t="s">
        <v>121</v>
      </c>
      <c r="C46" s="1616"/>
      <c r="D46" s="907"/>
      <c r="E46" s="907"/>
      <c r="F46" s="907"/>
      <c r="G46" s="1617">
        <v>64691.14</v>
      </c>
      <c r="H46" s="1619"/>
      <c r="I46" s="1619"/>
      <c r="J46" s="1202">
        <v>64950.22</v>
      </c>
      <c r="K46" s="90"/>
    </row>
    <row r="47" spans="1:14" ht="18" customHeight="1">
      <c r="A47" s="907">
        <v>23</v>
      </c>
      <c r="B47" s="1646" t="s">
        <v>82</v>
      </c>
      <c r="C47" s="1616"/>
      <c r="D47" s="907" t="s">
        <v>76</v>
      </c>
      <c r="E47" s="1291">
        <f>(12*0.65)+(6*0.2)</f>
        <v>9</v>
      </c>
      <c r="F47" s="1202">
        <f>665.173187113158*1.043</f>
        <v>693.77563415902364</v>
      </c>
      <c r="G47" s="1617">
        <f>E47*F47</f>
        <v>6243.980707431213</v>
      </c>
      <c r="H47" s="1291">
        <f>(12*0.55)+(6*0.2)</f>
        <v>7.8000000000000007</v>
      </c>
      <c r="I47" s="1202">
        <f>665.173187113158*1.043</f>
        <v>693.77563415902364</v>
      </c>
      <c r="J47" s="1202">
        <f>H47*I47</f>
        <v>5411.4499464403852</v>
      </c>
      <c r="K47" s="91"/>
      <c r="L47" s="1084"/>
      <c r="M47" s="633"/>
      <c r="N47" s="605"/>
    </row>
    <row r="48" spans="1:14" ht="18" customHeight="1">
      <c r="A48" s="1291">
        <v>24</v>
      </c>
      <c r="B48" s="1615" t="s">
        <v>1396</v>
      </c>
      <c r="C48" s="1625"/>
      <c r="D48" s="1291"/>
      <c r="E48" s="1291"/>
      <c r="F48" s="1202"/>
      <c r="G48" s="1132">
        <f>G44*0.04</f>
        <v>18389.460976067799</v>
      </c>
      <c r="H48" s="1618"/>
      <c r="I48" s="1618"/>
      <c r="J48" s="1132">
        <f>J44*0.04</f>
        <v>10742.696157627121</v>
      </c>
      <c r="K48" s="92"/>
      <c r="L48" s="93"/>
      <c r="M48" s="633"/>
      <c r="N48" s="526"/>
    </row>
    <row r="49" spans="1:14" ht="31.5" customHeight="1">
      <c r="A49" s="1291">
        <v>25</v>
      </c>
      <c r="B49" s="1626" t="s">
        <v>54</v>
      </c>
      <c r="C49" s="1625"/>
      <c r="D49" s="1291"/>
      <c r="E49" s="1291"/>
      <c r="F49" s="1202"/>
      <c r="G49" s="1617">
        <f>(G43+G45+G46+G47+G48)*0.125</f>
        <v>84062.545360881122</v>
      </c>
      <c r="H49" s="1618"/>
      <c r="I49" s="1618"/>
      <c r="J49" s="1132">
        <f>(J43+J45+J46+J47+J48)*0.125</f>
        <v>52722.764750352195</v>
      </c>
      <c r="K49" s="92"/>
      <c r="L49" s="93"/>
      <c r="M49" s="633"/>
      <c r="N49" s="804"/>
    </row>
    <row r="50" spans="1:14" ht="33" customHeight="1">
      <c r="A50" s="955">
        <v>26</v>
      </c>
      <c r="B50" s="1647" t="s">
        <v>55</v>
      </c>
      <c r="C50" s="1625"/>
      <c r="D50" s="1291"/>
      <c r="E50" s="1291"/>
      <c r="F50" s="1202"/>
      <c r="G50" s="1648">
        <f>SUM(G44:G49)</f>
        <v>673810.33385562513</v>
      </c>
      <c r="H50" s="1072"/>
      <c r="I50" s="1072"/>
      <c r="J50" s="1072">
        <f>SUM(J44:J49)</f>
        <v>426162.75004384771</v>
      </c>
      <c r="K50" s="94"/>
      <c r="L50" s="94"/>
    </row>
    <row r="51" spans="1:14" ht="18" customHeight="1">
      <c r="A51" s="1291">
        <v>27</v>
      </c>
      <c r="B51" s="1619" t="s">
        <v>56</v>
      </c>
      <c r="C51" s="1625"/>
      <c r="D51" s="1291"/>
      <c r="E51" s="1291"/>
      <c r="F51" s="1202">
        <v>0.09</v>
      </c>
      <c r="G51" s="1649">
        <f>G50*F51</f>
        <v>60642.930047006259</v>
      </c>
      <c r="H51" s="1202"/>
      <c r="I51" s="1202">
        <v>0.09</v>
      </c>
      <c r="J51" s="1202">
        <f>J50*I51</f>
        <v>38354.647503946289</v>
      </c>
      <c r="K51" s="94"/>
      <c r="L51" s="94"/>
    </row>
    <row r="52" spans="1:14" ht="18" customHeight="1">
      <c r="A52" s="1291">
        <v>28</v>
      </c>
      <c r="B52" s="1619" t="s">
        <v>57</v>
      </c>
      <c r="C52" s="1625"/>
      <c r="D52" s="1291"/>
      <c r="E52" s="1291"/>
      <c r="F52" s="1202">
        <v>0.09</v>
      </c>
      <c r="G52" s="1649">
        <f>G50*F52</f>
        <v>60642.930047006259</v>
      </c>
      <c r="H52" s="1202"/>
      <c r="I52" s="1202">
        <v>0.09</v>
      </c>
      <c r="J52" s="1202">
        <f>J50*I52</f>
        <v>38354.647503946289</v>
      </c>
      <c r="K52" s="95"/>
    </row>
    <row r="53" spans="1:14" ht="17.25" customHeight="1">
      <c r="A53" s="1291">
        <v>29</v>
      </c>
      <c r="B53" s="1619" t="s">
        <v>58</v>
      </c>
      <c r="C53" s="1625"/>
      <c r="D53" s="1291"/>
      <c r="E53" s="1291"/>
      <c r="F53" s="1202"/>
      <c r="G53" s="1649">
        <f>G50+G51+G52</f>
        <v>795096.19394963759</v>
      </c>
      <c r="H53" s="1202"/>
      <c r="I53" s="1202"/>
      <c r="J53" s="1202">
        <f>J50+J51+J52</f>
        <v>502872.04505174025</v>
      </c>
    </row>
    <row r="54" spans="1:14" ht="17.25" customHeight="1">
      <c r="A54" s="955">
        <v>30</v>
      </c>
      <c r="B54" s="1647" t="s">
        <v>59</v>
      </c>
      <c r="C54" s="956"/>
      <c r="D54" s="955"/>
      <c r="E54" s="955"/>
      <c r="F54" s="1072"/>
      <c r="G54" s="1648">
        <f>ROUND(G53,0)</f>
        <v>795096</v>
      </c>
      <c r="H54" s="1072"/>
      <c r="I54" s="1072"/>
      <c r="J54" s="1072">
        <f>ROUND(J53,0)</f>
        <v>502872</v>
      </c>
    </row>
    <row r="55" spans="1:14" ht="15">
      <c r="A55" s="96"/>
      <c r="B55" s="96"/>
      <c r="C55" s="97"/>
      <c r="D55" s="96"/>
      <c r="E55" s="98"/>
      <c r="F55" s="96"/>
      <c r="G55" s="99"/>
    </row>
    <row r="56" spans="1:14" ht="18.75" customHeight="1">
      <c r="A56" s="100" t="s">
        <v>60</v>
      </c>
      <c r="B56" s="100"/>
      <c r="C56" s="101"/>
      <c r="D56" s="102"/>
      <c r="E56" s="103"/>
      <c r="F56" s="102"/>
      <c r="G56" s="102"/>
    </row>
    <row r="57" spans="1:14" ht="17.25" customHeight="1">
      <c r="A57" s="104"/>
      <c r="B57" s="105" t="s">
        <v>61</v>
      </c>
      <c r="C57" s="106"/>
      <c r="D57" s="104"/>
      <c r="E57" s="107"/>
      <c r="F57" s="104"/>
      <c r="G57" s="104"/>
    </row>
    <row r="58" spans="1:14" ht="15">
      <c r="A58" s="108"/>
      <c r="B58" s="108"/>
      <c r="C58" s="109"/>
      <c r="D58" s="108"/>
      <c r="E58" s="110"/>
      <c r="F58" s="108"/>
      <c r="G58" s="108"/>
    </row>
    <row r="59" spans="1:14" ht="15">
      <c r="A59" s="108"/>
      <c r="B59" s="108"/>
      <c r="C59" s="109"/>
      <c r="D59" s="108"/>
      <c r="E59" s="110"/>
      <c r="F59" s="108"/>
      <c r="G59" s="108"/>
    </row>
    <row r="60" spans="1:14" ht="15">
      <c r="A60" s="108"/>
      <c r="B60" s="108"/>
      <c r="C60" s="109"/>
      <c r="D60" s="108"/>
      <c r="E60" s="110"/>
      <c r="F60" s="108"/>
      <c r="G60" s="108"/>
    </row>
    <row r="61" spans="1:14" ht="15">
      <c r="A61" s="108"/>
      <c r="B61" s="108"/>
      <c r="C61" s="109"/>
      <c r="D61" s="108"/>
      <c r="E61" s="110"/>
      <c r="F61" s="108"/>
      <c r="G61" s="108"/>
    </row>
    <row r="62" spans="1:14" ht="15">
      <c r="A62" s="108"/>
      <c r="B62" s="108"/>
      <c r="C62" s="109"/>
      <c r="D62" s="108"/>
      <c r="E62" s="110"/>
      <c r="F62" s="108"/>
      <c r="G62" s="108"/>
    </row>
    <row r="63" spans="1:14" ht="15">
      <c r="A63" s="108"/>
      <c r="B63" s="108"/>
      <c r="C63" s="109"/>
      <c r="D63" s="108"/>
      <c r="E63" s="110"/>
      <c r="F63" s="108"/>
      <c r="G63" s="108"/>
    </row>
    <row r="64" spans="1:14" ht="15">
      <c r="A64" s="108"/>
      <c r="B64" s="108"/>
      <c r="C64" s="109"/>
      <c r="D64" s="108"/>
      <c r="E64" s="110"/>
      <c r="F64" s="108"/>
      <c r="G64" s="108"/>
    </row>
    <row r="65" spans="1:7" ht="15">
      <c r="A65" s="108"/>
      <c r="B65" s="108"/>
      <c r="C65" s="109"/>
      <c r="D65" s="108"/>
      <c r="E65" s="110"/>
      <c r="F65" s="108"/>
      <c r="G65" s="108"/>
    </row>
    <row r="66" spans="1:7" ht="15">
      <c r="A66" s="108"/>
      <c r="B66" s="108"/>
      <c r="C66" s="109"/>
      <c r="D66" s="108"/>
      <c r="E66" s="110"/>
      <c r="F66" s="108"/>
      <c r="G66" s="108"/>
    </row>
    <row r="67" spans="1:7" ht="15">
      <c r="A67" s="108"/>
      <c r="B67" s="108"/>
      <c r="C67" s="109"/>
      <c r="D67" s="108"/>
      <c r="E67" s="110"/>
      <c r="F67" s="108"/>
      <c r="G67" s="108"/>
    </row>
    <row r="68" spans="1:7" ht="15">
      <c r="A68" s="108"/>
      <c r="B68" s="108"/>
      <c r="C68" s="109"/>
      <c r="D68" s="108"/>
      <c r="E68" s="110"/>
      <c r="F68" s="108"/>
      <c r="G68" s="108"/>
    </row>
    <row r="69" spans="1:7" ht="15">
      <c r="A69" s="108"/>
      <c r="B69" s="108"/>
      <c r="C69" s="109"/>
      <c r="D69" s="108"/>
      <c r="E69" s="110"/>
      <c r="F69" s="108"/>
      <c r="G69" s="108"/>
    </row>
    <row r="70" spans="1:7" ht="15">
      <c r="A70" s="108"/>
      <c r="B70" s="108"/>
      <c r="C70" s="109"/>
      <c r="D70" s="108"/>
      <c r="E70" s="110"/>
      <c r="F70" s="108"/>
      <c r="G70" s="108"/>
    </row>
    <row r="71" spans="1:7" ht="15">
      <c r="A71" s="108"/>
      <c r="B71" s="108"/>
      <c r="C71" s="109"/>
      <c r="D71" s="108"/>
      <c r="E71" s="110"/>
      <c r="F71" s="108"/>
      <c r="G71" s="108"/>
    </row>
    <row r="72" spans="1:7" ht="15">
      <c r="A72" s="108"/>
      <c r="B72" s="108"/>
      <c r="C72" s="109"/>
      <c r="D72" s="108"/>
      <c r="E72" s="110"/>
      <c r="F72" s="108"/>
      <c r="G72" s="108"/>
    </row>
    <row r="73" spans="1:7" ht="15">
      <c r="A73" s="108"/>
      <c r="B73" s="108"/>
      <c r="C73" s="109"/>
      <c r="D73" s="108"/>
      <c r="E73" s="110"/>
      <c r="F73" s="108"/>
      <c r="G73" s="108"/>
    </row>
    <row r="74" spans="1:7" ht="15">
      <c r="A74" s="108"/>
      <c r="B74" s="108"/>
      <c r="C74" s="109"/>
      <c r="D74" s="108"/>
      <c r="E74" s="110"/>
      <c r="F74" s="108"/>
      <c r="G74" s="108"/>
    </row>
    <row r="75" spans="1:7" ht="15">
      <c r="A75" s="108"/>
      <c r="B75" s="108"/>
      <c r="C75" s="109"/>
      <c r="D75" s="108"/>
      <c r="E75" s="110"/>
      <c r="F75" s="108"/>
      <c r="G75" s="108"/>
    </row>
    <row r="76" spans="1:7" ht="15">
      <c r="A76" s="108"/>
      <c r="B76" s="108"/>
      <c r="C76" s="109"/>
      <c r="D76" s="108"/>
      <c r="E76" s="110"/>
      <c r="F76" s="108"/>
      <c r="G76" s="108"/>
    </row>
    <row r="77" spans="1:7" ht="15">
      <c r="A77" s="108"/>
      <c r="B77" s="108"/>
      <c r="C77" s="109"/>
      <c r="D77" s="108"/>
      <c r="E77" s="110"/>
      <c r="F77" s="108"/>
      <c r="G77" s="108"/>
    </row>
    <row r="78" spans="1:7" ht="15">
      <c r="A78" s="108"/>
      <c r="B78" s="108"/>
      <c r="C78" s="109"/>
      <c r="D78" s="108"/>
      <c r="E78" s="110"/>
      <c r="F78" s="108"/>
      <c r="G78" s="108"/>
    </row>
    <row r="79" spans="1:7" ht="15">
      <c r="A79" s="108"/>
      <c r="B79" s="108"/>
      <c r="C79" s="109"/>
      <c r="D79" s="108"/>
      <c r="E79" s="110"/>
      <c r="F79" s="108"/>
      <c r="G79" s="108"/>
    </row>
    <row r="80" spans="1:7" ht="15">
      <c r="A80" s="108"/>
      <c r="B80" s="108"/>
      <c r="C80" s="109"/>
      <c r="D80" s="108"/>
      <c r="E80" s="110"/>
      <c r="F80" s="108"/>
      <c r="G80" s="108"/>
    </row>
    <row r="81" spans="1:7" ht="15">
      <c r="A81" s="108"/>
      <c r="B81" s="108"/>
      <c r="C81" s="109"/>
      <c r="D81" s="108"/>
      <c r="E81" s="110"/>
      <c r="F81" s="108"/>
      <c r="G81" s="108"/>
    </row>
    <row r="82" spans="1:7" ht="15">
      <c r="A82" s="108"/>
      <c r="B82" s="108"/>
      <c r="C82" s="109"/>
      <c r="D82" s="108"/>
      <c r="E82" s="110"/>
      <c r="F82" s="108"/>
      <c r="G82" s="108"/>
    </row>
    <row r="83" spans="1:7" ht="15">
      <c r="A83" s="108"/>
      <c r="B83" s="108"/>
      <c r="C83" s="109"/>
      <c r="D83" s="108"/>
      <c r="E83" s="110"/>
      <c r="F83" s="108"/>
      <c r="G83" s="108"/>
    </row>
    <row r="84" spans="1:7" ht="15">
      <c r="A84" s="108"/>
      <c r="B84" s="108"/>
      <c r="C84" s="109"/>
      <c r="D84" s="108"/>
      <c r="E84" s="110"/>
      <c r="F84" s="108"/>
      <c r="G84" s="108"/>
    </row>
    <row r="85" spans="1:7" ht="15">
      <c r="A85" s="108"/>
      <c r="B85" s="108"/>
      <c r="C85" s="109"/>
      <c r="D85" s="108"/>
      <c r="E85" s="110"/>
      <c r="F85" s="108"/>
      <c r="G85" s="108"/>
    </row>
    <row r="86" spans="1:7" ht="15">
      <c r="A86" s="108"/>
      <c r="B86" s="108"/>
      <c r="C86" s="109"/>
      <c r="D86" s="108"/>
      <c r="E86" s="110"/>
      <c r="F86" s="108"/>
      <c r="G86" s="108"/>
    </row>
    <row r="87" spans="1:7" ht="15">
      <c r="A87" s="108"/>
      <c r="B87" s="108"/>
      <c r="C87" s="109"/>
      <c r="D87" s="108"/>
      <c r="E87" s="110"/>
      <c r="F87" s="108"/>
      <c r="G87" s="108"/>
    </row>
    <row r="88" spans="1:7" ht="15">
      <c r="A88" s="108"/>
      <c r="B88" s="108"/>
      <c r="C88" s="109"/>
      <c r="D88" s="108"/>
      <c r="E88" s="110"/>
      <c r="F88" s="108"/>
      <c r="G88" s="108"/>
    </row>
    <row r="89" spans="1:7" ht="15">
      <c r="A89" s="108"/>
      <c r="B89" s="108"/>
      <c r="C89" s="109"/>
      <c r="D89" s="108"/>
      <c r="E89" s="110"/>
      <c r="F89" s="108"/>
      <c r="G89" s="108"/>
    </row>
    <row r="90" spans="1:7" ht="15">
      <c r="A90" s="108"/>
      <c r="B90" s="108"/>
      <c r="C90" s="109"/>
      <c r="D90" s="108"/>
      <c r="E90" s="110"/>
      <c r="F90" s="108"/>
      <c r="G90" s="108"/>
    </row>
    <row r="91" spans="1:7" ht="15">
      <c r="A91" s="108"/>
      <c r="B91" s="108"/>
      <c r="C91" s="109"/>
      <c r="D91" s="108"/>
      <c r="E91" s="110"/>
      <c r="F91" s="108"/>
      <c r="G91" s="108"/>
    </row>
    <row r="92" spans="1:7" ht="15">
      <c r="A92" s="108"/>
      <c r="B92" s="108"/>
      <c r="C92" s="109"/>
      <c r="D92" s="108"/>
      <c r="E92" s="110"/>
      <c r="F92" s="108"/>
      <c r="G92" s="108"/>
    </row>
    <row r="93" spans="1:7" ht="15">
      <c r="A93" s="108"/>
      <c r="B93" s="108"/>
      <c r="C93" s="109"/>
      <c r="D93" s="108"/>
      <c r="E93" s="110"/>
      <c r="F93" s="108"/>
      <c r="G93" s="108"/>
    </row>
    <row r="94" spans="1:7" ht="15">
      <c r="A94" s="108"/>
      <c r="B94" s="108"/>
      <c r="C94" s="109"/>
      <c r="D94" s="108"/>
      <c r="E94" s="110"/>
      <c r="F94" s="108"/>
      <c r="G94" s="108"/>
    </row>
    <row r="95" spans="1:7" ht="15">
      <c r="A95" s="108"/>
      <c r="B95" s="108"/>
      <c r="C95" s="109"/>
      <c r="D95" s="108"/>
      <c r="E95" s="110"/>
      <c r="F95" s="108"/>
      <c r="G95" s="108"/>
    </row>
    <row r="96" spans="1:7" ht="15">
      <c r="A96" s="108"/>
      <c r="B96" s="108"/>
      <c r="C96" s="109"/>
      <c r="D96" s="108"/>
      <c r="E96" s="110"/>
      <c r="F96" s="108"/>
      <c r="G96" s="108"/>
    </row>
    <row r="97" spans="1:7" ht="15">
      <c r="A97" s="108"/>
      <c r="B97" s="108"/>
      <c r="C97" s="109"/>
      <c r="D97" s="108"/>
      <c r="E97" s="110"/>
      <c r="F97" s="108"/>
      <c r="G97" s="108"/>
    </row>
    <row r="98" spans="1:7" ht="15">
      <c r="A98" s="108"/>
      <c r="B98" s="108"/>
      <c r="C98" s="109"/>
      <c r="D98" s="108"/>
      <c r="E98" s="110"/>
      <c r="F98" s="108"/>
      <c r="G98" s="108"/>
    </row>
    <row r="99" spans="1:7" ht="15">
      <c r="A99" s="108"/>
      <c r="B99" s="108"/>
      <c r="C99" s="109"/>
      <c r="D99" s="108"/>
      <c r="E99" s="110"/>
      <c r="F99" s="108"/>
      <c r="G99" s="108"/>
    </row>
    <row r="100" spans="1:7" ht="15">
      <c r="A100" s="108"/>
      <c r="B100" s="108"/>
      <c r="C100" s="109"/>
      <c r="D100" s="108"/>
      <c r="E100" s="110"/>
      <c r="F100" s="108"/>
      <c r="G100" s="108"/>
    </row>
    <row r="101" spans="1:7" ht="15">
      <c r="A101" s="108"/>
      <c r="B101" s="108"/>
      <c r="C101" s="109"/>
      <c r="D101" s="108"/>
      <c r="E101" s="110"/>
      <c r="F101" s="108"/>
      <c r="G101" s="108"/>
    </row>
    <row r="102" spans="1:7" ht="15">
      <c r="A102" s="108"/>
      <c r="B102" s="108"/>
      <c r="C102" s="109"/>
      <c r="D102" s="108"/>
      <c r="E102" s="110"/>
      <c r="F102" s="108"/>
      <c r="G102" s="108"/>
    </row>
    <row r="103" spans="1:7" ht="15">
      <c r="A103" s="108"/>
      <c r="B103" s="108"/>
      <c r="C103" s="109"/>
      <c r="D103" s="108"/>
      <c r="E103" s="110"/>
      <c r="F103" s="108"/>
      <c r="G103" s="108"/>
    </row>
    <row r="104" spans="1:7" ht="15">
      <c r="A104" s="108"/>
      <c r="B104" s="108"/>
      <c r="C104" s="109"/>
      <c r="D104" s="108"/>
      <c r="E104" s="110"/>
      <c r="F104" s="108"/>
      <c r="G104" s="108"/>
    </row>
    <row r="105" spans="1:7" ht="15">
      <c r="A105" s="108"/>
      <c r="B105" s="108"/>
      <c r="C105" s="109"/>
      <c r="D105" s="108"/>
      <c r="E105" s="110"/>
      <c r="F105" s="108"/>
      <c r="G105" s="108"/>
    </row>
    <row r="106" spans="1:7" ht="15">
      <c r="A106" s="108"/>
      <c r="B106" s="108"/>
      <c r="C106" s="109"/>
      <c r="D106" s="108"/>
      <c r="E106" s="110"/>
      <c r="F106" s="108"/>
      <c r="G106" s="108"/>
    </row>
    <row r="107" spans="1:7" ht="15">
      <c r="A107" s="108"/>
      <c r="B107" s="108"/>
      <c r="C107" s="109"/>
      <c r="D107" s="108"/>
      <c r="E107" s="110"/>
      <c r="F107" s="108"/>
      <c r="G107" s="108"/>
    </row>
    <row r="108" spans="1:7" ht="15">
      <c r="A108" s="108"/>
      <c r="B108" s="108"/>
      <c r="C108" s="109"/>
      <c r="D108" s="108"/>
      <c r="E108" s="110"/>
      <c r="F108" s="108"/>
      <c r="G108" s="108"/>
    </row>
    <row r="109" spans="1:7" ht="15">
      <c r="A109" s="108"/>
      <c r="B109" s="108"/>
      <c r="C109" s="109"/>
      <c r="D109" s="108"/>
      <c r="E109" s="110"/>
      <c r="F109" s="108"/>
      <c r="G109" s="108"/>
    </row>
    <row r="110" spans="1:7" ht="15">
      <c r="A110" s="108"/>
      <c r="B110" s="108"/>
      <c r="C110" s="109"/>
      <c r="D110" s="108"/>
      <c r="E110" s="110"/>
      <c r="F110" s="108"/>
      <c r="G110" s="108"/>
    </row>
    <row r="111" spans="1:7" ht="15">
      <c r="A111" s="108"/>
      <c r="B111" s="108"/>
      <c r="C111" s="109"/>
      <c r="D111" s="108"/>
      <c r="E111" s="110"/>
      <c r="F111" s="108"/>
      <c r="G111" s="108"/>
    </row>
    <row r="112" spans="1:7" ht="15">
      <c r="A112" s="108"/>
      <c r="B112" s="108"/>
      <c r="C112" s="109"/>
      <c r="D112" s="108"/>
      <c r="E112" s="110"/>
      <c r="F112" s="108"/>
      <c r="G112" s="108"/>
    </row>
    <row r="113" spans="1:7" ht="15">
      <c r="A113" s="108"/>
      <c r="B113" s="108"/>
      <c r="C113" s="109"/>
      <c r="D113" s="108"/>
      <c r="E113" s="110"/>
      <c r="F113" s="108"/>
      <c r="G113" s="108"/>
    </row>
    <row r="114" spans="1:7" ht="15">
      <c r="A114" s="108"/>
      <c r="B114" s="108"/>
      <c r="C114" s="109"/>
      <c r="D114" s="108"/>
      <c r="E114" s="110"/>
      <c r="F114" s="108"/>
      <c r="G114" s="108"/>
    </row>
    <row r="115" spans="1:7" ht="15">
      <c r="A115" s="108"/>
      <c r="B115" s="108"/>
      <c r="C115" s="109"/>
      <c r="D115" s="108"/>
      <c r="E115" s="110"/>
      <c r="F115" s="108"/>
      <c r="G115" s="108"/>
    </row>
    <row r="116" spans="1:7" ht="15">
      <c r="A116" s="108"/>
      <c r="B116" s="108"/>
      <c r="C116" s="109"/>
      <c r="D116" s="108"/>
      <c r="E116" s="110"/>
      <c r="F116" s="108"/>
      <c r="G116" s="108"/>
    </row>
    <row r="117" spans="1:7" ht="15">
      <c r="A117" s="108"/>
      <c r="B117" s="108"/>
      <c r="C117" s="109"/>
      <c r="D117" s="108"/>
      <c r="E117" s="110"/>
      <c r="F117" s="108"/>
      <c r="G117" s="108"/>
    </row>
    <row r="118" spans="1:7" ht="15">
      <c r="A118" s="108"/>
      <c r="B118" s="108"/>
      <c r="C118" s="109"/>
      <c r="D118" s="108"/>
      <c r="E118" s="110"/>
      <c r="F118" s="108"/>
      <c r="G118" s="108"/>
    </row>
    <row r="119" spans="1:7" ht="15">
      <c r="A119" s="108"/>
      <c r="B119" s="108"/>
      <c r="C119" s="109"/>
      <c r="D119" s="108"/>
      <c r="E119" s="110"/>
      <c r="F119" s="108"/>
      <c r="G119" s="108"/>
    </row>
    <row r="120" spans="1:7" ht="15">
      <c r="A120" s="108"/>
      <c r="B120" s="108"/>
      <c r="C120" s="109"/>
      <c r="D120" s="108"/>
      <c r="E120" s="110"/>
      <c r="F120" s="108"/>
      <c r="G120" s="108"/>
    </row>
    <row r="121" spans="1:7" ht="15">
      <c r="A121" s="108"/>
      <c r="B121" s="108"/>
      <c r="C121" s="109"/>
      <c r="D121" s="108"/>
      <c r="E121" s="110"/>
      <c r="F121" s="108"/>
      <c r="G121" s="108"/>
    </row>
    <row r="122" spans="1:7" ht="15">
      <c r="A122" s="108"/>
      <c r="B122" s="108"/>
      <c r="C122" s="109"/>
      <c r="D122" s="108"/>
      <c r="E122" s="110"/>
      <c r="F122" s="108"/>
      <c r="G122" s="108"/>
    </row>
    <row r="123" spans="1:7" ht="15">
      <c r="A123" s="108"/>
      <c r="B123" s="108"/>
      <c r="C123" s="109"/>
      <c r="D123" s="108"/>
      <c r="E123" s="110"/>
      <c r="F123" s="108"/>
      <c r="G123" s="108"/>
    </row>
    <row r="124" spans="1:7" ht="15">
      <c r="A124" s="108"/>
      <c r="B124" s="108"/>
      <c r="C124" s="109"/>
      <c r="D124" s="108"/>
      <c r="E124" s="110"/>
      <c r="F124" s="108"/>
      <c r="G124" s="108"/>
    </row>
    <row r="125" spans="1:7" ht="15">
      <c r="A125" s="108"/>
      <c r="B125" s="108"/>
      <c r="C125" s="109"/>
      <c r="D125" s="108"/>
      <c r="E125" s="110"/>
      <c r="F125" s="108"/>
      <c r="G125" s="108"/>
    </row>
    <row r="126" spans="1:7" ht="15">
      <c r="A126" s="108"/>
      <c r="B126" s="108"/>
      <c r="C126" s="109"/>
      <c r="D126" s="108"/>
      <c r="E126" s="110"/>
      <c r="F126" s="108"/>
      <c r="G126" s="108"/>
    </row>
    <row r="127" spans="1:7" ht="15">
      <c r="A127" s="108"/>
      <c r="B127" s="108"/>
      <c r="C127" s="109"/>
      <c r="D127" s="108"/>
      <c r="E127" s="110"/>
      <c r="F127" s="108"/>
      <c r="G127" s="108"/>
    </row>
  </sheetData>
  <mergeCells count="12">
    <mergeCell ref="A11:A13"/>
    <mergeCell ref="A19:A23"/>
    <mergeCell ref="A30:A35"/>
    <mergeCell ref="A36:A42"/>
    <mergeCell ref="B1:D1"/>
    <mergeCell ref="B3:I3"/>
    <mergeCell ref="A5:A6"/>
    <mergeCell ref="B5:B6"/>
    <mergeCell ref="C5:C6"/>
    <mergeCell ref="D5:D6"/>
    <mergeCell ref="E5:G5"/>
    <mergeCell ref="H5:J5"/>
  </mergeCells>
  <conditionalFormatting sqref="B43">
    <cfRule type="cellIs" dxfId="108" priority="2" stopIfTrue="1" operator="equal">
      <formula>"?"</formula>
    </cfRule>
  </conditionalFormatting>
  <conditionalFormatting sqref="B44">
    <cfRule type="cellIs" dxfId="107" priority="1" stopIfTrue="1" operator="equal">
      <formula>"?"</formula>
    </cfRule>
  </conditionalFormatting>
  <printOptions gridLines="1"/>
  <pageMargins left="0.78740157480314965" right="0" top="0.70866141732283472" bottom="0.19685039370078741" header="0.55118110236220474" footer="0"/>
  <pageSetup paperSize="9" scale="95" orientation="landscape" horizontalDpi="4294967295"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49"/>
  <sheetViews>
    <sheetView workbookViewId="0">
      <pane xSplit="3" ySplit="8" topLeftCell="D29" activePane="bottomRight" state="frozen"/>
      <selection pane="topRight" activeCell="D1" sqref="D1"/>
      <selection pane="bottomLeft" activeCell="A9" sqref="A9"/>
      <selection pane="bottomRight" activeCell="K35" sqref="K35"/>
    </sheetView>
  </sheetViews>
  <sheetFormatPr defaultRowHeight="12.75"/>
  <cols>
    <col min="1" max="1" width="4.7109375" style="137" customWidth="1"/>
    <col min="2" max="2" width="64.140625" style="70" customWidth="1"/>
    <col min="3" max="3" width="13.42578125" style="70" customWidth="1"/>
    <col min="4" max="4" width="5.85546875" style="70" bestFit="1" customWidth="1"/>
    <col min="5" max="5" width="7.5703125" style="70" bestFit="1" customWidth="1"/>
    <col min="6" max="6" width="9.5703125" style="70" bestFit="1" customWidth="1"/>
    <col min="7" max="7" width="12" style="70" bestFit="1" customWidth="1"/>
    <col min="8" max="8" width="20" style="70" customWidth="1"/>
    <col min="9" max="9" width="17.85546875" style="70" customWidth="1"/>
    <col min="10" max="10" width="6.85546875" style="70" customWidth="1"/>
    <col min="11" max="11" width="22.7109375" style="70" customWidth="1"/>
    <col min="12" max="12" width="9.140625" style="70"/>
    <col min="13" max="13" width="14.7109375" style="70" customWidth="1"/>
    <col min="14" max="14" width="24" style="70" bestFit="1" customWidth="1"/>
    <col min="15" max="256" width="9.140625" style="70"/>
    <col min="257" max="257" width="4.7109375" style="70" customWidth="1"/>
    <col min="258" max="258" width="48.5703125" style="70" customWidth="1"/>
    <col min="259" max="259" width="13.42578125" style="70" customWidth="1"/>
    <col min="260" max="260" width="5.85546875" style="70" bestFit="1" customWidth="1"/>
    <col min="261" max="261" width="7.5703125" style="70" bestFit="1" customWidth="1"/>
    <col min="262" max="262" width="9.5703125" style="70" bestFit="1" customWidth="1"/>
    <col min="263" max="263" width="12" style="70" bestFit="1" customWidth="1"/>
    <col min="264" max="264" width="20" style="70" customWidth="1"/>
    <col min="265" max="265" width="17.85546875" style="70" customWidth="1"/>
    <col min="266" max="266" width="6.85546875" style="70" customWidth="1"/>
    <col min="267" max="267" width="22.7109375" style="70" customWidth="1"/>
    <col min="268" max="268" width="9.140625" style="70"/>
    <col min="269" max="269" width="14.7109375" style="70" customWidth="1"/>
    <col min="270" max="270" width="24" style="70" bestFit="1" customWidth="1"/>
    <col min="271" max="512" width="9.140625" style="70"/>
    <col min="513" max="513" width="4.7109375" style="70" customWidth="1"/>
    <col min="514" max="514" width="48.5703125" style="70" customWidth="1"/>
    <col min="515" max="515" width="13.42578125" style="70" customWidth="1"/>
    <col min="516" max="516" width="5.85546875" style="70" bestFit="1" customWidth="1"/>
    <col min="517" max="517" width="7.5703125" style="70" bestFit="1" customWidth="1"/>
    <col min="518" max="518" width="9.5703125" style="70" bestFit="1" customWidth="1"/>
    <col min="519" max="519" width="12" style="70" bestFit="1" customWidth="1"/>
    <col min="520" max="520" width="20" style="70" customWidth="1"/>
    <col min="521" max="521" width="17.85546875" style="70" customWidth="1"/>
    <col min="522" max="522" width="6.85546875" style="70" customWidth="1"/>
    <col min="523" max="523" width="22.7109375" style="70" customWidth="1"/>
    <col min="524" max="524" width="9.140625" style="70"/>
    <col min="525" max="525" width="14.7109375" style="70" customWidth="1"/>
    <col min="526" max="526" width="24" style="70" bestFit="1" customWidth="1"/>
    <col min="527" max="768" width="9.140625" style="70"/>
    <col min="769" max="769" width="4.7109375" style="70" customWidth="1"/>
    <col min="770" max="770" width="48.5703125" style="70" customWidth="1"/>
    <col min="771" max="771" width="13.42578125" style="70" customWidth="1"/>
    <col min="772" max="772" width="5.85546875" style="70" bestFit="1" customWidth="1"/>
    <col min="773" max="773" width="7.5703125" style="70" bestFit="1" customWidth="1"/>
    <col min="774" max="774" width="9.5703125" style="70" bestFit="1" customWidth="1"/>
    <col min="775" max="775" width="12" style="70" bestFit="1" customWidth="1"/>
    <col min="776" max="776" width="20" style="70" customWidth="1"/>
    <col min="777" max="777" width="17.85546875" style="70" customWidth="1"/>
    <col min="778" max="778" width="6.85546875" style="70" customWidth="1"/>
    <col min="779" max="779" width="22.7109375" style="70" customWidth="1"/>
    <col min="780" max="780" width="9.140625" style="70"/>
    <col min="781" max="781" width="14.7109375" style="70" customWidth="1"/>
    <col min="782" max="782" width="24" style="70" bestFit="1" customWidth="1"/>
    <col min="783" max="1024" width="9.140625" style="70"/>
    <col min="1025" max="1025" width="4.7109375" style="70" customWidth="1"/>
    <col min="1026" max="1026" width="48.5703125" style="70" customWidth="1"/>
    <col min="1027" max="1027" width="13.42578125" style="70" customWidth="1"/>
    <col min="1028" max="1028" width="5.85546875" style="70" bestFit="1" customWidth="1"/>
    <col min="1029" max="1029" width="7.5703125" style="70" bestFit="1" customWidth="1"/>
    <col min="1030" max="1030" width="9.5703125" style="70" bestFit="1" customWidth="1"/>
    <col min="1031" max="1031" width="12" style="70" bestFit="1" customWidth="1"/>
    <col min="1032" max="1032" width="20" style="70" customWidth="1"/>
    <col min="1033" max="1033" width="17.85546875" style="70" customWidth="1"/>
    <col min="1034" max="1034" width="6.85546875" style="70" customWidth="1"/>
    <col min="1035" max="1035" width="22.7109375" style="70" customWidth="1"/>
    <col min="1036" max="1036" width="9.140625" style="70"/>
    <col min="1037" max="1037" width="14.7109375" style="70" customWidth="1"/>
    <col min="1038" max="1038" width="24" style="70" bestFit="1" customWidth="1"/>
    <col min="1039" max="1280" width="9.140625" style="70"/>
    <col min="1281" max="1281" width="4.7109375" style="70" customWidth="1"/>
    <col min="1282" max="1282" width="48.5703125" style="70" customWidth="1"/>
    <col min="1283" max="1283" width="13.42578125" style="70" customWidth="1"/>
    <col min="1284" max="1284" width="5.85546875" style="70" bestFit="1" customWidth="1"/>
    <col min="1285" max="1285" width="7.5703125" style="70" bestFit="1" customWidth="1"/>
    <col min="1286" max="1286" width="9.5703125" style="70" bestFit="1" customWidth="1"/>
    <col min="1287" max="1287" width="12" style="70" bestFit="1" customWidth="1"/>
    <col min="1288" max="1288" width="20" style="70" customWidth="1"/>
    <col min="1289" max="1289" width="17.85546875" style="70" customWidth="1"/>
    <col min="1290" max="1290" width="6.85546875" style="70" customWidth="1"/>
    <col min="1291" max="1291" width="22.7109375" style="70" customWidth="1"/>
    <col min="1292" max="1292" width="9.140625" style="70"/>
    <col min="1293" max="1293" width="14.7109375" style="70" customWidth="1"/>
    <col min="1294" max="1294" width="24" style="70" bestFit="1" customWidth="1"/>
    <col min="1295" max="1536" width="9.140625" style="70"/>
    <col min="1537" max="1537" width="4.7109375" style="70" customWidth="1"/>
    <col min="1538" max="1538" width="48.5703125" style="70" customWidth="1"/>
    <col min="1539" max="1539" width="13.42578125" style="70" customWidth="1"/>
    <col min="1540" max="1540" width="5.85546875" style="70" bestFit="1" customWidth="1"/>
    <col min="1541" max="1541" width="7.5703125" style="70" bestFit="1" customWidth="1"/>
    <col min="1542" max="1542" width="9.5703125" style="70" bestFit="1" customWidth="1"/>
    <col min="1543" max="1543" width="12" style="70" bestFit="1" customWidth="1"/>
    <col min="1544" max="1544" width="20" style="70" customWidth="1"/>
    <col min="1545" max="1545" width="17.85546875" style="70" customWidth="1"/>
    <col min="1546" max="1546" width="6.85546875" style="70" customWidth="1"/>
    <col min="1547" max="1547" width="22.7109375" style="70" customWidth="1"/>
    <col min="1548" max="1548" width="9.140625" style="70"/>
    <col min="1549" max="1549" width="14.7109375" style="70" customWidth="1"/>
    <col min="1550" max="1550" width="24" style="70" bestFit="1" customWidth="1"/>
    <col min="1551" max="1792" width="9.140625" style="70"/>
    <col min="1793" max="1793" width="4.7109375" style="70" customWidth="1"/>
    <col min="1794" max="1794" width="48.5703125" style="70" customWidth="1"/>
    <col min="1795" max="1795" width="13.42578125" style="70" customWidth="1"/>
    <col min="1796" max="1796" width="5.85546875" style="70" bestFit="1" customWidth="1"/>
    <col min="1797" max="1797" width="7.5703125" style="70" bestFit="1" customWidth="1"/>
    <col min="1798" max="1798" width="9.5703125" style="70" bestFit="1" customWidth="1"/>
    <col min="1799" max="1799" width="12" style="70" bestFit="1" customWidth="1"/>
    <col min="1800" max="1800" width="20" style="70" customWidth="1"/>
    <col min="1801" max="1801" width="17.85546875" style="70" customWidth="1"/>
    <col min="1802" max="1802" width="6.85546875" style="70" customWidth="1"/>
    <col min="1803" max="1803" width="22.7109375" style="70" customWidth="1"/>
    <col min="1804" max="1804" width="9.140625" style="70"/>
    <col min="1805" max="1805" width="14.7109375" style="70" customWidth="1"/>
    <col min="1806" max="1806" width="24" style="70" bestFit="1" customWidth="1"/>
    <col min="1807" max="2048" width="9.140625" style="70"/>
    <col min="2049" max="2049" width="4.7109375" style="70" customWidth="1"/>
    <col min="2050" max="2050" width="48.5703125" style="70" customWidth="1"/>
    <col min="2051" max="2051" width="13.42578125" style="70" customWidth="1"/>
    <col min="2052" max="2052" width="5.85546875" style="70" bestFit="1" customWidth="1"/>
    <col min="2053" max="2053" width="7.5703125" style="70" bestFit="1" customWidth="1"/>
    <col min="2054" max="2054" width="9.5703125" style="70" bestFit="1" customWidth="1"/>
    <col min="2055" max="2055" width="12" style="70" bestFit="1" customWidth="1"/>
    <col min="2056" max="2056" width="20" style="70" customWidth="1"/>
    <col min="2057" max="2057" width="17.85546875" style="70" customWidth="1"/>
    <col min="2058" max="2058" width="6.85546875" style="70" customWidth="1"/>
    <col min="2059" max="2059" width="22.7109375" style="70" customWidth="1"/>
    <col min="2060" max="2060" width="9.140625" style="70"/>
    <col min="2061" max="2061" width="14.7109375" style="70" customWidth="1"/>
    <col min="2062" max="2062" width="24" style="70" bestFit="1" customWidth="1"/>
    <col min="2063" max="2304" width="9.140625" style="70"/>
    <col min="2305" max="2305" width="4.7109375" style="70" customWidth="1"/>
    <col min="2306" max="2306" width="48.5703125" style="70" customWidth="1"/>
    <col min="2307" max="2307" width="13.42578125" style="70" customWidth="1"/>
    <col min="2308" max="2308" width="5.85546875" style="70" bestFit="1" customWidth="1"/>
    <col min="2309" max="2309" width="7.5703125" style="70" bestFit="1" customWidth="1"/>
    <col min="2310" max="2310" width="9.5703125" style="70" bestFit="1" customWidth="1"/>
    <col min="2311" max="2311" width="12" style="70" bestFit="1" customWidth="1"/>
    <col min="2312" max="2312" width="20" style="70" customWidth="1"/>
    <col min="2313" max="2313" width="17.85546875" style="70" customWidth="1"/>
    <col min="2314" max="2314" width="6.85546875" style="70" customWidth="1"/>
    <col min="2315" max="2315" width="22.7109375" style="70" customWidth="1"/>
    <col min="2316" max="2316" width="9.140625" style="70"/>
    <col min="2317" max="2317" width="14.7109375" style="70" customWidth="1"/>
    <col min="2318" max="2318" width="24" style="70" bestFit="1" customWidth="1"/>
    <col min="2319" max="2560" width="9.140625" style="70"/>
    <col min="2561" max="2561" width="4.7109375" style="70" customWidth="1"/>
    <col min="2562" max="2562" width="48.5703125" style="70" customWidth="1"/>
    <col min="2563" max="2563" width="13.42578125" style="70" customWidth="1"/>
    <col min="2564" max="2564" width="5.85546875" style="70" bestFit="1" customWidth="1"/>
    <col min="2565" max="2565" width="7.5703125" style="70" bestFit="1" customWidth="1"/>
    <col min="2566" max="2566" width="9.5703125" style="70" bestFit="1" customWidth="1"/>
    <col min="2567" max="2567" width="12" style="70" bestFit="1" customWidth="1"/>
    <col min="2568" max="2568" width="20" style="70" customWidth="1"/>
    <col min="2569" max="2569" width="17.85546875" style="70" customWidth="1"/>
    <col min="2570" max="2570" width="6.85546875" style="70" customWidth="1"/>
    <col min="2571" max="2571" width="22.7109375" style="70" customWidth="1"/>
    <col min="2572" max="2572" width="9.140625" style="70"/>
    <col min="2573" max="2573" width="14.7109375" style="70" customWidth="1"/>
    <col min="2574" max="2574" width="24" style="70" bestFit="1" customWidth="1"/>
    <col min="2575" max="2816" width="9.140625" style="70"/>
    <col min="2817" max="2817" width="4.7109375" style="70" customWidth="1"/>
    <col min="2818" max="2818" width="48.5703125" style="70" customWidth="1"/>
    <col min="2819" max="2819" width="13.42578125" style="70" customWidth="1"/>
    <col min="2820" max="2820" width="5.85546875" style="70" bestFit="1" customWidth="1"/>
    <col min="2821" max="2821" width="7.5703125" style="70" bestFit="1" customWidth="1"/>
    <col min="2822" max="2822" width="9.5703125" style="70" bestFit="1" customWidth="1"/>
    <col min="2823" max="2823" width="12" style="70" bestFit="1" customWidth="1"/>
    <col min="2824" max="2824" width="20" style="70" customWidth="1"/>
    <col min="2825" max="2825" width="17.85546875" style="70" customWidth="1"/>
    <col min="2826" max="2826" width="6.85546875" style="70" customWidth="1"/>
    <col min="2827" max="2827" width="22.7109375" style="70" customWidth="1"/>
    <col min="2828" max="2828" width="9.140625" style="70"/>
    <col min="2829" max="2829" width="14.7109375" style="70" customWidth="1"/>
    <col min="2830" max="2830" width="24" style="70" bestFit="1" customWidth="1"/>
    <col min="2831" max="3072" width="9.140625" style="70"/>
    <col min="3073" max="3073" width="4.7109375" style="70" customWidth="1"/>
    <col min="3074" max="3074" width="48.5703125" style="70" customWidth="1"/>
    <col min="3075" max="3075" width="13.42578125" style="70" customWidth="1"/>
    <col min="3076" max="3076" width="5.85546875" style="70" bestFit="1" customWidth="1"/>
    <col min="3077" max="3077" width="7.5703125" style="70" bestFit="1" customWidth="1"/>
    <col min="3078" max="3078" width="9.5703125" style="70" bestFit="1" customWidth="1"/>
    <col min="3079" max="3079" width="12" style="70" bestFit="1" customWidth="1"/>
    <col min="3080" max="3080" width="20" style="70" customWidth="1"/>
    <col min="3081" max="3081" width="17.85546875" style="70" customWidth="1"/>
    <col min="3082" max="3082" width="6.85546875" style="70" customWidth="1"/>
    <col min="3083" max="3083" width="22.7109375" style="70" customWidth="1"/>
    <col min="3084" max="3084" width="9.140625" style="70"/>
    <col min="3085" max="3085" width="14.7109375" style="70" customWidth="1"/>
    <col min="3086" max="3086" width="24" style="70" bestFit="1" customWidth="1"/>
    <col min="3087" max="3328" width="9.140625" style="70"/>
    <col min="3329" max="3329" width="4.7109375" style="70" customWidth="1"/>
    <col min="3330" max="3330" width="48.5703125" style="70" customWidth="1"/>
    <col min="3331" max="3331" width="13.42578125" style="70" customWidth="1"/>
    <col min="3332" max="3332" width="5.85546875" style="70" bestFit="1" customWidth="1"/>
    <col min="3333" max="3333" width="7.5703125" style="70" bestFit="1" customWidth="1"/>
    <col min="3334" max="3334" width="9.5703125" style="70" bestFit="1" customWidth="1"/>
    <col min="3335" max="3335" width="12" style="70" bestFit="1" customWidth="1"/>
    <col min="3336" max="3336" width="20" style="70" customWidth="1"/>
    <col min="3337" max="3337" width="17.85546875" style="70" customWidth="1"/>
    <col min="3338" max="3338" width="6.85546875" style="70" customWidth="1"/>
    <col min="3339" max="3339" width="22.7109375" style="70" customWidth="1"/>
    <col min="3340" max="3340" width="9.140625" style="70"/>
    <col min="3341" max="3341" width="14.7109375" style="70" customWidth="1"/>
    <col min="3342" max="3342" width="24" style="70" bestFit="1" customWidth="1"/>
    <col min="3343" max="3584" width="9.140625" style="70"/>
    <col min="3585" max="3585" width="4.7109375" style="70" customWidth="1"/>
    <col min="3586" max="3586" width="48.5703125" style="70" customWidth="1"/>
    <col min="3587" max="3587" width="13.42578125" style="70" customWidth="1"/>
    <col min="3588" max="3588" width="5.85546875" style="70" bestFit="1" customWidth="1"/>
    <col min="3589" max="3589" width="7.5703125" style="70" bestFit="1" customWidth="1"/>
    <col min="3590" max="3590" width="9.5703125" style="70" bestFit="1" customWidth="1"/>
    <col min="3591" max="3591" width="12" style="70" bestFit="1" customWidth="1"/>
    <col min="3592" max="3592" width="20" style="70" customWidth="1"/>
    <col min="3593" max="3593" width="17.85546875" style="70" customWidth="1"/>
    <col min="3594" max="3594" width="6.85546875" style="70" customWidth="1"/>
    <col min="3595" max="3595" width="22.7109375" style="70" customWidth="1"/>
    <col min="3596" max="3596" width="9.140625" style="70"/>
    <col min="3597" max="3597" width="14.7109375" style="70" customWidth="1"/>
    <col min="3598" max="3598" width="24" style="70" bestFit="1" customWidth="1"/>
    <col min="3599" max="3840" width="9.140625" style="70"/>
    <col min="3841" max="3841" width="4.7109375" style="70" customWidth="1"/>
    <col min="3842" max="3842" width="48.5703125" style="70" customWidth="1"/>
    <col min="3843" max="3843" width="13.42578125" style="70" customWidth="1"/>
    <col min="3844" max="3844" width="5.85546875" style="70" bestFit="1" customWidth="1"/>
    <col min="3845" max="3845" width="7.5703125" style="70" bestFit="1" customWidth="1"/>
    <col min="3846" max="3846" width="9.5703125" style="70" bestFit="1" customWidth="1"/>
    <col min="3847" max="3847" width="12" style="70" bestFit="1" customWidth="1"/>
    <col min="3848" max="3848" width="20" style="70" customWidth="1"/>
    <col min="3849" max="3849" width="17.85546875" style="70" customWidth="1"/>
    <col min="3850" max="3850" width="6.85546875" style="70" customWidth="1"/>
    <col min="3851" max="3851" width="22.7109375" style="70" customWidth="1"/>
    <col min="3852" max="3852" width="9.140625" style="70"/>
    <col min="3853" max="3853" width="14.7109375" style="70" customWidth="1"/>
    <col min="3854" max="3854" width="24" style="70" bestFit="1" customWidth="1"/>
    <col min="3855" max="4096" width="9.140625" style="70"/>
    <col min="4097" max="4097" width="4.7109375" style="70" customWidth="1"/>
    <col min="4098" max="4098" width="48.5703125" style="70" customWidth="1"/>
    <col min="4099" max="4099" width="13.42578125" style="70" customWidth="1"/>
    <col min="4100" max="4100" width="5.85546875" style="70" bestFit="1" customWidth="1"/>
    <col min="4101" max="4101" width="7.5703125" style="70" bestFit="1" customWidth="1"/>
    <col min="4102" max="4102" width="9.5703125" style="70" bestFit="1" customWidth="1"/>
    <col min="4103" max="4103" width="12" style="70" bestFit="1" customWidth="1"/>
    <col min="4104" max="4104" width="20" style="70" customWidth="1"/>
    <col min="4105" max="4105" width="17.85546875" style="70" customWidth="1"/>
    <col min="4106" max="4106" width="6.85546875" style="70" customWidth="1"/>
    <col min="4107" max="4107" width="22.7109375" style="70" customWidth="1"/>
    <col min="4108" max="4108" width="9.140625" style="70"/>
    <col min="4109" max="4109" width="14.7109375" style="70" customWidth="1"/>
    <col min="4110" max="4110" width="24" style="70" bestFit="1" customWidth="1"/>
    <col min="4111" max="4352" width="9.140625" style="70"/>
    <col min="4353" max="4353" width="4.7109375" style="70" customWidth="1"/>
    <col min="4354" max="4354" width="48.5703125" style="70" customWidth="1"/>
    <col min="4355" max="4355" width="13.42578125" style="70" customWidth="1"/>
    <col min="4356" max="4356" width="5.85546875" style="70" bestFit="1" customWidth="1"/>
    <col min="4357" max="4357" width="7.5703125" style="70" bestFit="1" customWidth="1"/>
    <col min="4358" max="4358" width="9.5703125" style="70" bestFit="1" customWidth="1"/>
    <col min="4359" max="4359" width="12" style="70" bestFit="1" customWidth="1"/>
    <col min="4360" max="4360" width="20" style="70" customWidth="1"/>
    <col min="4361" max="4361" width="17.85546875" style="70" customWidth="1"/>
    <col min="4362" max="4362" width="6.85546875" style="70" customWidth="1"/>
    <col min="4363" max="4363" width="22.7109375" style="70" customWidth="1"/>
    <col min="4364" max="4364" width="9.140625" style="70"/>
    <col min="4365" max="4365" width="14.7109375" style="70" customWidth="1"/>
    <col min="4366" max="4366" width="24" style="70" bestFit="1" customWidth="1"/>
    <col min="4367" max="4608" width="9.140625" style="70"/>
    <col min="4609" max="4609" width="4.7109375" style="70" customWidth="1"/>
    <col min="4610" max="4610" width="48.5703125" style="70" customWidth="1"/>
    <col min="4611" max="4611" width="13.42578125" style="70" customWidth="1"/>
    <col min="4612" max="4612" width="5.85546875" style="70" bestFit="1" customWidth="1"/>
    <col min="4613" max="4613" width="7.5703125" style="70" bestFit="1" customWidth="1"/>
    <col min="4614" max="4614" width="9.5703125" style="70" bestFit="1" customWidth="1"/>
    <col min="4615" max="4615" width="12" style="70" bestFit="1" customWidth="1"/>
    <col min="4616" max="4616" width="20" style="70" customWidth="1"/>
    <col min="4617" max="4617" width="17.85546875" style="70" customWidth="1"/>
    <col min="4618" max="4618" width="6.85546875" style="70" customWidth="1"/>
    <col min="4619" max="4619" width="22.7109375" style="70" customWidth="1"/>
    <col min="4620" max="4620" width="9.140625" style="70"/>
    <col min="4621" max="4621" width="14.7109375" style="70" customWidth="1"/>
    <col min="4622" max="4622" width="24" style="70" bestFit="1" customWidth="1"/>
    <col min="4623" max="4864" width="9.140625" style="70"/>
    <col min="4865" max="4865" width="4.7109375" style="70" customWidth="1"/>
    <col min="4866" max="4866" width="48.5703125" style="70" customWidth="1"/>
    <col min="4867" max="4867" width="13.42578125" style="70" customWidth="1"/>
    <col min="4868" max="4868" width="5.85546875" style="70" bestFit="1" customWidth="1"/>
    <col min="4869" max="4869" width="7.5703125" style="70" bestFit="1" customWidth="1"/>
    <col min="4870" max="4870" width="9.5703125" style="70" bestFit="1" customWidth="1"/>
    <col min="4871" max="4871" width="12" style="70" bestFit="1" customWidth="1"/>
    <col min="4872" max="4872" width="20" style="70" customWidth="1"/>
    <col min="4873" max="4873" width="17.85546875" style="70" customWidth="1"/>
    <col min="4874" max="4874" width="6.85546875" style="70" customWidth="1"/>
    <col min="4875" max="4875" width="22.7109375" style="70" customWidth="1"/>
    <col min="4876" max="4876" width="9.140625" style="70"/>
    <col min="4877" max="4877" width="14.7109375" style="70" customWidth="1"/>
    <col min="4878" max="4878" width="24" style="70" bestFit="1" customWidth="1"/>
    <col min="4879" max="5120" width="9.140625" style="70"/>
    <col min="5121" max="5121" width="4.7109375" style="70" customWidth="1"/>
    <col min="5122" max="5122" width="48.5703125" style="70" customWidth="1"/>
    <col min="5123" max="5123" width="13.42578125" style="70" customWidth="1"/>
    <col min="5124" max="5124" width="5.85546875" style="70" bestFit="1" customWidth="1"/>
    <col min="5125" max="5125" width="7.5703125" style="70" bestFit="1" customWidth="1"/>
    <col min="5126" max="5126" width="9.5703125" style="70" bestFit="1" customWidth="1"/>
    <col min="5127" max="5127" width="12" style="70" bestFit="1" customWidth="1"/>
    <col min="5128" max="5128" width="20" style="70" customWidth="1"/>
    <col min="5129" max="5129" width="17.85546875" style="70" customWidth="1"/>
    <col min="5130" max="5130" width="6.85546875" style="70" customWidth="1"/>
    <col min="5131" max="5131" width="22.7109375" style="70" customWidth="1"/>
    <col min="5132" max="5132" width="9.140625" style="70"/>
    <col min="5133" max="5133" width="14.7109375" style="70" customWidth="1"/>
    <col min="5134" max="5134" width="24" style="70" bestFit="1" customWidth="1"/>
    <col min="5135" max="5376" width="9.140625" style="70"/>
    <col min="5377" max="5377" width="4.7109375" style="70" customWidth="1"/>
    <col min="5378" max="5378" width="48.5703125" style="70" customWidth="1"/>
    <col min="5379" max="5379" width="13.42578125" style="70" customWidth="1"/>
    <col min="5380" max="5380" width="5.85546875" style="70" bestFit="1" customWidth="1"/>
    <col min="5381" max="5381" width="7.5703125" style="70" bestFit="1" customWidth="1"/>
    <col min="5382" max="5382" width="9.5703125" style="70" bestFit="1" customWidth="1"/>
    <col min="5383" max="5383" width="12" style="70" bestFit="1" customWidth="1"/>
    <col min="5384" max="5384" width="20" style="70" customWidth="1"/>
    <col min="5385" max="5385" width="17.85546875" style="70" customWidth="1"/>
    <col min="5386" max="5386" width="6.85546875" style="70" customWidth="1"/>
    <col min="5387" max="5387" width="22.7109375" style="70" customWidth="1"/>
    <col min="5388" max="5388" width="9.140625" style="70"/>
    <col min="5389" max="5389" width="14.7109375" style="70" customWidth="1"/>
    <col min="5390" max="5390" width="24" style="70" bestFit="1" customWidth="1"/>
    <col min="5391" max="5632" width="9.140625" style="70"/>
    <col min="5633" max="5633" width="4.7109375" style="70" customWidth="1"/>
    <col min="5634" max="5634" width="48.5703125" style="70" customWidth="1"/>
    <col min="5635" max="5635" width="13.42578125" style="70" customWidth="1"/>
    <col min="5636" max="5636" width="5.85546875" style="70" bestFit="1" customWidth="1"/>
    <col min="5637" max="5637" width="7.5703125" style="70" bestFit="1" customWidth="1"/>
    <col min="5638" max="5638" width="9.5703125" style="70" bestFit="1" customWidth="1"/>
    <col min="5639" max="5639" width="12" style="70" bestFit="1" customWidth="1"/>
    <col min="5640" max="5640" width="20" style="70" customWidth="1"/>
    <col min="5641" max="5641" width="17.85546875" style="70" customWidth="1"/>
    <col min="5642" max="5642" width="6.85546875" style="70" customWidth="1"/>
    <col min="5643" max="5643" width="22.7109375" style="70" customWidth="1"/>
    <col min="5644" max="5644" width="9.140625" style="70"/>
    <col min="5645" max="5645" width="14.7109375" style="70" customWidth="1"/>
    <col min="5646" max="5646" width="24" style="70" bestFit="1" customWidth="1"/>
    <col min="5647" max="5888" width="9.140625" style="70"/>
    <col min="5889" max="5889" width="4.7109375" style="70" customWidth="1"/>
    <col min="5890" max="5890" width="48.5703125" style="70" customWidth="1"/>
    <col min="5891" max="5891" width="13.42578125" style="70" customWidth="1"/>
    <col min="5892" max="5892" width="5.85546875" style="70" bestFit="1" customWidth="1"/>
    <col min="5893" max="5893" width="7.5703125" style="70" bestFit="1" customWidth="1"/>
    <col min="5894" max="5894" width="9.5703125" style="70" bestFit="1" customWidth="1"/>
    <col min="5895" max="5895" width="12" style="70" bestFit="1" customWidth="1"/>
    <col min="5896" max="5896" width="20" style="70" customWidth="1"/>
    <col min="5897" max="5897" width="17.85546875" style="70" customWidth="1"/>
    <col min="5898" max="5898" width="6.85546875" style="70" customWidth="1"/>
    <col min="5899" max="5899" width="22.7109375" style="70" customWidth="1"/>
    <col min="5900" max="5900" width="9.140625" style="70"/>
    <col min="5901" max="5901" width="14.7109375" style="70" customWidth="1"/>
    <col min="5902" max="5902" width="24" style="70" bestFit="1" customWidth="1"/>
    <col min="5903" max="6144" width="9.140625" style="70"/>
    <col min="6145" max="6145" width="4.7109375" style="70" customWidth="1"/>
    <col min="6146" max="6146" width="48.5703125" style="70" customWidth="1"/>
    <col min="6147" max="6147" width="13.42578125" style="70" customWidth="1"/>
    <col min="6148" max="6148" width="5.85546875" style="70" bestFit="1" customWidth="1"/>
    <col min="6149" max="6149" width="7.5703125" style="70" bestFit="1" customWidth="1"/>
    <col min="6150" max="6150" width="9.5703125" style="70" bestFit="1" customWidth="1"/>
    <col min="6151" max="6151" width="12" style="70" bestFit="1" customWidth="1"/>
    <col min="6152" max="6152" width="20" style="70" customWidth="1"/>
    <col min="6153" max="6153" width="17.85546875" style="70" customWidth="1"/>
    <col min="6154" max="6154" width="6.85546875" style="70" customWidth="1"/>
    <col min="6155" max="6155" width="22.7109375" style="70" customWidth="1"/>
    <col min="6156" max="6156" width="9.140625" style="70"/>
    <col min="6157" max="6157" width="14.7109375" style="70" customWidth="1"/>
    <col min="6158" max="6158" width="24" style="70" bestFit="1" customWidth="1"/>
    <col min="6159" max="6400" width="9.140625" style="70"/>
    <col min="6401" max="6401" width="4.7109375" style="70" customWidth="1"/>
    <col min="6402" max="6402" width="48.5703125" style="70" customWidth="1"/>
    <col min="6403" max="6403" width="13.42578125" style="70" customWidth="1"/>
    <col min="6404" max="6404" width="5.85546875" style="70" bestFit="1" customWidth="1"/>
    <col min="6405" max="6405" width="7.5703125" style="70" bestFit="1" customWidth="1"/>
    <col min="6406" max="6406" width="9.5703125" style="70" bestFit="1" customWidth="1"/>
    <col min="6407" max="6407" width="12" style="70" bestFit="1" customWidth="1"/>
    <col min="6408" max="6408" width="20" style="70" customWidth="1"/>
    <col min="6409" max="6409" width="17.85546875" style="70" customWidth="1"/>
    <col min="6410" max="6410" width="6.85546875" style="70" customWidth="1"/>
    <col min="6411" max="6411" width="22.7109375" style="70" customWidth="1"/>
    <col min="6412" max="6412" width="9.140625" style="70"/>
    <col min="6413" max="6413" width="14.7109375" style="70" customWidth="1"/>
    <col min="6414" max="6414" width="24" style="70" bestFit="1" customWidth="1"/>
    <col min="6415" max="6656" width="9.140625" style="70"/>
    <col min="6657" max="6657" width="4.7109375" style="70" customWidth="1"/>
    <col min="6658" max="6658" width="48.5703125" style="70" customWidth="1"/>
    <col min="6659" max="6659" width="13.42578125" style="70" customWidth="1"/>
    <col min="6660" max="6660" width="5.85546875" style="70" bestFit="1" customWidth="1"/>
    <col min="6661" max="6661" width="7.5703125" style="70" bestFit="1" customWidth="1"/>
    <col min="6662" max="6662" width="9.5703125" style="70" bestFit="1" customWidth="1"/>
    <col min="6663" max="6663" width="12" style="70" bestFit="1" customWidth="1"/>
    <col min="6664" max="6664" width="20" style="70" customWidth="1"/>
    <col min="6665" max="6665" width="17.85546875" style="70" customWidth="1"/>
    <col min="6666" max="6666" width="6.85546875" style="70" customWidth="1"/>
    <col min="6667" max="6667" width="22.7109375" style="70" customWidth="1"/>
    <col min="6668" max="6668" width="9.140625" style="70"/>
    <col min="6669" max="6669" width="14.7109375" style="70" customWidth="1"/>
    <col min="6670" max="6670" width="24" style="70" bestFit="1" customWidth="1"/>
    <col min="6671" max="6912" width="9.140625" style="70"/>
    <col min="6913" max="6913" width="4.7109375" style="70" customWidth="1"/>
    <col min="6914" max="6914" width="48.5703125" style="70" customWidth="1"/>
    <col min="6915" max="6915" width="13.42578125" style="70" customWidth="1"/>
    <col min="6916" max="6916" width="5.85546875" style="70" bestFit="1" customWidth="1"/>
    <col min="6917" max="6917" width="7.5703125" style="70" bestFit="1" customWidth="1"/>
    <col min="6918" max="6918" width="9.5703125" style="70" bestFit="1" customWidth="1"/>
    <col min="6919" max="6919" width="12" style="70" bestFit="1" customWidth="1"/>
    <col min="6920" max="6920" width="20" style="70" customWidth="1"/>
    <col min="6921" max="6921" width="17.85546875" style="70" customWidth="1"/>
    <col min="6922" max="6922" width="6.85546875" style="70" customWidth="1"/>
    <col min="6923" max="6923" width="22.7109375" style="70" customWidth="1"/>
    <col min="6924" max="6924" width="9.140625" style="70"/>
    <col min="6925" max="6925" width="14.7109375" style="70" customWidth="1"/>
    <col min="6926" max="6926" width="24" style="70" bestFit="1" customWidth="1"/>
    <col min="6927" max="7168" width="9.140625" style="70"/>
    <col min="7169" max="7169" width="4.7109375" style="70" customWidth="1"/>
    <col min="7170" max="7170" width="48.5703125" style="70" customWidth="1"/>
    <col min="7171" max="7171" width="13.42578125" style="70" customWidth="1"/>
    <col min="7172" max="7172" width="5.85546875" style="70" bestFit="1" customWidth="1"/>
    <col min="7173" max="7173" width="7.5703125" style="70" bestFit="1" customWidth="1"/>
    <col min="7174" max="7174" width="9.5703125" style="70" bestFit="1" customWidth="1"/>
    <col min="7175" max="7175" width="12" style="70" bestFit="1" customWidth="1"/>
    <col min="7176" max="7176" width="20" style="70" customWidth="1"/>
    <col min="7177" max="7177" width="17.85546875" style="70" customWidth="1"/>
    <col min="7178" max="7178" width="6.85546875" style="70" customWidth="1"/>
    <col min="7179" max="7179" width="22.7109375" style="70" customWidth="1"/>
    <col min="7180" max="7180" width="9.140625" style="70"/>
    <col min="7181" max="7181" width="14.7109375" style="70" customWidth="1"/>
    <col min="7182" max="7182" width="24" style="70" bestFit="1" customWidth="1"/>
    <col min="7183" max="7424" width="9.140625" style="70"/>
    <col min="7425" max="7425" width="4.7109375" style="70" customWidth="1"/>
    <col min="7426" max="7426" width="48.5703125" style="70" customWidth="1"/>
    <col min="7427" max="7427" width="13.42578125" style="70" customWidth="1"/>
    <col min="7428" max="7428" width="5.85546875" style="70" bestFit="1" customWidth="1"/>
    <col min="7429" max="7429" width="7.5703125" style="70" bestFit="1" customWidth="1"/>
    <col min="7430" max="7430" width="9.5703125" style="70" bestFit="1" customWidth="1"/>
    <col min="7431" max="7431" width="12" style="70" bestFit="1" customWidth="1"/>
    <col min="7432" max="7432" width="20" style="70" customWidth="1"/>
    <col min="7433" max="7433" width="17.85546875" style="70" customWidth="1"/>
    <col min="7434" max="7434" width="6.85546875" style="70" customWidth="1"/>
    <col min="7435" max="7435" width="22.7109375" style="70" customWidth="1"/>
    <col min="7436" max="7436" width="9.140625" style="70"/>
    <col min="7437" max="7437" width="14.7109375" style="70" customWidth="1"/>
    <col min="7438" max="7438" width="24" style="70" bestFit="1" customWidth="1"/>
    <col min="7439" max="7680" width="9.140625" style="70"/>
    <col min="7681" max="7681" width="4.7109375" style="70" customWidth="1"/>
    <col min="7682" max="7682" width="48.5703125" style="70" customWidth="1"/>
    <col min="7683" max="7683" width="13.42578125" style="70" customWidth="1"/>
    <col min="7684" max="7684" width="5.85546875" style="70" bestFit="1" customWidth="1"/>
    <col min="7685" max="7685" width="7.5703125" style="70" bestFit="1" customWidth="1"/>
    <col min="7686" max="7686" width="9.5703125" style="70" bestFit="1" customWidth="1"/>
    <col min="7687" max="7687" width="12" style="70" bestFit="1" customWidth="1"/>
    <col min="7688" max="7688" width="20" style="70" customWidth="1"/>
    <col min="7689" max="7689" width="17.85546875" style="70" customWidth="1"/>
    <col min="7690" max="7690" width="6.85546875" style="70" customWidth="1"/>
    <col min="7691" max="7691" width="22.7109375" style="70" customWidth="1"/>
    <col min="7692" max="7692" width="9.140625" style="70"/>
    <col min="7693" max="7693" width="14.7109375" style="70" customWidth="1"/>
    <col min="7694" max="7694" width="24" style="70" bestFit="1" customWidth="1"/>
    <col min="7695" max="7936" width="9.140625" style="70"/>
    <col min="7937" max="7937" width="4.7109375" style="70" customWidth="1"/>
    <col min="7938" max="7938" width="48.5703125" style="70" customWidth="1"/>
    <col min="7939" max="7939" width="13.42578125" style="70" customWidth="1"/>
    <col min="7940" max="7940" width="5.85546875" style="70" bestFit="1" customWidth="1"/>
    <col min="7941" max="7941" width="7.5703125" style="70" bestFit="1" customWidth="1"/>
    <col min="7942" max="7942" width="9.5703125" style="70" bestFit="1" customWidth="1"/>
    <col min="7943" max="7943" width="12" style="70" bestFit="1" customWidth="1"/>
    <col min="7944" max="7944" width="20" style="70" customWidth="1"/>
    <col min="7945" max="7945" width="17.85546875" style="70" customWidth="1"/>
    <col min="7946" max="7946" width="6.85546875" style="70" customWidth="1"/>
    <col min="7947" max="7947" width="22.7109375" style="70" customWidth="1"/>
    <col min="7948" max="7948" width="9.140625" style="70"/>
    <col min="7949" max="7949" width="14.7109375" style="70" customWidth="1"/>
    <col min="7950" max="7950" width="24" style="70" bestFit="1" customWidth="1"/>
    <col min="7951" max="8192" width="9.140625" style="70"/>
    <col min="8193" max="8193" width="4.7109375" style="70" customWidth="1"/>
    <col min="8194" max="8194" width="48.5703125" style="70" customWidth="1"/>
    <col min="8195" max="8195" width="13.42578125" style="70" customWidth="1"/>
    <col min="8196" max="8196" width="5.85546875" style="70" bestFit="1" customWidth="1"/>
    <col min="8197" max="8197" width="7.5703125" style="70" bestFit="1" customWidth="1"/>
    <col min="8198" max="8198" width="9.5703125" style="70" bestFit="1" customWidth="1"/>
    <col min="8199" max="8199" width="12" style="70" bestFit="1" customWidth="1"/>
    <col min="8200" max="8200" width="20" style="70" customWidth="1"/>
    <col min="8201" max="8201" width="17.85546875" style="70" customWidth="1"/>
    <col min="8202" max="8202" width="6.85546875" style="70" customWidth="1"/>
    <col min="8203" max="8203" width="22.7109375" style="70" customWidth="1"/>
    <col min="8204" max="8204" width="9.140625" style="70"/>
    <col min="8205" max="8205" width="14.7109375" style="70" customWidth="1"/>
    <col min="8206" max="8206" width="24" style="70" bestFit="1" customWidth="1"/>
    <col min="8207" max="8448" width="9.140625" style="70"/>
    <col min="8449" max="8449" width="4.7109375" style="70" customWidth="1"/>
    <col min="8450" max="8450" width="48.5703125" style="70" customWidth="1"/>
    <col min="8451" max="8451" width="13.42578125" style="70" customWidth="1"/>
    <col min="8452" max="8452" width="5.85546875" style="70" bestFit="1" customWidth="1"/>
    <col min="8453" max="8453" width="7.5703125" style="70" bestFit="1" customWidth="1"/>
    <col min="8454" max="8454" width="9.5703125" style="70" bestFit="1" customWidth="1"/>
    <col min="8455" max="8455" width="12" style="70" bestFit="1" customWidth="1"/>
    <col min="8456" max="8456" width="20" style="70" customWidth="1"/>
    <col min="8457" max="8457" width="17.85546875" style="70" customWidth="1"/>
    <col min="8458" max="8458" width="6.85546875" style="70" customWidth="1"/>
    <col min="8459" max="8459" width="22.7109375" style="70" customWidth="1"/>
    <col min="8460" max="8460" width="9.140625" style="70"/>
    <col min="8461" max="8461" width="14.7109375" style="70" customWidth="1"/>
    <col min="8462" max="8462" width="24" style="70" bestFit="1" customWidth="1"/>
    <col min="8463" max="8704" width="9.140625" style="70"/>
    <col min="8705" max="8705" width="4.7109375" style="70" customWidth="1"/>
    <col min="8706" max="8706" width="48.5703125" style="70" customWidth="1"/>
    <col min="8707" max="8707" width="13.42578125" style="70" customWidth="1"/>
    <col min="8708" max="8708" width="5.85546875" style="70" bestFit="1" customWidth="1"/>
    <col min="8709" max="8709" width="7.5703125" style="70" bestFit="1" customWidth="1"/>
    <col min="8710" max="8710" width="9.5703125" style="70" bestFit="1" customWidth="1"/>
    <col min="8711" max="8711" width="12" style="70" bestFit="1" customWidth="1"/>
    <col min="8712" max="8712" width="20" style="70" customWidth="1"/>
    <col min="8713" max="8713" width="17.85546875" style="70" customWidth="1"/>
    <col min="8714" max="8714" width="6.85546875" style="70" customWidth="1"/>
    <col min="8715" max="8715" width="22.7109375" style="70" customWidth="1"/>
    <col min="8716" max="8716" width="9.140625" style="70"/>
    <col min="8717" max="8717" width="14.7109375" style="70" customWidth="1"/>
    <col min="8718" max="8718" width="24" style="70" bestFit="1" customWidth="1"/>
    <col min="8719" max="8960" width="9.140625" style="70"/>
    <col min="8961" max="8961" width="4.7109375" style="70" customWidth="1"/>
    <col min="8962" max="8962" width="48.5703125" style="70" customWidth="1"/>
    <col min="8963" max="8963" width="13.42578125" style="70" customWidth="1"/>
    <col min="8964" max="8964" width="5.85546875" style="70" bestFit="1" customWidth="1"/>
    <col min="8965" max="8965" width="7.5703125" style="70" bestFit="1" customWidth="1"/>
    <col min="8966" max="8966" width="9.5703125" style="70" bestFit="1" customWidth="1"/>
    <col min="8967" max="8967" width="12" style="70" bestFit="1" customWidth="1"/>
    <col min="8968" max="8968" width="20" style="70" customWidth="1"/>
    <col min="8969" max="8969" width="17.85546875" style="70" customWidth="1"/>
    <col min="8970" max="8970" width="6.85546875" style="70" customWidth="1"/>
    <col min="8971" max="8971" width="22.7109375" style="70" customWidth="1"/>
    <col min="8972" max="8972" width="9.140625" style="70"/>
    <col min="8973" max="8973" width="14.7109375" style="70" customWidth="1"/>
    <col min="8974" max="8974" width="24" style="70" bestFit="1" customWidth="1"/>
    <col min="8975" max="9216" width="9.140625" style="70"/>
    <col min="9217" max="9217" width="4.7109375" style="70" customWidth="1"/>
    <col min="9218" max="9218" width="48.5703125" style="70" customWidth="1"/>
    <col min="9219" max="9219" width="13.42578125" style="70" customWidth="1"/>
    <col min="9220" max="9220" width="5.85546875" style="70" bestFit="1" customWidth="1"/>
    <col min="9221" max="9221" width="7.5703125" style="70" bestFit="1" customWidth="1"/>
    <col min="9222" max="9222" width="9.5703125" style="70" bestFit="1" customWidth="1"/>
    <col min="9223" max="9223" width="12" style="70" bestFit="1" customWidth="1"/>
    <col min="9224" max="9224" width="20" style="70" customWidth="1"/>
    <col min="9225" max="9225" width="17.85546875" style="70" customWidth="1"/>
    <col min="9226" max="9226" width="6.85546875" style="70" customWidth="1"/>
    <col min="9227" max="9227" width="22.7109375" style="70" customWidth="1"/>
    <col min="9228" max="9228" width="9.140625" style="70"/>
    <col min="9229" max="9229" width="14.7109375" style="70" customWidth="1"/>
    <col min="9230" max="9230" width="24" style="70" bestFit="1" customWidth="1"/>
    <col min="9231" max="9472" width="9.140625" style="70"/>
    <col min="9473" max="9473" width="4.7109375" style="70" customWidth="1"/>
    <col min="9474" max="9474" width="48.5703125" style="70" customWidth="1"/>
    <col min="9475" max="9475" width="13.42578125" style="70" customWidth="1"/>
    <col min="9476" max="9476" width="5.85546875" style="70" bestFit="1" customWidth="1"/>
    <col min="9477" max="9477" width="7.5703125" style="70" bestFit="1" customWidth="1"/>
    <col min="9478" max="9478" width="9.5703125" style="70" bestFit="1" customWidth="1"/>
    <col min="9479" max="9479" width="12" style="70" bestFit="1" customWidth="1"/>
    <col min="9480" max="9480" width="20" style="70" customWidth="1"/>
    <col min="9481" max="9481" width="17.85546875" style="70" customWidth="1"/>
    <col min="9482" max="9482" width="6.85546875" style="70" customWidth="1"/>
    <col min="9483" max="9483" width="22.7109375" style="70" customWidth="1"/>
    <col min="9484" max="9484" width="9.140625" style="70"/>
    <col min="9485" max="9485" width="14.7109375" style="70" customWidth="1"/>
    <col min="9486" max="9486" width="24" style="70" bestFit="1" customWidth="1"/>
    <col min="9487" max="9728" width="9.140625" style="70"/>
    <col min="9729" max="9729" width="4.7109375" style="70" customWidth="1"/>
    <col min="9730" max="9730" width="48.5703125" style="70" customWidth="1"/>
    <col min="9731" max="9731" width="13.42578125" style="70" customWidth="1"/>
    <col min="9732" max="9732" width="5.85546875" style="70" bestFit="1" customWidth="1"/>
    <col min="9733" max="9733" width="7.5703125" style="70" bestFit="1" customWidth="1"/>
    <col min="9734" max="9734" width="9.5703125" style="70" bestFit="1" customWidth="1"/>
    <col min="9735" max="9735" width="12" style="70" bestFit="1" customWidth="1"/>
    <col min="9736" max="9736" width="20" style="70" customWidth="1"/>
    <col min="9737" max="9737" width="17.85546875" style="70" customWidth="1"/>
    <col min="9738" max="9738" width="6.85546875" style="70" customWidth="1"/>
    <col min="9739" max="9739" width="22.7109375" style="70" customWidth="1"/>
    <col min="9740" max="9740" width="9.140625" style="70"/>
    <col min="9741" max="9741" width="14.7109375" style="70" customWidth="1"/>
    <col min="9742" max="9742" width="24" style="70" bestFit="1" customWidth="1"/>
    <col min="9743" max="9984" width="9.140625" style="70"/>
    <col min="9985" max="9985" width="4.7109375" style="70" customWidth="1"/>
    <col min="9986" max="9986" width="48.5703125" style="70" customWidth="1"/>
    <col min="9987" max="9987" width="13.42578125" style="70" customWidth="1"/>
    <col min="9988" max="9988" width="5.85546875" style="70" bestFit="1" customWidth="1"/>
    <col min="9989" max="9989" width="7.5703125" style="70" bestFit="1" customWidth="1"/>
    <col min="9990" max="9990" width="9.5703125" style="70" bestFit="1" customWidth="1"/>
    <col min="9991" max="9991" width="12" style="70" bestFit="1" customWidth="1"/>
    <col min="9992" max="9992" width="20" style="70" customWidth="1"/>
    <col min="9993" max="9993" width="17.85546875" style="70" customWidth="1"/>
    <col min="9994" max="9994" width="6.85546875" style="70" customWidth="1"/>
    <col min="9995" max="9995" width="22.7109375" style="70" customWidth="1"/>
    <col min="9996" max="9996" width="9.140625" style="70"/>
    <col min="9997" max="9997" width="14.7109375" style="70" customWidth="1"/>
    <col min="9998" max="9998" width="24" style="70" bestFit="1" customWidth="1"/>
    <col min="9999" max="10240" width="9.140625" style="70"/>
    <col min="10241" max="10241" width="4.7109375" style="70" customWidth="1"/>
    <col min="10242" max="10242" width="48.5703125" style="70" customWidth="1"/>
    <col min="10243" max="10243" width="13.42578125" style="70" customWidth="1"/>
    <col min="10244" max="10244" width="5.85546875" style="70" bestFit="1" customWidth="1"/>
    <col min="10245" max="10245" width="7.5703125" style="70" bestFit="1" customWidth="1"/>
    <col min="10246" max="10246" width="9.5703125" style="70" bestFit="1" customWidth="1"/>
    <col min="10247" max="10247" width="12" style="70" bestFit="1" customWidth="1"/>
    <col min="10248" max="10248" width="20" style="70" customWidth="1"/>
    <col min="10249" max="10249" width="17.85546875" style="70" customWidth="1"/>
    <col min="10250" max="10250" width="6.85546875" style="70" customWidth="1"/>
    <col min="10251" max="10251" width="22.7109375" style="70" customWidth="1"/>
    <col min="10252" max="10252" width="9.140625" style="70"/>
    <col min="10253" max="10253" width="14.7109375" style="70" customWidth="1"/>
    <col min="10254" max="10254" width="24" style="70" bestFit="1" customWidth="1"/>
    <col min="10255" max="10496" width="9.140625" style="70"/>
    <col min="10497" max="10497" width="4.7109375" style="70" customWidth="1"/>
    <col min="10498" max="10498" width="48.5703125" style="70" customWidth="1"/>
    <col min="10499" max="10499" width="13.42578125" style="70" customWidth="1"/>
    <col min="10500" max="10500" width="5.85546875" style="70" bestFit="1" customWidth="1"/>
    <col min="10501" max="10501" width="7.5703125" style="70" bestFit="1" customWidth="1"/>
    <col min="10502" max="10502" width="9.5703125" style="70" bestFit="1" customWidth="1"/>
    <col min="10503" max="10503" width="12" style="70" bestFit="1" customWidth="1"/>
    <col min="10504" max="10504" width="20" style="70" customWidth="1"/>
    <col min="10505" max="10505" width="17.85546875" style="70" customWidth="1"/>
    <col min="10506" max="10506" width="6.85546875" style="70" customWidth="1"/>
    <col min="10507" max="10507" width="22.7109375" style="70" customWidth="1"/>
    <col min="10508" max="10508" width="9.140625" style="70"/>
    <col min="10509" max="10509" width="14.7109375" style="70" customWidth="1"/>
    <col min="10510" max="10510" width="24" style="70" bestFit="1" customWidth="1"/>
    <col min="10511" max="10752" width="9.140625" style="70"/>
    <col min="10753" max="10753" width="4.7109375" style="70" customWidth="1"/>
    <col min="10754" max="10754" width="48.5703125" style="70" customWidth="1"/>
    <col min="10755" max="10755" width="13.42578125" style="70" customWidth="1"/>
    <col min="10756" max="10756" width="5.85546875" style="70" bestFit="1" customWidth="1"/>
    <col min="10757" max="10757" width="7.5703125" style="70" bestFit="1" customWidth="1"/>
    <col min="10758" max="10758" width="9.5703125" style="70" bestFit="1" customWidth="1"/>
    <col min="10759" max="10759" width="12" style="70" bestFit="1" customWidth="1"/>
    <col min="10760" max="10760" width="20" style="70" customWidth="1"/>
    <col min="10761" max="10761" width="17.85546875" style="70" customWidth="1"/>
    <col min="10762" max="10762" width="6.85546875" style="70" customWidth="1"/>
    <col min="10763" max="10763" width="22.7109375" style="70" customWidth="1"/>
    <col min="10764" max="10764" width="9.140625" style="70"/>
    <col min="10765" max="10765" width="14.7109375" style="70" customWidth="1"/>
    <col min="10766" max="10766" width="24" style="70" bestFit="1" customWidth="1"/>
    <col min="10767" max="11008" width="9.140625" style="70"/>
    <col min="11009" max="11009" width="4.7109375" style="70" customWidth="1"/>
    <col min="11010" max="11010" width="48.5703125" style="70" customWidth="1"/>
    <col min="11011" max="11011" width="13.42578125" style="70" customWidth="1"/>
    <col min="11012" max="11012" width="5.85546875" style="70" bestFit="1" customWidth="1"/>
    <col min="11013" max="11013" width="7.5703125" style="70" bestFit="1" customWidth="1"/>
    <col min="11014" max="11014" width="9.5703125" style="70" bestFit="1" customWidth="1"/>
    <col min="11015" max="11015" width="12" style="70" bestFit="1" customWidth="1"/>
    <col min="11016" max="11016" width="20" style="70" customWidth="1"/>
    <col min="11017" max="11017" width="17.85546875" style="70" customWidth="1"/>
    <col min="11018" max="11018" width="6.85546875" style="70" customWidth="1"/>
    <col min="11019" max="11019" width="22.7109375" style="70" customWidth="1"/>
    <col min="11020" max="11020" width="9.140625" style="70"/>
    <col min="11021" max="11021" width="14.7109375" style="70" customWidth="1"/>
    <col min="11022" max="11022" width="24" style="70" bestFit="1" customWidth="1"/>
    <col min="11023" max="11264" width="9.140625" style="70"/>
    <col min="11265" max="11265" width="4.7109375" style="70" customWidth="1"/>
    <col min="11266" max="11266" width="48.5703125" style="70" customWidth="1"/>
    <col min="11267" max="11267" width="13.42578125" style="70" customWidth="1"/>
    <col min="11268" max="11268" width="5.85546875" style="70" bestFit="1" customWidth="1"/>
    <col min="11269" max="11269" width="7.5703125" style="70" bestFit="1" customWidth="1"/>
    <col min="11270" max="11270" width="9.5703125" style="70" bestFit="1" customWidth="1"/>
    <col min="11271" max="11271" width="12" style="70" bestFit="1" customWidth="1"/>
    <col min="11272" max="11272" width="20" style="70" customWidth="1"/>
    <col min="11273" max="11273" width="17.85546875" style="70" customWidth="1"/>
    <col min="11274" max="11274" width="6.85546875" style="70" customWidth="1"/>
    <col min="11275" max="11275" width="22.7109375" style="70" customWidth="1"/>
    <col min="11276" max="11276" width="9.140625" style="70"/>
    <col min="11277" max="11277" width="14.7109375" style="70" customWidth="1"/>
    <col min="11278" max="11278" width="24" style="70" bestFit="1" customWidth="1"/>
    <col min="11279" max="11520" width="9.140625" style="70"/>
    <col min="11521" max="11521" width="4.7109375" style="70" customWidth="1"/>
    <col min="11522" max="11522" width="48.5703125" style="70" customWidth="1"/>
    <col min="11523" max="11523" width="13.42578125" style="70" customWidth="1"/>
    <col min="11524" max="11524" width="5.85546875" style="70" bestFit="1" customWidth="1"/>
    <col min="11525" max="11525" width="7.5703125" style="70" bestFit="1" customWidth="1"/>
    <col min="11526" max="11526" width="9.5703125" style="70" bestFit="1" customWidth="1"/>
    <col min="11527" max="11527" width="12" style="70" bestFit="1" customWidth="1"/>
    <col min="11528" max="11528" width="20" style="70" customWidth="1"/>
    <col min="11529" max="11529" width="17.85546875" style="70" customWidth="1"/>
    <col min="11530" max="11530" width="6.85546875" style="70" customWidth="1"/>
    <col min="11531" max="11531" width="22.7109375" style="70" customWidth="1"/>
    <col min="11532" max="11532" width="9.140625" style="70"/>
    <col min="11533" max="11533" width="14.7109375" style="70" customWidth="1"/>
    <col min="11534" max="11534" width="24" style="70" bestFit="1" customWidth="1"/>
    <col min="11535" max="11776" width="9.140625" style="70"/>
    <col min="11777" max="11777" width="4.7109375" style="70" customWidth="1"/>
    <col min="11778" max="11778" width="48.5703125" style="70" customWidth="1"/>
    <col min="11779" max="11779" width="13.42578125" style="70" customWidth="1"/>
    <col min="11780" max="11780" width="5.85546875" style="70" bestFit="1" customWidth="1"/>
    <col min="11781" max="11781" width="7.5703125" style="70" bestFit="1" customWidth="1"/>
    <col min="11782" max="11782" width="9.5703125" style="70" bestFit="1" customWidth="1"/>
    <col min="11783" max="11783" width="12" style="70" bestFit="1" customWidth="1"/>
    <col min="11784" max="11784" width="20" style="70" customWidth="1"/>
    <col min="11785" max="11785" width="17.85546875" style="70" customWidth="1"/>
    <col min="11786" max="11786" width="6.85546875" style="70" customWidth="1"/>
    <col min="11787" max="11787" width="22.7109375" style="70" customWidth="1"/>
    <col min="11788" max="11788" width="9.140625" style="70"/>
    <col min="11789" max="11789" width="14.7109375" style="70" customWidth="1"/>
    <col min="11790" max="11790" width="24" style="70" bestFit="1" customWidth="1"/>
    <col min="11791" max="12032" width="9.140625" style="70"/>
    <col min="12033" max="12033" width="4.7109375" style="70" customWidth="1"/>
    <col min="12034" max="12034" width="48.5703125" style="70" customWidth="1"/>
    <col min="12035" max="12035" width="13.42578125" style="70" customWidth="1"/>
    <col min="12036" max="12036" width="5.85546875" style="70" bestFit="1" customWidth="1"/>
    <col min="12037" max="12037" width="7.5703125" style="70" bestFit="1" customWidth="1"/>
    <col min="12038" max="12038" width="9.5703125" style="70" bestFit="1" customWidth="1"/>
    <col min="12039" max="12039" width="12" style="70" bestFit="1" customWidth="1"/>
    <col min="12040" max="12040" width="20" style="70" customWidth="1"/>
    <col min="12041" max="12041" width="17.85546875" style="70" customWidth="1"/>
    <col min="12042" max="12042" width="6.85546875" style="70" customWidth="1"/>
    <col min="12043" max="12043" width="22.7109375" style="70" customWidth="1"/>
    <col min="12044" max="12044" width="9.140625" style="70"/>
    <col min="12045" max="12045" width="14.7109375" style="70" customWidth="1"/>
    <col min="12046" max="12046" width="24" style="70" bestFit="1" customWidth="1"/>
    <col min="12047" max="12288" width="9.140625" style="70"/>
    <col min="12289" max="12289" width="4.7109375" style="70" customWidth="1"/>
    <col min="12290" max="12290" width="48.5703125" style="70" customWidth="1"/>
    <col min="12291" max="12291" width="13.42578125" style="70" customWidth="1"/>
    <col min="12292" max="12292" width="5.85546875" style="70" bestFit="1" customWidth="1"/>
    <col min="12293" max="12293" width="7.5703125" style="70" bestFit="1" customWidth="1"/>
    <col min="12294" max="12294" width="9.5703125" style="70" bestFit="1" customWidth="1"/>
    <col min="12295" max="12295" width="12" style="70" bestFit="1" customWidth="1"/>
    <col min="12296" max="12296" width="20" style="70" customWidth="1"/>
    <col min="12297" max="12297" width="17.85546875" style="70" customWidth="1"/>
    <col min="12298" max="12298" width="6.85546875" style="70" customWidth="1"/>
    <col min="12299" max="12299" width="22.7109375" style="70" customWidth="1"/>
    <col min="12300" max="12300" width="9.140625" style="70"/>
    <col min="12301" max="12301" width="14.7109375" style="70" customWidth="1"/>
    <col min="12302" max="12302" width="24" style="70" bestFit="1" customWidth="1"/>
    <col min="12303" max="12544" width="9.140625" style="70"/>
    <col min="12545" max="12545" width="4.7109375" style="70" customWidth="1"/>
    <col min="12546" max="12546" width="48.5703125" style="70" customWidth="1"/>
    <col min="12547" max="12547" width="13.42578125" style="70" customWidth="1"/>
    <col min="12548" max="12548" width="5.85546875" style="70" bestFit="1" customWidth="1"/>
    <col min="12549" max="12549" width="7.5703125" style="70" bestFit="1" customWidth="1"/>
    <col min="12550" max="12550" width="9.5703125" style="70" bestFit="1" customWidth="1"/>
    <col min="12551" max="12551" width="12" style="70" bestFit="1" customWidth="1"/>
    <col min="12552" max="12552" width="20" style="70" customWidth="1"/>
    <col min="12553" max="12553" width="17.85546875" style="70" customWidth="1"/>
    <col min="12554" max="12554" width="6.85546875" style="70" customWidth="1"/>
    <col min="12555" max="12555" width="22.7109375" style="70" customWidth="1"/>
    <col min="12556" max="12556" width="9.140625" style="70"/>
    <col min="12557" max="12557" width="14.7109375" style="70" customWidth="1"/>
    <col min="12558" max="12558" width="24" style="70" bestFit="1" customWidth="1"/>
    <col min="12559" max="12800" width="9.140625" style="70"/>
    <col min="12801" max="12801" width="4.7109375" style="70" customWidth="1"/>
    <col min="12802" max="12802" width="48.5703125" style="70" customWidth="1"/>
    <col min="12803" max="12803" width="13.42578125" style="70" customWidth="1"/>
    <col min="12804" max="12804" width="5.85546875" style="70" bestFit="1" customWidth="1"/>
    <col min="12805" max="12805" width="7.5703125" style="70" bestFit="1" customWidth="1"/>
    <col min="12806" max="12806" width="9.5703125" style="70" bestFit="1" customWidth="1"/>
    <col min="12807" max="12807" width="12" style="70" bestFit="1" customWidth="1"/>
    <col min="12808" max="12808" width="20" style="70" customWidth="1"/>
    <col min="12809" max="12809" width="17.85546875" style="70" customWidth="1"/>
    <col min="12810" max="12810" width="6.85546875" style="70" customWidth="1"/>
    <col min="12811" max="12811" width="22.7109375" style="70" customWidth="1"/>
    <col min="12812" max="12812" width="9.140625" style="70"/>
    <col min="12813" max="12813" width="14.7109375" style="70" customWidth="1"/>
    <col min="12814" max="12814" width="24" style="70" bestFit="1" customWidth="1"/>
    <col min="12815" max="13056" width="9.140625" style="70"/>
    <col min="13057" max="13057" width="4.7109375" style="70" customWidth="1"/>
    <col min="13058" max="13058" width="48.5703125" style="70" customWidth="1"/>
    <col min="13059" max="13059" width="13.42578125" style="70" customWidth="1"/>
    <col min="13060" max="13060" width="5.85546875" style="70" bestFit="1" customWidth="1"/>
    <col min="13061" max="13061" width="7.5703125" style="70" bestFit="1" customWidth="1"/>
    <col min="13062" max="13062" width="9.5703125" style="70" bestFit="1" customWidth="1"/>
    <col min="13063" max="13063" width="12" style="70" bestFit="1" customWidth="1"/>
    <col min="13064" max="13064" width="20" style="70" customWidth="1"/>
    <col min="13065" max="13065" width="17.85546875" style="70" customWidth="1"/>
    <col min="13066" max="13066" width="6.85546875" style="70" customWidth="1"/>
    <col min="13067" max="13067" width="22.7109375" style="70" customWidth="1"/>
    <col min="13068" max="13068" width="9.140625" style="70"/>
    <col min="13069" max="13069" width="14.7109375" style="70" customWidth="1"/>
    <col min="13070" max="13070" width="24" style="70" bestFit="1" customWidth="1"/>
    <col min="13071" max="13312" width="9.140625" style="70"/>
    <col min="13313" max="13313" width="4.7109375" style="70" customWidth="1"/>
    <col min="13314" max="13314" width="48.5703125" style="70" customWidth="1"/>
    <col min="13315" max="13315" width="13.42578125" style="70" customWidth="1"/>
    <col min="13316" max="13316" width="5.85546875" style="70" bestFit="1" customWidth="1"/>
    <col min="13317" max="13317" width="7.5703125" style="70" bestFit="1" customWidth="1"/>
    <col min="13318" max="13318" width="9.5703125" style="70" bestFit="1" customWidth="1"/>
    <col min="13319" max="13319" width="12" style="70" bestFit="1" customWidth="1"/>
    <col min="13320" max="13320" width="20" style="70" customWidth="1"/>
    <col min="13321" max="13321" width="17.85546875" style="70" customWidth="1"/>
    <col min="13322" max="13322" width="6.85546875" style="70" customWidth="1"/>
    <col min="13323" max="13323" width="22.7109375" style="70" customWidth="1"/>
    <col min="13324" max="13324" width="9.140625" style="70"/>
    <col min="13325" max="13325" width="14.7109375" style="70" customWidth="1"/>
    <col min="13326" max="13326" width="24" style="70" bestFit="1" customWidth="1"/>
    <col min="13327" max="13568" width="9.140625" style="70"/>
    <col min="13569" max="13569" width="4.7109375" style="70" customWidth="1"/>
    <col min="13570" max="13570" width="48.5703125" style="70" customWidth="1"/>
    <col min="13571" max="13571" width="13.42578125" style="70" customWidth="1"/>
    <col min="13572" max="13572" width="5.85546875" style="70" bestFit="1" customWidth="1"/>
    <col min="13573" max="13573" width="7.5703125" style="70" bestFit="1" customWidth="1"/>
    <col min="13574" max="13574" width="9.5703125" style="70" bestFit="1" customWidth="1"/>
    <col min="13575" max="13575" width="12" style="70" bestFit="1" customWidth="1"/>
    <col min="13576" max="13576" width="20" style="70" customWidth="1"/>
    <col min="13577" max="13577" width="17.85546875" style="70" customWidth="1"/>
    <col min="13578" max="13578" width="6.85546875" style="70" customWidth="1"/>
    <col min="13579" max="13579" width="22.7109375" style="70" customWidth="1"/>
    <col min="13580" max="13580" width="9.140625" style="70"/>
    <col min="13581" max="13581" width="14.7109375" style="70" customWidth="1"/>
    <col min="13582" max="13582" width="24" style="70" bestFit="1" customWidth="1"/>
    <col min="13583" max="13824" width="9.140625" style="70"/>
    <col min="13825" max="13825" width="4.7109375" style="70" customWidth="1"/>
    <col min="13826" max="13826" width="48.5703125" style="70" customWidth="1"/>
    <col min="13827" max="13827" width="13.42578125" style="70" customWidth="1"/>
    <col min="13828" max="13828" width="5.85546875" style="70" bestFit="1" customWidth="1"/>
    <col min="13829" max="13829" width="7.5703125" style="70" bestFit="1" customWidth="1"/>
    <col min="13830" max="13830" width="9.5703125" style="70" bestFit="1" customWidth="1"/>
    <col min="13831" max="13831" width="12" style="70" bestFit="1" customWidth="1"/>
    <col min="13832" max="13832" width="20" style="70" customWidth="1"/>
    <col min="13833" max="13833" width="17.85546875" style="70" customWidth="1"/>
    <col min="13834" max="13834" width="6.85546875" style="70" customWidth="1"/>
    <col min="13835" max="13835" width="22.7109375" style="70" customWidth="1"/>
    <col min="13836" max="13836" width="9.140625" style="70"/>
    <col min="13837" max="13837" width="14.7109375" style="70" customWidth="1"/>
    <col min="13838" max="13838" width="24" style="70" bestFit="1" customWidth="1"/>
    <col min="13839" max="14080" width="9.140625" style="70"/>
    <col min="14081" max="14081" width="4.7109375" style="70" customWidth="1"/>
    <col min="14082" max="14082" width="48.5703125" style="70" customWidth="1"/>
    <col min="14083" max="14083" width="13.42578125" style="70" customWidth="1"/>
    <col min="14084" max="14084" width="5.85546875" style="70" bestFit="1" customWidth="1"/>
    <col min="14085" max="14085" width="7.5703125" style="70" bestFit="1" customWidth="1"/>
    <col min="14086" max="14086" width="9.5703125" style="70" bestFit="1" customWidth="1"/>
    <col min="14087" max="14087" width="12" style="70" bestFit="1" customWidth="1"/>
    <col min="14088" max="14088" width="20" style="70" customWidth="1"/>
    <col min="14089" max="14089" width="17.85546875" style="70" customWidth="1"/>
    <col min="14090" max="14090" width="6.85546875" style="70" customWidth="1"/>
    <col min="14091" max="14091" width="22.7109375" style="70" customWidth="1"/>
    <col min="14092" max="14092" width="9.140625" style="70"/>
    <col min="14093" max="14093" width="14.7109375" style="70" customWidth="1"/>
    <col min="14094" max="14094" width="24" style="70" bestFit="1" customWidth="1"/>
    <col min="14095" max="14336" width="9.140625" style="70"/>
    <col min="14337" max="14337" width="4.7109375" style="70" customWidth="1"/>
    <col min="14338" max="14338" width="48.5703125" style="70" customWidth="1"/>
    <col min="14339" max="14339" width="13.42578125" style="70" customWidth="1"/>
    <col min="14340" max="14340" width="5.85546875" style="70" bestFit="1" customWidth="1"/>
    <col min="14341" max="14341" width="7.5703125" style="70" bestFit="1" customWidth="1"/>
    <col min="14342" max="14342" width="9.5703125" style="70" bestFit="1" customWidth="1"/>
    <col min="14343" max="14343" width="12" style="70" bestFit="1" customWidth="1"/>
    <col min="14344" max="14344" width="20" style="70" customWidth="1"/>
    <col min="14345" max="14345" width="17.85546875" style="70" customWidth="1"/>
    <col min="14346" max="14346" width="6.85546875" style="70" customWidth="1"/>
    <col min="14347" max="14347" width="22.7109375" style="70" customWidth="1"/>
    <col min="14348" max="14348" width="9.140625" style="70"/>
    <col min="14349" max="14349" width="14.7109375" style="70" customWidth="1"/>
    <col min="14350" max="14350" width="24" style="70" bestFit="1" customWidth="1"/>
    <col min="14351" max="14592" width="9.140625" style="70"/>
    <col min="14593" max="14593" width="4.7109375" style="70" customWidth="1"/>
    <col min="14594" max="14594" width="48.5703125" style="70" customWidth="1"/>
    <col min="14595" max="14595" width="13.42578125" style="70" customWidth="1"/>
    <col min="14596" max="14596" width="5.85546875" style="70" bestFit="1" customWidth="1"/>
    <col min="14597" max="14597" width="7.5703125" style="70" bestFit="1" customWidth="1"/>
    <col min="14598" max="14598" width="9.5703125" style="70" bestFit="1" customWidth="1"/>
    <col min="14599" max="14599" width="12" style="70" bestFit="1" customWidth="1"/>
    <col min="14600" max="14600" width="20" style="70" customWidth="1"/>
    <col min="14601" max="14601" width="17.85546875" style="70" customWidth="1"/>
    <col min="14602" max="14602" width="6.85546875" style="70" customWidth="1"/>
    <col min="14603" max="14603" width="22.7109375" style="70" customWidth="1"/>
    <col min="14604" max="14604" width="9.140625" style="70"/>
    <col min="14605" max="14605" width="14.7109375" style="70" customWidth="1"/>
    <col min="14606" max="14606" width="24" style="70" bestFit="1" customWidth="1"/>
    <col min="14607" max="14848" width="9.140625" style="70"/>
    <col min="14849" max="14849" width="4.7109375" style="70" customWidth="1"/>
    <col min="14850" max="14850" width="48.5703125" style="70" customWidth="1"/>
    <col min="14851" max="14851" width="13.42578125" style="70" customWidth="1"/>
    <col min="14852" max="14852" width="5.85546875" style="70" bestFit="1" customWidth="1"/>
    <col min="14853" max="14853" width="7.5703125" style="70" bestFit="1" customWidth="1"/>
    <col min="14854" max="14854" width="9.5703125" style="70" bestFit="1" customWidth="1"/>
    <col min="14855" max="14855" width="12" style="70" bestFit="1" customWidth="1"/>
    <col min="14856" max="14856" width="20" style="70" customWidth="1"/>
    <col min="14857" max="14857" width="17.85546875" style="70" customWidth="1"/>
    <col min="14858" max="14858" width="6.85546875" style="70" customWidth="1"/>
    <col min="14859" max="14859" width="22.7109375" style="70" customWidth="1"/>
    <col min="14860" max="14860" width="9.140625" style="70"/>
    <col min="14861" max="14861" width="14.7109375" style="70" customWidth="1"/>
    <col min="14862" max="14862" width="24" style="70" bestFit="1" customWidth="1"/>
    <col min="14863" max="15104" width="9.140625" style="70"/>
    <col min="15105" max="15105" width="4.7109375" style="70" customWidth="1"/>
    <col min="15106" max="15106" width="48.5703125" style="70" customWidth="1"/>
    <col min="15107" max="15107" width="13.42578125" style="70" customWidth="1"/>
    <col min="15108" max="15108" width="5.85546875" style="70" bestFit="1" customWidth="1"/>
    <col min="15109" max="15109" width="7.5703125" style="70" bestFit="1" customWidth="1"/>
    <col min="15110" max="15110" width="9.5703125" style="70" bestFit="1" customWidth="1"/>
    <col min="15111" max="15111" width="12" style="70" bestFit="1" customWidth="1"/>
    <col min="15112" max="15112" width="20" style="70" customWidth="1"/>
    <col min="15113" max="15113" width="17.85546875" style="70" customWidth="1"/>
    <col min="15114" max="15114" width="6.85546875" style="70" customWidth="1"/>
    <col min="15115" max="15115" width="22.7109375" style="70" customWidth="1"/>
    <col min="15116" max="15116" width="9.140625" style="70"/>
    <col min="15117" max="15117" width="14.7109375" style="70" customWidth="1"/>
    <col min="15118" max="15118" width="24" style="70" bestFit="1" customWidth="1"/>
    <col min="15119" max="15360" width="9.140625" style="70"/>
    <col min="15361" max="15361" width="4.7109375" style="70" customWidth="1"/>
    <col min="15362" max="15362" width="48.5703125" style="70" customWidth="1"/>
    <col min="15363" max="15363" width="13.42578125" style="70" customWidth="1"/>
    <col min="15364" max="15364" width="5.85546875" style="70" bestFit="1" customWidth="1"/>
    <col min="15365" max="15365" width="7.5703125" style="70" bestFit="1" customWidth="1"/>
    <col min="15366" max="15366" width="9.5703125" style="70" bestFit="1" customWidth="1"/>
    <col min="15367" max="15367" width="12" style="70" bestFit="1" customWidth="1"/>
    <col min="15368" max="15368" width="20" style="70" customWidth="1"/>
    <col min="15369" max="15369" width="17.85546875" style="70" customWidth="1"/>
    <col min="15370" max="15370" width="6.85546875" style="70" customWidth="1"/>
    <col min="15371" max="15371" width="22.7109375" style="70" customWidth="1"/>
    <col min="15372" max="15372" width="9.140625" style="70"/>
    <col min="15373" max="15373" width="14.7109375" style="70" customWidth="1"/>
    <col min="15374" max="15374" width="24" style="70" bestFit="1" customWidth="1"/>
    <col min="15375" max="15616" width="9.140625" style="70"/>
    <col min="15617" max="15617" width="4.7109375" style="70" customWidth="1"/>
    <col min="15618" max="15618" width="48.5703125" style="70" customWidth="1"/>
    <col min="15619" max="15619" width="13.42578125" style="70" customWidth="1"/>
    <col min="15620" max="15620" width="5.85546875" style="70" bestFit="1" customWidth="1"/>
    <col min="15621" max="15621" width="7.5703125" style="70" bestFit="1" customWidth="1"/>
    <col min="15622" max="15622" width="9.5703125" style="70" bestFit="1" customWidth="1"/>
    <col min="15623" max="15623" width="12" style="70" bestFit="1" customWidth="1"/>
    <col min="15624" max="15624" width="20" style="70" customWidth="1"/>
    <col min="15625" max="15625" width="17.85546875" style="70" customWidth="1"/>
    <col min="15626" max="15626" width="6.85546875" style="70" customWidth="1"/>
    <col min="15627" max="15627" width="22.7109375" style="70" customWidth="1"/>
    <col min="15628" max="15628" width="9.140625" style="70"/>
    <col min="15629" max="15629" width="14.7109375" style="70" customWidth="1"/>
    <col min="15630" max="15630" width="24" style="70" bestFit="1" customWidth="1"/>
    <col min="15631" max="15872" width="9.140625" style="70"/>
    <col min="15873" max="15873" width="4.7109375" style="70" customWidth="1"/>
    <col min="15874" max="15874" width="48.5703125" style="70" customWidth="1"/>
    <col min="15875" max="15875" width="13.42578125" style="70" customWidth="1"/>
    <col min="15876" max="15876" width="5.85546875" style="70" bestFit="1" customWidth="1"/>
    <col min="15877" max="15877" width="7.5703125" style="70" bestFit="1" customWidth="1"/>
    <col min="15878" max="15878" width="9.5703125" style="70" bestFit="1" customWidth="1"/>
    <col min="15879" max="15879" width="12" style="70" bestFit="1" customWidth="1"/>
    <col min="15880" max="15880" width="20" style="70" customWidth="1"/>
    <col min="15881" max="15881" width="17.85546875" style="70" customWidth="1"/>
    <col min="15882" max="15882" width="6.85546875" style="70" customWidth="1"/>
    <col min="15883" max="15883" width="22.7109375" style="70" customWidth="1"/>
    <col min="15884" max="15884" width="9.140625" style="70"/>
    <col min="15885" max="15885" width="14.7109375" style="70" customWidth="1"/>
    <col min="15886" max="15886" width="24" style="70" bestFit="1" customWidth="1"/>
    <col min="15887" max="16128" width="9.140625" style="70"/>
    <col min="16129" max="16129" width="4.7109375" style="70" customWidth="1"/>
    <col min="16130" max="16130" width="48.5703125" style="70" customWidth="1"/>
    <col min="16131" max="16131" width="13.42578125" style="70" customWidth="1"/>
    <col min="16132" max="16132" width="5.85546875" style="70" bestFit="1" customWidth="1"/>
    <col min="16133" max="16133" width="7.5703125" style="70" bestFit="1" customWidth="1"/>
    <col min="16134" max="16134" width="9.5703125" style="70" bestFit="1" customWidth="1"/>
    <col min="16135" max="16135" width="12" style="70" bestFit="1" customWidth="1"/>
    <col min="16136" max="16136" width="20" style="70" customWidth="1"/>
    <col min="16137" max="16137" width="17.85546875" style="70" customWidth="1"/>
    <col min="16138" max="16138" width="6.85546875" style="70" customWidth="1"/>
    <col min="16139" max="16139" width="22.7109375" style="70" customWidth="1"/>
    <col min="16140" max="16140" width="9.140625" style="70"/>
    <col min="16141" max="16141" width="14.7109375" style="70" customWidth="1"/>
    <col min="16142" max="16142" width="24" style="70" bestFit="1" customWidth="1"/>
    <col min="16143" max="16384" width="9.140625" style="70"/>
  </cols>
  <sheetData>
    <row r="2" spans="1:15" ht="15" customHeight="1">
      <c r="A2" s="113"/>
      <c r="B2" s="3284" t="s">
        <v>122</v>
      </c>
      <c r="C2" s="3284"/>
      <c r="D2" s="3284"/>
      <c r="E2" s="108"/>
      <c r="F2" s="108"/>
      <c r="G2" s="114"/>
      <c r="H2" s="115"/>
      <c r="I2" s="115"/>
      <c r="J2" s="115"/>
      <c r="K2" s="115"/>
    </row>
    <row r="3" spans="1:15" ht="16.5" customHeight="1">
      <c r="A3" s="113"/>
      <c r="B3" s="116"/>
      <c r="C3" s="116"/>
      <c r="D3" s="108"/>
      <c r="E3" s="108"/>
      <c r="G3" s="1684" t="s">
        <v>89</v>
      </c>
      <c r="H3" s="115"/>
      <c r="I3" s="115"/>
      <c r="J3" s="115"/>
      <c r="K3" s="115"/>
      <c r="L3" s="3285"/>
      <c r="M3" s="3285"/>
    </row>
    <row r="4" spans="1:15" ht="19.5" customHeight="1">
      <c r="B4" s="3292" t="s">
        <v>123</v>
      </c>
      <c r="C4" s="3292"/>
      <c r="D4" s="3292"/>
      <c r="E4" s="3292"/>
      <c r="F4" s="3292"/>
      <c r="G4" s="143"/>
      <c r="H4" s="115"/>
      <c r="I4" s="115"/>
      <c r="J4" s="115"/>
      <c r="K4" s="115"/>
    </row>
    <row r="5" spans="1:15" ht="11.25" customHeight="1">
      <c r="A5" s="117"/>
      <c r="B5" s="117"/>
      <c r="C5" s="118"/>
      <c r="D5" s="117"/>
      <c r="E5" s="119"/>
      <c r="F5" s="117"/>
      <c r="G5" s="117"/>
      <c r="H5" s="115"/>
      <c r="I5" s="115"/>
      <c r="J5" s="115"/>
      <c r="K5" s="115"/>
    </row>
    <row r="6" spans="1:15" ht="33.75" customHeight="1">
      <c r="A6" s="3286" t="s">
        <v>2</v>
      </c>
      <c r="B6" s="3287" t="s">
        <v>3</v>
      </c>
      <c r="C6" s="3288" t="s">
        <v>4</v>
      </c>
      <c r="D6" s="3290" t="s">
        <v>5</v>
      </c>
      <c r="E6" s="3287" t="s">
        <v>124</v>
      </c>
      <c r="F6" s="3291"/>
      <c r="G6" s="3290"/>
      <c r="H6" s="115"/>
      <c r="I6" s="115"/>
      <c r="J6" s="115"/>
      <c r="K6" s="115"/>
    </row>
    <row r="7" spans="1:15" ht="19.5" customHeight="1">
      <c r="A7" s="3286"/>
      <c r="B7" s="3287"/>
      <c r="C7" s="3289"/>
      <c r="D7" s="3290"/>
      <c r="E7" s="120" t="s">
        <v>8</v>
      </c>
      <c r="F7" s="120" t="s">
        <v>9</v>
      </c>
      <c r="G7" s="120" t="s">
        <v>10</v>
      </c>
      <c r="H7" s="115"/>
      <c r="I7" s="115"/>
      <c r="J7" s="115"/>
      <c r="K7" s="115"/>
    </row>
    <row r="8" spans="1:15" ht="15">
      <c r="A8" s="121">
        <v>1</v>
      </c>
      <c r="B8" s="121">
        <v>2</v>
      </c>
      <c r="C8" s="121">
        <v>3</v>
      </c>
      <c r="D8" s="121">
        <v>4</v>
      </c>
      <c r="E8" s="121">
        <v>5</v>
      </c>
      <c r="F8" s="121">
        <v>6</v>
      </c>
      <c r="G8" s="122">
        <v>7</v>
      </c>
      <c r="H8" s="115"/>
      <c r="I8" s="115"/>
      <c r="J8" s="115"/>
      <c r="K8" s="123"/>
      <c r="M8" s="124"/>
      <c r="N8" s="124"/>
    </row>
    <row r="9" spans="1:15" ht="21.75" customHeight="1">
      <c r="A9" s="1650">
        <v>1</v>
      </c>
      <c r="B9" s="1203" t="s">
        <v>125</v>
      </c>
      <c r="C9" s="1651">
        <v>7130601965</v>
      </c>
      <c r="D9" s="1650" t="s">
        <v>26</v>
      </c>
      <c r="E9" s="1652">
        <v>408.1</v>
      </c>
      <c r="F9" s="1132">
        <f>VLOOKUP(C9,'SOR RATE'!A:D,4,0)/1000</f>
        <v>63.913519999999998</v>
      </c>
      <c r="G9" s="1653">
        <f>F9*E9</f>
        <v>26083.107512000002</v>
      </c>
      <c r="J9" s="115"/>
      <c r="K9" s="83"/>
      <c r="L9" s="83"/>
      <c r="M9" s="115"/>
      <c r="N9" s="115"/>
      <c r="O9" s="115"/>
    </row>
    <row r="10" spans="1:15" ht="18.75" customHeight="1">
      <c r="A10" s="1650">
        <v>2</v>
      </c>
      <c r="B10" s="1203" t="s">
        <v>13</v>
      </c>
      <c r="C10" s="1651">
        <v>7130810495</v>
      </c>
      <c r="D10" s="1650" t="s">
        <v>12</v>
      </c>
      <c r="E10" s="1650">
        <v>1</v>
      </c>
      <c r="F10" s="1132">
        <f>VLOOKUP(C10,'SOR RATE'!A:D,4,0)</f>
        <v>1380.08</v>
      </c>
      <c r="G10" s="1653">
        <f t="shared" ref="G10" si="0">F10*E10</f>
        <v>1380.08</v>
      </c>
      <c r="H10" s="115"/>
      <c r="I10" s="115"/>
      <c r="J10" s="124"/>
      <c r="K10" s="124"/>
      <c r="L10" s="124"/>
      <c r="M10" s="124"/>
      <c r="N10" s="124"/>
      <c r="O10" s="124"/>
    </row>
    <row r="11" spans="1:15" ht="18" customHeight="1">
      <c r="A11" s="3279">
        <v>3</v>
      </c>
      <c r="B11" s="1615" t="s">
        <v>99</v>
      </c>
      <c r="C11" s="1654"/>
      <c r="D11" s="1655"/>
      <c r="E11" s="1655"/>
      <c r="F11" s="1655"/>
      <c r="G11" s="1656"/>
      <c r="H11" s="115"/>
      <c r="I11" s="115"/>
      <c r="J11" s="115"/>
      <c r="K11" s="115"/>
      <c r="L11" s="115"/>
      <c r="M11" s="115"/>
      <c r="N11" s="115"/>
      <c r="O11" s="115"/>
    </row>
    <row r="12" spans="1:15" ht="17.25" customHeight="1">
      <c r="A12" s="3280"/>
      <c r="B12" s="1657" t="s">
        <v>100</v>
      </c>
      <c r="C12" s="1658">
        <v>7130810692</v>
      </c>
      <c r="D12" s="1620" t="s">
        <v>15</v>
      </c>
      <c r="E12" s="1650">
        <v>1</v>
      </c>
      <c r="F12" s="1132">
        <f>VLOOKUP(C12,'SOR RATE'!A:D,4,0)</f>
        <v>410.25</v>
      </c>
      <c r="G12" s="1653">
        <f t="shared" ref="G12:G18" si="1">F12*E12</f>
        <v>410.25</v>
      </c>
      <c r="H12" s="115"/>
      <c r="I12" s="115"/>
      <c r="J12" s="115"/>
      <c r="K12" s="115"/>
      <c r="L12" s="115"/>
      <c r="M12" s="115"/>
      <c r="N12" s="115"/>
      <c r="O12" s="115"/>
    </row>
    <row r="13" spans="1:15" ht="18.75" customHeight="1">
      <c r="A13" s="1650">
        <v>4</v>
      </c>
      <c r="B13" s="1659" t="s">
        <v>126</v>
      </c>
      <c r="C13" s="1651">
        <v>7130810679</v>
      </c>
      <c r="D13" s="1650" t="s">
        <v>12</v>
      </c>
      <c r="E13" s="1650">
        <v>1</v>
      </c>
      <c r="F13" s="1132">
        <f>VLOOKUP(C13,'SOR RATE'!A:D,4,0)</f>
        <v>387.16</v>
      </c>
      <c r="G13" s="1653">
        <f t="shared" si="1"/>
        <v>387.16</v>
      </c>
      <c r="H13" s="115"/>
      <c r="I13" s="115"/>
      <c r="J13" s="115"/>
      <c r="K13" s="115"/>
      <c r="L13" s="115"/>
      <c r="M13" s="115"/>
      <c r="N13" s="115"/>
      <c r="O13" s="115"/>
    </row>
    <row r="14" spans="1:15" ht="19.5" customHeight="1">
      <c r="A14" s="1650">
        <v>5</v>
      </c>
      <c r="B14" s="1203" t="s">
        <v>136</v>
      </c>
      <c r="C14" s="1651">
        <v>7130870013</v>
      </c>
      <c r="D14" s="1650" t="s">
        <v>12</v>
      </c>
      <c r="E14" s="1650">
        <v>1</v>
      </c>
      <c r="F14" s="1132">
        <v>152.88999999999999</v>
      </c>
      <c r="G14" s="1653">
        <f t="shared" si="1"/>
        <v>152.88999999999999</v>
      </c>
      <c r="H14" s="115"/>
      <c r="I14" s="115"/>
      <c r="J14" s="115"/>
      <c r="K14" s="115"/>
      <c r="L14" s="115"/>
      <c r="M14" s="115"/>
      <c r="N14" s="115"/>
      <c r="O14" s="125"/>
    </row>
    <row r="15" spans="1:15" ht="18" customHeight="1">
      <c r="A15" s="1650">
        <v>6</v>
      </c>
      <c r="B15" s="1659" t="s">
        <v>19</v>
      </c>
      <c r="C15" s="1651">
        <v>7130820008</v>
      </c>
      <c r="D15" s="1650" t="s">
        <v>12</v>
      </c>
      <c r="E15" s="1650">
        <v>3</v>
      </c>
      <c r="F15" s="1132">
        <v>157.08000000000001</v>
      </c>
      <c r="G15" s="1653">
        <f t="shared" si="1"/>
        <v>471.24</v>
      </c>
      <c r="H15" s="115"/>
      <c r="I15" s="115"/>
      <c r="J15" s="115"/>
      <c r="K15" s="126"/>
      <c r="L15" s="115"/>
      <c r="M15" s="115"/>
      <c r="N15" s="115"/>
      <c r="O15" s="115"/>
    </row>
    <row r="16" spans="1:15" ht="33" customHeight="1">
      <c r="A16" s="157">
        <v>7</v>
      </c>
      <c r="B16" s="1203" t="s">
        <v>127</v>
      </c>
      <c r="C16" s="1651">
        <v>7130200202</v>
      </c>
      <c r="D16" s="157" t="s">
        <v>109</v>
      </c>
      <c r="E16" s="157">
        <v>0.65</v>
      </c>
      <c r="F16" s="1132">
        <f>VLOOKUP(C16,'SOR RATE'!A:D,4,0)</f>
        <v>2970</v>
      </c>
      <c r="G16" s="1653">
        <f t="shared" si="1"/>
        <v>1930.5</v>
      </c>
      <c r="H16" s="337" t="s">
        <v>47</v>
      </c>
      <c r="I16" s="127"/>
      <c r="J16" s="127"/>
      <c r="K16" s="128"/>
      <c r="L16" s="129"/>
      <c r="M16" s="127"/>
      <c r="N16" s="128"/>
      <c r="O16" s="129"/>
    </row>
    <row r="17" spans="1:12" ht="17.25" customHeight="1">
      <c r="A17" s="1650">
        <v>8</v>
      </c>
      <c r="B17" s="1619" t="s">
        <v>31</v>
      </c>
      <c r="C17" s="1625">
        <v>7130610206</v>
      </c>
      <c r="D17" s="907" t="s">
        <v>26</v>
      </c>
      <c r="E17" s="1650">
        <v>2</v>
      </c>
      <c r="F17" s="1132">
        <f>VLOOKUP(C17,'SOR RATE'!A:D,4,0)/1000</f>
        <v>97.233429999999998</v>
      </c>
      <c r="G17" s="1653">
        <f t="shared" si="1"/>
        <v>194.46686</v>
      </c>
      <c r="H17" s="88"/>
      <c r="I17" s="89"/>
      <c r="K17" s="87"/>
      <c r="L17" s="87"/>
    </row>
    <row r="18" spans="1:12" ht="17.25" customHeight="1">
      <c r="A18" s="1650">
        <v>9</v>
      </c>
      <c r="B18" s="1659" t="s">
        <v>128</v>
      </c>
      <c r="C18" s="1651">
        <v>7130880041</v>
      </c>
      <c r="D18" s="1650" t="s">
        <v>33</v>
      </c>
      <c r="E18" s="1650">
        <v>1</v>
      </c>
      <c r="F18" s="1132">
        <f>VLOOKUP(C18,'SOR RATE'!A:D,4,0)</f>
        <v>113.77</v>
      </c>
      <c r="G18" s="1653">
        <f t="shared" si="1"/>
        <v>113.77</v>
      </c>
      <c r="H18" s="115"/>
      <c r="I18" s="115"/>
      <c r="J18" s="115"/>
      <c r="K18" s="115"/>
    </row>
    <row r="19" spans="1:12" ht="17.25" customHeight="1">
      <c r="A19" s="3281">
        <v>10</v>
      </c>
      <c r="B19" s="1659" t="s">
        <v>35</v>
      </c>
      <c r="C19" s="1654"/>
      <c r="D19" s="1655"/>
      <c r="E19" s="1655"/>
      <c r="F19" s="1655"/>
      <c r="G19" s="1656"/>
      <c r="H19" s="115"/>
      <c r="I19" s="115"/>
      <c r="J19" s="115"/>
    </row>
    <row r="20" spans="1:12" ht="17.25" customHeight="1">
      <c r="A20" s="3282"/>
      <c r="B20" s="1660" t="s">
        <v>79</v>
      </c>
      <c r="C20" s="1651">
        <v>7130620609</v>
      </c>
      <c r="D20" s="1661" t="s">
        <v>26</v>
      </c>
      <c r="E20" s="1652">
        <f>0.5/2</f>
        <v>0.25</v>
      </c>
      <c r="F20" s="1132">
        <f>VLOOKUP(C20,'SOR RATE'!A:D,4,0)</f>
        <v>87.23</v>
      </c>
      <c r="G20" s="1653">
        <f>F20*E20</f>
        <v>21.807500000000001</v>
      </c>
      <c r="H20" s="115"/>
      <c r="I20" s="115"/>
      <c r="J20" s="115"/>
      <c r="K20" s="115"/>
    </row>
    <row r="21" spans="1:12" ht="17.25" customHeight="1">
      <c r="A21" s="3282"/>
      <c r="B21" s="1660" t="s">
        <v>111</v>
      </c>
      <c r="C21" s="1651">
        <v>7130620614</v>
      </c>
      <c r="D21" s="1661" t="s">
        <v>26</v>
      </c>
      <c r="E21" s="1650">
        <f>6/10</f>
        <v>0.6</v>
      </c>
      <c r="F21" s="1132">
        <f>VLOOKUP(C21,'SOR RATE'!A:D,4,0)</f>
        <v>85.77</v>
      </c>
      <c r="G21" s="1653">
        <f>F21*E21</f>
        <v>51.461999999999996</v>
      </c>
      <c r="H21" s="115"/>
      <c r="I21" s="115"/>
      <c r="J21" s="115"/>
      <c r="K21" s="115"/>
    </row>
    <row r="22" spans="1:12" ht="17.25" customHeight="1">
      <c r="A22" s="3283"/>
      <c r="B22" s="1660" t="s">
        <v>112</v>
      </c>
      <c r="C22" s="1651">
        <v>7130620625</v>
      </c>
      <c r="D22" s="1661" t="s">
        <v>26</v>
      </c>
      <c r="E22" s="1652">
        <f>5.5/10</f>
        <v>0.55000000000000004</v>
      </c>
      <c r="F22" s="1132">
        <f>VLOOKUP(C22,'SOR RATE'!A:D,4,0)</f>
        <v>84.32</v>
      </c>
      <c r="G22" s="1653">
        <f>F22*E22</f>
        <v>46.375999999999998</v>
      </c>
      <c r="H22" s="115"/>
      <c r="I22" s="115"/>
      <c r="J22" s="115"/>
      <c r="K22" s="115"/>
    </row>
    <row r="23" spans="1:12" ht="17.25" customHeight="1">
      <c r="A23" s="1662">
        <v>11</v>
      </c>
      <c r="B23" s="1639" t="s">
        <v>48</v>
      </c>
      <c r="C23" s="1663"/>
      <c r="D23" s="120"/>
      <c r="E23" s="120"/>
      <c r="F23" s="120"/>
      <c r="G23" s="1664">
        <f>SUM(G9:G22)</f>
        <v>31243.109872000005</v>
      </c>
      <c r="H23" s="130"/>
      <c r="I23" s="84"/>
      <c r="J23" s="115"/>
      <c r="K23" s="115"/>
    </row>
    <row r="24" spans="1:12" ht="15.75" customHeight="1">
      <c r="A24" s="1665">
        <v>12</v>
      </c>
      <c r="B24" s="1666" t="s">
        <v>49</v>
      </c>
      <c r="C24" s="1663"/>
      <c r="D24" s="120"/>
      <c r="E24" s="120"/>
      <c r="F24" s="120"/>
      <c r="G24" s="1664">
        <f>G23/1.18</f>
        <v>26477.211755932207</v>
      </c>
      <c r="H24" s="87"/>
      <c r="I24" s="84"/>
      <c r="J24" s="115"/>
      <c r="K24" s="115"/>
    </row>
    <row r="25" spans="1:12" ht="18" customHeight="1">
      <c r="A25" s="1667">
        <v>13</v>
      </c>
      <c r="B25" s="1619" t="s">
        <v>50</v>
      </c>
      <c r="C25" s="1668"/>
      <c r="D25" s="1668"/>
      <c r="E25" s="1668"/>
      <c r="F25" s="1651">
        <v>7.4999999999999997E-2</v>
      </c>
      <c r="G25" s="1653">
        <f>G23*F25</f>
        <v>2343.2332404000003</v>
      </c>
      <c r="H25" s="89"/>
      <c r="I25" s="84"/>
      <c r="J25" s="115"/>
      <c r="K25" s="115"/>
    </row>
    <row r="26" spans="1:12" ht="18" customHeight="1">
      <c r="A26" s="1650">
        <v>14</v>
      </c>
      <c r="B26" s="1203" t="s">
        <v>1397</v>
      </c>
      <c r="C26" s="1669"/>
      <c r="D26" s="1670"/>
      <c r="E26" s="1671"/>
      <c r="F26" s="1670"/>
      <c r="G26" s="1653">
        <v>2946.96</v>
      </c>
      <c r="H26" s="115"/>
      <c r="I26" s="115"/>
      <c r="J26" s="115"/>
      <c r="K26" s="115"/>
    </row>
    <row r="27" spans="1:12" ht="17.25" customHeight="1">
      <c r="A27" s="1650">
        <v>15</v>
      </c>
      <c r="B27" s="1646" t="s">
        <v>82</v>
      </c>
      <c r="C27" s="1669"/>
      <c r="D27" s="907" t="s">
        <v>76</v>
      </c>
      <c r="E27" s="157">
        <v>0.65</v>
      </c>
      <c r="F27" s="1202">
        <f>665.173187113158*1.043</f>
        <v>693.77563415902364</v>
      </c>
      <c r="G27" s="1653">
        <f>E27*F27</f>
        <v>450.9541622033654</v>
      </c>
      <c r="H27" s="91"/>
      <c r="I27" s="115"/>
      <c r="J27" s="115"/>
      <c r="K27" s="115"/>
    </row>
    <row r="28" spans="1:12" ht="18.75" customHeight="1">
      <c r="A28" s="157">
        <v>16</v>
      </c>
      <c r="B28" s="1203" t="s">
        <v>1398</v>
      </c>
      <c r="C28" s="1672"/>
      <c r="D28" s="1673"/>
      <c r="E28" s="1674"/>
      <c r="F28" s="1675"/>
      <c r="G28" s="1676">
        <f>G24*0.04</f>
        <v>1059.0884702372882</v>
      </c>
      <c r="H28" s="737" t="s">
        <v>1827</v>
      </c>
      <c r="I28" s="93"/>
      <c r="J28" s="115"/>
      <c r="K28" s="115"/>
    </row>
    <row r="29" spans="1:12" ht="34.5" customHeight="1">
      <c r="A29" s="157">
        <v>17</v>
      </c>
      <c r="B29" s="1619" t="s">
        <v>129</v>
      </c>
      <c r="C29" s="1672"/>
      <c r="D29" s="1673"/>
      <c r="E29" s="1674"/>
      <c r="F29" s="1675"/>
      <c r="G29" s="1676">
        <f>(G23+G25+G26+G27+G28)*0.125</f>
        <v>4755.4182181050819</v>
      </c>
      <c r="H29" s="131"/>
      <c r="I29" s="93"/>
      <c r="J29" s="115"/>
      <c r="K29" s="115"/>
    </row>
    <row r="30" spans="1:12" ht="19.5" customHeight="1">
      <c r="A30" s="948">
        <v>18</v>
      </c>
      <c r="B30" s="1647" t="s">
        <v>130</v>
      </c>
      <c r="C30" s="1672"/>
      <c r="D30" s="1673"/>
      <c r="E30" s="1674"/>
      <c r="F30" s="1675"/>
      <c r="G30" s="1677">
        <f>SUM(G24:G29)</f>
        <v>38032.865846877947</v>
      </c>
      <c r="H30" s="132"/>
      <c r="I30" s="105"/>
      <c r="J30" s="115"/>
      <c r="K30" s="115"/>
    </row>
    <row r="31" spans="1:12" ht="19.5" customHeight="1">
      <c r="A31" s="157">
        <v>19</v>
      </c>
      <c r="B31" s="1619" t="s">
        <v>131</v>
      </c>
      <c r="C31" s="1672"/>
      <c r="D31" s="1673"/>
      <c r="E31" s="1674"/>
      <c r="F31" s="1678">
        <v>0.09</v>
      </c>
      <c r="G31" s="1678">
        <f>G30*F31</f>
        <v>3422.957926219015</v>
      </c>
      <c r="H31" s="132"/>
      <c r="I31" s="105"/>
      <c r="J31" s="115"/>
      <c r="K31" s="115"/>
    </row>
    <row r="32" spans="1:12" ht="17.25" customHeight="1">
      <c r="A32" s="157">
        <v>20</v>
      </c>
      <c r="B32" s="1619" t="s">
        <v>132</v>
      </c>
      <c r="C32" s="1672"/>
      <c r="D32" s="1673"/>
      <c r="E32" s="1674"/>
      <c r="F32" s="1653">
        <v>0.09</v>
      </c>
      <c r="G32" s="1678">
        <f>G30*F32</f>
        <v>3422.957926219015</v>
      </c>
      <c r="H32" s="95"/>
      <c r="I32" s="105"/>
      <c r="J32" s="115"/>
      <c r="K32" s="115"/>
    </row>
    <row r="33" spans="1:11" ht="20.25" customHeight="1">
      <c r="A33" s="157">
        <v>21</v>
      </c>
      <c r="B33" s="1619" t="s">
        <v>133</v>
      </c>
      <c r="C33" s="1672"/>
      <c r="D33" s="1673"/>
      <c r="E33" s="1674"/>
      <c r="F33" s="1675"/>
      <c r="G33" s="1678">
        <f>G30+G31+G32</f>
        <v>44878.781699315979</v>
      </c>
      <c r="H33" s="115"/>
      <c r="I33" s="115"/>
      <c r="J33" s="115"/>
      <c r="K33" s="115"/>
    </row>
    <row r="34" spans="1:11" ht="21.75" customHeight="1">
      <c r="A34" s="1679">
        <v>22</v>
      </c>
      <c r="B34" s="1647" t="s">
        <v>134</v>
      </c>
      <c r="C34" s="1680"/>
      <c r="D34" s="1679"/>
      <c r="E34" s="1681"/>
      <c r="F34" s="1682"/>
      <c r="G34" s="1683">
        <f>ROUND(G33,0)</f>
        <v>44879</v>
      </c>
      <c r="H34" s="115"/>
      <c r="I34" s="115"/>
      <c r="J34" s="115"/>
      <c r="K34" s="115"/>
    </row>
    <row r="35" spans="1:11" ht="15">
      <c r="A35" s="113"/>
      <c r="B35" s="108"/>
      <c r="C35" s="108"/>
      <c r="D35" s="108"/>
      <c r="E35" s="108"/>
      <c r="F35" s="108"/>
      <c r="G35" s="114"/>
      <c r="H35" s="115"/>
      <c r="I35" s="115"/>
      <c r="J35" s="115"/>
      <c r="K35" s="115"/>
    </row>
    <row r="48" spans="1:11" ht="15.75">
      <c r="A48" s="108"/>
      <c r="B48" s="133"/>
      <c r="C48" s="133"/>
      <c r="D48" s="108"/>
    </row>
    <row r="49" spans="2:4" ht="14.25">
      <c r="B49" s="134"/>
      <c r="C49" s="135"/>
      <c r="D49" s="136"/>
    </row>
  </sheetData>
  <mergeCells count="10">
    <mergeCell ref="A11:A12"/>
    <mergeCell ref="A19:A22"/>
    <mergeCell ref="B2:D2"/>
    <mergeCell ref="L3:M3"/>
    <mergeCell ref="A6:A7"/>
    <mergeCell ref="B6:B7"/>
    <mergeCell ref="C6:C7"/>
    <mergeCell ref="D6:D7"/>
    <mergeCell ref="E6:G6"/>
    <mergeCell ref="B4:F4"/>
  </mergeCells>
  <conditionalFormatting sqref="B23">
    <cfRule type="cellIs" dxfId="106" priority="2" stopIfTrue="1" operator="equal">
      <formula>"?"</formula>
    </cfRule>
  </conditionalFormatting>
  <conditionalFormatting sqref="B24">
    <cfRule type="cellIs" dxfId="105" priority="1" stopIfTrue="1" operator="equal">
      <formula>"?"</formula>
    </cfRule>
  </conditionalFormatting>
  <pageMargins left="1.0236220472440944" right="0.19685039370078741" top="0.70866141732283472" bottom="0.51181102362204722" header="0.78740157480314965" footer="7.874015748031496E-2"/>
  <pageSetup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S49"/>
  <sheetViews>
    <sheetView zoomScaleNormal="100" workbookViewId="0">
      <pane xSplit="2" ySplit="9" topLeftCell="C47" activePane="bottomRight" state="frozen"/>
      <selection pane="topRight" activeCell="C1" sqref="C1"/>
      <selection pane="bottomLeft" activeCell="A10" sqref="A10"/>
      <selection pane="bottomRight" activeCell="N41" sqref="N41"/>
    </sheetView>
  </sheetViews>
  <sheetFormatPr defaultRowHeight="12.75"/>
  <cols>
    <col min="1" max="1" width="4.140625" style="138" customWidth="1"/>
    <col min="2" max="2" width="39.85546875" style="4" customWidth="1"/>
    <col min="3" max="3" width="12.7109375" style="4" customWidth="1"/>
    <col min="4" max="4" width="5.28515625" style="4" customWidth="1"/>
    <col min="5" max="5" width="10.7109375" style="4" bestFit="1" customWidth="1"/>
    <col min="6" max="6" width="6.42578125" style="4" customWidth="1"/>
    <col min="7" max="7" width="12" style="4" customWidth="1"/>
    <col min="8" max="8" width="6.7109375" style="4" customWidth="1"/>
    <col min="9" max="9" width="11.5703125" style="4" customWidth="1"/>
    <col min="10" max="10" width="5.85546875" style="4" customWidth="1"/>
    <col min="11" max="11" width="12.28515625" style="4" customWidth="1"/>
    <col min="12" max="12" width="6" style="4" customWidth="1"/>
    <col min="13" max="13" width="12" style="4" customWidth="1"/>
    <col min="14" max="14" width="22.28515625" style="4" customWidth="1"/>
    <col min="15" max="15" width="17.85546875" style="4" customWidth="1"/>
    <col min="16" max="16" width="6" style="4" bestFit="1" customWidth="1"/>
    <col min="17" max="17" width="5" style="4" bestFit="1" customWidth="1"/>
    <col min="18" max="18" width="9.5703125" style="4" bestFit="1" customWidth="1"/>
    <col min="19" max="19" width="11.85546875" style="4" bestFit="1" customWidth="1"/>
    <col min="20" max="256" width="9.140625" style="4"/>
    <col min="257" max="257" width="4.140625" style="4" customWidth="1"/>
    <col min="258" max="258" width="39.85546875" style="4" customWidth="1"/>
    <col min="259" max="259" width="12.7109375" style="4" customWidth="1"/>
    <col min="260" max="260" width="5.28515625" style="4" customWidth="1"/>
    <col min="261" max="261" width="10.7109375" style="4" bestFit="1" customWidth="1"/>
    <col min="262" max="262" width="6.42578125" style="4" customWidth="1"/>
    <col min="263" max="263" width="12" style="4" customWidth="1"/>
    <col min="264" max="264" width="6.7109375" style="4" bestFit="1" customWidth="1"/>
    <col min="265" max="265" width="11.7109375" style="4" customWidth="1"/>
    <col min="266" max="266" width="5.85546875" style="4" customWidth="1"/>
    <col min="267" max="267" width="12.28515625" style="4" customWidth="1"/>
    <col min="268" max="268" width="6" style="4" customWidth="1"/>
    <col min="269" max="269" width="12" style="4" customWidth="1"/>
    <col min="270" max="270" width="22.28515625" style="4" customWidth="1"/>
    <col min="271" max="271" width="17.85546875" style="4" customWidth="1"/>
    <col min="272" max="272" width="6" style="4" bestFit="1" customWidth="1"/>
    <col min="273" max="273" width="5" style="4" bestFit="1" customWidth="1"/>
    <col min="274" max="274" width="9.5703125" style="4" bestFit="1" customWidth="1"/>
    <col min="275" max="275" width="11.85546875" style="4" bestFit="1" customWidth="1"/>
    <col min="276" max="512" width="9.140625" style="4"/>
    <col min="513" max="513" width="4.140625" style="4" customWidth="1"/>
    <col min="514" max="514" width="39.85546875" style="4" customWidth="1"/>
    <col min="515" max="515" width="12.7109375" style="4" customWidth="1"/>
    <col min="516" max="516" width="5.28515625" style="4" customWidth="1"/>
    <col min="517" max="517" width="10.7109375" style="4" bestFit="1" customWidth="1"/>
    <col min="518" max="518" width="6.42578125" style="4" customWidth="1"/>
    <col min="519" max="519" width="12" style="4" customWidth="1"/>
    <col min="520" max="520" width="6.7109375" style="4" bestFit="1" customWidth="1"/>
    <col min="521" max="521" width="11.7109375" style="4" customWidth="1"/>
    <col min="522" max="522" width="5.85546875" style="4" customWidth="1"/>
    <col min="523" max="523" width="12.28515625" style="4" customWidth="1"/>
    <col min="524" max="524" width="6" style="4" customWidth="1"/>
    <col min="525" max="525" width="12" style="4" customWidth="1"/>
    <col min="526" max="526" width="22.28515625" style="4" customWidth="1"/>
    <col min="527" max="527" width="17.85546875" style="4" customWidth="1"/>
    <col min="528" max="528" width="6" style="4" bestFit="1" customWidth="1"/>
    <col min="529" max="529" width="5" style="4" bestFit="1" customWidth="1"/>
    <col min="530" max="530" width="9.5703125" style="4" bestFit="1" customWidth="1"/>
    <col min="531" max="531" width="11.85546875" style="4" bestFit="1" customWidth="1"/>
    <col min="532" max="768" width="9.140625" style="4"/>
    <col min="769" max="769" width="4.140625" style="4" customWidth="1"/>
    <col min="770" max="770" width="39.85546875" style="4" customWidth="1"/>
    <col min="771" max="771" width="12.7109375" style="4" customWidth="1"/>
    <col min="772" max="772" width="5.28515625" style="4" customWidth="1"/>
    <col min="773" max="773" width="10.7109375" style="4" bestFit="1" customWidth="1"/>
    <col min="774" max="774" width="6.42578125" style="4" customWidth="1"/>
    <col min="775" max="775" width="12" style="4" customWidth="1"/>
    <col min="776" max="776" width="6.7109375" style="4" bestFit="1" customWidth="1"/>
    <col min="777" max="777" width="11.7109375" style="4" customWidth="1"/>
    <col min="778" max="778" width="5.85546875" style="4" customWidth="1"/>
    <col min="779" max="779" width="12.28515625" style="4" customWidth="1"/>
    <col min="780" max="780" width="6" style="4" customWidth="1"/>
    <col min="781" max="781" width="12" style="4" customWidth="1"/>
    <col min="782" max="782" width="22.28515625" style="4" customWidth="1"/>
    <col min="783" max="783" width="17.85546875" style="4" customWidth="1"/>
    <col min="784" max="784" width="6" style="4" bestFit="1" customWidth="1"/>
    <col min="785" max="785" width="5" style="4" bestFit="1" customWidth="1"/>
    <col min="786" max="786" width="9.5703125" style="4" bestFit="1" customWidth="1"/>
    <col min="787" max="787" width="11.85546875" style="4" bestFit="1" customWidth="1"/>
    <col min="788" max="1024" width="9.140625" style="4"/>
    <col min="1025" max="1025" width="4.140625" style="4" customWidth="1"/>
    <col min="1026" max="1026" width="39.85546875" style="4" customWidth="1"/>
    <col min="1027" max="1027" width="12.7109375" style="4" customWidth="1"/>
    <col min="1028" max="1028" width="5.28515625" style="4" customWidth="1"/>
    <col min="1029" max="1029" width="10.7109375" style="4" bestFit="1" customWidth="1"/>
    <col min="1030" max="1030" width="6.42578125" style="4" customWidth="1"/>
    <col min="1031" max="1031" width="12" style="4" customWidth="1"/>
    <col min="1032" max="1032" width="6.7109375" style="4" bestFit="1" customWidth="1"/>
    <col min="1033" max="1033" width="11.7109375" style="4" customWidth="1"/>
    <col min="1034" max="1034" width="5.85546875" style="4" customWidth="1"/>
    <col min="1035" max="1035" width="12.28515625" style="4" customWidth="1"/>
    <col min="1036" max="1036" width="6" style="4" customWidth="1"/>
    <col min="1037" max="1037" width="12" style="4" customWidth="1"/>
    <col min="1038" max="1038" width="22.28515625" style="4" customWidth="1"/>
    <col min="1039" max="1039" width="17.85546875" style="4" customWidth="1"/>
    <col min="1040" max="1040" width="6" style="4" bestFit="1" customWidth="1"/>
    <col min="1041" max="1041" width="5" style="4" bestFit="1" customWidth="1"/>
    <col min="1042" max="1042" width="9.5703125" style="4" bestFit="1" customWidth="1"/>
    <col min="1043" max="1043" width="11.85546875" style="4" bestFit="1" customWidth="1"/>
    <col min="1044" max="1280" width="9.140625" style="4"/>
    <col min="1281" max="1281" width="4.140625" style="4" customWidth="1"/>
    <col min="1282" max="1282" width="39.85546875" style="4" customWidth="1"/>
    <col min="1283" max="1283" width="12.7109375" style="4" customWidth="1"/>
    <col min="1284" max="1284" width="5.28515625" style="4" customWidth="1"/>
    <col min="1285" max="1285" width="10.7109375" style="4" bestFit="1" customWidth="1"/>
    <col min="1286" max="1286" width="6.42578125" style="4" customWidth="1"/>
    <col min="1287" max="1287" width="12" style="4" customWidth="1"/>
    <col min="1288" max="1288" width="6.7109375" style="4" bestFit="1" customWidth="1"/>
    <col min="1289" max="1289" width="11.7109375" style="4" customWidth="1"/>
    <col min="1290" max="1290" width="5.85546875" style="4" customWidth="1"/>
    <col min="1291" max="1291" width="12.28515625" style="4" customWidth="1"/>
    <col min="1292" max="1292" width="6" style="4" customWidth="1"/>
    <col min="1293" max="1293" width="12" style="4" customWidth="1"/>
    <col min="1294" max="1294" width="22.28515625" style="4" customWidth="1"/>
    <col min="1295" max="1295" width="17.85546875" style="4" customWidth="1"/>
    <col min="1296" max="1296" width="6" style="4" bestFit="1" customWidth="1"/>
    <col min="1297" max="1297" width="5" style="4" bestFit="1" customWidth="1"/>
    <col min="1298" max="1298" width="9.5703125" style="4" bestFit="1" customWidth="1"/>
    <col min="1299" max="1299" width="11.85546875" style="4" bestFit="1" customWidth="1"/>
    <col min="1300" max="1536" width="9.140625" style="4"/>
    <col min="1537" max="1537" width="4.140625" style="4" customWidth="1"/>
    <col min="1538" max="1538" width="39.85546875" style="4" customWidth="1"/>
    <col min="1539" max="1539" width="12.7109375" style="4" customWidth="1"/>
    <col min="1540" max="1540" width="5.28515625" style="4" customWidth="1"/>
    <col min="1541" max="1541" width="10.7109375" style="4" bestFit="1" customWidth="1"/>
    <col min="1542" max="1542" width="6.42578125" style="4" customWidth="1"/>
    <col min="1543" max="1543" width="12" style="4" customWidth="1"/>
    <col min="1544" max="1544" width="6.7109375" style="4" bestFit="1" customWidth="1"/>
    <col min="1545" max="1545" width="11.7109375" style="4" customWidth="1"/>
    <col min="1546" max="1546" width="5.85546875" style="4" customWidth="1"/>
    <col min="1547" max="1547" width="12.28515625" style="4" customWidth="1"/>
    <col min="1548" max="1548" width="6" style="4" customWidth="1"/>
    <col min="1549" max="1549" width="12" style="4" customWidth="1"/>
    <col min="1550" max="1550" width="22.28515625" style="4" customWidth="1"/>
    <col min="1551" max="1551" width="17.85546875" style="4" customWidth="1"/>
    <col min="1552" max="1552" width="6" style="4" bestFit="1" customWidth="1"/>
    <col min="1553" max="1553" width="5" style="4" bestFit="1" customWidth="1"/>
    <col min="1554" max="1554" width="9.5703125" style="4" bestFit="1" customWidth="1"/>
    <col min="1555" max="1555" width="11.85546875" style="4" bestFit="1" customWidth="1"/>
    <col min="1556" max="1792" width="9.140625" style="4"/>
    <col min="1793" max="1793" width="4.140625" style="4" customWidth="1"/>
    <col min="1794" max="1794" width="39.85546875" style="4" customWidth="1"/>
    <col min="1795" max="1795" width="12.7109375" style="4" customWidth="1"/>
    <col min="1796" max="1796" width="5.28515625" style="4" customWidth="1"/>
    <col min="1797" max="1797" width="10.7109375" style="4" bestFit="1" customWidth="1"/>
    <col min="1798" max="1798" width="6.42578125" style="4" customWidth="1"/>
    <col min="1799" max="1799" width="12" style="4" customWidth="1"/>
    <col min="1800" max="1800" width="6.7109375" style="4" bestFit="1" customWidth="1"/>
    <col min="1801" max="1801" width="11.7109375" style="4" customWidth="1"/>
    <col min="1802" max="1802" width="5.85546875" style="4" customWidth="1"/>
    <col min="1803" max="1803" width="12.28515625" style="4" customWidth="1"/>
    <col min="1804" max="1804" width="6" style="4" customWidth="1"/>
    <col min="1805" max="1805" width="12" style="4" customWidth="1"/>
    <col min="1806" max="1806" width="22.28515625" style="4" customWidth="1"/>
    <col min="1807" max="1807" width="17.85546875" style="4" customWidth="1"/>
    <col min="1808" max="1808" width="6" style="4" bestFit="1" customWidth="1"/>
    <col min="1809" max="1809" width="5" style="4" bestFit="1" customWidth="1"/>
    <col min="1810" max="1810" width="9.5703125" style="4" bestFit="1" customWidth="1"/>
    <col min="1811" max="1811" width="11.85546875" style="4" bestFit="1" customWidth="1"/>
    <col min="1812" max="2048" width="9.140625" style="4"/>
    <col min="2049" max="2049" width="4.140625" style="4" customWidth="1"/>
    <col min="2050" max="2050" width="39.85546875" style="4" customWidth="1"/>
    <col min="2051" max="2051" width="12.7109375" style="4" customWidth="1"/>
    <col min="2052" max="2052" width="5.28515625" style="4" customWidth="1"/>
    <col min="2053" max="2053" width="10.7109375" style="4" bestFit="1" customWidth="1"/>
    <col min="2054" max="2054" width="6.42578125" style="4" customWidth="1"/>
    <col min="2055" max="2055" width="12" style="4" customWidth="1"/>
    <col min="2056" max="2056" width="6.7109375" style="4" bestFit="1" customWidth="1"/>
    <col min="2057" max="2057" width="11.7109375" style="4" customWidth="1"/>
    <col min="2058" max="2058" width="5.85546875" style="4" customWidth="1"/>
    <col min="2059" max="2059" width="12.28515625" style="4" customWidth="1"/>
    <col min="2060" max="2060" width="6" style="4" customWidth="1"/>
    <col min="2061" max="2061" width="12" style="4" customWidth="1"/>
    <col min="2062" max="2062" width="22.28515625" style="4" customWidth="1"/>
    <col min="2063" max="2063" width="17.85546875" style="4" customWidth="1"/>
    <col min="2064" max="2064" width="6" style="4" bestFit="1" customWidth="1"/>
    <col min="2065" max="2065" width="5" style="4" bestFit="1" customWidth="1"/>
    <col min="2066" max="2066" width="9.5703125" style="4" bestFit="1" customWidth="1"/>
    <col min="2067" max="2067" width="11.85546875" style="4" bestFit="1" customWidth="1"/>
    <col min="2068" max="2304" width="9.140625" style="4"/>
    <col min="2305" max="2305" width="4.140625" style="4" customWidth="1"/>
    <col min="2306" max="2306" width="39.85546875" style="4" customWidth="1"/>
    <col min="2307" max="2307" width="12.7109375" style="4" customWidth="1"/>
    <col min="2308" max="2308" width="5.28515625" style="4" customWidth="1"/>
    <col min="2309" max="2309" width="10.7109375" style="4" bestFit="1" customWidth="1"/>
    <col min="2310" max="2310" width="6.42578125" style="4" customWidth="1"/>
    <col min="2311" max="2311" width="12" style="4" customWidth="1"/>
    <col min="2312" max="2312" width="6.7109375" style="4" bestFit="1" customWidth="1"/>
    <col min="2313" max="2313" width="11.7109375" style="4" customWidth="1"/>
    <col min="2314" max="2314" width="5.85546875" style="4" customWidth="1"/>
    <col min="2315" max="2315" width="12.28515625" style="4" customWidth="1"/>
    <col min="2316" max="2316" width="6" style="4" customWidth="1"/>
    <col min="2317" max="2317" width="12" style="4" customWidth="1"/>
    <col min="2318" max="2318" width="22.28515625" style="4" customWidth="1"/>
    <col min="2319" max="2319" width="17.85546875" style="4" customWidth="1"/>
    <col min="2320" max="2320" width="6" style="4" bestFit="1" customWidth="1"/>
    <col min="2321" max="2321" width="5" style="4" bestFit="1" customWidth="1"/>
    <col min="2322" max="2322" width="9.5703125" style="4" bestFit="1" customWidth="1"/>
    <col min="2323" max="2323" width="11.85546875" style="4" bestFit="1" customWidth="1"/>
    <col min="2324" max="2560" width="9.140625" style="4"/>
    <col min="2561" max="2561" width="4.140625" style="4" customWidth="1"/>
    <col min="2562" max="2562" width="39.85546875" style="4" customWidth="1"/>
    <col min="2563" max="2563" width="12.7109375" style="4" customWidth="1"/>
    <col min="2564" max="2564" width="5.28515625" style="4" customWidth="1"/>
    <col min="2565" max="2565" width="10.7109375" style="4" bestFit="1" customWidth="1"/>
    <col min="2566" max="2566" width="6.42578125" style="4" customWidth="1"/>
    <col min="2567" max="2567" width="12" style="4" customWidth="1"/>
    <col min="2568" max="2568" width="6.7109375" style="4" bestFit="1" customWidth="1"/>
    <col min="2569" max="2569" width="11.7109375" style="4" customWidth="1"/>
    <col min="2570" max="2570" width="5.85546875" style="4" customWidth="1"/>
    <col min="2571" max="2571" width="12.28515625" style="4" customWidth="1"/>
    <col min="2572" max="2572" width="6" style="4" customWidth="1"/>
    <col min="2573" max="2573" width="12" style="4" customWidth="1"/>
    <col min="2574" max="2574" width="22.28515625" style="4" customWidth="1"/>
    <col min="2575" max="2575" width="17.85546875" style="4" customWidth="1"/>
    <col min="2576" max="2576" width="6" style="4" bestFit="1" customWidth="1"/>
    <col min="2577" max="2577" width="5" style="4" bestFit="1" customWidth="1"/>
    <col min="2578" max="2578" width="9.5703125" style="4" bestFit="1" customWidth="1"/>
    <col min="2579" max="2579" width="11.85546875" style="4" bestFit="1" customWidth="1"/>
    <col min="2580" max="2816" width="9.140625" style="4"/>
    <col min="2817" max="2817" width="4.140625" style="4" customWidth="1"/>
    <col min="2818" max="2818" width="39.85546875" style="4" customWidth="1"/>
    <col min="2819" max="2819" width="12.7109375" style="4" customWidth="1"/>
    <col min="2820" max="2820" width="5.28515625" style="4" customWidth="1"/>
    <col min="2821" max="2821" width="10.7109375" style="4" bestFit="1" customWidth="1"/>
    <col min="2822" max="2822" width="6.42578125" style="4" customWidth="1"/>
    <col min="2823" max="2823" width="12" style="4" customWidth="1"/>
    <col min="2824" max="2824" width="6.7109375" style="4" bestFit="1" customWidth="1"/>
    <col min="2825" max="2825" width="11.7109375" style="4" customWidth="1"/>
    <col min="2826" max="2826" width="5.85546875" style="4" customWidth="1"/>
    <col min="2827" max="2827" width="12.28515625" style="4" customWidth="1"/>
    <col min="2828" max="2828" width="6" style="4" customWidth="1"/>
    <col min="2829" max="2829" width="12" style="4" customWidth="1"/>
    <col min="2830" max="2830" width="22.28515625" style="4" customWidth="1"/>
    <col min="2831" max="2831" width="17.85546875" style="4" customWidth="1"/>
    <col min="2832" max="2832" width="6" style="4" bestFit="1" customWidth="1"/>
    <col min="2833" max="2833" width="5" style="4" bestFit="1" customWidth="1"/>
    <col min="2834" max="2834" width="9.5703125" style="4" bestFit="1" customWidth="1"/>
    <col min="2835" max="2835" width="11.85546875" style="4" bestFit="1" customWidth="1"/>
    <col min="2836" max="3072" width="9.140625" style="4"/>
    <col min="3073" max="3073" width="4.140625" style="4" customWidth="1"/>
    <col min="3074" max="3074" width="39.85546875" style="4" customWidth="1"/>
    <col min="3075" max="3075" width="12.7109375" style="4" customWidth="1"/>
    <col min="3076" max="3076" width="5.28515625" style="4" customWidth="1"/>
    <col min="3077" max="3077" width="10.7109375" style="4" bestFit="1" customWidth="1"/>
    <col min="3078" max="3078" width="6.42578125" style="4" customWidth="1"/>
    <col min="3079" max="3079" width="12" style="4" customWidth="1"/>
    <col min="3080" max="3080" width="6.7109375" style="4" bestFit="1" customWidth="1"/>
    <col min="3081" max="3081" width="11.7109375" style="4" customWidth="1"/>
    <col min="3082" max="3082" width="5.85546875" style="4" customWidth="1"/>
    <col min="3083" max="3083" width="12.28515625" style="4" customWidth="1"/>
    <col min="3084" max="3084" width="6" style="4" customWidth="1"/>
    <col min="3085" max="3085" width="12" style="4" customWidth="1"/>
    <col min="3086" max="3086" width="22.28515625" style="4" customWidth="1"/>
    <col min="3087" max="3087" width="17.85546875" style="4" customWidth="1"/>
    <col min="3088" max="3088" width="6" style="4" bestFit="1" customWidth="1"/>
    <col min="3089" max="3089" width="5" style="4" bestFit="1" customWidth="1"/>
    <col min="3090" max="3090" width="9.5703125" style="4" bestFit="1" customWidth="1"/>
    <col min="3091" max="3091" width="11.85546875" style="4" bestFit="1" customWidth="1"/>
    <col min="3092" max="3328" width="9.140625" style="4"/>
    <col min="3329" max="3329" width="4.140625" style="4" customWidth="1"/>
    <col min="3330" max="3330" width="39.85546875" style="4" customWidth="1"/>
    <col min="3331" max="3331" width="12.7109375" style="4" customWidth="1"/>
    <col min="3332" max="3332" width="5.28515625" style="4" customWidth="1"/>
    <col min="3333" max="3333" width="10.7109375" style="4" bestFit="1" customWidth="1"/>
    <col min="3334" max="3334" width="6.42578125" style="4" customWidth="1"/>
    <col min="3335" max="3335" width="12" style="4" customWidth="1"/>
    <col min="3336" max="3336" width="6.7109375" style="4" bestFit="1" customWidth="1"/>
    <col min="3337" max="3337" width="11.7109375" style="4" customWidth="1"/>
    <col min="3338" max="3338" width="5.85546875" style="4" customWidth="1"/>
    <col min="3339" max="3339" width="12.28515625" style="4" customWidth="1"/>
    <col min="3340" max="3340" width="6" style="4" customWidth="1"/>
    <col min="3341" max="3341" width="12" style="4" customWidth="1"/>
    <col min="3342" max="3342" width="22.28515625" style="4" customWidth="1"/>
    <col min="3343" max="3343" width="17.85546875" style="4" customWidth="1"/>
    <col min="3344" max="3344" width="6" style="4" bestFit="1" customWidth="1"/>
    <col min="3345" max="3345" width="5" style="4" bestFit="1" customWidth="1"/>
    <col min="3346" max="3346" width="9.5703125" style="4" bestFit="1" customWidth="1"/>
    <col min="3347" max="3347" width="11.85546875" style="4" bestFit="1" customWidth="1"/>
    <col min="3348" max="3584" width="9.140625" style="4"/>
    <col min="3585" max="3585" width="4.140625" style="4" customWidth="1"/>
    <col min="3586" max="3586" width="39.85546875" style="4" customWidth="1"/>
    <col min="3587" max="3587" width="12.7109375" style="4" customWidth="1"/>
    <col min="3588" max="3588" width="5.28515625" style="4" customWidth="1"/>
    <col min="3589" max="3589" width="10.7109375" style="4" bestFit="1" customWidth="1"/>
    <col min="3590" max="3590" width="6.42578125" style="4" customWidth="1"/>
    <col min="3591" max="3591" width="12" style="4" customWidth="1"/>
    <col min="3592" max="3592" width="6.7109375" style="4" bestFit="1" customWidth="1"/>
    <col min="3593" max="3593" width="11.7109375" style="4" customWidth="1"/>
    <col min="3594" max="3594" width="5.85546875" style="4" customWidth="1"/>
    <col min="3595" max="3595" width="12.28515625" style="4" customWidth="1"/>
    <col min="3596" max="3596" width="6" style="4" customWidth="1"/>
    <col min="3597" max="3597" width="12" style="4" customWidth="1"/>
    <col min="3598" max="3598" width="22.28515625" style="4" customWidth="1"/>
    <col min="3599" max="3599" width="17.85546875" style="4" customWidth="1"/>
    <col min="3600" max="3600" width="6" style="4" bestFit="1" customWidth="1"/>
    <col min="3601" max="3601" width="5" style="4" bestFit="1" customWidth="1"/>
    <col min="3602" max="3602" width="9.5703125" style="4" bestFit="1" customWidth="1"/>
    <col min="3603" max="3603" width="11.85546875" style="4" bestFit="1" customWidth="1"/>
    <col min="3604" max="3840" width="9.140625" style="4"/>
    <col min="3841" max="3841" width="4.140625" style="4" customWidth="1"/>
    <col min="3842" max="3842" width="39.85546875" style="4" customWidth="1"/>
    <col min="3843" max="3843" width="12.7109375" style="4" customWidth="1"/>
    <col min="3844" max="3844" width="5.28515625" style="4" customWidth="1"/>
    <col min="3845" max="3845" width="10.7109375" style="4" bestFit="1" customWidth="1"/>
    <col min="3846" max="3846" width="6.42578125" style="4" customWidth="1"/>
    <col min="3847" max="3847" width="12" style="4" customWidth="1"/>
    <col min="3848" max="3848" width="6.7109375" style="4" bestFit="1" customWidth="1"/>
    <col min="3849" max="3849" width="11.7109375" style="4" customWidth="1"/>
    <col min="3850" max="3850" width="5.85546875" style="4" customWidth="1"/>
    <col min="3851" max="3851" width="12.28515625" style="4" customWidth="1"/>
    <col min="3852" max="3852" width="6" style="4" customWidth="1"/>
    <col min="3853" max="3853" width="12" style="4" customWidth="1"/>
    <col min="3854" max="3854" width="22.28515625" style="4" customWidth="1"/>
    <col min="3855" max="3855" width="17.85546875" style="4" customWidth="1"/>
    <col min="3856" max="3856" width="6" style="4" bestFit="1" customWidth="1"/>
    <col min="3857" max="3857" width="5" style="4" bestFit="1" customWidth="1"/>
    <col min="3858" max="3858" width="9.5703125" style="4" bestFit="1" customWidth="1"/>
    <col min="3859" max="3859" width="11.85546875" style="4" bestFit="1" customWidth="1"/>
    <col min="3860" max="4096" width="9.140625" style="4"/>
    <col min="4097" max="4097" width="4.140625" style="4" customWidth="1"/>
    <col min="4098" max="4098" width="39.85546875" style="4" customWidth="1"/>
    <col min="4099" max="4099" width="12.7109375" style="4" customWidth="1"/>
    <col min="4100" max="4100" width="5.28515625" style="4" customWidth="1"/>
    <col min="4101" max="4101" width="10.7109375" style="4" bestFit="1" customWidth="1"/>
    <col min="4102" max="4102" width="6.42578125" style="4" customWidth="1"/>
    <col min="4103" max="4103" width="12" style="4" customWidth="1"/>
    <col min="4104" max="4104" width="6.7109375" style="4" bestFit="1" customWidth="1"/>
    <col min="4105" max="4105" width="11.7109375" style="4" customWidth="1"/>
    <col min="4106" max="4106" width="5.85546875" style="4" customWidth="1"/>
    <col min="4107" max="4107" width="12.28515625" style="4" customWidth="1"/>
    <col min="4108" max="4108" width="6" style="4" customWidth="1"/>
    <col min="4109" max="4109" width="12" style="4" customWidth="1"/>
    <col min="4110" max="4110" width="22.28515625" style="4" customWidth="1"/>
    <col min="4111" max="4111" width="17.85546875" style="4" customWidth="1"/>
    <col min="4112" max="4112" width="6" style="4" bestFit="1" customWidth="1"/>
    <col min="4113" max="4113" width="5" style="4" bestFit="1" customWidth="1"/>
    <col min="4114" max="4114" width="9.5703125" style="4" bestFit="1" customWidth="1"/>
    <col min="4115" max="4115" width="11.85546875" style="4" bestFit="1" customWidth="1"/>
    <col min="4116" max="4352" width="9.140625" style="4"/>
    <col min="4353" max="4353" width="4.140625" style="4" customWidth="1"/>
    <col min="4354" max="4354" width="39.85546875" style="4" customWidth="1"/>
    <col min="4355" max="4355" width="12.7109375" style="4" customWidth="1"/>
    <col min="4356" max="4356" width="5.28515625" style="4" customWidth="1"/>
    <col min="4357" max="4357" width="10.7109375" style="4" bestFit="1" customWidth="1"/>
    <col min="4358" max="4358" width="6.42578125" style="4" customWidth="1"/>
    <col min="4359" max="4359" width="12" style="4" customWidth="1"/>
    <col min="4360" max="4360" width="6.7109375" style="4" bestFit="1" customWidth="1"/>
    <col min="4361" max="4361" width="11.7109375" style="4" customWidth="1"/>
    <col min="4362" max="4362" width="5.85546875" style="4" customWidth="1"/>
    <col min="4363" max="4363" width="12.28515625" style="4" customWidth="1"/>
    <col min="4364" max="4364" width="6" style="4" customWidth="1"/>
    <col min="4365" max="4365" width="12" style="4" customWidth="1"/>
    <col min="4366" max="4366" width="22.28515625" style="4" customWidth="1"/>
    <col min="4367" max="4367" width="17.85546875" style="4" customWidth="1"/>
    <col min="4368" max="4368" width="6" style="4" bestFit="1" customWidth="1"/>
    <col min="4369" max="4369" width="5" style="4" bestFit="1" customWidth="1"/>
    <col min="4370" max="4370" width="9.5703125" style="4" bestFit="1" customWidth="1"/>
    <col min="4371" max="4371" width="11.85546875" style="4" bestFit="1" customWidth="1"/>
    <col min="4372" max="4608" width="9.140625" style="4"/>
    <col min="4609" max="4609" width="4.140625" style="4" customWidth="1"/>
    <col min="4610" max="4610" width="39.85546875" style="4" customWidth="1"/>
    <col min="4611" max="4611" width="12.7109375" style="4" customWidth="1"/>
    <col min="4612" max="4612" width="5.28515625" style="4" customWidth="1"/>
    <col min="4613" max="4613" width="10.7109375" style="4" bestFit="1" customWidth="1"/>
    <col min="4614" max="4614" width="6.42578125" style="4" customWidth="1"/>
    <col min="4615" max="4615" width="12" style="4" customWidth="1"/>
    <col min="4616" max="4616" width="6.7109375" style="4" bestFit="1" customWidth="1"/>
    <col min="4617" max="4617" width="11.7109375" style="4" customWidth="1"/>
    <col min="4618" max="4618" width="5.85546875" style="4" customWidth="1"/>
    <col min="4619" max="4619" width="12.28515625" style="4" customWidth="1"/>
    <col min="4620" max="4620" width="6" style="4" customWidth="1"/>
    <col min="4621" max="4621" width="12" style="4" customWidth="1"/>
    <col min="4622" max="4622" width="22.28515625" style="4" customWidth="1"/>
    <col min="4623" max="4623" width="17.85546875" style="4" customWidth="1"/>
    <col min="4624" max="4624" width="6" style="4" bestFit="1" customWidth="1"/>
    <col min="4625" max="4625" width="5" style="4" bestFit="1" customWidth="1"/>
    <col min="4626" max="4626" width="9.5703125" style="4" bestFit="1" customWidth="1"/>
    <col min="4627" max="4627" width="11.85546875" style="4" bestFit="1" customWidth="1"/>
    <col min="4628" max="4864" width="9.140625" style="4"/>
    <col min="4865" max="4865" width="4.140625" style="4" customWidth="1"/>
    <col min="4866" max="4866" width="39.85546875" style="4" customWidth="1"/>
    <col min="4867" max="4867" width="12.7109375" style="4" customWidth="1"/>
    <col min="4868" max="4868" width="5.28515625" style="4" customWidth="1"/>
    <col min="4869" max="4869" width="10.7109375" style="4" bestFit="1" customWidth="1"/>
    <col min="4870" max="4870" width="6.42578125" style="4" customWidth="1"/>
    <col min="4871" max="4871" width="12" style="4" customWidth="1"/>
    <col min="4872" max="4872" width="6.7109375" style="4" bestFit="1" customWidth="1"/>
    <col min="4873" max="4873" width="11.7109375" style="4" customWidth="1"/>
    <col min="4874" max="4874" width="5.85546875" style="4" customWidth="1"/>
    <col min="4875" max="4875" width="12.28515625" style="4" customWidth="1"/>
    <col min="4876" max="4876" width="6" style="4" customWidth="1"/>
    <col min="4877" max="4877" width="12" style="4" customWidth="1"/>
    <col min="4878" max="4878" width="22.28515625" style="4" customWidth="1"/>
    <col min="4879" max="4879" width="17.85546875" style="4" customWidth="1"/>
    <col min="4880" max="4880" width="6" style="4" bestFit="1" customWidth="1"/>
    <col min="4881" max="4881" width="5" style="4" bestFit="1" customWidth="1"/>
    <col min="4882" max="4882" width="9.5703125" style="4" bestFit="1" customWidth="1"/>
    <col min="4883" max="4883" width="11.85546875" style="4" bestFit="1" customWidth="1"/>
    <col min="4884" max="5120" width="9.140625" style="4"/>
    <col min="5121" max="5121" width="4.140625" style="4" customWidth="1"/>
    <col min="5122" max="5122" width="39.85546875" style="4" customWidth="1"/>
    <col min="5123" max="5123" width="12.7109375" style="4" customWidth="1"/>
    <col min="5124" max="5124" width="5.28515625" style="4" customWidth="1"/>
    <col min="5125" max="5125" width="10.7109375" style="4" bestFit="1" customWidth="1"/>
    <col min="5126" max="5126" width="6.42578125" style="4" customWidth="1"/>
    <col min="5127" max="5127" width="12" style="4" customWidth="1"/>
    <col min="5128" max="5128" width="6.7109375" style="4" bestFit="1" customWidth="1"/>
    <col min="5129" max="5129" width="11.7109375" style="4" customWidth="1"/>
    <col min="5130" max="5130" width="5.85546875" style="4" customWidth="1"/>
    <col min="5131" max="5131" width="12.28515625" style="4" customWidth="1"/>
    <col min="5132" max="5132" width="6" style="4" customWidth="1"/>
    <col min="5133" max="5133" width="12" style="4" customWidth="1"/>
    <col min="5134" max="5134" width="22.28515625" style="4" customWidth="1"/>
    <col min="5135" max="5135" width="17.85546875" style="4" customWidth="1"/>
    <col min="5136" max="5136" width="6" style="4" bestFit="1" customWidth="1"/>
    <col min="5137" max="5137" width="5" style="4" bestFit="1" customWidth="1"/>
    <col min="5138" max="5138" width="9.5703125" style="4" bestFit="1" customWidth="1"/>
    <col min="5139" max="5139" width="11.85546875" style="4" bestFit="1" customWidth="1"/>
    <col min="5140" max="5376" width="9.140625" style="4"/>
    <col min="5377" max="5377" width="4.140625" style="4" customWidth="1"/>
    <col min="5378" max="5378" width="39.85546875" style="4" customWidth="1"/>
    <col min="5379" max="5379" width="12.7109375" style="4" customWidth="1"/>
    <col min="5380" max="5380" width="5.28515625" style="4" customWidth="1"/>
    <col min="5381" max="5381" width="10.7109375" style="4" bestFit="1" customWidth="1"/>
    <col min="5382" max="5382" width="6.42578125" style="4" customWidth="1"/>
    <col min="5383" max="5383" width="12" style="4" customWidth="1"/>
    <col min="5384" max="5384" width="6.7109375" style="4" bestFit="1" customWidth="1"/>
    <col min="5385" max="5385" width="11.7109375" style="4" customWidth="1"/>
    <col min="5386" max="5386" width="5.85546875" style="4" customWidth="1"/>
    <col min="5387" max="5387" width="12.28515625" style="4" customWidth="1"/>
    <col min="5388" max="5388" width="6" style="4" customWidth="1"/>
    <col min="5389" max="5389" width="12" style="4" customWidth="1"/>
    <col min="5390" max="5390" width="22.28515625" style="4" customWidth="1"/>
    <col min="5391" max="5391" width="17.85546875" style="4" customWidth="1"/>
    <col min="5392" max="5392" width="6" style="4" bestFit="1" customWidth="1"/>
    <col min="5393" max="5393" width="5" style="4" bestFit="1" customWidth="1"/>
    <col min="5394" max="5394" width="9.5703125" style="4" bestFit="1" customWidth="1"/>
    <col min="5395" max="5395" width="11.85546875" style="4" bestFit="1" customWidth="1"/>
    <col min="5396" max="5632" width="9.140625" style="4"/>
    <col min="5633" max="5633" width="4.140625" style="4" customWidth="1"/>
    <col min="5634" max="5634" width="39.85546875" style="4" customWidth="1"/>
    <col min="5635" max="5635" width="12.7109375" style="4" customWidth="1"/>
    <col min="5636" max="5636" width="5.28515625" style="4" customWidth="1"/>
    <col min="5637" max="5637" width="10.7109375" style="4" bestFit="1" customWidth="1"/>
    <col min="5638" max="5638" width="6.42578125" style="4" customWidth="1"/>
    <col min="5639" max="5639" width="12" style="4" customWidth="1"/>
    <col min="5640" max="5640" width="6.7109375" style="4" bestFit="1" customWidth="1"/>
    <col min="5641" max="5641" width="11.7109375" style="4" customWidth="1"/>
    <col min="5642" max="5642" width="5.85546875" style="4" customWidth="1"/>
    <col min="5643" max="5643" width="12.28515625" style="4" customWidth="1"/>
    <col min="5644" max="5644" width="6" style="4" customWidth="1"/>
    <col min="5645" max="5645" width="12" style="4" customWidth="1"/>
    <col min="5646" max="5646" width="22.28515625" style="4" customWidth="1"/>
    <col min="5647" max="5647" width="17.85546875" style="4" customWidth="1"/>
    <col min="5648" max="5648" width="6" style="4" bestFit="1" customWidth="1"/>
    <col min="5649" max="5649" width="5" style="4" bestFit="1" customWidth="1"/>
    <col min="5650" max="5650" width="9.5703125" style="4" bestFit="1" customWidth="1"/>
    <col min="5651" max="5651" width="11.85546875" style="4" bestFit="1" customWidth="1"/>
    <col min="5652" max="5888" width="9.140625" style="4"/>
    <col min="5889" max="5889" width="4.140625" style="4" customWidth="1"/>
    <col min="5890" max="5890" width="39.85546875" style="4" customWidth="1"/>
    <col min="5891" max="5891" width="12.7109375" style="4" customWidth="1"/>
    <col min="5892" max="5892" width="5.28515625" style="4" customWidth="1"/>
    <col min="5893" max="5893" width="10.7109375" style="4" bestFit="1" customWidth="1"/>
    <col min="5894" max="5894" width="6.42578125" style="4" customWidth="1"/>
    <col min="5895" max="5895" width="12" style="4" customWidth="1"/>
    <col min="5896" max="5896" width="6.7109375" style="4" bestFit="1" customWidth="1"/>
    <col min="5897" max="5897" width="11.7109375" style="4" customWidth="1"/>
    <col min="5898" max="5898" width="5.85546875" style="4" customWidth="1"/>
    <col min="5899" max="5899" width="12.28515625" style="4" customWidth="1"/>
    <col min="5900" max="5900" width="6" style="4" customWidth="1"/>
    <col min="5901" max="5901" width="12" style="4" customWidth="1"/>
    <col min="5902" max="5902" width="22.28515625" style="4" customWidth="1"/>
    <col min="5903" max="5903" width="17.85546875" style="4" customWidth="1"/>
    <col min="5904" max="5904" width="6" style="4" bestFit="1" customWidth="1"/>
    <col min="5905" max="5905" width="5" style="4" bestFit="1" customWidth="1"/>
    <col min="5906" max="5906" width="9.5703125" style="4" bestFit="1" customWidth="1"/>
    <col min="5907" max="5907" width="11.85546875" style="4" bestFit="1" customWidth="1"/>
    <col min="5908" max="6144" width="9.140625" style="4"/>
    <col min="6145" max="6145" width="4.140625" style="4" customWidth="1"/>
    <col min="6146" max="6146" width="39.85546875" style="4" customWidth="1"/>
    <col min="6147" max="6147" width="12.7109375" style="4" customWidth="1"/>
    <col min="6148" max="6148" width="5.28515625" style="4" customWidth="1"/>
    <col min="6149" max="6149" width="10.7109375" style="4" bestFit="1" customWidth="1"/>
    <col min="6150" max="6150" width="6.42578125" style="4" customWidth="1"/>
    <col min="6151" max="6151" width="12" style="4" customWidth="1"/>
    <col min="6152" max="6152" width="6.7109375" style="4" bestFit="1" customWidth="1"/>
    <col min="6153" max="6153" width="11.7109375" style="4" customWidth="1"/>
    <col min="6154" max="6154" width="5.85546875" style="4" customWidth="1"/>
    <col min="6155" max="6155" width="12.28515625" style="4" customWidth="1"/>
    <col min="6156" max="6156" width="6" style="4" customWidth="1"/>
    <col min="6157" max="6157" width="12" style="4" customWidth="1"/>
    <col min="6158" max="6158" width="22.28515625" style="4" customWidth="1"/>
    <col min="6159" max="6159" width="17.85546875" style="4" customWidth="1"/>
    <col min="6160" max="6160" width="6" style="4" bestFit="1" customWidth="1"/>
    <col min="6161" max="6161" width="5" style="4" bestFit="1" customWidth="1"/>
    <col min="6162" max="6162" width="9.5703125" style="4" bestFit="1" customWidth="1"/>
    <col min="6163" max="6163" width="11.85546875" style="4" bestFit="1" customWidth="1"/>
    <col min="6164" max="6400" width="9.140625" style="4"/>
    <col min="6401" max="6401" width="4.140625" style="4" customWidth="1"/>
    <col min="6402" max="6402" width="39.85546875" style="4" customWidth="1"/>
    <col min="6403" max="6403" width="12.7109375" style="4" customWidth="1"/>
    <col min="6404" max="6404" width="5.28515625" style="4" customWidth="1"/>
    <col min="6405" max="6405" width="10.7109375" style="4" bestFit="1" customWidth="1"/>
    <col min="6406" max="6406" width="6.42578125" style="4" customWidth="1"/>
    <col min="6407" max="6407" width="12" style="4" customWidth="1"/>
    <col min="6408" max="6408" width="6.7109375" style="4" bestFit="1" customWidth="1"/>
    <col min="6409" max="6409" width="11.7109375" style="4" customWidth="1"/>
    <col min="6410" max="6410" width="5.85546875" style="4" customWidth="1"/>
    <col min="6411" max="6411" width="12.28515625" style="4" customWidth="1"/>
    <col min="6412" max="6412" width="6" style="4" customWidth="1"/>
    <col min="6413" max="6413" width="12" style="4" customWidth="1"/>
    <col min="6414" max="6414" width="22.28515625" style="4" customWidth="1"/>
    <col min="6415" max="6415" width="17.85546875" style="4" customWidth="1"/>
    <col min="6416" max="6416" width="6" style="4" bestFit="1" customWidth="1"/>
    <col min="6417" max="6417" width="5" style="4" bestFit="1" customWidth="1"/>
    <col min="6418" max="6418" width="9.5703125" style="4" bestFit="1" customWidth="1"/>
    <col min="6419" max="6419" width="11.85546875" style="4" bestFit="1" customWidth="1"/>
    <col min="6420" max="6656" width="9.140625" style="4"/>
    <col min="6657" max="6657" width="4.140625" style="4" customWidth="1"/>
    <col min="6658" max="6658" width="39.85546875" style="4" customWidth="1"/>
    <col min="6659" max="6659" width="12.7109375" style="4" customWidth="1"/>
    <col min="6660" max="6660" width="5.28515625" style="4" customWidth="1"/>
    <col min="6661" max="6661" width="10.7109375" style="4" bestFit="1" customWidth="1"/>
    <col min="6662" max="6662" width="6.42578125" style="4" customWidth="1"/>
    <col min="6663" max="6663" width="12" style="4" customWidth="1"/>
    <col min="6664" max="6664" width="6.7109375" style="4" bestFit="1" customWidth="1"/>
    <col min="6665" max="6665" width="11.7109375" style="4" customWidth="1"/>
    <col min="6666" max="6666" width="5.85546875" style="4" customWidth="1"/>
    <col min="6667" max="6667" width="12.28515625" style="4" customWidth="1"/>
    <col min="6668" max="6668" width="6" style="4" customWidth="1"/>
    <col min="6669" max="6669" width="12" style="4" customWidth="1"/>
    <col min="6670" max="6670" width="22.28515625" style="4" customWidth="1"/>
    <col min="6671" max="6671" width="17.85546875" style="4" customWidth="1"/>
    <col min="6672" max="6672" width="6" style="4" bestFit="1" customWidth="1"/>
    <col min="6673" max="6673" width="5" style="4" bestFit="1" customWidth="1"/>
    <col min="6674" max="6674" width="9.5703125" style="4" bestFit="1" customWidth="1"/>
    <col min="6675" max="6675" width="11.85546875" style="4" bestFit="1" customWidth="1"/>
    <col min="6676" max="6912" width="9.140625" style="4"/>
    <col min="6913" max="6913" width="4.140625" style="4" customWidth="1"/>
    <col min="6914" max="6914" width="39.85546875" style="4" customWidth="1"/>
    <col min="6915" max="6915" width="12.7109375" style="4" customWidth="1"/>
    <col min="6916" max="6916" width="5.28515625" style="4" customWidth="1"/>
    <col min="6917" max="6917" width="10.7109375" style="4" bestFit="1" customWidth="1"/>
    <col min="6918" max="6918" width="6.42578125" style="4" customWidth="1"/>
    <col min="6919" max="6919" width="12" style="4" customWidth="1"/>
    <col min="6920" max="6920" width="6.7109375" style="4" bestFit="1" customWidth="1"/>
    <col min="6921" max="6921" width="11.7109375" style="4" customWidth="1"/>
    <col min="6922" max="6922" width="5.85546875" style="4" customWidth="1"/>
    <col min="6923" max="6923" width="12.28515625" style="4" customWidth="1"/>
    <col min="6924" max="6924" width="6" style="4" customWidth="1"/>
    <col min="6925" max="6925" width="12" style="4" customWidth="1"/>
    <col min="6926" max="6926" width="22.28515625" style="4" customWidth="1"/>
    <col min="6927" max="6927" width="17.85546875" style="4" customWidth="1"/>
    <col min="6928" max="6928" width="6" style="4" bestFit="1" customWidth="1"/>
    <col min="6929" max="6929" width="5" style="4" bestFit="1" customWidth="1"/>
    <col min="6930" max="6930" width="9.5703125" style="4" bestFit="1" customWidth="1"/>
    <col min="6931" max="6931" width="11.85546875" style="4" bestFit="1" customWidth="1"/>
    <col min="6932" max="7168" width="9.140625" style="4"/>
    <col min="7169" max="7169" width="4.140625" style="4" customWidth="1"/>
    <col min="7170" max="7170" width="39.85546875" style="4" customWidth="1"/>
    <col min="7171" max="7171" width="12.7109375" style="4" customWidth="1"/>
    <col min="7172" max="7172" width="5.28515625" style="4" customWidth="1"/>
    <col min="7173" max="7173" width="10.7109375" style="4" bestFit="1" customWidth="1"/>
    <col min="7174" max="7174" width="6.42578125" style="4" customWidth="1"/>
    <col min="7175" max="7175" width="12" style="4" customWidth="1"/>
    <col min="7176" max="7176" width="6.7109375" style="4" bestFit="1" customWidth="1"/>
    <col min="7177" max="7177" width="11.7109375" style="4" customWidth="1"/>
    <col min="7178" max="7178" width="5.85546875" style="4" customWidth="1"/>
    <col min="7179" max="7179" width="12.28515625" style="4" customWidth="1"/>
    <col min="7180" max="7180" width="6" style="4" customWidth="1"/>
    <col min="7181" max="7181" width="12" style="4" customWidth="1"/>
    <col min="7182" max="7182" width="22.28515625" style="4" customWidth="1"/>
    <col min="7183" max="7183" width="17.85546875" style="4" customWidth="1"/>
    <col min="7184" max="7184" width="6" style="4" bestFit="1" customWidth="1"/>
    <col min="7185" max="7185" width="5" style="4" bestFit="1" customWidth="1"/>
    <col min="7186" max="7186" width="9.5703125" style="4" bestFit="1" customWidth="1"/>
    <col min="7187" max="7187" width="11.85546875" style="4" bestFit="1" customWidth="1"/>
    <col min="7188" max="7424" width="9.140625" style="4"/>
    <col min="7425" max="7425" width="4.140625" style="4" customWidth="1"/>
    <col min="7426" max="7426" width="39.85546875" style="4" customWidth="1"/>
    <col min="7427" max="7427" width="12.7109375" style="4" customWidth="1"/>
    <col min="7428" max="7428" width="5.28515625" style="4" customWidth="1"/>
    <col min="7429" max="7429" width="10.7109375" style="4" bestFit="1" customWidth="1"/>
    <col min="7430" max="7430" width="6.42578125" style="4" customWidth="1"/>
    <col min="7431" max="7431" width="12" style="4" customWidth="1"/>
    <col min="7432" max="7432" width="6.7109375" style="4" bestFit="1" customWidth="1"/>
    <col min="7433" max="7433" width="11.7109375" style="4" customWidth="1"/>
    <col min="7434" max="7434" width="5.85546875" style="4" customWidth="1"/>
    <col min="7435" max="7435" width="12.28515625" style="4" customWidth="1"/>
    <col min="7436" max="7436" width="6" style="4" customWidth="1"/>
    <col min="7437" max="7437" width="12" style="4" customWidth="1"/>
    <col min="7438" max="7438" width="22.28515625" style="4" customWidth="1"/>
    <col min="7439" max="7439" width="17.85546875" style="4" customWidth="1"/>
    <col min="7440" max="7440" width="6" style="4" bestFit="1" customWidth="1"/>
    <col min="7441" max="7441" width="5" style="4" bestFit="1" customWidth="1"/>
    <col min="7442" max="7442" width="9.5703125" style="4" bestFit="1" customWidth="1"/>
    <col min="7443" max="7443" width="11.85546875" style="4" bestFit="1" customWidth="1"/>
    <col min="7444" max="7680" width="9.140625" style="4"/>
    <col min="7681" max="7681" width="4.140625" style="4" customWidth="1"/>
    <col min="7682" max="7682" width="39.85546875" style="4" customWidth="1"/>
    <col min="7683" max="7683" width="12.7109375" style="4" customWidth="1"/>
    <col min="7684" max="7684" width="5.28515625" style="4" customWidth="1"/>
    <col min="7685" max="7685" width="10.7109375" style="4" bestFit="1" customWidth="1"/>
    <col min="7686" max="7686" width="6.42578125" style="4" customWidth="1"/>
    <col min="7687" max="7687" width="12" style="4" customWidth="1"/>
    <col min="7688" max="7688" width="6.7109375" style="4" bestFit="1" customWidth="1"/>
    <col min="7689" max="7689" width="11.7109375" style="4" customWidth="1"/>
    <col min="7690" max="7690" width="5.85546875" style="4" customWidth="1"/>
    <col min="7691" max="7691" width="12.28515625" style="4" customWidth="1"/>
    <col min="7692" max="7692" width="6" style="4" customWidth="1"/>
    <col min="7693" max="7693" width="12" style="4" customWidth="1"/>
    <col min="7694" max="7694" width="22.28515625" style="4" customWidth="1"/>
    <col min="7695" max="7695" width="17.85546875" style="4" customWidth="1"/>
    <col min="7696" max="7696" width="6" style="4" bestFit="1" customWidth="1"/>
    <col min="7697" max="7697" width="5" style="4" bestFit="1" customWidth="1"/>
    <col min="7698" max="7698" width="9.5703125" style="4" bestFit="1" customWidth="1"/>
    <col min="7699" max="7699" width="11.85546875" style="4" bestFit="1" customWidth="1"/>
    <col min="7700" max="7936" width="9.140625" style="4"/>
    <col min="7937" max="7937" width="4.140625" style="4" customWidth="1"/>
    <col min="7938" max="7938" width="39.85546875" style="4" customWidth="1"/>
    <col min="7939" max="7939" width="12.7109375" style="4" customWidth="1"/>
    <col min="7940" max="7940" width="5.28515625" style="4" customWidth="1"/>
    <col min="7941" max="7941" width="10.7109375" style="4" bestFit="1" customWidth="1"/>
    <col min="7942" max="7942" width="6.42578125" style="4" customWidth="1"/>
    <col min="7943" max="7943" width="12" style="4" customWidth="1"/>
    <col min="7944" max="7944" width="6.7109375" style="4" bestFit="1" customWidth="1"/>
    <col min="7945" max="7945" width="11.7109375" style="4" customWidth="1"/>
    <col min="7946" max="7946" width="5.85546875" style="4" customWidth="1"/>
    <col min="7947" max="7947" width="12.28515625" style="4" customWidth="1"/>
    <col min="7948" max="7948" width="6" style="4" customWidth="1"/>
    <col min="7949" max="7949" width="12" style="4" customWidth="1"/>
    <col min="7950" max="7950" width="22.28515625" style="4" customWidth="1"/>
    <col min="7951" max="7951" width="17.85546875" style="4" customWidth="1"/>
    <col min="7952" max="7952" width="6" style="4" bestFit="1" customWidth="1"/>
    <col min="7953" max="7953" width="5" style="4" bestFit="1" customWidth="1"/>
    <col min="7954" max="7954" width="9.5703125" style="4" bestFit="1" customWidth="1"/>
    <col min="7955" max="7955" width="11.85546875" style="4" bestFit="1" customWidth="1"/>
    <col min="7956" max="8192" width="9.140625" style="4"/>
    <col min="8193" max="8193" width="4.140625" style="4" customWidth="1"/>
    <col min="8194" max="8194" width="39.85546875" style="4" customWidth="1"/>
    <col min="8195" max="8195" width="12.7109375" style="4" customWidth="1"/>
    <col min="8196" max="8196" width="5.28515625" style="4" customWidth="1"/>
    <col min="8197" max="8197" width="10.7109375" style="4" bestFit="1" customWidth="1"/>
    <col min="8198" max="8198" width="6.42578125" style="4" customWidth="1"/>
    <col min="8199" max="8199" width="12" style="4" customWidth="1"/>
    <col min="8200" max="8200" width="6.7109375" style="4" bestFit="1" customWidth="1"/>
    <col min="8201" max="8201" width="11.7109375" style="4" customWidth="1"/>
    <col min="8202" max="8202" width="5.85546875" style="4" customWidth="1"/>
    <col min="8203" max="8203" width="12.28515625" style="4" customWidth="1"/>
    <col min="8204" max="8204" width="6" style="4" customWidth="1"/>
    <col min="8205" max="8205" width="12" style="4" customWidth="1"/>
    <col min="8206" max="8206" width="22.28515625" style="4" customWidth="1"/>
    <col min="8207" max="8207" width="17.85546875" style="4" customWidth="1"/>
    <col min="8208" max="8208" width="6" style="4" bestFit="1" customWidth="1"/>
    <col min="8209" max="8209" width="5" style="4" bestFit="1" customWidth="1"/>
    <col min="8210" max="8210" width="9.5703125" style="4" bestFit="1" customWidth="1"/>
    <col min="8211" max="8211" width="11.85546875" style="4" bestFit="1" customWidth="1"/>
    <col min="8212" max="8448" width="9.140625" style="4"/>
    <col min="8449" max="8449" width="4.140625" style="4" customWidth="1"/>
    <col min="8450" max="8450" width="39.85546875" style="4" customWidth="1"/>
    <col min="8451" max="8451" width="12.7109375" style="4" customWidth="1"/>
    <col min="8452" max="8452" width="5.28515625" style="4" customWidth="1"/>
    <col min="8453" max="8453" width="10.7109375" style="4" bestFit="1" customWidth="1"/>
    <col min="8454" max="8454" width="6.42578125" style="4" customWidth="1"/>
    <col min="8455" max="8455" width="12" style="4" customWidth="1"/>
    <col min="8456" max="8456" width="6.7109375" style="4" bestFit="1" customWidth="1"/>
    <col min="8457" max="8457" width="11.7109375" style="4" customWidth="1"/>
    <col min="8458" max="8458" width="5.85546875" style="4" customWidth="1"/>
    <col min="8459" max="8459" width="12.28515625" style="4" customWidth="1"/>
    <col min="8460" max="8460" width="6" style="4" customWidth="1"/>
    <col min="8461" max="8461" width="12" style="4" customWidth="1"/>
    <col min="8462" max="8462" width="22.28515625" style="4" customWidth="1"/>
    <col min="8463" max="8463" width="17.85546875" style="4" customWidth="1"/>
    <col min="8464" max="8464" width="6" style="4" bestFit="1" customWidth="1"/>
    <col min="8465" max="8465" width="5" style="4" bestFit="1" customWidth="1"/>
    <col min="8466" max="8466" width="9.5703125" style="4" bestFit="1" customWidth="1"/>
    <col min="8467" max="8467" width="11.85546875" style="4" bestFit="1" customWidth="1"/>
    <col min="8468" max="8704" width="9.140625" style="4"/>
    <col min="8705" max="8705" width="4.140625" style="4" customWidth="1"/>
    <col min="8706" max="8706" width="39.85546875" style="4" customWidth="1"/>
    <col min="8707" max="8707" width="12.7109375" style="4" customWidth="1"/>
    <col min="8708" max="8708" width="5.28515625" style="4" customWidth="1"/>
    <col min="8709" max="8709" width="10.7109375" style="4" bestFit="1" customWidth="1"/>
    <col min="8710" max="8710" width="6.42578125" style="4" customWidth="1"/>
    <col min="8711" max="8711" width="12" style="4" customWidth="1"/>
    <col min="8712" max="8712" width="6.7109375" style="4" bestFit="1" customWidth="1"/>
    <col min="8713" max="8713" width="11.7109375" style="4" customWidth="1"/>
    <col min="8714" max="8714" width="5.85546875" style="4" customWidth="1"/>
    <col min="8715" max="8715" width="12.28515625" style="4" customWidth="1"/>
    <col min="8716" max="8716" width="6" style="4" customWidth="1"/>
    <col min="8717" max="8717" width="12" style="4" customWidth="1"/>
    <col min="8718" max="8718" width="22.28515625" style="4" customWidth="1"/>
    <col min="8719" max="8719" width="17.85546875" style="4" customWidth="1"/>
    <col min="8720" max="8720" width="6" style="4" bestFit="1" customWidth="1"/>
    <col min="8721" max="8721" width="5" style="4" bestFit="1" customWidth="1"/>
    <col min="8722" max="8722" width="9.5703125" style="4" bestFit="1" customWidth="1"/>
    <col min="8723" max="8723" width="11.85546875" style="4" bestFit="1" customWidth="1"/>
    <col min="8724" max="8960" width="9.140625" style="4"/>
    <col min="8961" max="8961" width="4.140625" style="4" customWidth="1"/>
    <col min="8962" max="8962" width="39.85546875" style="4" customWidth="1"/>
    <col min="8963" max="8963" width="12.7109375" style="4" customWidth="1"/>
    <col min="8964" max="8964" width="5.28515625" style="4" customWidth="1"/>
    <col min="8965" max="8965" width="10.7109375" style="4" bestFit="1" customWidth="1"/>
    <col min="8966" max="8966" width="6.42578125" style="4" customWidth="1"/>
    <col min="8967" max="8967" width="12" style="4" customWidth="1"/>
    <col min="8968" max="8968" width="6.7109375" style="4" bestFit="1" customWidth="1"/>
    <col min="8969" max="8969" width="11.7109375" style="4" customWidth="1"/>
    <col min="8970" max="8970" width="5.85546875" style="4" customWidth="1"/>
    <col min="8971" max="8971" width="12.28515625" style="4" customWidth="1"/>
    <col min="8972" max="8972" width="6" style="4" customWidth="1"/>
    <col min="8973" max="8973" width="12" style="4" customWidth="1"/>
    <col min="8974" max="8974" width="22.28515625" style="4" customWidth="1"/>
    <col min="8975" max="8975" width="17.85546875" style="4" customWidth="1"/>
    <col min="8976" max="8976" width="6" style="4" bestFit="1" customWidth="1"/>
    <col min="8977" max="8977" width="5" style="4" bestFit="1" customWidth="1"/>
    <col min="8978" max="8978" width="9.5703125" style="4" bestFit="1" customWidth="1"/>
    <col min="8979" max="8979" width="11.85546875" style="4" bestFit="1" customWidth="1"/>
    <col min="8980" max="9216" width="9.140625" style="4"/>
    <col min="9217" max="9217" width="4.140625" style="4" customWidth="1"/>
    <col min="9218" max="9218" width="39.85546875" style="4" customWidth="1"/>
    <col min="9219" max="9219" width="12.7109375" style="4" customWidth="1"/>
    <col min="9220" max="9220" width="5.28515625" style="4" customWidth="1"/>
    <col min="9221" max="9221" width="10.7109375" style="4" bestFit="1" customWidth="1"/>
    <col min="9222" max="9222" width="6.42578125" style="4" customWidth="1"/>
    <col min="9223" max="9223" width="12" style="4" customWidth="1"/>
    <col min="9224" max="9224" width="6.7109375" style="4" bestFit="1" customWidth="1"/>
    <col min="9225" max="9225" width="11.7109375" style="4" customWidth="1"/>
    <col min="9226" max="9226" width="5.85546875" style="4" customWidth="1"/>
    <col min="9227" max="9227" width="12.28515625" style="4" customWidth="1"/>
    <col min="9228" max="9228" width="6" style="4" customWidth="1"/>
    <col min="9229" max="9229" width="12" style="4" customWidth="1"/>
    <col min="9230" max="9230" width="22.28515625" style="4" customWidth="1"/>
    <col min="9231" max="9231" width="17.85546875" style="4" customWidth="1"/>
    <col min="9232" max="9232" width="6" style="4" bestFit="1" customWidth="1"/>
    <col min="9233" max="9233" width="5" style="4" bestFit="1" customWidth="1"/>
    <col min="9234" max="9234" width="9.5703125" style="4" bestFit="1" customWidth="1"/>
    <col min="9235" max="9235" width="11.85546875" style="4" bestFit="1" customWidth="1"/>
    <col min="9236" max="9472" width="9.140625" style="4"/>
    <col min="9473" max="9473" width="4.140625" style="4" customWidth="1"/>
    <col min="9474" max="9474" width="39.85546875" style="4" customWidth="1"/>
    <col min="9475" max="9475" width="12.7109375" style="4" customWidth="1"/>
    <col min="9476" max="9476" width="5.28515625" style="4" customWidth="1"/>
    <col min="9477" max="9477" width="10.7109375" style="4" bestFit="1" customWidth="1"/>
    <col min="9478" max="9478" width="6.42578125" style="4" customWidth="1"/>
    <col min="9479" max="9479" width="12" style="4" customWidth="1"/>
    <col min="9480" max="9480" width="6.7109375" style="4" bestFit="1" customWidth="1"/>
    <col min="9481" max="9481" width="11.7109375" style="4" customWidth="1"/>
    <col min="9482" max="9482" width="5.85546875" style="4" customWidth="1"/>
    <col min="9483" max="9483" width="12.28515625" style="4" customWidth="1"/>
    <col min="9484" max="9484" width="6" style="4" customWidth="1"/>
    <col min="9485" max="9485" width="12" style="4" customWidth="1"/>
    <col min="9486" max="9486" width="22.28515625" style="4" customWidth="1"/>
    <col min="9487" max="9487" width="17.85546875" style="4" customWidth="1"/>
    <col min="9488" max="9488" width="6" style="4" bestFit="1" customWidth="1"/>
    <col min="9489" max="9489" width="5" style="4" bestFit="1" customWidth="1"/>
    <col min="9490" max="9490" width="9.5703125" style="4" bestFit="1" customWidth="1"/>
    <col min="9491" max="9491" width="11.85546875" style="4" bestFit="1" customWidth="1"/>
    <col min="9492" max="9728" width="9.140625" style="4"/>
    <col min="9729" max="9729" width="4.140625" style="4" customWidth="1"/>
    <col min="9730" max="9730" width="39.85546875" style="4" customWidth="1"/>
    <col min="9731" max="9731" width="12.7109375" style="4" customWidth="1"/>
    <col min="9732" max="9732" width="5.28515625" style="4" customWidth="1"/>
    <col min="9733" max="9733" width="10.7109375" style="4" bestFit="1" customWidth="1"/>
    <col min="9734" max="9734" width="6.42578125" style="4" customWidth="1"/>
    <col min="9735" max="9735" width="12" style="4" customWidth="1"/>
    <col min="9736" max="9736" width="6.7109375" style="4" bestFit="1" customWidth="1"/>
    <col min="9737" max="9737" width="11.7109375" style="4" customWidth="1"/>
    <col min="9738" max="9738" width="5.85546875" style="4" customWidth="1"/>
    <col min="9739" max="9739" width="12.28515625" style="4" customWidth="1"/>
    <col min="9740" max="9740" width="6" style="4" customWidth="1"/>
    <col min="9741" max="9741" width="12" style="4" customWidth="1"/>
    <col min="9742" max="9742" width="22.28515625" style="4" customWidth="1"/>
    <col min="9743" max="9743" width="17.85546875" style="4" customWidth="1"/>
    <col min="9744" max="9744" width="6" style="4" bestFit="1" customWidth="1"/>
    <col min="9745" max="9745" width="5" style="4" bestFit="1" customWidth="1"/>
    <col min="9746" max="9746" width="9.5703125" style="4" bestFit="1" customWidth="1"/>
    <col min="9747" max="9747" width="11.85546875" style="4" bestFit="1" customWidth="1"/>
    <col min="9748" max="9984" width="9.140625" style="4"/>
    <col min="9985" max="9985" width="4.140625" style="4" customWidth="1"/>
    <col min="9986" max="9986" width="39.85546875" style="4" customWidth="1"/>
    <col min="9987" max="9987" width="12.7109375" style="4" customWidth="1"/>
    <col min="9988" max="9988" width="5.28515625" style="4" customWidth="1"/>
    <col min="9989" max="9989" width="10.7109375" style="4" bestFit="1" customWidth="1"/>
    <col min="9990" max="9990" width="6.42578125" style="4" customWidth="1"/>
    <col min="9991" max="9991" width="12" style="4" customWidth="1"/>
    <col min="9992" max="9992" width="6.7109375" style="4" bestFit="1" customWidth="1"/>
    <col min="9993" max="9993" width="11.7109375" style="4" customWidth="1"/>
    <col min="9994" max="9994" width="5.85546875" style="4" customWidth="1"/>
    <col min="9995" max="9995" width="12.28515625" style="4" customWidth="1"/>
    <col min="9996" max="9996" width="6" style="4" customWidth="1"/>
    <col min="9997" max="9997" width="12" style="4" customWidth="1"/>
    <col min="9998" max="9998" width="22.28515625" style="4" customWidth="1"/>
    <col min="9999" max="9999" width="17.85546875" style="4" customWidth="1"/>
    <col min="10000" max="10000" width="6" style="4" bestFit="1" customWidth="1"/>
    <col min="10001" max="10001" width="5" style="4" bestFit="1" customWidth="1"/>
    <col min="10002" max="10002" width="9.5703125" style="4" bestFit="1" customWidth="1"/>
    <col min="10003" max="10003" width="11.85546875" style="4" bestFit="1" customWidth="1"/>
    <col min="10004" max="10240" width="9.140625" style="4"/>
    <col min="10241" max="10241" width="4.140625" style="4" customWidth="1"/>
    <col min="10242" max="10242" width="39.85546875" style="4" customWidth="1"/>
    <col min="10243" max="10243" width="12.7109375" style="4" customWidth="1"/>
    <col min="10244" max="10244" width="5.28515625" style="4" customWidth="1"/>
    <col min="10245" max="10245" width="10.7109375" style="4" bestFit="1" customWidth="1"/>
    <col min="10246" max="10246" width="6.42578125" style="4" customWidth="1"/>
    <col min="10247" max="10247" width="12" style="4" customWidth="1"/>
    <col min="10248" max="10248" width="6.7109375" style="4" bestFit="1" customWidth="1"/>
    <col min="10249" max="10249" width="11.7109375" style="4" customWidth="1"/>
    <col min="10250" max="10250" width="5.85546875" style="4" customWidth="1"/>
    <col min="10251" max="10251" width="12.28515625" style="4" customWidth="1"/>
    <col min="10252" max="10252" width="6" style="4" customWidth="1"/>
    <col min="10253" max="10253" width="12" style="4" customWidth="1"/>
    <col min="10254" max="10254" width="22.28515625" style="4" customWidth="1"/>
    <col min="10255" max="10255" width="17.85546875" style="4" customWidth="1"/>
    <col min="10256" max="10256" width="6" style="4" bestFit="1" customWidth="1"/>
    <col min="10257" max="10257" width="5" style="4" bestFit="1" customWidth="1"/>
    <col min="10258" max="10258" width="9.5703125" style="4" bestFit="1" customWidth="1"/>
    <col min="10259" max="10259" width="11.85546875" style="4" bestFit="1" customWidth="1"/>
    <col min="10260" max="10496" width="9.140625" style="4"/>
    <col min="10497" max="10497" width="4.140625" style="4" customWidth="1"/>
    <col min="10498" max="10498" width="39.85546875" style="4" customWidth="1"/>
    <col min="10499" max="10499" width="12.7109375" style="4" customWidth="1"/>
    <col min="10500" max="10500" width="5.28515625" style="4" customWidth="1"/>
    <col min="10501" max="10501" width="10.7109375" style="4" bestFit="1" customWidth="1"/>
    <col min="10502" max="10502" width="6.42578125" style="4" customWidth="1"/>
    <col min="10503" max="10503" width="12" style="4" customWidth="1"/>
    <col min="10504" max="10504" width="6.7109375" style="4" bestFit="1" customWidth="1"/>
    <col min="10505" max="10505" width="11.7109375" style="4" customWidth="1"/>
    <col min="10506" max="10506" width="5.85546875" style="4" customWidth="1"/>
    <col min="10507" max="10507" width="12.28515625" style="4" customWidth="1"/>
    <col min="10508" max="10508" width="6" style="4" customWidth="1"/>
    <col min="10509" max="10509" width="12" style="4" customWidth="1"/>
    <col min="10510" max="10510" width="22.28515625" style="4" customWidth="1"/>
    <col min="10511" max="10511" width="17.85546875" style="4" customWidth="1"/>
    <col min="10512" max="10512" width="6" style="4" bestFit="1" customWidth="1"/>
    <col min="10513" max="10513" width="5" style="4" bestFit="1" customWidth="1"/>
    <col min="10514" max="10514" width="9.5703125" style="4" bestFit="1" customWidth="1"/>
    <col min="10515" max="10515" width="11.85546875" style="4" bestFit="1" customWidth="1"/>
    <col min="10516" max="10752" width="9.140625" style="4"/>
    <col min="10753" max="10753" width="4.140625" style="4" customWidth="1"/>
    <col min="10754" max="10754" width="39.85546875" style="4" customWidth="1"/>
    <col min="10755" max="10755" width="12.7109375" style="4" customWidth="1"/>
    <col min="10756" max="10756" width="5.28515625" style="4" customWidth="1"/>
    <col min="10757" max="10757" width="10.7109375" style="4" bestFit="1" customWidth="1"/>
    <col min="10758" max="10758" width="6.42578125" style="4" customWidth="1"/>
    <col min="10759" max="10759" width="12" style="4" customWidth="1"/>
    <col min="10760" max="10760" width="6.7109375" style="4" bestFit="1" customWidth="1"/>
    <col min="10761" max="10761" width="11.7109375" style="4" customWidth="1"/>
    <col min="10762" max="10762" width="5.85546875" style="4" customWidth="1"/>
    <col min="10763" max="10763" width="12.28515625" style="4" customWidth="1"/>
    <col min="10764" max="10764" width="6" style="4" customWidth="1"/>
    <col min="10765" max="10765" width="12" style="4" customWidth="1"/>
    <col min="10766" max="10766" width="22.28515625" style="4" customWidth="1"/>
    <col min="10767" max="10767" width="17.85546875" style="4" customWidth="1"/>
    <col min="10768" max="10768" width="6" style="4" bestFit="1" customWidth="1"/>
    <col min="10769" max="10769" width="5" style="4" bestFit="1" customWidth="1"/>
    <col min="10770" max="10770" width="9.5703125" style="4" bestFit="1" customWidth="1"/>
    <col min="10771" max="10771" width="11.85546875" style="4" bestFit="1" customWidth="1"/>
    <col min="10772" max="11008" width="9.140625" style="4"/>
    <col min="11009" max="11009" width="4.140625" style="4" customWidth="1"/>
    <col min="11010" max="11010" width="39.85546875" style="4" customWidth="1"/>
    <col min="11011" max="11011" width="12.7109375" style="4" customWidth="1"/>
    <col min="11012" max="11012" width="5.28515625" style="4" customWidth="1"/>
    <col min="11013" max="11013" width="10.7109375" style="4" bestFit="1" customWidth="1"/>
    <col min="11014" max="11014" width="6.42578125" style="4" customWidth="1"/>
    <col min="11015" max="11015" width="12" style="4" customWidth="1"/>
    <col min="11016" max="11016" width="6.7109375" style="4" bestFit="1" customWidth="1"/>
    <col min="11017" max="11017" width="11.7109375" style="4" customWidth="1"/>
    <col min="11018" max="11018" width="5.85546875" style="4" customWidth="1"/>
    <col min="11019" max="11019" width="12.28515625" style="4" customWidth="1"/>
    <col min="11020" max="11020" width="6" style="4" customWidth="1"/>
    <col min="11021" max="11021" width="12" style="4" customWidth="1"/>
    <col min="11022" max="11022" width="22.28515625" style="4" customWidth="1"/>
    <col min="11023" max="11023" width="17.85546875" style="4" customWidth="1"/>
    <col min="11024" max="11024" width="6" style="4" bestFit="1" customWidth="1"/>
    <col min="11025" max="11025" width="5" style="4" bestFit="1" customWidth="1"/>
    <col min="11026" max="11026" width="9.5703125" style="4" bestFit="1" customWidth="1"/>
    <col min="11027" max="11027" width="11.85546875" style="4" bestFit="1" customWidth="1"/>
    <col min="11028" max="11264" width="9.140625" style="4"/>
    <col min="11265" max="11265" width="4.140625" style="4" customWidth="1"/>
    <col min="11266" max="11266" width="39.85546875" style="4" customWidth="1"/>
    <col min="11267" max="11267" width="12.7109375" style="4" customWidth="1"/>
    <col min="11268" max="11268" width="5.28515625" style="4" customWidth="1"/>
    <col min="11269" max="11269" width="10.7109375" style="4" bestFit="1" customWidth="1"/>
    <col min="11270" max="11270" width="6.42578125" style="4" customWidth="1"/>
    <col min="11271" max="11271" width="12" style="4" customWidth="1"/>
    <col min="11272" max="11272" width="6.7109375" style="4" bestFit="1" customWidth="1"/>
    <col min="11273" max="11273" width="11.7109375" style="4" customWidth="1"/>
    <col min="11274" max="11274" width="5.85546875" style="4" customWidth="1"/>
    <col min="11275" max="11275" width="12.28515625" style="4" customWidth="1"/>
    <col min="11276" max="11276" width="6" style="4" customWidth="1"/>
    <col min="11277" max="11277" width="12" style="4" customWidth="1"/>
    <col min="11278" max="11278" width="22.28515625" style="4" customWidth="1"/>
    <col min="11279" max="11279" width="17.85546875" style="4" customWidth="1"/>
    <col min="11280" max="11280" width="6" style="4" bestFit="1" customWidth="1"/>
    <col min="11281" max="11281" width="5" style="4" bestFit="1" customWidth="1"/>
    <col min="11282" max="11282" width="9.5703125" style="4" bestFit="1" customWidth="1"/>
    <col min="11283" max="11283" width="11.85546875" style="4" bestFit="1" customWidth="1"/>
    <col min="11284" max="11520" width="9.140625" style="4"/>
    <col min="11521" max="11521" width="4.140625" style="4" customWidth="1"/>
    <col min="11522" max="11522" width="39.85546875" style="4" customWidth="1"/>
    <col min="11523" max="11523" width="12.7109375" style="4" customWidth="1"/>
    <col min="11524" max="11524" width="5.28515625" style="4" customWidth="1"/>
    <col min="11525" max="11525" width="10.7109375" style="4" bestFit="1" customWidth="1"/>
    <col min="11526" max="11526" width="6.42578125" style="4" customWidth="1"/>
    <col min="11527" max="11527" width="12" style="4" customWidth="1"/>
    <col min="11528" max="11528" width="6.7109375" style="4" bestFit="1" customWidth="1"/>
    <col min="11529" max="11529" width="11.7109375" style="4" customWidth="1"/>
    <col min="11530" max="11530" width="5.85546875" style="4" customWidth="1"/>
    <col min="11531" max="11531" width="12.28515625" style="4" customWidth="1"/>
    <col min="11532" max="11532" width="6" style="4" customWidth="1"/>
    <col min="11533" max="11533" width="12" style="4" customWidth="1"/>
    <col min="11534" max="11534" width="22.28515625" style="4" customWidth="1"/>
    <col min="11535" max="11535" width="17.85546875" style="4" customWidth="1"/>
    <col min="11536" max="11536" width="6" style="4" bestFit="1" customWidth="1"/>
    <col min="11537" max="11537" width="5" style="4" bestFit="1" customWidth="1"/>
    <col min="11538" max="11538" width="9.5703125" style="4" bestFit="1" customWidth="1"/>
    <col min="11539" max="11539" width="11.85546875" style="4" bestFit="1" customWidth="1"/>
    <col min="11540" max="11776" width="9.140625" style="4"/>
    <col min="11777" max="11777" width="4.140625" style="4" customWidth="1"/>
    <col min="11778" max="11778" width="39.85546875" style="4" customWidth="1"/>
    <col min="11779" max="11779" width="12.7109375" style="4" customWidth="1"/>
    <col min="11780" max="11780" width="5.28515625" style="4" customWidth="1"/>
    <col min="11781" max="11781" width="10.7109375" style="4" bestFit="1" customWidth="1"/>
    <col min="11782" max="11782" width="6.42578125" style="4" customWidth="1"/>
    <col min="11783" max="11783" width="12" style="4" customWidth="1"/>
    <col min="11784" max="11784" width="6.7109375" style="4" bestFit="1" customWidth="1"/>
    <col min="11785" max="11785" width="11.7109375" style="4" customWidth="1"/>
    <col min="11786" max="11786" width="5.85546875" style="4" customWidth="1"/>
    <col min="11787" max="11787" width="12.28515625" style="4" customWidth="1"/>
    <col min="11788" max="11788" width="6" style="4" customWidth="1"/>
    <col min="11789" max="11789" width="12" style="4" customWidth="1"/>
    <col min="11790" max="11790" width="22.28515625" style="4" customWidth="1"/>
    <col min="11791" max="11791" width="17.85546875" style="4" customWidth="1"/>
    <col min="11792" max="11792" width="6" style="4" bestFit="1" customWidth="1"/>
    <col min="11793" max="11793" width="5" style="4" bestFit="1" customWidth="1"/>
    <col min="11794" max="11794" width="9.5703125" style="4" bestFit="1" customWidth="1"/>
    <col min="11795" max="11795" width="11.85546875" style="4" bestFit="1" customWidth="1"/>
    <col min="11796" max="12032" width="9.140625" style="4"/>
    <col min="12033" max="12033" width="4.140625" style="4" customWidth="1"/>
    <col min="12034" max="12034" width="39.85546875" style="4" customWidth="1"/>
    <col min="12035" max="12035" width="12.7109375" style="4" customWidth="1"/>
    <col min="12036" max="12036" width="5.28515625" style="4" customWidth="1"/>
    <col min="12037" max="12037" width="10.7109375" style="4" bestFit="1" customWidth="1"/>
    <col min="12038" max="12038" width="6.42578125" style="4" customWidth="1"/>
    <col min="12039" max="12039" width="12" style="4" customWidth="1"/>
    <col min="12040" max="12040" width="6.7109375" style="4" bestFit="1" customWidth="1"/>
    <col min="12041" max="12041" width="11.7109375" style="4" customWidth="1"/>
    <col min="12042" max="12042" width="5.85546875" style="4" customWidth="1"/>
    <col min="12043" max="12043" width="12.28515625" style="4" customWidth="1"/>
    <col min="12044" max="12044" width="6" style="4" customWidth="1"/>
    <col min="12045" max="12045" width="12" style="4" customWidth="1"/>
    <col min="12046" max="12046" width="22.28515625" style="4" customWidth="1"/>
    <col min="12047" max="12047" width="17.85546875" style="4" customWidth="1"/>
    <col min="12048" max="12048" width="6" style="4" bestFit="1" customWidth="1"/>
    <col min="12049" max="12049" width="5" style="4" bestFit="1" customWidth="1"/>
    <col min="12050" max="12050" width="9.5703125" style="4" bestFit="1" customWidth="1"/>
    <col min="12051" max="12051" width="11.85546875" style="4" bestFit="1" customWidth="1"/>
    <col min="12052" max="12288" width="9.140625" style="4"/>
    <col min="12289" max="12289" width="4.140625" style="4" customWidth="1"/>
    <col min="12290" max="12290" width="39.85546875" style="4" customWidth="1"/>
    <col min="12291" max="12291" width="12.7109375" style="4" customWidth="1"/>
    <col min="12292" max="12292" width="5.28515625" style="4" customWidth="1"/>
    <col min="12293" max="12293" width="10.7109375" style="4" bestFit="1" customWidth="1"/>
    <col min="12294" max="12294" width="6.42578125" style="4" customWidth="1"/>
    <col min="12295" max="12295" width="12" style="4" customWidth="1"/>
    <col min="12296" max="12296" width="6.7109375" style="4" bestFit="1" customWidth="1"/>
    <col min="12297" max="12297" width="11.7109375" style="4" customWidth="1"/>
    <col min="12298" max="12298" width="5.85546875" style="4" customWidth="1"/>
    <col min="12299" max="12299" width="12.28515625" style="4" customWidth="1"/>
    <col min="12300" max="12300" width="6" style="4" customWidth="1"/>
    <col min="12301" max="12301" width="12" style="4" customWidth="1"/>
    <col min="12302" max="12302" width="22.28515625" style="4" customWidth="1"/>
    <col min="12303" max="12303" width="17.85546875" style="4" customWidth="1"/>
    <col min="12304" max="12304" width="6" style="4" bestFit="1" customWidth="1"/>
    <col min="12305" max="12305" width="5" style="4" bestFit="1" customWidth="1"/>
    <col min="12306" max="12306" width="9.5703125" style="4" bestFit="1" customWidth="1"/>
    <col min="12307" max="12307" width="11.85546875" style="4" bestFit="1" customWidth="1"/>
    <col min="12308" max="12544" width="9.140625" style="4"/>
    <col min="12545" max="12545" width="4.140625" style="4" customWidth="1"/>
    <col min="12546" max="12546" width="39.85546875" style="4" customWidth="1"/>
    <col min="12547" max="12547" width="12.7109375" style="4" customWidth="1"/>
    <col min="12548" max="12548" width="5.28515625" style="4" customWidth="1"/>
    <col min="12549" max="12549" width="10.7109375" style="4" bestFit="1" customWidth="1"/>
    <col min="12550" max="12550" width="6.42578125" style="4" customWidth="1"/>
    <col min="12551" max="12551" width="12" style="4" customWidth="1"/>
    <col min="12552" max="12552" width="6.7109375" style="4" bestFit="1" customWidth="1"/>
    <col min="12553" max="12553" width="11.7109375" style="4" customWidth="1"/>
    <col min="12554" max="12554" width="5.85546875" style="4" customWidth="1"/>
    <col min="12555" max="12555" width="12.28515625" style="4" customWidth="1"/>
    <col min="12556" max="12556" width="6" style="4" customWidth="1"/>
    <col min="12557" max="12557" width="12" style="4" customWidth="1"/>
    <col min="12558" max="12558" width="22.28515625" style="4" customWidth="1"/>
    <col min="12559" max="12559" width="17.85546875" style="4" customWidth="1"/>
    <col min="12560" max="12560" width="6" style="4" bestFit="1" customWidth="1"/>
    <col min="12561" max="12561" width="5" style="4" bestFit="1" customWidth="1"/>
    <col min="12562" max="12562" width="9.5703125" style="4" bestFit="1" customWidth="1"/>
    <col min="12563" max="12563" width="11.85546875" style="4" bestFit="1" customWidth="1"/>
    <col min="12564" max="12800" width="9.140625" style="4"/>
    <col min="12801" max="12801" width="4.140625" style="4" customWidth="1"/>
    <col min="12802" max="12802" width="39.85546875" style="4" customWidth="1"/>
    <col min="12803" max="12803" width="12.7109375" style="4" customWidth="1"/>
    <col min="12804" max="12804" width="5.28515625" style="4" customWidth="1"/>
    <col min="12805" max="12805" width="10.7109375" style="4" bestFit="1" customWidth="1"/>
    <col min="12806" max="12806" width="6.42578125" style="4" customWidth="1"/>
    <col min="12807" max="12807" width="12" style="4" customWidth="1"/>
    <col min="12808" max="12808" width="6.7109375" style="4" bestFit="1" customWidth="1"/>
    <col min="12809" max="12809" width="11.7109375" style="4" customWidth="1"/>
    <col min="12810" max="12810" width="5.85546875" style="4" customWidth="1"/>
    <col min="12811" max="12811" width="12.28515625" style="4" customWidth="1"/>
    <col min="12812" max="12812" width="6" style="4" customWidth="1"/>
    <col min="12813" max="12813" width="12" style="4" customWidth="1"/>
    <col min="12814" max="12814" width="22.28515625" style="4" customWidth="1"/>
    <col min="12815" max="12815" width="17.85546875" style="4" customWidth="1"/>
    <col min="12816" max="12816" width="6" style="4" bestFit="1" customWidth="1"/>
    <col min="12817" max="12817" width="5" style="4" bestFit="1" customWidth="1"/>
    <col min="12818" max="12818" width="9.5703125" style="4" bestFit="1" customWidth="1"/>
    <col min="12819" max="12819" width="11.85546875" style="4" bestFit="1" customWidth="1"/>
    <col min="12820" max="13056" width="9.140625" style="4"/>
    <col min="13057" max="13057" width="4.140625" style="4" customWidth="1"/>
    <col min="13058" max="13058" width="39.85546875" style="4" customWidth="1"/>
    <col min="13059" max="13059" width="12.7109375" style="4" customWidth="1"/>
    <col min="13060" max="13060" width="5.28515625" style="4" customWidth="1"/>
    <col min="13061" max="13061" width="10.7109375" style="4" bestFit="1" customWidth="1"/>
    <col min="13062" max="13062" width="6.42578125" style="4" customWidth="1"/>
    <col min="13063" max="13063" width="12" style="4" customWidth="1"/>
    <col min="13064" max="13064" width="6.7109375" style="4" bestFit="1" customWidth="1"/>
    <col min="13065" max="13065" width="11.7109375" style="4" customWidth="1"/>
    <col min="13066" max="13066" width="5.85546875" style="4" customWidth="1"/>
    <col min="13067" max="13067" width="12.28515625" style="4" customWidth="1"/>
    <col min="13068" max="13068" width="6" style="4" customWidth="1"/>
    <col min="13069" max="13069" width="12" style="4" customWidth="1"/>
    <col min="13070" max="13070" width="22.28515625" style="4" customWidth="1"/>
    <col min="13071" max="13071" width="17.85546875" style="4" customWidth="1"/>
    <col min="13072" max="13072" width="6" style="4" bestFit="1" customWidth="1"/>
    <col min="13073" max="13073" width="5" style="4" bestFit="1" customWidth="1"/>
    <col min="13074" max="13074" width="9.5703125" style="4" bestFit="1" customWidth="1"/>
    <col min="13075" max="13075" width="11.85546875" style="4" bestFit="1" customWidth="1"/>
    <col min="13076" max="13312" width="9.140625" style="4"/>
    <col min="13313" max="13313" width="4.140625" style="4" customWidth="1"/>
    <col min="13314" max="13314" width="39.85546875" style="4" customWidth="1"/>
    <col min="13315" max="13315" width="12.7109375" style="4" customWidth="1"/>
    <col min="13316" max="13316" width="5.28515625" style="4" customWidth="1"/>
    <col min="13317" max="13317" width="10.7109375" style="4" bestFit="1" customWidth="1"/>
    <col min="13318" max="13318" width="6.42578125" style="4" customWidth="1"/>
    <col min="13319" max="13319" width="12" style="4" customWidth="1"/>
    <col min="13320" max="13320" width="6.7109375" style="4" bestFit="1" customWidth="1"/>
    <col min="13321" max="13321" width="11.7109375" style="4" customWidth="1"/>
    <col min="13322" max="13322" width="5.85546875" style="4" customWidth="1"/>
    <col min="13323" max="13323" width="12.28515625" style="4" customWidth="1"/>
    <col min="13324" max="13324" width="6" style="4" customWidth="1"/>
    <col min="13325" max="13325" width="12" style="4" customWidth="1"/>
    <col min="13326" max="13326" width="22.28515625" style="4" customWidth="1"/>
    <col min="13327" max="13327" width="17.85546875" style="4" customWidth="1"/>
    <col min="13328" max="13328" width="6" style="4" bestFit="1" customWidth="1"/>
    <col min="13329" max="13329" width="5" style="4" bestFit="1" customWidth="1"/>
    <col min="13330" max="13330" width="9.5703125" style="4" bestFit="1" customWidth="1"/>
    <col min="13331" max="13331" width="11.85546875" style="4" bestFit="1" customWidth="1"/>
    <col min="13332" max="13568" width="9.140625" style="4"/>
    <col min="13569" max="13569" width="4.140625" style="4" customWidth="1"/>
    <col min="13570" max="13570" width="39.85546875" style="4" customWidth="1"/>
    <col min="13571" max="13571" width="12.7109375" style="4" customWidth="1"/>
    <col min="13572" max="13572" width="5.28515625" style="4" customWidth="1"/>
    <col min="13573" max="13573" width="10.7109375" style="4" bestFit="1" customWidth="1"/>
    <col min="13574" max="13574" width="6.42578125" style="4" customWidth="1"/>
    <col min="13575" max="13575" width="12" style="4" customWidth="1"/>
    <col min="13576" max="13576" width="6.7109375" style="4" bestFit="1" customWidth="1"/>
    <col min="13577" max="13577" width="11.7109375" style="4" customWidth="1"/>
    <col min="13578" max="13578" width="5.85546875" style="4" customWidth="1"/>
    <col min="13579" max="13579" width="12.28515625" style="4" customWidth="1"/>
    <col min="13580" max="13580" width="6" style="4" customWidth="1"/>
    <col min="13581" max="13581" width="12" style="4" customWidth="1"/>
    <col min="13582" max="13582" width="22.28515625" style="4" customWidth="1"/>
    <col min="13583" max="13583" width="17.85546875" style="4" customWidth="1"/>
    <col min="13584" max="13584" width="6" style="4" bestFit="1" customWidth="1"/>
    <col min="13585" max="13585" width="5" style="4" bestFit="1" customWidth="1"/>
    <col min="13586" max="13586" width="9.5703125" style="4" bestFit="1" customWidth="1"/>
    <col min="13587" max="13587" width="11.85546875" style="4" bestFit="1" customWidth="1"/>
    <col min="13588" max="13824" width="9.140625" style="4"/>
    <col min="13825" max="13825" width="4.140625" style="4" customWidth="1"/>
    <col min="13826" max="13826" width="39.85546875" style="4" customWidth="1"/>
    <col min="13827" max="13827" width="12.7109375" style="4" customWidth="1"/>
    <col min="13828" max="13828" width="5.28515625" style="4" customWidth="1"/>
    <col min="13829" max="13829" width="10.7109375" style="4" bestFit="1" customWidth="1"/>
    <col min="13830" max="13830" width="6.42578125" style="4" customWidth="1"/>
    <col min="13831" max="13831" width="12" style="4" customWidth="1"/>
    <col min="13832" max="13832" width="6.7109375" style="4" bestFit="1" customWidth="1"/>
    <col min="13833" max="13833" width="11.7109375" style="4" customWidth="1"/>
    <col min="13834" max="13834" width="5.85546875" style="4" customWidth="1"/>
    <col min="13835" max="13835" width="12.28515625" style="4" customWidth="1"/>
    <col min="13836" max="13836" width="6" style="4" customWidth="1"/>
    <col min="13837" max="13837" width="12" style="4" customWidth="1"/>
    <col min="13838" max="13838" width="22.28515625" style="4" customWidth="1"/>
    <col min="13839" max="13839" width="17.85546875" style="4" customWidth="1"/>
    <col min="13840" max="13840" width="6" style="4" bestFit="1" customWidth="1"/>
    <col min="13841" max="13841" width="5" style="4" bestFit="1" customWidth="1"/>
    <col min="13842" max="13842" width="9.5703125" style="4" bestFit="1" customWidth="1"/>
    <col min="13843" max="13843" width="11.85546875" style="4" bestFit="1" customWidth="1"/>
    <col min="13844" max="14080" width="9.140625" style="4"/>
    <col min="14081" max="14081" width="4.140625" style="4" customWidth="1"/>
    <col min="14082" max="14082" width="39.85546875" style="4" customWidth="1"/>
    <col min="14083" max="14083" width="12.7109375" style="4" customWidth="1"/>
    <col min="14084" max="14084" width="5.28515625" style="4" customWidth="1"/>
    <col min="14085" max="14085" width="10.7109375" style="4" bestFit="1" customWidth="1"/>
    <col min="14086" max="14086" width="6.42578125" style="4" customWidth="1"/>
    <col min="14087" max="14087" width="12" style="4" customWidth="1"/>
    <col min="14088" max="14088" width="6.7109375" style="4" bestFit="1" customWidth="1"/>
    <col min="14089" max="14089" width="11.7109375" style="4" customWidth="1"/>
    <col min="14090" max="14090" width="5.85546875" style="4" customWidth="1"/>
    <col min="14091" max="14091" width="12.28515625" style="4" customWidth="1"/>
    <col min="14092" max="14092" width="6" style="4" customWidth="1"/>
    <col min="14093" max="14093" width="12" style="4" customWidth="1"/>
    <col min="14094" max="14094" width="22.28515625" style="4" customWidth="1"/>
    <col min="14095" max="14095" width="17.85546875" style="4" customWidth="1"/>
    <col min="14096" max="14096" width="6" style="4" bestFit="1" customWidth="1"/>
    <col min="14097" max="14097" width="5" style="4" bestFit="1" customWidth="1"/>
    <col min="14098" max="14098" width="9.5703125" style="4" bestFit="1" customWidth="1"/>
    <col min="14099" max="14099" width="11.85546875" style="4" bestFit="1" customWidth="1"/>
    <col min="14100" max="14336" width="9.140625" style="4"/>
    <col min="14337" max="14337" width="4.140625" style="4" customWidth="1"/>
    <col min="14338" max="14338" width="39.85546875" style="4" customWidth="1"/>
    <col min="14339" max="14339" width="12.7109375" style="4" customWidth="1"/>
    <col min="14340" max="14340" width="5.28515625" style="4" customWidth="1"/>
    <col min="14341" max="14341" width="10.7109375" style="4" bestFit="1" customWidth="1"/>
    <col min="14342" max="14342" width="6.42578125" style="4" customWidth="1"/>
    <col min="14343" max="14343" width="12" style="4" customWidth="1"/>
    <col min="14344" max="14344" width="6.7109375" style="4" bestFit="1" customWidth="1"/>
    <col min="14345" max="14345" width="11.7109375" style="4" customWidth="1"/>
    <col min="14346" max="14346" width="5.85546875" style="4" customWidth="1"/>
    <col min="14347" max="14347" width="12.28515625" style="4" customWidth="1"/>
    <col min="14348" max="14348" width="6" style="4" customWidth="1"/>
    <col min="14349" max="14349" width="12" style="4" customWidth="1"/>
    <col min="14350" max="14350" width="22.28515625" style="4" customWidth="1"/>
    <col min="14351" max="14351" width="17.85546875" style="4" customWidth="1"/>
    <col min="14352" max="14352" width="6" style="4" bestFit="1" customWidth="1"/>
    <col min="14353" max="14353" width="5" style="4" bestFit="1" customWidth="1"/>
    <col min="14354" max="14354" width="9.5703125" style="4" bestFit="1" customWidth="1"/>
    <col min="14355" max="14355" width="11.85546875" style="4" bestFit="1" customWidth="1"/>
    <col min="14356" max="14592" width="9.140625" style="4"/>
    <col min="14593" max="14593" width="4.140625" style="4" customWidth="1"/>
    <col min="14594" max="14594" width="39.85546875" style="4" customWidth="1"/>
    <col min="14595" max="14595" width="12.7109375" style="4" customWidth="1"/>
    <col min="14596" max="14596" width="5.28515625" style="4" customWidth="1"/>
    <col min="14597" max="14597" width="10.7109375" style="4" bestFit="1" customWidth="1"/>
    <col min="14598" max="14598" width="6.42578125" style="4" customWidth="1"/>
    <col min="14599" max="14599" width="12" style="4" customWidth="1"/>
    <col min="14600" max="14600" width="6.7109375" style="4" bestFit="1" customWidth="1"/>
    <col min="14601" max="14601" width="11.7109375" style="4" customWidth="1"/>
    <col min="14602" max="14602" width="5.85546875" style="4" customWidth="1"/>
    <col min="14603" max="14603" width="12.28515625" style="4" customWidth="1"/>
    <col min="14604" max="14604" width="6" style="4" customWidth="1"/>
    <col min="14605" max="14605" width="12" style="4" customWidth="1"/>
    <col min="14606" max="14606" width="22.28515625" style="4" customWidth="1"/>
    <col min="14607" max="14607" width="17.85546875" style="4" customWidth="1"/>
    <col min="14608" max="14608" width="6" style="4" bestFit="1" customWidth="1"/>
    <col min="14609" max="14609" width="5" style="4" bestFit="1" customWidth="1"/>
    <col min="14610" max="14610" width="9.5703125" style="4" bestFit="1" customWidth="1"/>
    <col min="14611" max="14611" width="11.85546875" style="4" bestFit="1" customWidth="1"/>
    <col min="14612" max="14848" width="9.140625" style="4"/>
    <col min="14849" max="14849" width="4.140625" style="4" customWidth="1"/>
    <col min="14850" max="14850" width="39.85546875" style="4" customWidth="1"/>
    <col min="14851" max="14851" width="12.7109375" style="4" customWidth="1"/>
    <col min="14852" max="14852" width="5.28515625" style="4" customWidth="1"/>
    <col min="14853" max="14853" width="10.7109375" style="4" bestFit="1" customWidth="1"/>
    <col min="14854" max="14854" width="6.42578125" style="4" customWidth="1"/>
    <col min="14855" max="14855" width="12" style="4" customWidth="1"/>
    <col min="14856" max="14856" width="6.7109375" style="4" bestFit="1" customWidth="1"/>
    <col min="14857" max="14857" width="11.7109375" style="4" customWidth="1"/>
    <col min="14858" max="14858" width="5.85546875" style="4" customWidth="1"/>
    <col min="14859" max="14859" width="12.28515625" style="4" customWidth="1"/>
    <col min="14860" max="14860" width="6" style="4" customWidth="1"/>
    <col min="14861" max="14861" width="12" style="4" customWidth="1"/>
    <col min="14862" max="14862" width="22.28515625" style="4" customWidth="1"/>
    <col min="14863" max="14863" width="17.85546875" style="4" customWidth="1"/>
    <col min="14864" max="14864" width="6" style="4" bestFit="1" customWidth="1"/>
    <col min="14865" max="14865" width="5" style="4" bestFit="1" customWidth="1"/>
    <col min="14866" max="14866" width="9.5703125" style="4" bestFit="1" customWidth="1"/>
    <col min="14867" max="14867" width="11.85546875" style="4" bestFit="1" customWidth="1"/>
    <col min="14868" max="15104" width="9.140625" style="4"/>
    <col min="15105" max="15105" width="4.140625" style="4" customWidth="1"/>
    <col min="15106" max="15106" width="39.85546875" style="4" customWidth="1"/>
    <col min="15107" max="15107" width="12.7109375" style="4" customWidth="1"/>
    <col min="15108" max="15108" width="5.28515625" style="4" customWidth="1"/>
    <col min="15109" max="15109" width="10.7109375" style="4" bestFit="1" customWidth="1"/>
    <col min="15110" max="15110" width="6.42578125" style="4" customWidth="1"/>
    <col min="15111" max="15111" width="12" style="4" customWidth="1"/>
    <col min="15112" max="15112" width="6.7109375" style="4" bestFit="1" customWidth="1"/>
    <col min="15113" max="15113" width="11.7109375" style="4" customWidth="1"/>
    <col min="15114" max="15114" width="5.85546875" style="4" customWidth="1"/>
    <col min="15115" max="15115" width="12.28515625" style="4" customWidth="1"/>
    <col min="15116" max="15116" width="6" style="4" customWidth="1"/>
    <col min="15117" max="15117" width="12" style="4" customWidth="1"/>
    <col min="15118" max="15118" width="22.28515625" style="4" customWidth="1"/>
    <col min="15119" max="15119" width="17.85546875" style="4" customWidth="1"/>
    <col min="15120" max="15120" width="6" style="4" bestFit="1" customWidth="1"/>
    <col min="15121" max="15121" width="5" style="4" bestFit="1" customWidth="1"/>
    <col min="15122" max="15122" width="9.5703125" style="4" bestFit="1" customWidth="1"/>
    <col min="15123" max="15123" width="11.85546875" style="4" bestFit="1" customWidth="1"/>
    <col min="15124" max="15360" width="9.140625" style="4"/>
    <col min="15361" max="15361" width="4.140625" style="4" customWidth="1"/>
    <col min="15362" max="15362" width="39.85546875" style="4" customWidth="1"/>
    <col min="15363" max="15363" width="12.7109375" style="4" customWidth="1"/>
    <col min="15364" max="15364" width="5.28515625" style="4" customWidth="1"/>
    <col min="15365" max="15365" width="10.7109375" style="4" bestFit="1" customWidth="1"/>
    <col min="15366" max="15366" width="6.42578125" style="4" customWidth="1"/>
    <col min="15367" max="15367" width="12" style="4" customWidth="1"/>
    <col min="15368" max="15368" width="6.7109375" style="4" bestFit="1" customWidth="1"/>
    <col min="15369" max="15369" width="11.7109375" style="4" customWidth="1"/>
    <col min="15370" max="15370" width="5.85546875" style="4" customWidth="1"/>
    <col min="15371" max="15371" width="12.28515625" style="4" customWidth="1"/>
    <col min="15372" max="15372" width="6" style="4" customWidth="1"/>
    <col min="15373" max="15373" width="12" style="4" customWidth="1"/>
    <col min="15374" max="15374" width="22.28515625" style="4" customWidth="1"/>
    <col min="15375" max="15375" width="17.85546875" style="4" customWidth="1"/>
    <col min="15376" max="15376" width="6" style="4" bestFit="1" customWidth="1"/>
    <col min="15377" max="15377" width="5" style="4" bestFit="1" customWidth="1"/>
    <col min="15378" max="15378" width="9.5703125" style="4" bestFit="1" customWidth="1"/>
    <col min="15379" max="15379" width="11.85546875" style="4" bestFit="1" customWidth="1"/>
    <col min="15380" max="15616" width="9.140625" style="4"/>
    <col min="15617" max="15617" width="4.140625" style="4" customWidth="1"/>
    <col min="15618" max="15618" width="39.85546875" style="4" customWidth="1"/>
    <col min="15619" max="15619" width="12.7109375" style="4" customWidth="1"/>
    <col min="15620" max="15620" width="5.28515625" style="4" customWidth="1"/>
    <col min="15621" max="15621" width="10.7109375" style="4" bestFit="1" customWidth="1"/>
    <col min="15622" max="15622" width="6.42578125" style="4" customWidth="1"/>
    <col min="15623" max="15623" width="12" style="4" customWidth="1"/>
    <col min="15624" max="15624" width="6.7109375" style="4" bestFit="1" customWidth="1"/>
    <col min="15625" max="15625" width="11.7109375" style="4" customWidth="1"/>
    <col min="15626" max="15626" width="5.85546875" style="4" customWidth="1"/>
    <col min="15627" max="15627" width="12.28515625" style="4" customWidth="1"/>
    <col min="15628" max="15628" width="6" style="4" customWidth="1"/>
    <col min="15629" max="15629" width="12" style="4" customWidth="1"/>
    <col min="15630" max="15630" width="22.28515625" style="4" customWidth="1"/>
    <col min="15631" max="15631" width="17.85546875" style="4" customWidth="1"/>
    <col min="15632" max="15632" width="6" style="4" bestFit="1" customWidth="1"/>
    <col min="15633" max="15633" width="5" style="4" bestFit="1" customWidth="1"/>
    <col min="15634" max="15634" width="9.5703125" style="4" bestFit="1" customWidth="1"/>
    <col min="15635" max="15635" width="11.85546875" style="4" bestFit="1" customWidth="1"/>
    <col min="15636" max="15872" width="9.140625" style="4"/>
    <col min="15873" max="15873" width="4.140625" style="4" customWidth="1"/>
    <col min="15874" max="15874" width="39.85546875" style="4" customWidth="1"/>
    <col min="15875" max="15875" width="12.7109375" style="4" customWidth="1"/>
    <col min="15876" max="15876" width="5.28515625" style="4" customWidth="1"/>
    <col min="15877" max="15877" width="10.7109375" style="4" bestFit="1" customWidth="1"/>
    <col min="15878" max="15878" width="6.42578125" style="4" customWidth="1"/>
    <col min="15879" max="15879" width="12" style="4" customWidth="1"/>
    <col min="15880" max="15880" width="6.7109375" style="4" bestFit="1" customWidth="1"/>
    <col min="15881" max="15881" width="11.7109375" style="4" customWidth="1"/>
    <col min="15882" max="15882" width="5.85546875" style="4" customWidth="1"/>
    <col min="15883" max="15883" width="12.28515625" style="4" customWidth="1"/>
    <col min="15884" max="15884" width="6" style="4" customWidth="1"/>
    <col min="15885" max="15885" width="12" style="4" customWidth="1"/>
    <col min="15886" max="15886" width="22.28515625" style="4" customWidth="1"/>
    <col min="15887" max="15887" width="17.85546875" style="4" customWidth="1"/>
    <col min="15888" max="15888" width="6" style="4" bestFit="1" customWidth="1"/>
    <col min="15889" max="15889" width="5" style="4" bestFit="1" customWidth="1"/>
    <col min="15890" max="15890" width="9.5703125" style="4" bestFit="1" customWidth="1"/>
    <col min="15891" max="15891" width="11.85546875" style="4" bestFit="1" customWidth="1"/>
    <col min="15892" max="16128" width="9.140625" style="4"/>
    <col min="16129" max="16129" width="4.140625" style="4" customWidth="1"/>
    <col min="16130" max="16130" width="39.85546875" style="4" customWidth="1"/>
    <col min="16131" max="16131" width="12.7109375" style="4" customWidth="1"/>
    <col min="16132" max="16132" width="5.28515625" style="4" customWidth="1"/>
    <col min="16133" max="16133" width="10.7109375" style="4" bestFit="1" customWidth="1"/>
    <col min="16134" max="16134" width="6.42578125" style="4" customWidth="1"/>
    <col min="16135" max="16135" width="12" style="4" customWidth="1"/>
    <col min="16136" max="16136" width="6.7109375" style="4" bestFit="1" customWidth="1"/>
    <col min="16137" max="16137" width="11.7109375" style="4" customWidth="1"/>
    <col min="16138" max="16138" width="5.85546875" style="4" customWidth="1"/>
    <col min="16139" max="16139" width="12.28515625" style="4" customWidth="1"/>
    <col min="16140" max="16140" width="6" style="4" customWidth="1"/>
    <col min="16141" max="16141" width="12" style="4" customWidth="1"/>
    <col min="16142" max="16142" width="22.28515625" style="4" customWidth="1"/>
    <col min="16143" max="16143" width="17.85546875" style="4" customWidth="1"/>
    <col min="16144" max="16144" width="6" style="4" bestFit="1" customWidth="1"/>
    <col min="16145" max="16145" width="5" style="4" bestFit="1" customWidth="1"/>
    <col min="16146" max="16146" width="9.5703125" style="4" bestFit="1" customWidth="1"/>
    <col min="16147" max="16147" width="11.85546875" style="4" bestFit="1" customWidth="1"/>
    <col min="16148" max="16384" width="9.140625" style="4"/>
  </cols>
  <sheetData>
    <row r="1" spans="1:19" ht="20.25">
      <c r="C1" s="3297" t="s">
        <v>137</v>
      </c>
      <c r="D1" s="3297"/>
      <c r="E1" s="3297"/>
      <c r="F1" s="3297"/>
      <c r="G1" s="3297"/>
      <c r="H1" s="3297"/>
      <c r="I1" s="12"/>
      <c r="J1" s="12"/>
      <c r="K1" s="12"/>
      <c r="L1" s="12"/>
      <c r="M1" s="12"/>
    </row>
    <row r="2" spans="1:19" ht="6.75" customHeight="1">
      <c r="A2" s="144"/>
      <c r="B2" s="145"/>
      <c r="C2" s="145"/>
      <c r="D2" s="146"/>
      <c r="E2" s="145"/>
      <c r="F2" s="145"/>
      <c r="G2" s="145"/>
      <c r="H2" s="145"/>
      <c r="I2" s="145"/>
      <c r="J2" s="145"/>
      <c r="K2" s="145"/>
      <c r="L2" s="145"/>
      <c r="M2" s="145"/>
      <c r="N2" s="145"/>
    </row>
    <row r="3" spans="1:19" ht="31.5" customHeight="1">
      <c r="B3" s="3298" t="s">
        <v>138</v>
      </c>
      <c r="C3" s="3298"/>
      <c r="D3" s="3298"/>
      <c r="E3" s="3298"/>
      <c r="F3" s="3298"/>
      <c r="G3" s="3298"/>
      <c r="H3" s="3298"/>
      <c r="I3" s="3298"/>
      <c r="J3" s="3298"/>
      <c r="K3" s="3298"/>
      <c r="L3" s="147"/>
      <c r="M3" s="147"/>
      <c r="N3" s="145"/>
    </row>
    <row r="4" spans="1:19" ht="16.5" customHeight="1">
      <c r="A4" s="148"/>
      <c r="B4" s="149"/>
      <c r="C4" s="149"/>
      <c r="D4" s="149"/>
      <c r="E4" s="149"/>
      <c r="F4" s="149"/>
      <c r="G4" s="149"/>
      <c r="H4" s="149"/>
      <c r="I4" s="149"/>
      <c r="J4" s="149"/>
      <c r="K4" s="1709" t="s">
        <v>89</v>
      </c>
      <c r="L4" s="149"/>
      <c r="M4" s="149"/>
      <c r="N4" s="145"/>
    </row>
    <row r="5" spans="1:19" ht="9" customHeight="1">
      <c r="A5" s="148"/>
      <c r="B5" s="149"/>
      <c r="C5" s="149"/>
      <c r="D5" s="149"/>
      <c r="E5" s="149"/>
      <c r="F5" s="149"/>
      <c r="H5" s="148"/>
      <c r="I5" s="148"/>
      <c r="J5" s="148"/>
      <c r="L5" s="148"/>
      <c r="M5" s="148"/>
      <c r="N5" s="145"/>
    </row>
    <row r="6" spans="1:19" ht="33" customHeight="1">
      <c r="A6" s="3299" t="s">
        <v>2</v>
      </c>
      <c r="B6" s="3302" t="s">
        <v>3</v>
      </c>
      <c r="C6" s="3288" t="s">
        <v>4</v>
      </c>
      <c r="D6" s="3302" t="s">
        <v>5</v>
      </c>
      <c r="E6" s="3306" t="s">
        <v>9</v>
      </c>
      <c r="F6" s="3066" t="s">
        <v>139</v>
      </c>
      <c r="G6" s="3066"/>
      <c r="H6" s="3066"/>
      <c r="I6" s="3066"/>
      <c r="J6" s="3066" t="s">
        <v>140</v>
      </c>
      <c r="K6" s="3066"/>
      <c r="L6" s="3066"/>
      <c r="M6" s="3066"/>
      <c r="N6" s="145"/>
      <c r="O6" s="150"/>
      <c r="P6" s="151"/>
      <c r="Q6" s="152"/>
      <c r="R6" s="153"/>
      <c r="S6" s="153"/>
    </row>
    <row r="7" spans="1:19" ht="61.5" customHeight="1">
      <c r="A7" s="3300"/>
      <c r="B7" s="3303"/>
      <c r="C7" s="3305"/>
      <c r="D7" s="3303"/>
      <c r="E7" s="3307"/>
      <c r="F7" s="3293" t="s">
        <v>141</v>
      </c>
      <c r="G7" s="3293"/>
      <c r="H7" s="3293" t="s">
        <v>142</v>
      </c>
      <c r="I7" s="3293"/>
      <c r="J7" s="3293" t="s">
        <v>141</v>
      </c>
      <c r="K7" s="3293"/>
      <c r="L7" s="3293" t="s">
        <v>142</v>
      </c>
      <c r="M7" s="3293"/>
      <c r="O7" s="154"/>
      <c r="P7" s="151"/>
      <c r="Q7" s="152"/>
      <c r="R7" s="154"/>
      <c r="S7" s="153"/>
    </row>
    <row r="8" spans="1:19" ht="19.5" customHeight="1">
      <c r="A8" s="3301"/>
      <c r="B8" s="3304"/>
      <c r="C8" s="3289"/>
      <c r="D8" s="3304"/>
      <c r="E8" s="3308"/>
      <c r="F8" s="155" t="s">
        <v>143</v>
      </c>
      <c r="G8" s="120" t="s">
        <v>10</v>
      </c>
      <c r="H8" s="155" t="s">
        <v>143</v>
      </c>
      <c r="I8" s="120" t="s">
        <v>10</v>
      </c>
      <c r="J8" s="155" t="s">
        <v>143</v>
      </c>
      <c r="K8" s="120" t="s">
        <v>10</v>
      </c>
      <c r="L8" s="155" t="s">
        <v>143</v>
      </c>
      <c r="M8" s="120" t="s">
        <v>10</v>
      </c>
      <c r="N8" s="145"/>
      <c r="O8" s="150"/>
      <c r="P8" s="151"/>
      <c r="Q8" s="152"/>
      <c r="R8" s="153"/>
      <c r="S8" s="153"/>
    </row>
    <row r="9" spans="1:19" ht="16.5" customHeight="1">
      <c r="A9" s="323">
        <v>1</v>
      </c>
      <c r="B9" s="322">
        <v>2</v>
      </c>
      <c r="C9" s="326">
        <v>3</v>
      </c>
      <c r="D9" s="324">
        <v>4</v>
      </c>
      <c r="E9" s="327">
        <v>5</v>
      </c>
      <c r="F9" s="323">
        <v>6</v>
      </c>
      <c r="G9" s="327">
        <v>7</v>
      </c>
      <c r="H9" s="327">
        <v>8</v>
      </c>
      <c r="I9" s="327">
        <v>9</v>
      </c>
      <c r="J9" s="327">
        <v>10</v>
      </c>
      <c r="K9" s="327">
        <v>11</v>
      </c>
      <c r="L9" s="327">
        <v>12</v>
      </c>
      <c r="M9" s="327">
        <v>13</v>
      </c>
      <c r="N9" s="145"/>
      <c r="P9" s="161"/>
      <c r="Q9" s="162"/>
      <c r="R9" s="163"/>
      <c r="S9" s="163"/>
    </row>
    <row r="10" spans="1:19" ht="45.75" customHeight="1">
      <c r="A10" s="156">
        <v>1</v>
      </c>
      <c r="B10" s="1685" t="s">
        <v>144</v>
      </c>
      <c r="C10" s="1686">
        <v>7130601965</v>
      </c>
      <c r="D10" s="156" t="s">
        <v>26</v>
      </c>
      <c r="E10" s="734">
        <f>63913.52/1000</f>
        <v>63.913519999999998</v>
      </c>
      <c r="F10" s="156">
        <f>37.1*11*29</f>
        <v>11834.900000000001</v>
      </c>
      <c r="G10" s="1687">
        <f>F10*E10</f>
        <v>756410.11784800002</v>
      </c>
      <c r="H10" s="156">
        <f>+F10</f>
        <v>11834.900000000001</v>
      </c>
      <c r="I10" s="1687">
        <f>E10*H10</f>
        <v>756410.11784800002</v>
      </c>
      <c r="J10" s="156"/>
      <c r="K10" s="1687"/>
      <c r="L10" s="156"/>
      <c r="M10" s="1687"/>
      <c r="N10" s="164"/>
      <c r="O10" s="165"/>
      <c r="P10" s="162"/>
      <c r="Q10" s="162"/>
      <c r="R10" s="166"/>
      <c r="S10" s="166"/>
    </row>
    <row r="11" spans="1:19" ht="20.25" customHeight="1">
      <c r="A11" s="156">
        <v>2</v>
      </c>
      <c r="B11" s="1182" t="s">
        <v>145</v>
      </c>
      <c r="C11" s="1686">
        <v>7130800001</v>
      </c>
      <c r="D11" s="156" t="s">
        <v>68</v>
      </c>
      <c r="E11" s="734">
        <f>VLOOKUP(C11,'SOR RATE'!A:D,4,0)</f>
        <v>3096.2</v>
      </c>
      <c r="F11" s="966"/>
      <c r="G11" s="966"/>
      <c r="H11" s="966"/>
      <c r="I11" s="1687"/>
      <c r="J11" s="156">
        <v>29</v>
      </c>
      <c r="K11" s="1687">
        <f>E11*J11</f>
        <v>89789.799999999988</v>
      </c>
      <c r="L11" s="156">
        <v>29</v>
      </c>
      <c r="M11" s="1687">
        <f>E11*L11</f>
        <v>89789.799999999988</v>
      </c>
      <c r="N11" s="164"/>
      <c r="O11" s="165"/>
      <c r="P11" s="162"/>
      <c r="Q11" s="162"/>
      <c r="R11" s="166"/>
      <c r="S11" s="166"/>
    </row>
    <row r="12" spans="1:19" ht="34.5" customHeight="1">
      <c r="A12" s="156">
        <v>3</v>
      </c>
      <c r="B12" s="1688" t="s">
        <v>146</v>
      </c>
      <c r="C12" s="1686">
        <v>7130310057</v>
      </c>
      <c r="D12" s="156" t="s">
        <v>147</v>
      </c>
      <c r="E12" s="734">
        <f>VLOOKUP(C12,'SOR RATE'!A:D,4,0)</f>
        <v>470572.2</v>
      </c>
      <c r="F12" s="156">
        <v>1.06</v>
      </c>
      <c r="G12" s="1687">
        <f>F12*E12</f>
        <v>498806.53200000006</v>
      </c>
      <c r="H12" s="156"/>
      <c r="I12" s="1687"/>
      <c r="J12" s="156">
        <v>1.06</v>
      </c>
      <c r="K12" s="1687">
        <f>E12*J12</f>
        <v>498806.53200000006</v>
      </c>
      <c r="L12" s="156"/>
      <c r="M12" s="1687"/>
      <c r="N12" s="150"/>
      <c r="P12" s="12"/>
      <c r="Q12" s="12"/>
      <c r="R12" s="166"/>
      <c r="S12" s="167"/>
    </row>
    <row r="13" spans="1:19" ht="33.75" customHeight="1">
      <c r="A13" s="156">
        <v>4</v>
      </c>
      <c r="B13" s="1688" t="s">
        <v>148</v>
      </c>
      <c r="C13" s="1686">
        <v>7130310058</v>
      </c>
      <c r="D13" s="156" t="s">
        <v>147</v>
      </c>
      <c r="E13" s="734">
        <f>VLOOKUP(C13,'SOR RATE'!A:D,4,0)</f>
        <v>666953.69999999995</v>
      </c>
      <c r="F13" s="156"/>
      <c r="G13" s="1687"/>
      <c r="H13" s="156">
        <v>1.06</v>
      </c>
      <c r="I13" s="1687">
        <f t="shared" ref="I13:I18" si="0">E13*H13</f>
        <v>706970.92200000002</v>
      </c>
      <c r="J13" s="156"/>
      <c r="K13" s="1687"/>
      <c r="L13" s="156">
        <v>1.06</v>
      </c>
      <c r="M13" s="1687">
        <f t="shared" ref="M13:M27" si="1">E13*L13</f>
        <v>706970.92200000002</v>
      </c>
      <c r="N13" s="150"/>
      <c r="P13" s="12"/>
      <c r="Q13" s="12"/>
      <c r="R13" s="166"/>
      <c r="S13" s="167"/>
    </row>
    <row r="14" spans="1:19" ht="18.75" customHeight="1">
      <c r="A14" s="156">
        <v>5</v>
      </c>
      <c r="B14" s="1688" t="s">
        <v>149</v>
      </c>
      <c r="C14" s="1686">
        <v>7130320048</v>
      </c>
      <c r="D14" s="156" t="s">
        <v>40</v>
      </c>
      <c r="E14" s="734">
        <f>VLOOKUP(C14,'SOR RATE'!A:D,4,0)</f>
        <v>3161.96</v>
      </c>
      <c r="F14" s="156">
        <v>2</v>
      </c>
      <c r="G14" s="1687">
        <f t="shared" ref="G14:G27" si="2">F14*E14</f>
        <v>6323.92</v>
      </c>
      <c r="H14" s="156">
        <v>2</v>
      </c>
      <c r="I14" s="1687">
        <f t="shared" si="0"/>
        <v>6323.92</v>
      </c>
      <c r="J14" s="156">
        <v>2</v>
      </c>
      <c r="K14" s="1687">
        <f t="shared" ref="K14:K27" si="3">E14*J14</f>
        <v>6323.92</v>
      </c>
      <c r="L14" s="156">
        <v>2</v>
      </c>
      <c r="M14" s="1687">
        <f t="shared" si="1"/>
        <v>6323.92</v>
      </c>
      <c r="N14" s="145"/>
      <c r="O14" s="168"/>
    </row>
    <row r="15" spans="1:19" ht="34.5" customHeight="1">
      <c r="A15" s="156">
        <v>6</v>
      </c>
      <c r="B15" s="1689" t="s">
        <v>150</v>
      </c>
      <c r="C15" s="1686">
        <v>7130310061</v>
      </c>
      <c r="D15" s="156" t="s">
        <v>40</v>
      </c>
      <c r="E15" s="734">
        <f>VLOOKUP(C15,'SOR RATE'!A:D,4,0)</f>
        <v>4992.58</v>
      </c>
      <c r="F15" s="156">
        <v>3</v>
      </c>
      <c r="G15" s="1687">
        <f t="shared" si="2"/>
        <v>14977.74</v>
      </c>
      <c r="H15" s="156">
        <v>3</v>
      </c>
      <c r="I15" s="1687">
        <f t="shared" si="0"/>
        <v>14977.74</v>
      </c>
      <c r="J15" s="156">
        <v>3</v>
      </c>
      <c r="K15" s="1687">
        <f t="shared" si="3"/>
        <v>14977.74</v>
      </c>
      <c r="L15" s="156">
        <v>3</v>
      </c>
      <c r="M15" s="1687">
        <f t="shared" si="1"/>
        <v>14977.74</v>
      </c>
      <c r="N15" s="169"/>
    </row>
    <row r="16" spans="1:19" ht="33" customHeight="1">
      <c r="A16" s="156">
        <v>7</v>
      </c>
      <c r="B16" s="1688" t="s">
        <v>151</v>
      </c>
      <c r="C16" s="1183">
        <v>7130877681</v>
      </c>
      <c r="D16" s="160" t="s">
        <v>68</v>
      </c>
      <c r="E16" s="734">
        <f>VLOOKUP(C16,'SOR RATE'!A:D,4,0)</f>
        <v>2995.56</v>
      </c>
      <c r="F16" s="156">
        <v>16</v>
      </c>
      <c r="G16" s="1687">
        <f t="shared" si="2"/>
        <v>47928.959999999999</v>
      </c>
      <c r="H16" s="156">
        <v>16</v>
      </c>
      <c r="I16" s="1687">
        <f t="shared" si="0"/>
        <v>47928.959999999999</v>
      </c>
      <c r="J16" s="156">
        <v>16</v>
      </c>
      <c r="K16" s="1687">
        <f t="shared" si="3"/>
        <v>47928.959999999999</v>
      </c>
      <c r="L16" s="156">
        <v>16</v>
      </c>
      <c r="M16" s="1687">
        <f t="shared" si="1"/>
        <v>47928.959999999999</v>
      </c>
      <c r="N16" s="170"/>
    </row>
    <row r="17" spans="1:16" ht="33.75" customHeight="1">
      <c r="A17" s="156">
        <v>8</v>
      </c>
      <c r="B17" s="1688" t="s">
        <v>152</v>
      </c>
      <c r="C17" s="156">
        <v>7130877683</v>
      </c>
      <c r="D17" s="160" t="s">
        <v>68</v>
      </c>
      <c r="E17" s="734">
        <f>VLOOKUP(C17,'SOR RATE'!A:D,4,0)</f>
        <v>2662.71</v>
      </c>
      <c r="F17" s="156">
        <v>21</v>
      </c>
      <c r="G17" s="1687">
        <f t="shared" si="2"/>
        <v>55916.91</v>
      </c>
      <c r="H17" s="156">
        <v>21</v>
      </c>
      <c r="I17" s="1687">
        <f t="shared" si="0"/>
        <v>55916.91</v>
      </c>
      <c r="J17" s="156">
        <v>21</v>
      </c>
      <c r="K17" s="1687">
        <f t="shared" si="3"/>
        <v>55916.91</v>
      </c>
      <c r="L17" s="156">
        <v>21</v>
      </c>
      <c r="M17" s="1687">
        <f t="shared" si="1"/>
        <v>55916.91</v>
      </c>
      <c r="N17" s="170"/>
    </row>
    <row r="18" spans="1:16" ht="17.25" customHeight="1">
      <c r="A18" s="156">
        <v>9</v>
      </c>
      <c r="B18" s="1690" t="s">
        <v>153</v>
      </c>
      <c r="C18" s="156">
        <v>7130893004</v>
      </c>
      <c r="D18" s="160" t="s">
        <v>68</v>
      </c>
      <c r="E18" s="734">
        <f>VLOOKUP(C18,'SOR RATE'!A:D,4,0)</f>
        <v>226.84</v>
      </c>
      <c r="F18" s="160">
        <v>37</v>
      </c>
      <c r="G18" s="1687">
        <f t="shared" si="2"/>
        <v>8393.08</v>
      </c>
      <c r="H18" s="160">
        <v>37</v>
      </c>
      <c r="I18" s="1687">
        <f t="shared" si="0"/>
        <v>8393.08</v>
      </c>
      <c r="J18" s="160">
        <v>37</v>
      </c>
      <c r="K18" s="1687">
        <f t="shared" si="3"/>
        <v>8393.08</v>
      </c>
      <c r="L18" s="160">
        <v>37</v>
      </c>
      <c r="M18" s="1687">
        <f t="shared" si="1"/>
        <v>8393.08</v>
      </c>
      <c r="N18" s="169"/>
    </row>
    <row r="19" spans="1:16" ht="18" customHeight="1">
      <c r="A19" s="156">
        <v>10</v>
      </c>
      <c r="B19" s="1690" t="s">
        <v>154</v>
      </c>
      <c r="C19" s="156">
        <v>7130860032</v>
      </c>
      <c r="D19" s="160" t="s">
        <v>68</v>
      </c>
      <c r="E19" s="734">
        <f>VLOOKUP(C19,'SOR RATE'!A:D,4,0)</f>
        <v>566.19000000000005</v>
      </c>
      <c r="F19" s="156">
        <v>12</v>
      </c>
      <c r="G19" s="1687">
        <f t="shared" si="2"/>
        <v>6794.2800000000007</v>
      </c>
      <c r="H19" s="156">
        <v>12</v>
      </c>
      <c r="I19" s="1687">
        <f t="shared" ref="I19:I20" si="4">E19*H19</f>
        <v>6794.2800000000007</v>
      </c>
      <c r="J19" s="156">
        <v>12</v>
      </c>
      <c r="K19" s="1687">
        <f t="shared" si="3"/>
        <v>6794.2800000000007</v>
      </c>
      <c r="L19" s="156">
        <v>12</v>
      </c>
      <c r="M19" s="1687">
        <f t="shared" si="1"/>
        <v>6794.2800000000007</v>
      </c>
      <c r="N19" s="145"/>
    </row>
    <row r="20" spans="1:16" ht="17.25" customHeight="1">
      <c r="A20" s="156">
        <v>11</v>
      </c>
      <c r="B20" s="1688" t="s">
        <v>155</v>
      </c>
      <c r="C20" s="156">
        <v>7130860077</v>
      </c>
      <c r="D20" s="160" t="s">
        <v>26</v>
      </c>
      <c r="E20" s="734">
        <f>VLOOKUP(C20,'SOR RATE'!A:D,4,0)/1000</f>
        <v>93.76643</v>
      </c>
      <c r="F20" s="156">
        <v>120</v>
      </c>
      <c r="G20" s="1687">
        <f t="shared" si="2"/>
        <v>11251.971600000001</v>
      </c>
      <c r="H20" s="156">
        <v>120</v>
      </c>
      <c r="I20" s="1687">
        <f t="shared" si="4"/>
        <v>11251.971600000001</v>
      </c>
      <c r="J20" s="156">
        <v>120</v>
      </c>
      <c r="K20" s="1687">
        <f t="shared" si="3"/>
        <v>11251.971600000001</v>
      </c>
      <c r="L20" s="156">
        <v>120</v>
      </c>
      <c r="M20" s="1687">
        <f t="shared" si="1"/>
        <v>11251.971600000001</v>
      </c>
      <c r="N20" s="145"/>
    </row>
    <row r="21" spans="1:16" ht="17.25" customHeight="1">
      <c r="A21" s="156">
        <v>12</v>
      </c>
      <c r="B21" s="1688" t="s">
        <v>156</v>
      </c>
      <c r="C21" s="156">
        <v>7130870010</v>
      </c>
      <c r="D21" s="160" t="s">
        <v>68</v>
      </c>
      <c r="E21" s="734">
        <f>VLOOKUP(C21,'SOR RATE'!A:D,4,0)</f>
        <v>952.74</v>
      </c>
      <c r="F21" s="160">
        <v>29</v>
      </c>
      <c r="G21" s="1687">
        <f t="shared" si="2"/>
        <v>27629.46</v>
      </c>
      <c r="H21" s="160">
        <v>29</v>
      </c>
      <c r="I21" s="1687">
        <f>E21*H21</f>
        <v>27629.46</v>
      </c>
      <c r="J21" s="160">
        <v>29</v>
      </c>
      <c r="K21" s="1687">
        <f t="shared" si="3"/>
        <v>27629.46</v>
      </c>
      <c r="L21" s="160">
        <v>29</v>
      </c>
      <c r="M21" s="1687">
        <f t="shared" si="1"/>
        <v>27629.46</v>
      </c>
      <c r="N21" s="145"/>
    </row>
    <row r="22" spans="1:16" ht="17.25" customHeight="1">
      <c r="A22" s="156">
        <v>13</v>
      </c>
      <c r="B22" s="1688" t="s">
        <v>157</v>
      </c>
      <c r="C22" s="156">
        <v>7130870045</v>
      </c>
      <c r="D22" s="160" t="s">
        <v>26</v>
      </c>
      <c r="E22" s="734">
        <f>VLOOKUP(C22,'SOR RATE'!A:D,4,0)/1000</f>
        <v>80.521839999999997</v>
      </c>
      <c r="F22" s="156">
        <v>24</v>
      </c>
      <c r="G22" s="1687">
        <f t="shared" si="2"/>
        <v>1932.5241599999999</v>
      </c>
      <c r="H22" s="156">
        <v>24</v>
      </c>
      <c r="I22" s="1687">
        <f>E22*H22</f>
        <v>1932.5241599999999</v>
      </c>
      <c r="J22" s="156">
        <v>24</v>
      </c>
      <c r="K22" s="1687">
        <f t="shared" si="3"/>
        <v>1932.5241599999999</v>
      </c>
      <c r="L22" s="156">
        <v>24</v>
      </c>
      <c r="M22" s="1687">
        <f t="shared" si="1"/>
        <v>1932.5241599999999</v>
      </c>
      <c r="N22" s="145"/>
    </row>
    <row r="23" spans="1:16" ht="17.25" customHeight="1">
      <c r="A23" s="156">
        <v>14</v>
      </c>
      <c r="B23" s="1185" t="s">
        <v>31</v>
      </c>
      <c r="C23" s="1186">
        <v>7130610206</v>
      </c>
      <c r="D23" s="1181" t="s">
        <v>26</v>
      </c>
      <c r="E23" s="734">
        <f>VLOOKUP(C23,'SOR RATE'!A:D,4,0)/1000</f>
        <v>97.233429999999998</v>
      </c>
      <c r="F23" s="156">
        <v>58</v>
      </c>
      <c r="G23" s="1687">
        <f t="shared" si="2"/>
        <v>5639.5389400000004</v>
      </c>
      <c r="H23" s="156">
        <v>58</v>
      </c>
      <c r="I23" s="1687">
        <f t="shared" ref="I23:I29" si="5">E23*H23</f>
        <v>5639.5389400000004</v>
      </c>
      <c r="J23" s="156">
        <v>58</v>
      </c>
      <c r="K23" s="1687">
        <f t="shared" si="3"/>
        <v>5639.5389400000004</v>
      </c>
      <c r="L23" s="156">
        <v>58</v>
      </c>
      <c r="M23" s="1687">
        <f t="shared" si="1"/>
        <v>5639.5389400000004</v>
      </c>
      <c r="N23" s="56"/>
      <c r="O23" s="16"/>
      <c r="P23" s="17"/>
    </row>
    <row r="24" spans="1:16" ht="15">
      <c r="A24" s="156">
        <v>15</v>
      </c>
      <c r="B24" s="1688" t="s">
        <v>158</v>
      </c>
      <c r="C24" s="156">
        <v>7130810077</v>
      </c>
      <c r="D24" s="160" t="s">
        <v>68</v>
      </c>
      <c r="E24" s="734">
        <f>VLOOKUP(C24,'SOR RATE'!A:D,4,0)</f>
        <v>556.80999999999995</v>
      </c>
      <c r="F24" s="156">
        <v>37</v>
      </c>
      <c r="G24" s="1687">
        <f t="shared" si="2"/>
        <v>20601.969999999998</v>
      </c>
      <c r="H24" s="156">
        <v>37</v>
      </c>
      <c r="I24" s="1687">
        <f>E24*H24</f>
        <v>20601.969999999998</v>
      </c>
      <c r="J24" s="156">
        <v>37</v>
      </c>
      <c r="K24" s="1687">
        <f t="shared" si="3"/>
        <v>20601.969999999998</v>
      </c>
      <c r="L24" s="156">
        <v>37</v>
      </c>
      <c r="M24" s="1687">
        <f t="shared" si="1"/>
        <v>20601.969999999998</v>
      </c>
      <c r="N24" s="145"/>
      <c r="O24" s="162"/>
    </row>
    <row r="25" spans="1:16" ht="18" customHeight="1">
      <c r="A25" s="156">
        <v>16</v>
      </c>
      <c r="B25" s="1690" t="s">
        <v>128</v>
      </c>
      <c r="C25" s="160">
        <v>7130880041</v>
      </c>
      <c r="D25" s="160" t="s">
        <v>33</v>
      </c>
      <c r="E25" s="734">
        <f>VLOOKUP(C25,'SOR RATE'!A:D,4,0)</f>
        <v>113.77</v>
      </c>
      <c r="F25" s="160">
        <v>29</v>
      </c>
      <c r="G25" s="1687">
        <f t="shared" si="2"/>
        <v>3299.33</v>
      </c>
      <c r="H25" s="160">
        <v>29</v>
      </c>
      <c r="I25" s="1687">
        <f t="shared" si="5"/>
        <v>3299.33</v>
      </c>
      <c r="J25" s="160">
        <v>29</v>
      </c>
      <c r="K25" s="1687">
        <f t="shared" si="3"/>
        <v>3299.33</v>
      </c>
      <c r="L25" s="160">
        <v>29</v>
      </c>
      <c r="M25" s="1687">
        <f t="shared" si="1"/>
        <v>3299.33</v>
      </c>
      <c r="N25" s="145"/>
      <c r="O25" s="162"/>
    </row>
    <row r="26" spans="1:16" ht="17.25" customHeight="1">
      <c r="A26" s="156">
        <v>17</v>
      </c>
      <c r="B26" s="1688" t="s">
        <v>159</v>
      </c>
      <c r="C26" s="156">
        <v>7130880006</v>
      </c>
      <c r="D26" s="156" t="s">
        <v>68</v>
      </c>
      <c r="E26" s="734">
        <f>VLOOKUP(C26,'SOR RATE'!A297:D297,4,0)</f>
        <v>173.63</v>
      </c>
      <c r="F26" s="156">
        <v>3</v>
      </c>
      <c r="G26" s="1687">
        <f t="shared" si="2"/>
        <v>520.89</v>
      </c>
      <c r="H26" s="156">
        <v>3</v>
      </c>
      <c r="I26" s="1687">
        <f>E26*H26</f>
        <v>520.89</v>
      </c>
      <c r="J26" s="156">
        <v>3</v>
      </c>
      <c r="K26" s="1687">
        <f t="shared" si="3"/>
        <v>520.89</v>
      </c>
      <c r="L26" s="156">
        <v>3</v>
      </c>
      <c r="M26" s="1687">
        <f t="shared" si="1"/>
        <v>520.89</v>
      </c>
      <c r="N26" s="145"/>
      <c r="O26" s="162"/>
    </row>
    <row r="27" spans="1:16" ht="30.75" customHeight="1">
      <c r="A27" s="156">
        <v>18</v>
      </c>
      <c r="B27" s="1688" t="s">
        <v>160</v>
      </c>
      <c r="C27" s="1691">
        <v>7130200202</v>
      </c>
      <c r="D27" s="157" t="s">
        <v>109</v>
      </c>
      <c r="E27" s="734">
        <f>VLOOKUP(C27,'SOR RATE'!A:D,4,0)</f>
        <v>2970</v>
      </c>
      <c r="F27" s="157">
        <f>(29*0.65)+(12*0.2)</f>
        <v>21.25</v>
      </c>
      <c r="G27" s="1687">
        <f t="shared" si="2"/>
        <v>63112.5</v>
      </c>
      <c r="H27" s="157">
        <f>(29*0.65)+(12*0.2)</f>
        <v>21.25</v>
      </c>
      <c r="I27" s="1687">
        <f t="shared" si="5"/>
        <v>63112.5</v>
      </c>
      <c r="J27" s="157">
        <f>(12*0.2)</f>
        <v>2.4000000000000004</v>
      </c>
      <c r="K27" s="1687">
        <f t="shared" si="3"/>
        <v>7128.0000000000009</v>
      </c>
      <c r="L27" s="157">
        <f>(12*0.2)</f>
        <v>2.4000000000000004</v>
      </c>
      <c r="M27" s="1687">
        <f t="shared" si="1"/>
        <v>7128.0000000000009</v>
      </c>
      <c r="N27" s="171" t="s">
        <v>47</v>
      </c>
      <c r="O27" s="168"/>
    </row>
    <row r="28" spans="1:16" ht="17.25" customHeight="1">
      <c r="A28" s="156">
        <v>19</v>
      </c>
      <c r="B28" s="1212" t="s">
        <v>161</v>
      </c>
      <c r="C28" s="1183">
        <v>7130211158</v>
      </c>
      <c r="D28" s="156" t="s">
        <v>29</v>
      </c>
      <c r="E28" s="734">
        <f>VLOOKUP(C28,'SOR RATE'!A:D,4,0)</f>
        <v>193.62</v>
      </c>
      <c r="F28" s="156">
        <v>8</v>
      </c>
      <c r="G28" s="1687">
        <f>E28*F28</f>
        <v>1548.96</v>
      </c>
      <c r="H28" s="156">
        <v>8</v>
      </c>
      <c r="I28" s="1687">
        <f t="shared" si="5"/>
        <v>1548.96</v>
      </c>
      <c r="J28" s="156"/>
      <c r="K28" s="1687"/>
      <c r="L28" s="156"/>
      <c r="M28" s="1687"/>
      <c r="N28" s="145"/>
    </row>
    <row r="29" spans="1:16" ht="17.25" customHeight="1">
      <c r="A29" s="1692">
        <v>20</v>
      </c>
      <c r="B29" s="1212" t="s">
        <v>162</v>
      </c>
      <c r="C29" s="1183">
        <v>7130210809</v>
      </c>
      <c r="D29" s="156" t="s">
        <v>29</v>
      </c>
      <c r="E29" s="734">
        <f>VLOOKUP(C29,'SOR RATE'!A:D,4,0)</f>
        <v>432.63</v>
      </c>
      <c r="F29" s="156">
        <v>8</v>
      </c>
      <c r="G29" s="1687">
        <f>E29*F29</f>
        <v>3461.04</v>
      </c>
      <c r="H29" s="156">
        <v>8</v>
      </c>
      <c r="I29" s="1687">
        <f t="shared" si="5"/>
        <v>3461.04</v>
      </c>
      <c r="J29" s="156"/>
      <c r="K29" s="1687"/>
      <c r="L29" s="156"/>
      <c r="M29" s="1687"/>
      <c r="N29" s="145"/>
    </row>
    <row r="30" spans="1:16" ht="16.5" customHeight="1">
      <c r="A30" s="3294">
        <v>21</v>
      </c>
      <c r="B30" s="1212" t="s">
        <v>163</v>
      </c>
      <c r="C30" s="921"/>
      <c r="D30" s="1183" t="s">
        <v>26</v>
      </c>
      <c r="E30" s="735"/>
      <c r="F30" s="1477">
        <v>30</v>
      </c>
      <c r="G30" s="734"/>
      <c r="H30" s="1477">
        <v>30</v>
      </c>
      <c r="I30" s="1687"/>
      <c r="J30" s="1477">
        <v>30</v>
      </c>
      <c r="K30" s="1687"/>
      <c r="L30" s="1477">
        <v>30</v>
      </c>
      <c r="M30" s="1687"/>
      <c r="N30" s="145"/>
    </row>
    <row r="31" spans="1:16" ht="16.5" customHeight="1">
      <c r="A31" s="3295"/>
      <c r="B31" s="1693" t="s">
        <v>79</v>
      </c>
      <c r="C31" s="1186">
        <v>7130620609</v>
      </c>
      <c r="D31" s="1183" t="s">
        <v>26</v>
      </c>
      <c r="E31" s="734">
        <f>VLOOKUP(C31,'SOR RATE'!A:D,4,0)</f>
        <v>87.23</v>
      </c>
      <c r="F31" s="1477">
        <v>12</v>
      </c>
      <c r="G31" s="734">
        <f>F31*E31</f>
        <v>1046.76</v>
      </c>
      <c r="H31" s="1477">
        <v>12</v>
      </c>
      <c r="I31" s="1687">
        <f>E31*H31</f>
        <v>1046.76</v>
      </c>
      <c r="J31" s="1477">
        <v>12</v>
      </c>
      <c r="K31" s="1687">
        <f>E31*J31</f>
        <v>1046.76</v>
      </c>
      <c r="L31" s="1477">
        <v>12</v>
      </c>
      <c r="M31" s="1687">
        <f>E31*L31</f>
        <v>1046.76</v>
      </c>
      <c r="N31" s="145"/>
    </row>
    <row r="32" spans="1:16" ht="16.5" customHeight="1">
      <c r="A32" s="3295"/>
      <c r="B32" s="1693" t="s">
        <v>111</v>
      </c>
      <c r="C32" s="1186">
        <v>7130620614</v>
      </c>
      <c r="D32" s="1183" t="s">
        <v>26</v>
      </c>
      <c r="E32" s="734">
        <f>VLOOKUP(C32,'SOR RATE'!A:D,4,0)</f>
        <v>85.77</v>
      </c>
      <c r="F32" s="1477">
        <v>12</v>
      </c>
      <c r="G32" s="734">
        <f>F32*E32</f>
        <v>1029.24</v>
      </c>
      <c r="H32" s="1477">
        <v>12</v>
      </c>
      <c r="I32" s="1687">
        <f>E32*H32</f>
        <v>1029.24</v>
      </c>
      <c r="J32" s="1477">
        <v>12</v>
      </c>
      <c r="K32" s="1687">
        <f>E32*J32</f>
        <v>1029.24</v>
      </c>
      <c r="L32" s="1477">
        <v>12</v>
      </c>
      <c r="M32" s="1687">
        <f>E32*L32</f>
        <v>1029.24</v>
      </c>
      <c r="N32" s="145"/>
    </row>
    <row r="33" spans="1:19" ht="16.5" customHeight="1">
      <c r="A33" s="3296"/>
      <c r="B33" s="1693" t="s">
        <v>112</v>
      </c>
      <c r="C33" s="1186">
        <v>7130620625</v>
      </c>
      <c r="D33" s="1183" t="s">
        <v>26</v>
      </c>
      <c r="E33" s="734">
        <f>VLOOKUP(C33,'SOR RATE'!A:D,4,0)</f>
        <v>84.32</v>
      </c>
      <c r="F33" s="1477">
        <v>6</v>
      </c>
      <c r="G33" s="734">
        <f>F33*E33</f>
        <v>505.91999999999996</v>
      </c>
      <c r="H33" s="1477">
        <v>6</v>
      </c>
      <c r="I33" s="1687">
        <f>E33*H33</f>
        <v>505.91999999999996</v>
      </c>
      <c r="J33" s="1477">
        <v>6</v>
      </c>
      <c r="K33" s="1687">
        <f>E33*J33</f>
        <v>505.91999999999996</v>
      </c>
      <c r="L33" s="1477">
        <v>6</v>
      </c>
      <c r="M33" s="1687">
        <f>E33*L33</f>
        <v>505.91999999999996</v>
      </c>
      <c r="N33" s="145"/>
    </row>
    <row r="34" spans="1:19" ht="32.25" customHeight="1">
      <c r="A34" s="1694">
        <v>22</v>
      </c>
      <c r="B34" s="1695" t="s">
        <v>164</v>
      </c>
      <c r="C34" s="1186">
        <v>7130820029</v>
      </c>
      <c r="D34" s="1183" t="s">
        <v>68</v>
      </c>
      <c r="E34" s="734">
        <f>VLOOKUP(C34,'SOR RATE'!A:D,4,0)</f>
        <v>41.26</v>
      </c>
      <c r="F34" s="1477">
        <v>530</v>
      </c>
      <c r="G34" s="734">
        <f>F34*E34</f>
        <v>21867.8</v>
      </c>
      <c r="H34" s="1477">
        <v>530</v>
      </c>
      <c r="I34" s="1687">
        <f>E34*H34</f>
        <v>21867.8</v>
      </c>
      <c r="J34" s="1477">
        <v>530</v>
      </c>
      <c r="K34" s="1687">
        <f>E34*J34</f>
        <v>21867.8</v>
      </c>
      <c r="L34" s="1477">
        <v>530</v>
      </c>
      <c r="M34" s="1687">
        <f>E34*L34</f>
        <v>21867.8</v>
      </c>
      <c r="N34" s="172"/>
      <c r="O34" s="173"/>
    </row>
    <row r="35" spans="1:19" ht="33.75" customHeight="1">
      <c r="A35" s="949">
        <v>23</v>
      </c>
      <c r="B35" s="1191" t="s">
        <v>48</v>
      </c>
      <c r="C35" s="1696"/>
      <c r="D35" s="1696"/>
      <c r="E35" s="1696"/>
      <c r="F35" s="1697"/>
      <c r="G35" s="1698">
        <f>SUM(G10:G34)</f>
        <v>1558999.4445480001</v>
      </c>
      <c r="H35" s="1698"/>
      <c r="I35" s="1698">
        <f>SUM(I10:I34)</f>
        <v>1767163.834548</v>
      </c>
      <c r="J35" s="1698"/>
      <c r="K35" s="1698">
        <f>SUM(K10:K34)</f>
        <v>831384.62670000014</v>
      </c>
      <c r="L35" s="1698"/>
      <c r="M35" s="1698">
        <f>SUM(M10:M34)</f>
        <v>1039549.0167000002</v>
      </c>
      <c r="N35" s="174"/>
      <c r="O35" s="175"/>
    </row>
    <row r="36" spans="1:19" ht="33.75" customHeight="1">
      <c r="A36" s="949">
        <v>24</v>
      </c>
      <c r="B36" s="1191" t="s">
        <v>49</v>
      </c>
      <c r="C36" s="1696"/>
      <c r="D36" s="1696"/>
      <c r="E36" s="1696"/>
      <c r="F36" s="1697"/>
      <c r="G36" s="1698">
        <f>G35/1.18</f>
        <v>1321185.9699559323</v>
      </c>
      <c r="H36" s="1698"/>
      <c r="I36" s="1698">
        <f>I35/1.18</f>
        <v>1497596.4699559323</v>
      </c>
      <c r="J36" s="1698"/>
      <c r="K36" s="1698">
        <f>K35/1.18</f>
        <v>704563.24296610185</v>
      </c>
      <c r="L36" s="1698"/>
      <c r="M36" s="1698">
        <f>M35/1.18</f>
        <v>880973.74296610185</v>
      </c>
      <c r="N36" s="17"/>
      <c r="O36" s="175"/>
    </row>
    <row r="37" spans="1:19" ht="30.75" customHeight="1">
      <c r="A37" s="1181">
        <v>25</v>
      </c>
      <c r="B37" s="1185" t="s">
        <v>50</v>
      </c>
      <c r="C37" s="1699"/>
      <c r="D37" s="1699"/>
      <c r="E37" s="160">
        <v>7.4999999999999997E-2</v>
      </c>
      <c r="F37" s="1700"/>
      <c r="G37" s="1687">
        <f>G35*E37</f>
        <v>116924.95834110001</v>
      </c>
      <c r="H37" s="1701">
        <v>7.4999999999999997E-2</v>
      </c>
      <c r="I37" s="1687">
        <f>I35*H37</f>
        <v>132537.2875911</v>
      </c>
      <c r="J37" s="1701">
        <v>7.4999999999999997E-2</v>
      </c>
      <c r="K37" s="1687">
        <f>K35*J37</f>
        <v>62353.847002500006</v>
      </c>
      <c r="L37" s="1701">
        <v>7.4999999999999997E-2</v>
      </c>
      <c r="M37" s="1687">
        <f>M35*L37</f>
        <v>77966.176252500009</v>
      </c>
      <c r="N37" s="16"/>
      <c r="O37" s="18"/>
    </row>
    <row r="38" spans="1:19" ht="33" customHeight="1">
      <c r="A38" s="1181">
        <v>26</v>
      </c>
      <c r="B38" s="1657" t="s">
        <v>51</v>
      </c>
      <c r="C38" s="1699"/>
      <c r="D38" s="1183" t="s">
        <v>68</v>
      </c>
      <c r="E38" s="735">
        <f>339.936450725958*1.043</f>
        <v>354.55371810717418</v>
      </c>
      <c r="F38" s="1702"/>
      <c r="G38" s="1703"/>
      <c r="H38" s="1703"/>
      <c r="I38" s="1703"/>
      <c r="J38" s="1704">
        <v>29</v>
      </c>
      <c r="K38" s="1687">
        <f>E38*J38</f>
        <v>10282.057825108051</v>
      </c>
      <c r="L38" s="1704">
        <v>29</v>
      </c>
      <c r="M38" s="1687">
        <f>E38*L38</f>
        <v>10282.057825108051</v>
      </c>
      <c r="N38" s="174"/>
      <c r="O38" s="18"/>
    </row>
    <row r="39" spans="1:19" ht="17.25" customHeight="1">
      <c r="A39" s="1211">
        <v>27</v>
      </c>
      <c r="B39" s="1203" t="s">
        <v>165</v>
      </c>
      <c r="C39" s="1695"/>
      <c r="D39" s="1695"/>
      <c r="E39" s="1695"/>
      <c r="F39" s="1705"/>
      <c r="G39" s="734">
        <v>170056.17</v>
      </c>
      <c r="H39" s="734"/>
      <c r="I39" s="734">
        <v>170056.17</v>
      </c>
      <c r="J39" s="734"/>
      <c r="K39" s="734">
        <v>157455.34</v>
      </c>
      <c r="L39" s="734"/>
      <c r="M39" s="734">
        <v>157455.34</v>
      </c>
      <c r="N39" s="57"/>
      <c r="O39" s="176"/>
    </row>
    <row r="40" spans="1:19" ht="17.25" customHeight="1">
      <c r="A40" s="1211">
        <v>28</v>
      </c>
      <c r="B40" s="1706" t="s">
        <v>82</v>
      </c>
      <c r="C40" s="1705"/>
      <c r="D40" s="1181" t="s">
        <v>76</v>
      </c>
      <c r="E40" s="1202">
        <f>665.173187113158*1.043</f>
        <v>693.77563415902364</v>
      </c>
      <c r="F40" s="157">
        <f>(29*0.65)+(12*0.2)</f>
        <v>21.25</v>
      </c>
      <c r="G40" s="734">
        <f>E40*F40</f>
        <v>14742.732225879252</v>
      </c>
      <c r="H40" s="157">
        <f>(29*0.65)+(12*0.2)</f>
        <v>21.25</v>
      </c>
      <c r="I40" s="734">
        <f>E40*H40</f>
        <v>14742.732225879252</v>
      </c>
      <c r="J40" s="157">
        <f>(12*0.2)</f>
        <v>2.4000000000000004</v>
      </c>
      <c r="K40" s="734">
        <f>E40*J40</f>
        <v>1665.0615219816571</v>
      </c>
      <c r="L40" s="157">
        <f>(12*0.2)</f>
        <v>2.4000000000000004</v>
      </c>
      <c r="M40" s="734">
        <f>E40*L40</f>
        <v>1665.0615219816571</v>
      </c>
      <c r="N40" s="59"/>
      <c r="O40" s="176"/>
    </row>
    <row r="41" spans="1:19" ht="30.75" customHeight="1">
      <c r="A41" s="1181">
        <v>29</v>
      </c>
      <c r="B41" s="1206" t="s">
        <v>1412</v>
      </c>
      <c r="C41" s="1185"/>
      <c r="D41" s="1185"/>
      <c r="E41" s="1187" t="s">
        <v>1413</v>
      </c>
      <c r="F41" s="1707"/>
      <c r="G41" s="734">
        <f>G36*E41</f>
        <v>52847.438798237294</v>
      </c>
      <c r="H41" s="734"/>
      <c r="I41" s="1210">
        <f>I36*E41</f>
        <v>59903.858798237292</v>
      </c>
      <c r="J41" s="734"/>
      <c r="K41" s="1210">
        <f>K36*E41</f>
        <v>28182.529718644073</v>
      </c>
      <c r="L41" s="734"/>
      <c r="M41" s="1210">
        <f>M36*E41</f>
        <v>35238.949718644079</v>
      </c>
      <c r="N41" s="737" t="s">
        <v>1827</v>
      </c>
      <c r="O41" s="26"/>
      <c r="P41" s="178"/>
      <c r="Q41" s="178"/>
      <c r="R41" s="178"/>
      <c r="S41" s="178"/>
    </row>
    <row r="42" spans="1:19" ht="48" customHeight="1">
      <c r="A42" s="1181">
        <v>30</v>
      </c>
      <c r="B42" s="1233" t="s">
        <v>166</v>
      </c>
      <c r="C42" s="1185"/>
      <c r="D42" s="1185"/>
      <c r="E42" s="1185"/>
      <c r="F42" s="1707"/>
      <c r="G42" s="734">
        <f>(G35+G37+G39+G40+G41)*0.125</f>
        <v>239196.34298915209</v>
      </c>
      <c r="H42" s="734"/>
      <c r="I42" s="1210">
        <f>(I35+I37+I39+I40+I41)*0.125</f>
        <v>268050.48539540207</v>
      </c>
      <c r="J42" s="734"/>
      <c r="K42" s="1210">
        <f>(K35+K37+K38+K39+K40+K41)*0.125</f>
        <v>136415.43284602923</v>
      </c>
      <c r="L42" s="734"/>
      <c r="M42" s="1210">
        <f>(M35+M37+M38+M39+M40+M41)*0.125</f>
        <v>165269.57525227926</v>
      </c>
      <c r="N42" s="177"/>
      <c r="O42" s="26"/>
      <c r="P42" s="178"/>
      <c r="Q42" s="178"/>
      <c r="R42" s="178"/>
      <c r="S42" s="178"/>
    </row>
    <row r="43" spans="1:19" ht="34.5" customHeight="1">
      <c r="A43" s="931">
        <v>31</v>
      </c>
      <c r="B43" s="1214" t="s">
        <v>167</v>
      </c>
      <c r="C43" s="1695"/>
      <c r="D43" s="1695"/>
      <c r="E43" s="1695"/>
      <c r="F43" s="1695"/>
      <c r="G43" s="1193">
        <f>SUM(G36:G42)</f>
        <v>1914953.612310301</v>
      </c>
      <c r="H43" s="1193"/>
      <c r="I43" s="1193">
        <f>SUM(I36:I42)</f>
        <v>2142887.0039665508</v>
      </c>
      <c r="J43" s="1193"/>
      <c r="K43" s="1193">
        <f>SUM(K36:K42)</f>
        <v>1100917.5118803647</v>
      </c>
      <c r="L43" s="1193"/>
      <c r="M43" s="1193">
        <f>SUM(M36:M42)</f>
        <v>1328850.903536615</v>
      </c>
      <c r="N43" s="179"/>
      <c r="O43" s="180"/>
      <c r="P43" s="181"/>
      <c r="Q43" s="181"/>
      <c r="R43" s="181"/>
      <c r="S43" s="181"/>
    </row>
    <row r="44" spans="1:19" ht="18">
      <c r="A44" s="1181">
        <v>32</v>
      </c>
      <c r="B44" s="1185" t="s">
        <v>168</v>
      </c>
      <c r="C44" s="1695"/>
      <c r="D44" s="1695"/>
      <c r="E44" s="1187" t="s">
        <v>169</v>
      </c>
      <c r="F44" s="1695"/>
      <c r="G44" s="734">
        <f>G43*E44</f>
        <v>172345.82510792708</v>
      </c>
      <c r="H44" s="734"/>
      <c r="I44" s="734">
        <f>I43*E44</f>
        <v>192859.83035698958</v>
      </c>
      <c r="J44" s="734"/>
      <c r="K44" s="734">
        <f>K43*E44</f>
        <v>99082.576069232819</v>
      </c>
      <c r="L44" s="734"/>
      <c r="M44" s="734">
        <f>M43*E44</f>
        <v>119596.58131829534</v>
      </c>
      <c r="N44" s="179"/>
      <c r="O44" s="180"/>
      <c r="P44" s="181"/>
      <c r="Q44" s="181"/>
      <c r="R44" s="181"/>
      <c r="S44" s="181"/>
    </row>
    <row r="45" spans="1:19" ht="18">
      <c r="A45" s="1181">
        <v>33</v>
      </c>
      <c r="B45" s="1185" t="s">
        <v>170</v>
      </c>
      <c r="C45" s="1695"/>
      <c r="D45" s="1695"/>
      <c r="E45" s="1187" t="s">
        <v>169</v>
      </c>
      <c r="F45" s="1695"/>
      <c r="G45" s="734">
        <f>G43*E45</f>
        <v>172345.82510792708</v>
      </c>
      <c r="H45" s="734"/>
      <c r="I45" s="734">
        <f>I43*E45</f>
        <v>192859.83035698958</v>
      </c>
      <c r="J45" s="734"/>
      <c r="K45" s="734">
        <f>K43*E45</f>
        <v>99082.576069232819</v>
      </c>
      <c r="L45" s="734"/>
      <c r="M45" s="734">
        <f>M43*E45</f>
        <v>119596.58131829534</v>
      </c>
      <c r="N45" s="60"/>
      <c r="O45" s="180"/>
      <c r="P45" s="181"/>
      <c r="Q45" s="181"/>
      <c r="R45" s="181"/>
      <c r="S45" s="181"/>
    </row>
    <row r="46" spans="1:19" ht="32.25" customHeight="1">
      <c r="A46" s="1181">
        <v>34</v>
      </c>
      <c r="B46" s="1185" t="s">
        <v>171</v>
      </c>
      <c r="C46" s="1182"/>
      <c r="D46" s="1182"/>
      <c r="E46" s="1182"/>
      <c r="F46" s="1182"/>
      <c r="G46" s="734">
        <f>G43+G44+G45</f>
        <v>2259645.262526155</v>
      </c>
      <c r="H46" s="734"/>
      <c r="I46" s="734">
        <f>I43+I44+I45</f>
        <v>2528606.6646805299</v>
      </c>
      <c r="J46" s="734"/>
      <c r="K46" s="734">
        <f>K43+K44+K45</f>
        <v>1299082.6640188303</v>
      </c>
      <c r="L46" s="734"/>
      <c r="M46" s="734">
        <f>M43+M44+M45</f>
        <v>1568044.0661732056</v>
      </c>
      <c r="N46" s="145"/>
    </row>
    <row r="47" spans="1:19" ht="33" customHeight="1">
      <c r="A47" s="931">
        <v>35</v>
      </c>
      <c r="B47" s="1214" t="s">
        <v>59</v>
      </c>
      <c r="C47" s="1295"/>
      <c r="D47" s="1295"/>
      <c r="E47" s="1295"/>
      <c r="F47" s="1708"/>
      <c r="G47" s="1193">
        <f>ROUND(G46,0)</f>
        <v>2259645</v>
      </c>
      <c r="H47" s="1193"/>
      <c r="I47" s="1193">
        <f>ROUND(I46,0)</f>
        <v>2528607</v>
      </c>
      <c r="J47" s="1193"/>
      <c r="K47" s="1193">
        <f>ROUND(K46,0)</f>
        <v>1299083</v>
      </c>
      <c r="L47" s="1193"/>
      <c r="M47" s="1193">
        <f>ROUND(M46,0)</f>
        <v>1568044</v>
      </c>
      <c r="N47" s="145"/>
    </row>
    <row r="48" spans="1:19" ht="15">
      <c r="A48" s="144"/>
      <c r="B48" s="182"/>
      <c r="C48" s="182"/>
      <c r="D48" s="183"/>
      <c r="E48" s="184"/>
      <c r="F48" s="184"/>
      <c r="G48" s="184"/>
      <c r="H48" s="184"/>
      <c r="I48" s="184"/>
      <c r="J48" s="184"/>
      <c r="K48" s="184"/>
      <c r="L48" s="184"/>
      <c r="M48" s="184"/>
      <c r="N48" s="145"/>
    </row>
    <row r="49" spans="1:12" ht="15">
      <c r="A49" s="144"/>
      <c r="B49" s="145"/>
      <c r="C49" s="145"/>
      <c r="D49" s="145"/>
      <c r="E49" s="145"/>
      <c r="F49" s="145"/>
      <c r="G49" s="145"/>
      <c r="H49" s="145"/>
      <c r="I49" s="145"/>
      <c r="J49" s="145"/>
      <c r="K49" s="145"/>
      <c r="L49" s="145"/>
    </row>
  </sheetData>
  <mergeCells count="14">
    <mergeCell ref="H7:I7"/>
    <mergeCell ref="J7:K7"/>
    <mergeCell ref="L7:M7"/>
    <mergeCell ref="A30:A33"/>
    <mergeCell ref="C1:H1"/>
    <mergeCell ref="B3:K3"/>
    <mergeCell ref="A6:A8"/>
    <mergeCell ref="B6:B8"/>
    <mergeCell ref="C6:C8"/>
    <mergeCell ref="D6:D8"/>
    <mergeCell ref="E6:E8"/>
    <mergeCell ref="F6:I6"/>
    <mergeCell ref="J6:M6"/>
    <mergeCell ref="F7:G7"/>
  </mergeCells>
  <conditionalFormatting sqref="B35">
    <cfRule type="cellIs" dxfId="104" priority="2" stopIfTrue="1" operator="equal">
      <formula>"?"</formula>
    </cfRule>
  </conditionalFormatting>
  <conditionalFormatting sqref="B36">
    <cfRule type="cellIs" dxfId="103" priority="1" stopIfTrue="1" operator="equal">
      <formula>"?"</formula>
    </cfRule>
  </conditionalFormatting>
  <pageMargins left="0.62992125984251968" right="0.15748031496062992" top="0.70866141732283472" bottom="0.27559055118110237" header="0.74803149606299213" footer="0.15748031496062992"/>
  <pageSetup scale="90"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8"/>
  <sheetViews>
    <sheetView workbookViewId="0">
      <pane xSplit="3" ySplit="7" topLeftCell="D26" activePane="bottomRight" state="frozen"/>
      <selection pane="topRight" activeCell="D1" sqref="D1"/>
      <selection pane="bottomLeft" activeCell="A8" sqref="A8"/>
      <selection pane="bottomRight" activeCell="H8" sqref="H8"/>
    </sheetView>
  </sheetViews>
  <sheetFormatPr defaultRowHeight="12.75"/>
  <cols>
    <col min="1" max="1" width="5.140625" style="138" customWidth="1"/>
    <col min="2" max="2" width="53.7109375" style="4" customWidth="1"/>
    <col min="3" max="3" width="13.140625" style="4" customWidth="1"/>
    <col min="4" max="4" width="8.140625" style="4" customWidth="1"/>
    <col min="5" max="5" width="6.140625" style="4" customWidth="1"/>
    <col min="6" max="6" width="10.85546875" style="4" customWidth="1"/>
    <col min="7" max="7" width="12.140625" style="4" customWidth="1"/>
    <col min="8" max="8" width="20.42578125" style="4" customWidth="1"/>
    <col min="9" max="9" width="12.28515625" style="4" customWidth="1"/>
    <col min="10" max="10" width="15.5703125" style="4" customWidth="1"/>
    <col min="11" max="11" width="7.140625" style="4" customWidth="1"/>
    <col min="12" max="12" width="8.140625" style="4" customWidth="1"/>
    <col min="13" max="13" width="12.28515625" style="4" customWidth="1"/>
    <col min="14" max="256" width="9.140625" style="4"/>
    <col min="257" max="257" width="5.140625" style="4" customWidth="1"/>
    <col min="258" max="258" width="50.28515625" style="4" customWidth="1"/>
    <col min="259" max="259" width="13.140625" style="4" customWidth="1"/>
    <col min="260" max="260" width="8.140625" style="4" customWidth="1"/>
    <col min="261" max="261" width="6.140625" style="4" customWidth="1"/>
    <col min="262" max="262" width="10.85546875" style="4" customWidth="1"/>
    <col min="263" max="263" width="12.140625" style="4" customWidth="1"/>
    <col min="264" max="264" width="20.42578125" style="4" customWidth="1"/>
    <col min="265" max="265" width="12.28515625" style="4" customWidth="1"/>
    <col min="266" max="266" width="15.5703125" style="4" customWidth="1"/>
    <col min="267" max="267" width="7.140625" style="4" customWidth="1"/>
    <col min="268" max="268" width="8.140625" style="4" customWidth="1"/>
    <col min="269" max="269" width="12.28515625" style="4" customWidth="1"/>
    <col min="270" max="512" width="9.140625" style="4"/>
    <col min="513" max="513" width="5.140625" style="4" customWidth="1"/>
    <col min="514" max="514" width="50.28515625" style="4" customWidth="1"/>
    <col min="515" max="515" width="13.140625" style="4" customWidth="1"/>
    <col min="516" max="516" width="8.140625" style="4" customWidth="1"/>
    <col min="517" max="517" width="6.140625" style="4" customWidth="1"/>
    <col min="518" max="518" width="10.85546875" style="4" customWidth="1"/>
    <col min="519" max="519" width="12.140625" style="4" customWidth="1"/>
    <col min="520" max="520" width="20.42578125" style="4" customWidth="1"/>
    <col min="521" max="521" width="12.28515625" style="4" customWidth="1"/>
    <col min="522" max="522" width="15.5703125" style="4" customWidth="1"/>
    <col min="523" max="523" width="7.140625" style="4" customWidth="1"/>
    <col min="524" max="524" width="8.140625" style="4" customWidth="1"/>
    <col min="525" max="525" width="12.28515625" style="4" customWidth="1"/>
    <col min="526" max="768" width="9.140625" style="4"/>
    <col min="769" max="769" width="5.140625" style="4" customWidth="1"/>
    <col min="770" max="770" width="50.28515625" style="4" customWidth="1"/>
    <col min="771" max="771" width="13.140625" style="4" customWidth="1"/>
    <col min="772" max="772" width="8.140625" style="4" customWidth="1"/>
    <col min="773" max="773" width="6.140625" style="4" customWidth="1"/>
    <col min="774" max="774" width="10.85546875" style="4" customWidth="1"/>
    <col min="775" max="775" width="12.140625" style="4" customWidth="1"/>
    <col min="776" max="776" width="20.42578125" style="4" customWidth="1"/>
    <col min="777" max="777" width="12.28515625" style="4" customWidth="1"/>
    <col min="778" max="778" width="15.5703125" style="4" customWidth="1"/>
    <col min="779" max="779" width="7.140625" style="4" customWidth="1"/>
    <col min="780" max="780" width="8.140625" style="4" customWidth="1"/>
    <col min="781" max="781" width="12.28515625" style="4" customWidth="1"/>
    <col min="782" max="1024" width="9.140625" style="4"/>
    <col min="1025" max="1025" width="5.140625" style="4" customWidth="1"/>
    <col min="1026" max="1026" width="50.28515625" style="4" customWidth="1"/>
    <col min="1027" max="1027" width="13.140625" style="4" customWidth="1"/>
    <col min="1028" max="1028" width="8.140625" style="4" customWidth="1"/>
    <col min="1029" max="1029" width="6.140625" style="4" customWidth="1"/>
    <col min="1030" max="1030" width="10.85546875" style="4" customWidth="1"/>
    <col min="1031" max="1031" width="12.140625" style="4" customWidth="1"/>
    <col min="1032" max="1032" width="20.42578125" style="4" customWidth="1"/>
    <col min="1033" max="1033" width="12.28515625" style="4" customWidth="1"/>
    <col min="1034" max="1034" width="15.5703125" style="4" customWidth="1"/>
    <col min="1035" max="1035" width="7.140625" style="4" customWidth="1"/>
    <col min="1036" max="1036" width="8.140625" style="4" customWidth="1"/>
    <col min="1037" max="1037" width="12.28515625" style="4" customWidth="1"/>
    <col min="1038" max="1280" width="9.140625" style="4"/>
    <col min="1281" max="1281" width="5.140625" style="4" customWidth="1"/>
    <col min="1282" max="1282" width="50.28515625" style="4" customWidth="1"/>
    <col min="1283" max="1283" width="13.140625" style="4" customWidth="1"/>
    <col min="1284" max="1284" width="8.140625" style="4" customWidth="1"/>
    <col min="1285" max="1285" width="6.140625" style="4" customWidth="1"/>
    <col min="1286" max="1286" width="10.85546875" style="4" customWidth="1"/>
    <col min="1287" max="1287" width="12.140625" style="4" customWidth="1"/>
    <col min="1288" max="1288" width="20.42578125" style="4" customWidth="1"/>
    <col min="1289" max="1289" width="12.28515625" style="4" customWidth="1"/>
    <col min="1290" max="1290" width="15.5703125" style="4" customWidth="1"/>
    <col min="1291" max="1291" width="7.140625" style="4" customWidth="1"/>
    <col min="1292" max="1292" width="8.140625" style="4" customWidth="1"/>
    <col min="1293" max="1293" width="12.28515625" style="4" customWidth="1"/>
    <col min="1294" max="1536" width="9.140625" style="4"/>
    <col min="1537" max="1537" width="5.140625" style="4" customWidth="1"/>
    <col min="1538" max="1538" width="50.28515625" style="4" customWidth="1"/>
    <col min="1539" max="1539" width="13.140625" style="4" customWidth="1"/>
    <col min="1540" max="1540" width="8.140625" style="4" customWidth="1"/>
    <col min="1541" max="1541" width="6.140625" style="4" customWidth="1"/>
    <col min="1542" max="1542" width="10.85546875" style="4" customWidth="1"/>
    <col min="1543" max="1543" width="12.140625" style="4" customWidth="1"/>
    <col min="1544" max="1544" width="20.42578125" style="4" customWidth="1"/>
    <col min="1545" max="1545" width="12.28515625" style="4" customWidth="1"/>
    <col min="1546" max="1546" width="15.5703125" style="4" customWidth="1"/>
    <col min="1547" max="1547" width="7.140625" style="4" customWidth="1"/>
    <col min="1548" max="1548" width="8.140625" style="4" customWidth="1"/>
    <col min="1549" max="1549" width="12.28515625" style="4" customWidth="1"/>
    <col min="1550" max="1792" width="9.140625" style="4"/>
    <col min="1793" max="1793" width="5.140625" style="4" customWidth="1"/>
    <col min="1794" max="1794" width="50.28515625" style="4" customWidth="1"/>
    <col min="1795" max="1795" width="13.140625" style="4" customWidth="1"/>
    <col min="1796" max="1796" width="8.140625" style="4" customWidth="1"/>
    <col min="1797" max="1797" width="6.140625" style="4" customWidth="1"/>
    <col min="1798" max="1798" width="10.85546875" style="4" customWidth="1"/>
    <col min="1799" max="1799" width="12.140625" style="4" customWidth="1"/>
    <col min="1800" max="1800" width="20.42578125" style="4" customWidth="1"/>
    <col min="1801" max="1801" width="12.28515625" style="4" customWidth="1"/>
    <col min="1802" max="1802" width="15.5703125" style="4" customWidth="1"/>
    <col min="1803" max="1803" width="7.140625" style="4" customWidth="1"/>
    <col min="1804" max="1804" width="8.140625" style="4" customWidth="1"/>
    <col min="1805" max="1805" width="12.28515625" style="4" customWidth="1"/>
    <col min="1806" max="2048" width="9.140625" style="4"/>
    <col min="2049" max="2049" width="5.140625" style="4" customWidth="1"/>
    <col min="2050" max="2050" width="50.28515625" style="4" customWidth="1"/>
    <col min="2051" max="2051" width="13.140625" style="4" customWidth="1"/>
    <col min="2052" max="2052" width="8.140625" style="4" customWidth="1"/>
    <col min="2053" max="2053" width="6.140625" style="4" customWidth="1"/>
    <col min="2054" max="2054" width="10.85546875" style="4" customWidth="1"/>
    <col min="2055" max="2055" width="12.140625" style="4" customWidth="1"/>
    <col min="2056" max="2056" width="20.42578125" style="4" customWidth="1"/>
    <col min="2057" max="2057" width="12.28515625" style="4" customWidth="1"/>
    <col min="2058" max="2058" width="15.5703125" style="4" customWidth="1"/>
    <col min="2059" max="2059" width="7.140625" style="4" customWidth="1"/>
    <col min="2060" max="2060" width="8.140625" style="4" customWidth="1"/>
    <col min="2061" max="2061" width="12.28515625" style="4" customWidth="1"/>
    <col min="2062" max="2304" width="9.140625" style="4"/>
    <col min="2305" max="2305" width="5.140625" style="4" customWidth="1"/>
    <col min="2306" max="2306" width="50.28515625" style="4" customWidth="1"/>
    <col min="2307" max="2307" width="13.140625" style="4" customWidth="1"/>
    <col min="2308" max="2308" width="8.140625" style="4" customWidth="1"/>
    <col min="2309" max="2309" width="6.140625" style="4" customWidth="1"/>
    <col min="2310" max="2310" width="10.85546875" style="4" customWidth="1"/>
    <col min="2311" max="2311" width="12.140625" style="4" customWidth="1"/>
    <col min="2312" max="2312" width="20.42578125" style="4" customWidth="1"/>
    <col min="2313" max="2313" width="12.28515625" style="4" customWidth="1"/>
    <col min="2314" max="2314" width="15.5703125" style="4" customWidth="1"/>
    <col min="2315" max="2315" width="7.140625" style="4" customWidth="1"/>
    <col min="2316" max="2316" width="8.140625" style="4" customWidth="1"/>
    <col min="2317" max="2317" width="12.28515625" style="4" customWidth="1"/>
    <col min="2318" max="2560" width="9.140625" style="4"/>
    <col min="2561" max="2561" width="5.140625" style="4" customWidth="1"/>
    <col min="2562" max="2562" width="50.28515625" style="4" customWidth="1"/>
    <col min="2563" max="2563" width="13.140625" style="4" customWidth="1"/>
    <col min="2564" max="2564" width="8.140625" style="4" customWidth="1"/>
    <col min="2565" max="2565" width="6.140625" style="4" customWidth="1"/>
    <col min="2566" max="2566" width="10.85546875" style="4" customWidth="1"/>
    <col min="2567" max="2567" width="12.140625" style="4" customWidth="1"/>
    <col min="2568" max="2568" width="20.42578125" style="4" customWidth="1"/>
    <col min="2569" max="2569" width="12.28515625" style="4" customWidth="1"/>
    <col min="2570" max="2570" width="15.5703125" style="4" customWidth="1"/>
    <col min="2571" max="2571" width="7.140625" style="4" customWidth="1"/>
    <col min="2572" max="2572" width="8.140625" style="4" customWidth="1"/>
    <col min="2573" max="2573" width="12.28515625" style="4" customWidth="1"/>
    <col min="2574" max="2816" width="9.140625" style="4"/>
    <col min="2817" max="2817" width="5.140625" style="4" customWidth="1"/>
    <col min="2818" max="2818" width="50.28515625" style="4" customWidth="1"/>
    <col min="2819" max="2819" width="13.140625" style="4" customWidth="1"/>
    <col min="2820" max="2820" width="8.140625" style="4" customWidth="1"/>
    <col min="2821" max="2821" width="6.140625" style="4" customWidth="1"/>
    <col min="2822" max="2822" width="10.85546875" style="4" customWidth="1"/>
    <col min="2823" max="2823" width="12.140625" style="4" customWidth="1"/>
    <col min="2824" max="2824" width="20.42578125" style="4" customWidth="1"/>
    <col min="2825" max="2825" width="12.28515625" style="4" customWidth="1"/>
    <col min="2826" max="2826" width="15.5703125" style="4" customWidth="1"/>
    <col min="2827" max="2827" width="7.140625" style="4" customWidth="1"/>
    <col min="2828" max="2828" width="8.140625" style="4" customWidth="1"/>
    <col min="2829" max="2829" width="12.28515625" style="4" customWidth="1"/>
    <col min="2830" max="3072" width="9.140625" style="4"/>
    <col min="3073" max="3073" width="5.140625" style="4" customWidth="1"/>
    <col min="3074" max="3074" width="50.28515625" style="4" customWidth="1"/>
    <col min="3075" max="3075" width="13.140625" style="4" customWidth="1"/>
    <col min="3076" max="3076" width="8.140625" style="4" customWidth="1"/>
    <col min="3077" max="3077" width="6.140625" style="4" customWidth="1"/>
    <col min="3078" max="3078" width="10.85546875" style="4" customWidth="1"/>
    <col min="3079" max="3079" width="12.140625" style="4" customWidth="1"/>
    <col min="3080" max="3080" width="20.42578125" style="4" customWidth="1"/>
    <col min="3081" max="3081" width="12.28515625" style="4" customWidth="1"/>
    <col min="3082" max="3082" width="15.5703125" style="4" customWidth="1"/>
    <col min="3083" max="3083" width="7.140625" style="4" customWidth="1"/>
    <col min="3084" max="3084" width="8.140625" style="4" customWidth="1"/>
    <col min="3085" max="3085" width="12.28515625" style="4" customWidth="1"/>
    <col min="3086" max="3328" width="9.140625" style="4"/>
    <col min="3329" max="3329" width="5.140625" style="4" customWidth="1"/>
    <col min="3330" max="3330" width="50.28515625" style="4" customWidth="1"/>
    <col min="3331" max="3331" width="13.140625" style="4" customWidth="1"/>
    <col min="3332" max="3332" width="8.140625" style="4" customWidth="1"/>
    <col min="3333" max="3333" width="6.140625" style="4" customWidth="1"/>
    <col min="3334" max="3334" width="10.85546875" style="4" customWidth="1"/>
    <col min="3335" max="3335" width="12.140625" style="4" customWidth="1"/>
    <col min="3336" max="3336" width="20.42578125" style="4" customWidth="1"/>
    <col min="3337" max="3337" width="12.28515625" style="4" customWidth="1"/>
    <col min="3338" max="3338" width="15.5703125" style="4" customWidth="1"/>
    <col min="3339" max="3339" width="7.140625" style="4" customWidth="1"/>
    <col min="3340" max="3340" width="8.140625" style="4" customWidth="1"/>
    <col min="3341" max="3341" width="12.28515625" style="4" customWidth="1"/>
    <col min="3342" max="3584" width="9.140625" style="4"/>
    <col min="3585" max="3585" width="5.140625" style="4" customWidth="1"/>
    <col min="3586" max="3586" width="50.28515625" style="4" customWidth="1"/>
    <col min="3587" max="3587" width="13.140625" style="4" customWidth="1"/>
    <col min="3588" max="3588" width="8.140625" style="4" customWidth="1"/>
    <col min="3589" max="3589" width="6.140625" style="4" customWidth="1"/>
    <col min="3590" max="3590" width="10.85546875" style="4" customWidth="1"/>
    <col min="3591" max="3591" width="12.140625" style="4" customWidth="1"/>
    <col min="3592" max="3592" width="20.42578125" style="4" customWidth="1"/>
    <col min="3593" max="3593" width="12.28515625" style="4" customWidth="1"/>
    <col min="3594" max="3594" width="15.5703125" style="4" customWidth="1"/>
    <col min="3595" max="3595" width="7.140625" style="4" customWidth="1"/>
    <col min="3596" max="3596" width="8.140625" style="4" customWidth="1"/>
    <col min="3597" max="3597" width="12.28515625" style="4" customWidth="1"/>
    <col min="3598" max="3840" width="9.140625" style="4"/>
    <col min="3841" max="3841" width="5.140625" style="4" customWidth="1"/>
    <col min="3842" max="3842" width="50.28515625" style="4" customWidth="1"/>
    <col min="3843" max="3843" width="13.140625" style="4" customWidth="1"/>
    <col min="3844" max="3844" width="8.140625" style="4" customWidth="1"/>
    <col min="3845" max="3845" width="6.140625" style="4" customWidth="1"/>
    <col min="3846" max="3846" width="10.85546875" style="4" customWidth="1"/>
    <col min="3847" max="3847" width="12.140625" style="4" customWidth="1"/>
    <col min="3848" max="3848" width="20.42578125" style="4" customWidth="1"/>
    <col min="3849" max="3849" width="12.28515625" style="4" customWidth="1"/>
    <col min="3850" max="3850" width="15.5703125" style="4" customWidth="1"/>
    <col min="3851" max="3851" width="7.140625" style="4" customWidth="1"/>
    <col min="3852" max="3852" width="8.140625" style="4" customWidth="1"/>
    <col min="3853" max="3853" width="12.28515625" style="4" customWidth="1"/>
    <col min="3854" max="4096" width="9.140625" style="4"/>
    <col min="4097" max="4097" width="5.140625" style="4" customWidth="1"/>
    <col min="4098" max="4098" width="50.28515625" style="4" customWidth="1"/>
    <col min="4099" max="4099" width="13.140625" style="4" customWidth="1"/>
    <col min="4100" max="4100" width="8.140625" style="4" customWidth="1"/>
    <col min="4101" max="4101" width="6.140625" style="4" customWidth="1"/>
    <col min="4102" max="4102" width="10.85546875" style="4" customWidth="1"/>
    <col min="4103" max="4103" width="12.140625" style="4" customWidth="1"/>
    <col min="4104" max="4104" width="20.42578125" style="4" customWidth="1"/>
    <col min="4105" max="4105" width="12.28515625" style="4" customWidth="1"/>
    <col min="4106" max="4106" width="15.5703125" style="4" customWidth="1"/>
    <col min="4107" max="4107" width="7.140625" style="4" customWidth="1"/>
    <col min="4108" max="4108" width="8.140625" style="4" customWidth="1"/>
    <col min="4109" max="4109" width="12.28515625" style="4" customWidth="1"/>
    <col min="4110" max="4352" width="9.140625" style="4"/>
    <col min="4353" max="4353" width="5.140625" style="4" customWidth="1"/>
    <col min="4354" max="4354" width="50.28515625" style="4" customWidth="1"/>
    <col min="4355" max="4355" width="13.140625" style="4" customWidth="1"/>
    <col min="4356" max="4356" width="8.140625" style="4" customWidth="1"/>
    <col min="4357" max="4357" width="6.140625" style="4" customWidth="1"/>
    <col min="4358" max="4358" width="10.85546875" style="4" customWidth="1"/>
    <col min="4359" max="4359" width="12.140625" style="4" customWidth="1"/>
    <col min="4360" max="4360" width="20.42578125" style="4" customWidth="1"/>
    <col min="4361" max="4361" width="12.28515625" style="4" customWidth="1"/>
    <col min="4362" max="4362" width="15.5703125" style="4" customWidth="1"/>
    <col min="4363" max="4363" width="7.140625" style="4" customWidth="1"/>
    <col min="4364" max="4364" width="8.140625" style="4" customWidth="1"/>
    <col min="4365" max="4365" width="12.28515625" style="4" customWidth="1"/>
    <col min="4366" max="4608" width="9.140625" style="4"/>
    <col min="4609" max="4609" width="5.140625" style="4" customWidth="1"/>
    <col min="4610" max="4610" width="50.28515625" style="4" customWidth="1"/>
    <col min="4611" max="4611" width="13.140625" style="4" customWidth="1"/>
    <col min="4612" max="4612" width="8.140625" style="4" customWidth="1"/>
    <col min="4613" max="4613" width="6.140625" style="4" customWidth="1"/>
    <col min="4614" max="4614" width="10.85546875" style="4" customWidth="1"/>
    <col min="4615" max="4615" width="12.140625" style="4" customWidth="1"/>
    <col min="4616" max="4616" width="20.42578125" style="4" customWidth="1"/>
    <col min="4617" max="4617" width="12.28515625" style="4" customWidth="1"/>
    <col min="4618" max="4618" width="15.5703125" style="4" customWidth="1"/>
    <col min="4619" max="4619" width="7.140625" style="4" customWidth="1"/>
    <col min="4620" max="4620" width="8.140625" style="4" customWidth="1"/>
    <col min="4621" max="4621" width="12.28515625" style="4" customWidth="1"/>
    <col min="4622" max="4864" width="9.140625" style="4"/>
    <col min="4865" max="4865" width="5.140625" style="4" customWidth="1"/>
    <col min="4866" max="4866" width="50.28515625" style="4" customWidth="1"/>
    <col min="4867" max="4867" width="13.140625" style="4" customWidth="1"/>
    <col min="4868" max="4868" width="8.140625" style="4" customWidth="1"/>
    <col min="4869" max="4869" width="6.140625" style="4" customWidth="1"/>
    <col min="4870" max="4870" width="10.85546875" style="4" customWidth="1"/>
    <col min="4871" max="4871" width="12.140625" style="4" customWidth="1"/>
    <col min="4872" max="4872" width="20.42578125" style="4" customWidth="1"/>
    <col min="4873" max="4873" width="12.28515625" style="4" customWidth="1"/>
    <col min="4874" max="4874" width="15.5703125" style="4" customWidth="1"/>
    <col min="4875" max="4875" width="7.140625" style="4" customWidth="1"/>
    <col min="4876" max="4876" width="8.140625" style="4" customWidth="1"/>
    <col min="4877" max="4877" width="12.28515625" style="4" customWidth="1"/>
    <col min="4878" max="5120" width="9.140625" style="4"/>
    <col min="5121" max="5121" width="5.140625" style="4" customWidth="1"/>
    <col min="5122" max="5122" width="50.28515625" style="4" customWidth="1"/>
    <col min="5123" max="5123" width="13.140625" style="4" customWidth="1"/>
    <col min="5124" max="5124" width="8.140625" style="4" customWidth="1"/>
    <col min="5125" max="5125" width="6.140625" style="4" customWidth="1"/>
    <col min="5126" max="5126" width="10.85546875" style="4" customWidth="1"/>
    <col min="5127" max="5127" width="12.140625" style="4" customWidth="1"/>
    <col min="5128" max="5128" width="20.42578125" style="4" customWidth="1"/>
    <col min="5129" max="5129" width="12.28515625" style="4" customWidth="1"/>
    <col min="5130" max="5130" width="15.5703125" style="4" customWidth="1"/>
    <col min="5131" max="5131" width="7.140625" style="4" customWidth="1"/>
    <col min="5132" max="5132" width="8.140625" style="4" customWidth="1"/>
    <col min="5133" max="5133" width="12.28515625" style="4" customWidth="1"/>
    <col min="5134" max="5376" width="9.140625" style="4"/>
    <col min="5377" max="5377" width="5.140625" style="4" customWidth="1"/>
    <col min="5378" max="5378" width="50.28515625" style="4" customWidth="1"/>
    <col min="5379" max="5379" width="13.140625" style="4" customWidth="1"/>
    <col min="5380" max="5380" width="8.140625" style="4" customWidth="1"/>
    <col min="5381" max="5381" width="6.140625" style="4" customWidth="1"/>
    <col min="5382" max="5382" width="10.85546875" style="4" customWidth="1"/>
    <col min="5383" max="5383" width="12.140625" style="4" customWidth="1"/>
    <col min="5384" max="5384" width="20.42578125" style="4" customWidth="1"/>
    <col min="5385" max="5385" width="12.28515625" style="4" customWidth="1"/>
    <col min="5386" max="5386" width="15.5703125" style="4" customWidth="1"/>
    <col min="5387" max="5387" width="7.140625" style="4" customWidth="1"/>
    <col min="5388" max="5388" width="8.140625" style="4" customWidth="1"/>
    <col min="5389" max="5389" width="12.28515625" style="4" customWidth="1"/>
    <col min="5390" max="5632" width="9.140625" style="4"/>
    <col min="5633" max="5633" width="5.140625" style="4" customWidth="1"/>
    <col min="5634" max="5634" width="50.28515625" style="4" customWidth="1"/>
    <col min="5635" max="5635" width="13.140625" style="4" customWidth="1"/>
    <col min="5636" max="5636" width="8.140625" style="4" customWidth="1"/>
    <col min="5637" max="5637" width="6.140625" style="4" customWidth="1"/>
    <col min="5638" max="5638" width="10.85546875" style="4" customWidth="1"/>
    <col min="5639" max="5639" width="12.140625" style="4" customWidth="1"/>
    <col min="5640" max="5640" width="20.42578125" style="4" customWidth="1"/>
    <col min="5641" max="5641" width="12.28515625" style="4" customWidth="1"/>
    <col min="5642" max="5642" width="15.5703125" style="4" customWidth="1"/>
    <col min="5643" max="5643" width="7.140625" style="4" customWidth="1"/>
    <col min="5644" max="5644" width="8.140625" style="4" customWidth="1"/>
    <col min="5645" max="5645" width="12.28515625" style="4" customWidth="1"/>
    <col min="5646" max="5888" width="9.140625" style="4"/>
    <col min="5889" max="5889" width="5.140625" style="4" customWidth="1"/>
    <col min="5890" max="5890" width="50.28515625" style="4" customWidth="1"/>
    <col min="5891" max="5891" width="13.140625" style="4" customWidth="1"/>
    <col min="5892" max="5892" width="8.140625" style="4" customWidth="1"/>
    <col min="5893" max="5893" width="6.140625" style="4" customWidth="1"/>
    <col min="5894" max="5894" width="10.85546875" style="4" customWidth="1"/>
    <col min="5895" max="5895" width="12.140625" style="4" customWidth="1"/>
    <col min="5896" max="5896" width="20.42578125" style="4" customWidth="1"/>
    <col min="5897" max="5897" width="12.28515625" style="4" customWidth="1"/>
    <col min="5898" max="5898" width="15.5703125" style="4" customWidth="1"/>
    <col min="5899" max="5899" width="7.140625" style="4" customWidth="1"/>
    <col min="5900" max="5900" width="8.140625" style="4" customWidth="1"/>
    <col min="5901" max="5901" width="12.28515625" style="4" customWidth="1"/>
    <col min="5902" max="6144" width="9.140625" style="4"/>
    <col min="6145" max="6145" width="5.140625" style="4" customWidth="1"/>
    <col min="6146" max="6146" width="50.28515625" style="4" customWidth="1"/>
    <col min="6147" max="6147" width="13.140625" style="4" customWidth="1"/>
    <col min="6148" max="6148" width="8.140625" style="4" customWidth="1"/>
    <col min="6149" max="6149" width="6.140625" style="4" customWidth="1"/>
    <col min="6150" max="6150" width="10.85546875" style="4" customWidth="1"/>
    <col min="6151" max="6151" width="12.140625" style="4" customWidth="1"/>
    <col min="6152" max="6152" width="20.42578125" style="4" customWidth="1"/>
    <col min="6153" max="6153" width="12.28515625" style="4" customWidth="1"/>
    <col min="6154" max="6154" width="15.5703125" style="4" customWidth="1"/>
    <col min="6155" max="6155" width="7.140625" style="4" customWidth="1"/>
    <col min="6156" max="6156" width="8.140625" style="4" customWidth="1"/>
    <col min="6157" max="6157" width="12.28515625" style="4" customWidth="1"/>
    <col min="6158" max="6400" width="9.140625" style="4"/>
    <col min="6401" max="6401" width="5.140625" style="4" customWidth="1"/>
    <col min="6402" max="6402" width="50.28515625" style="4" customWidth="1"/>
    <col min="6403" max="6403" width="13.140625" style="4" customWidth="1"/>
    <col min="6404" max="6404" width="8.140625" style="4" customWidth="1"/>
    <col min="6405" max="6405" width="6.140625" style="4" customWidth="1"/>
    <col min="6406" max="6406" width="10.85546875" style="4" customWidth="1"/>
    <col min="6407" max="6407" width="12.140625" style="4" customWidth="1"/>
    <col min="6408" max="6408" width="20.42578125" style="4" customWidth="1"/>
    <col min="6409" max="6409" width="12.28515625" style="4" customWidth="1"/>
    <col min="6410" max="6410" width="15.5703125" style="4" customWidth="1"/>
    <col min="6411" max="6411" width="7.140625" style="4" customWidth="1"/>
    <col min="6412" max="6412" width="8.140625" style="4" customWidth="1"/>
    <col min="6413" max="6413" width="12.28515625" style="4" customWidth="1"/>
    <col min="6414" max="6656" width="9.140625" style="4"/>
    <col min="6657" max="6657" width="5.140625" style="4" customWidth="1"/>
    <col min="6658" max="6658" width="50.28515625" style="4" customWidth="1"/>
    <col min="6659" max="6659" width="13.140625" style="4" customWidth="1"/>
    <col min="6660" max="6660" width="8.140625" style="4" customWidth="1"/>
    <col min="6661" max="6661" width="6.140625" style="4" customWidth="1"/>
    <col min="6662" max="6662" width="10.85546875" style="4" customWidth="1"/>
    <col min="6663" max="6663" width="12.140625" style="4" customWidth="1"/>
    <col min="6664" max="6664" width="20.42578125" style="4" customWidth="1"/>
    <col min="6665" max="6665" width="12.28515625" style="4" customWidth="1"/>
    <col min="6666" max="6666" width="15.5703125" style="4" customWidth="1"/>
    <col min="6667" max="6667" width="7.140625" style="4" customWidth="1"/>
    <col min="6668" max="6668" width="8.140625" style="4" customWidth="1"/>
    <col min="6669" max="6669" width="12.28515625" style="4" customWidth="1"/>
    <col min="6670" max="6912" width="9.140625" style="4"/>
    <col min="6913" max="6913" width="5.140625" style="4" customWidth="1"/>
    <col min="6914" max="6914" width="50.28515625" style="4" customWidth="1"/>
    <col min="6915" max="6915" width="13.140625" style="4" customWidth="1"/>
    <col min="6916" max="6916" width="8.140625" style="4" customWidth="1"/>
    <col min="6917" max="6917" width="6.140625" style="4" customWidth="1"/>
    <col min="6918" max="6918" width="10.85546875" style="4" customWidth="1"/>
    <col min="6919" max="6919" width="12.140625" style="4" customWidth="1"/>
    <col min="6920" max="6920" width="20.42578125" style="4" customWidth="1"/>
    <col min="6921" max="6921" width="12.28515625" style="4" customWidth="1"/>
    <col min="6922" max="6922" width="15.5703125" style="4" customWidth="1"/>
    <col min="6923" max="6923" width="7.140625" style="4" customWidth="1"/>
    <col min="6924" max="6924" width="8.140625" style="4" customWidth="1"/>
    <col min="6925" max="6925" width="12.28515625" style="4" customWidth="1"/>
    <col min="6926" max="7168" width="9.140625" style="4"/>
    <col min="7169" max="7169" width="5.140625" style="4" customWidth="1"/>
    <col min="7170" max="7170" width="50.28515625" style="4" customWidth="1"/>
    <col min="7171" max="7171" width="13.140625" style="4" customWidth="1"/>
    <col min="7172" max="7172" width="8.140625" style="4" customWidth="1"/>
    <col min="7173" max="7173" width="6.140625" style="4" customWidth="1"/>
    <col min="7174" max="7174" width="10.85546875" style="4" customWidth="1"/>
    <col min="7175" max="7175" width="12.140625" style="4" customWidth="1"/>
    <col min="7176" max="7176" width="20.42578125" style="4" customWidth="1"/>
    <col min="7177" max="7177" width="12.28515625" style="4" customWidth="1"/>
    <col min="7178" max="7178" width="15.5703125" style="4" customWidth="1"/>
    <col min="7179" max="7179" width="7.140625" style="4" customWidth="1"/>
    <col min="7180" max="7180" width="8.140625" style="4" customWidth="1"/>
    <col min="7181" max="7181" width="12.28515625" style="4" customWidth="1"/>
    <col min="7182" max="7424" width="9.140625" style="4"/>
    <col min="7425" max="7425" width="5.140625" style="4" customWidth="1"/>
    <col min="7426" max="7426" width="50.28515625" style="4" customWidth="1"/>
    <col min="7427" max="7427" width="13.140625" style="4" customWidth="1"/>
    <col min="7428" max="7428" width="8.140625" style="4" customWidth="1"/>
    <col min="7429" max="7429" width="6.140625" style="4" customWidth="1"/>
    <col min="7430" max="7430" width="10.85546875" style="4" customWidth="1"/>
    <col min="7431" max="7431" width="12.140625" style="4" customWidth="1"/>
    <col min="7432" max="7432" width="20.42578125" style="4" customWidth="1"/>
    <col min="7433" max="7433" width="12.28515625" style="4" customWidth="1"/>
    <col min="7434" max="7434" width="15.5703125" style="4" customWidth="1"/>
    <col min="7435" max="7435" width="7.140625" style="4" customWidth="1"/>
    <col min="7436" max="7436" width="8.140625" style="4" customWidth="1"/>
    <col min="7437" max="7437" width="12.28515625" style="4" customWidth="1"/>
    <col min="7438" max="7680" width="9.140625" style="4"/>
    <col min="7681" max="7681" width="5.140625" style="4" customWidth="1"/>
    <col min="7682" max="7682" width="50.28515625" style="4" customWidth="1"/>
    <col min="7683" max="7683" width="13.140625" style="4" customWidth="1"/>
    <col min="7684" max="7684" width="8.140625" style="4" customWidth="1"/>
    <col min="7685" max="7685" width="6.140625" style="4" customWidth="1"/>
    <col min="7686" max="7686" width="10.85546875" style="4" customWidth="1"/>
    <col min="7687" max="7687" width="12.140625" style="4" customWidth="1"/>
    <col min="7688" max="7688" width="20.42578125" style="4" customWidth="1"/>
    <col min="7689" max="7689" width="12.28515625" style="4" customWidth="1"/>
    <col min="7690" max="7690" width="15.5703125" style="4" customWidth="1"/>
    <col min="7691" max="7691" width="7.140625" style="4" customWidth="1"/>
    <col min="7692" max="7692" width="8.140625" style="4" customWidth="1"/>
    <col min="7693" max="7693" width="12.28515625" style="4" customWidth="1"/>
    <col min="7694" max="7936" width="9.140625" style="4"/>
    <col min="7937" max="7937" width="5.140625" style="4" customWidth="1"/>
    <col min="7938" max="7938" width="50.28515625" style="4" customWidth="1"/>
    <col min="7939" max="7939" width="13.140625" style="4" customWidth="1"/>
    <col min="7940" max="7940" width="8.140625" style="4" customWidth="1"/>
    <col min="7941" max="7941" width="6.140625" style="4" customWidth="1"/>
    <col min="7942" max="7942" width="10.85546875" style="4" customWidth="1"/>
    <col min="7943" max="7943" width="12.140625" style="4" customWidth="1"/>
    <col min="7944" max="7944" width="20.42578125" style="4" customWidth="1"/>
    <col min="7945" max="7945" width="12.28515625" style="4" customWidth="1"/>
    <col min="7946" max="7946" width="15.5703125" style="4" customWidth="1"/>
    <col min="7947" max="7947" width="7.140625" style="4" customWidth="1"/>
    <col min="7948" max="7948" width="8.140625" style="4" customWidth="1"/>
    <col min="7949" max="7949" width="12.28515625" style="4" customWidth="1"/>
    <col min="7950" max="8192" width="9.140625" style="4"/>
    <col min="8193" max="8193" width="5.140625" style="4" customWidth="1"/>
    <col min="8194" max="8194" width="50.28515625" style="4" customWidth="1"/>
    <col min="8195" max="8195" width="13.140625" style="4" customWidth="1"/>
    <col min="8196" max="8196" width="8.140625" style="4" customWidth="1"/>
    <col min="8197" max="8197" width="6.140625" style="4" customWidth="1"/>
    <col min="8198" max="8198" width="10.85546875" style="4" customWidth="1"/>
    <col min="8199" max="8199" width="12.140625" style="4" customWidth="1"/>
    <col min="8200" max="8200" width="20.42578125" style="4" customWidth="1"/>
    <col min="8201" max="8201" width="12.28515625" style="4" customWidth="1"/>
    <col min="8202" max="8202" width="15.5703125" style="4" customWidth="1"/>
    <col min="8203" max="8203" width="7.140625" style="4" customWidth="1"/>
    <col min="8204" max="8204" width="8.140625" style="4" customWidth="1"/>
    <col min="8205" max="8205" width="12.28515625" style="4" customWidth="1"/>
    <col min="8206" max="8448" width="9.140625" style="4"/>
    <col min="8449" max="8449" width="5.140625" style="4" customWidth="1"/>
    <col min="8450" max="8450" width="50.28515625" style="4" customWidth="1"/>
    <col min="8451" max="8451" width="13.140625" style="4" customWidth="1"/>
    <col min="8452" max="8452" width="8.140625" style="4" customWidth="1"/>
    <col min="8453" max="8453" width="6.140625" style="4" customWidth="1"/>
    <col min="8454" max="8454" width="10.85546875" style="4" customWidth="1"/>
    <col min="8455" max="8455" width="12.140625" style="4" customWidth="1"/>
    <col min="8456" max="8456" width="20.42578125" style="4" customWidth="1"/>
    <col min="8457" max="8457" width="12.28515625" style="4" customWidth="1"/>
    <col min="8458" max="8458" width="15.5703125" style="4" customWidth="1"/>
    <col min="8459" max="8459" width="7.140625" style="4" customWidth="1"/>
    <col min="8460" max="8460" width="8.140625" style="4" customWidth="1"/>
    <col min="8461" max="8461" width="12.28515625" style="4" customWidth="1"/>
    <col min="8462" max="8704" width="9.140625" style="4"/>
    <col min="8705" max="8705" width="5.140625" style="4" customWidth="1"/>
    <col min="8706" max="8706" width="50.28515625" style="4" customWidth="1"/>
    <col min="8707" max="8707" width="13.140625" style="4" customWidth="1"/>
    <col min="8708" max="8708" width="8.140625" style="4" customWidth="1"/>
    <col min="8709" max="8709" width="6.140625" style="4" customWidth="1"/>
    <col min="8710" max="8710" width="10.85546875" style="4" customWidth="1"/>
    <col min="8711" max="8711" width="12.140625" style="4" customWidth="1"/>
    <col min="8712" max="8712" width="20.42578125" style="4" customWidth="1"/>
    <col min="8713" max="8713" width="12.28515625" style="4" customWidth="1"/>
    <col min="8714" max="8714" width="15.5703125" style="4" customWidth="1"/>
    <col min="8715" max="8715" width="7.140625" style="4" customWidth="1"/>
    <col min="8716" max="8716" width="8.140625" style="4" customWidth="1"/>
    <col min="8717" max="8717" width="12.28515625" style="4" customWidth="1"/>
    <col min="8718" max="8960" width="9.140625" style="4"/>
    <col min="8961" max="8961" width="5.140625" style="4" customWidth="1"/>
    <col min="8962" max="8962" width="50.28515625" style="4" customWidth="1"/>
    <col min="8963" max="8963" width="13.140625" style="4" customWidth="1"/>
    <col min="8964" max="8964" width="8.140625" style="4" customWidth="1"/>
    <col min="8965" max="8965" width="6.140625" style="4" customWidth="1"/>
    <col min="8966" max="8966" width="10.85546875" style="4" customWidth="1"/>
    <col min="8967" max="8967" width="12.140625" style="4" customWidth="1"/>
    <col min="8968" max="8968" width="20.42578125" style="4" customWidth="1"/>
    <col min="8969" max="8969" width="12.28515625" style="4" customWidth="1"/>
    <col min="8970" max="8970" width="15.5703125" style="4" customWidth="1"/>
    <col min="8971" max="8971" width="7.140625" style="4" customWidth="1"/>
    <col min="8972" max="8972" width="8.140625" style="4" customWidth="1"/>
    <col min="8973" max="8973" width="12.28515625" style="4" customWidth="1"/>
    <col min="8974" max="9216" width="9.140625" style="4"/>
    <col min="9217" max="9217" width="5.140625" style="4" customWidth="1"/>
    <col min="9218" max="9218" width="50.28515625" style="4" customWidth="1"/>
    <col min="9219" max="9219" width="13.140625" style="4" customWidth="1"/>
    <col min="9220" max="9220" width="8.140625" style="4" customWidth="1"/>
    <col min="9221" max="9221" width="6.140625" style="4" customWidth="1"/>
    <col min="9222" max="9222" width="10.85546875" style="4" customWidth="1"/>
    <col min="9223" max="9223" width="12.140625" style="4" customWidth="1"/>
    <col min="9224" max="9224" width="20.42578125" style="4" customWidth="1"/>
    <col min="9225" max="9225" width="12.28515625" style="4" customWidth="1"/>
    <col min="9226" max="9226" width="15.5703125" style="4" customWidth="1"/>
    <col min="9227" max="9227" width="7.140625" style="4" customWidth="1"/>
    <col min="9228" max="9228" width="8.140625" style="4" customWidth="1"/>
    <col min="9229" max="9229" width="12.28515625" style="4" customWidth="1"/>
    <col min="9230" max="9472" width="9.140625" style="4"/>
    <col min="9473" max="9473" width="5.140625" style="4" customWidth="1"/>
    <col min="9474" max="9474" width="50.28515625" style="4" customWidth="1"/>
    <col min="9475" max="9475" width="13.140625" style="4" customWidth="1"/>
    <col min="9476" max="9476" width="8.140625" style="4" customWidth="1"/>
    <col min="9477" max="9477" width="6.140625" style="4" customWidth="1"/>
    <col min="9478" max="9478" width="10.85546875" style="4" customWidth="1"/>
    <col min="9479" max="9479" width="12.140625" style="4" customWidth="1"/>
    <col min="9480" max="9480" width="20.42578125" style="4" customWidth="1"/>
    <col min="9481" max="9481" width="12.28515625" style="4" customWidth="1"/>
    <col min="9482" max="9482" width="15.5703125" style="4" customWidth="1"/>
    <col min="9483" max="9483" width="7.140625" style="4" customWidth="1"/>
    <col min="9484" max="9484" width="8.140625" style="4" customWidth="1"/>
    <col min="9485" max="9485" width="12.28515625" style="4" customWidth="1"/>
    <col min="9486" max="9728" width="9.140625" style="4"/>
    <col min="9729" max="9729" width="5.140625" style="4" customWidth="1"/>
    <col min="9730" max="9730" width="50.28515625" style="4" customWidth="1"/>
    <col min="9731" max="9731" width="13.140625" style="4" customWidth="1"/>
    <col min="9732" max="9732" width="8.140625" style="4" customWidth="1"/>
    <col min="9733" max="9733" width="6.140625" style="4" customWidth="1"/>
    <col min="9734" max="9734" width="10.85546875" style="4" customWidth="1"/>
    <col min="9735" max="9735" width="12.140625" style="4" customWidth="1"/>
    <col min="9736" max="9736" width="20.42578125" style="4" customWidth="1"/>
    <col min="9737" max="9737" width="12.28515625" style="4" customWidth="1"/>
    <col min="9738" max="9738" width="15.5703125" style="4" customWidth="1"/>
    <col min="9739" max="9739" width="7.140625" style="4" customWidth="1"/>
    <col min="9740" max="9740" width="8.140625" style="4" customWidth="1"/>
    <col min="9741" max="9741" width="12.28515625" style="4" customWidth="1"/>
    <col min="9742" max="9984" width="9.140625" style="4"/>
    <col min="9985" max="9985" width="5.140625" style="4" customWidth="1"/>
    <col min="9986" max="9986" width="50.28515625" style="4" customWidth="1"/>
    <col min="9987" max="9987" width="13.140625" style="4" customWidth="1"/>
    <col min="9988" max="9988" width="8.140625" style="4" customWidth="1"/>
    <col min="9989" max="9989" width="6.140625" style="4" customWidth="1"/>
    <col min="9990" max="9990" width="10.85546875" style="4" customWidth="1"/>
    <col min="9991" max="9991" width="12.140625" style="4" customWidth="1"/>
    <col min="9992" max="9992" width="20.42578125" style="4" customWidth="1"/>
    <col min="9993" max="9993" width="12.28515625" style="4" customWidth="1"/>
    <col min="9994" max="9994" width="15.5703125" style="4" customWidth="1"/>
    <col min="9995" max="9995" width="7.140625" style="4" customWidth="1"/>
    <col min="9996" max="9996" width="8.140625" style="4" customWidth="1"/>
    <col min="9997" max="9997" width="12.28515625" style="4" customWidth="1"/>
    <col min="9998" max="10240" width="9.140625" style="4"/>
    <col min="10241" max="10241" width="5.140625" style="4" customWidth="1"/>
    <col min="10242" max="10242" width="50.28515625" style="4" customWidth="1"/>
    <col min="10243" max="10243" width="13.140625" style="4" customWidth="1"/>
    <col min="10244" max="10244" width="8.140625" style="4" customWidth="1"/>
    <col min="10245" max="10245" width="6.140625" style="4" customWidth="1"/>
    <col min="10246" max="10246" width="10.85546875" style="4" customWidth="1"/>
    <col min="10247" max="10247" width="12.140625" style="4" customWidth="1"/>
    <col min="10248" max="10248" width="20.42578125" style="4" customWidth="1"/>
    <col min="10249" max="10249" width="12.28515625" style="4" customWidth="1"/>
    <col min="10250" max="10250" width="15.5703125" style="4" customWidth="1"/>
    <col min="10251" max="10251" width="7.140625" style="4" customWidth="1"/>
    <col min="10252" max="10252" width="8.140625" style="4" customWidth="1"/>
    <col min="10253" max="10253" width="12.28515625" style="4" customWidth="1"/>
    <col min="10254" max="10496" width="9.140625" style="4"/>
    <col min="10497" max="10497" width="5.140625" style="4" customWidth="1"/>
    <col min="10498" max="10498" width="50.28515625" style="4" customWidth="1"/>
    <col min="10499" max="10499" width="13.140625" style="4" customWidth="1"/>
    <col min="10500" max="10500" width="8.140625" style="4" customWidth="1"/>
    <col min="10501" max="10501" width="6.140625" style="4" customWidth="1"/>
    <col min="10502" max="10502" width="10.85546875" style="4" customWidth="1"/>
    <col min="10503" max="10503" width="12.140625" style="4" customWidth="1"/>
    <col min="10504" max="10504" width="20.42578125" style="4" customWidth="1"/>
    <col min="10505" max="10505" width="12.28515625" style="4" customWidth="1"/>
    <col min="10506" max="10506" width="15.5703125" style="4" customWidth="1"/>
    <col min="10507" max="10507" width="7.140625" style="4" customWidth="1"/>
    <col min="10508" max="10508" width="8.140625" style="4" customWidth="1"/>
    <col min="10509" max="10509" width="12.28515625" style="4" customWidth="1"/>
    <col min="10510" max="10752" width="9.140625" style="4"/>
    <col min="10753" max="10753" width="5.140625" style="4" customWidth="1"/>
    <col min="10754" max="10754" width="50.28515625" style="4" customWidth="1"/>
    <col min="10755" max="10755" width="13.140625" style="4" customWidth="1"/>
    <col min="10756" max="10756" width="8.140625" style="4" customWidth="1"/>
    <col min="10757" max="10757" width="6.140625" style="4" customWidth="1"/>
    <col min="10758" max="10758" width="10.85546875" style="4" customWidth="1"/>
    <col min="10759" max="10759" width="12.140625" style="4" customWidth="1"/>
    <col min="10760" max="10760" width="20.42578125" style="4" customWidth="1"/>
    <col min="10761" max="10761" width="12.28515625" style="4" customWidth="1"/>
    <col min="10762" max="10762" width="15.5703125" style="4" customWidth="1"/>
    <col min="10763" max="10763" width="7.140625" style="4" customWidth="1"/>
    <col min="10764" max="10764" width="8.140625" style="4" customWidth="1"/>
    <col min="10765" max="10765" width="12.28515625" style="4" customWidth="1"/>
    <col min="10766" max="11008" width="9.140625" style="4"/>
    <col min="11009" max="11009" width="5.140625" style="4" customWidth="1"/>
    <col min="11010" max="11010" width="50.28515625" style="4" customWidth="1"/>
    <col min="11011" max="11011" width="13.140625" style="4" customWidth="1"/>
    <col min="11012" max="11012" width="8.140625" style="4" customWidth="1"/>
    <col min="11013" max="11013" width="6.140625" style="4" customWidth="1"/>
    <col min="11014" max="11014" width="10.85546875" style="4" customWidth="1"/>
    <col min="11015" max="11015" width="12.140625" style="4" customWidth="1"/>
    <col min="11016" max="11016" width="20.42578125" style="4" customWidth="1"/>
    <col min="11017" max="11017" width="12.28515625" style="4" customWidth="1"/>
    <col min="11018" max="11018" width="15.5703125" style="4" customWidth="1"/>
    <col min="11019" max="11019" width="7.140625" style="4" customWidth="1"/>
    <col min="11020" max="11020" width="8.140625" style="4" customWidth="1"/>
    <col min="11021" max="11021" width="12.28515625" style="4" customWidth="1"/>
    <col min="11022" max="11264" width="9.140625" style="4"/>
    <col min="11265" max="11265" width="5.140625" style="4" customWidth="1"/>
    <col min="11266" max="11266" width="50.28515625" style="4" customWidth="1"/>
    <col min="11267" max="11267" width="13.140625" style="4" customWidth="1"/>
    <col min="11268" max="11268" width="8.140625" style="4" customWidth="1"/>
    <col min="11269" max="11269" width="6.140625" style="4" customWidth="1"/>
    <col min="11270" max="11270" width="10.85546875" style="4" customWidth="1"/>
    <col min="11271" max="11271" width="12.140625" style="4" customWidth="1"/>
    <col min="11272" max="11272" width="20.42578125" style="4" customWidth="1"/>
    <col min="11273" max="11273" width="12.28515625" style="4" customWidth="1"/>
    <col min="11274" max="11274" width="15.5703125" style="4" customWidth="1"/>
    <col min="11275" max="11275" width="7.140625" style="4" customWidth="1"/>
    <col min="11276" max="11276" width="8.140625" style="4" customWidth="1"/>
    <col min="11277" max="11277" width="12.28515625" style="4" customWidth="1"/>
    <col min="11278" max="11520" width="9.140625" style="4"/>
    <col min="11521" max="11521" width="5.140625" style="4" customWidth="1"/>
    <col min="11522" max="11522" width="50.28515625" style="4" customWidth="1"/>
    <col min="11523" max="11523" width="13.140625" style="4" customWidth="1"/>
    <col min="11524" max="11524" width="8.140625" style="4" customWidth="1"/>
    <col min="11525" max="11525" width="6.140625" style="4" customWidth="1"/>
    <col min="11526" max="11526" width="10.85546875" style="4" customWidth="1"/>
    <col min="11527" max="11527" width="12.140625" style="4" customWidth="1"/>
    <col min="11528" max="11528" width="20.42578125" style="4" customWidth="1"/>
    <col min="11529" max="11529" width="12.28515625" style="4" customWidth="1"/>
    <col min="11530" max="11530" width="15.5703125" style="4" customWidth="1"/>
    <col min="11531" max="11531" width="7.140625" style="4" customWidth="1"/>
    <col min="11532" max="11532" width="8.140625" style="4" customWidth="1"/>
    <col min="11533" max="11533" width="12.28515625" style="4" customWidth="1"/>
    <col min="11534" max="11776" width="9.140625" style="4"/>
    <col min="11777" max="11777" width="5.140625" style="4" customWidth="1"/>
    <col min="11778" max="11778" width="50.28515625" style="4" customWidth="1"/>
    <col min="11779" max="11779" width="13.140625" style="4" customWidth="1"/>
    <col min="11780" max="11780" width="8.140625" style="4" customWidth="1"/>
    <col min="11781" max="11781" width="6.140625" style="4" customWidth="1"/>
    <col min="11782" max="11782" width="10.85546875" style="4" customWidth="1"/>
    <col min="11783" max="11783" width="12.140625" style="4" customWidth="1"/>
    <col min="11784" max="11784" width="20.42578125" style="4" customWidth="1"/>
    <col min="11785" max="11785" width="12.28515625" style="4" customWidth="1"/>
    <col min="11786" max="11786" width="15.5703125" style="4" customWidth="1"/>
    <col min="11787" max="11787" width="7.140625" style="4" customWidth="1"/>
    <col min="11788" max="11788" width="8.140625" style="4" customWidth="1"/>
    <col min="11789" max="11789" width="12.28515625" style="4" customWidth="1"/>
    <col min="11790" max="12032" width="9.140625" style="4"/>
    <col min="12033" max="12033" width="5.140625" style="4" customWidth="1"/>
    <col min="12034" max="12034" width="50.28515625" style="4" customWidth="1"/>
    <col min="12035" max="12035" width="13.140625" style="4" customWidth="1"/>
    <col min="12036" max="12036" width="8.140625" style="4" customWidth="1"/>
    <col min="12037" max="12037" width="6.140625" style="4" customWidth="1"/>
    <col min="12038" max="12038" width="10.85546875" style="4" customWidth="1"/>
    <col min="12039" max="12039" width="12.140625" style="4" customWidth="1"/>
    <col min="12040" max="12040" width="20.42578125" style="4" customWidth="1"/>
    <col min="12041" max="12041" width="12.28515625" style="4" customWidth="1"/>
    <col min="12042" max="12042" width="15.5703125" style="4" customWidth="1"/>
    <col min="12043" max="12043" width="7.140625" style="4" customWidth="1"/>
    <col min="12044" max="12044" width="8.140625" style="4" customWidth="1"/>
    <col min="12045" max="12045" width="12.28515625" style="4" customWidth="1"/>
    <col min="12046" max="12288" width="9.140625" style="4"/>
    <col min="12289" max="12289" width="5.140625" style="4" customWidth="1"/>
    <col min="12290" max="12290" width="50.28515625" style="4" customWidth="1"/>
    <col min="12291" max="12291" width="13.140625" style="4" customWidth="1"/>
    <col min="12292" max="12292" width="8.140625" style="4" customWidth="1"/>
    <col min="12293" max="12293" width="6.140625" style="4" customWidth="1"/>
    <col min="12294" max="12294" width="10.85546875" style="4" customWidth="1"/>
    <col min="12295" max="12295" width="12.140625" style="4" customWidth="1"/>
    <col min="12296" max="12296" width="20.42578125" style="4" customWidth="1"/>
    <col min="12297" max="12297" width="12.28515625" style="4" customWidth="1"/>
    <col min="12298" max="12298" width="15.5703125" style="4" customWidth="1"/>
    <col min="12299" max="12299" width="7.140625" style="4" customWidth="1"/>
    <col min="12300" max="12300" width="8.140625" style="4" customWidth="1"/>
    <col min="12301" max="12301" width="12.28515625" style="4" customWidth="1"/>
    <col min="12302" max="12544" width="9.140625" style="4"/>
    <col min="12545" max="12545" width="5.140625" style="4" customWidth="1"/>
    <col min="12546" max="12546" width="50.28515625" style="4" customWidth="1"/>
    <col min="12547" max="12547" width="13.140625" style="4" customWidth="1"/>
    <col min="12548" max="12548" width="8.140625" style="4" customWidth="1"/>
    <col min="12549" max="12549" width="6.140625" style="4" customWidth="1"/>
    <col min="12550" max="12550" width="10.85546875" style="4" customWidth="1"/>
    <col min="12551" max="12551" width="12.140625" style="4" customWidth="1"/>
    <col min="12552" max="12552" width="20.42578125" style="4" customWidth="1"/>
    <col min="12553" max="12553" width="12.28515625" style="4" customWidth="1"/>
    <col min="12554" max="12554" width="15.5703125" style="4" customWidth="1"/>
    <col min="12555" max="12555" width="7.140625" style="4" customWidth="1"/>
    <col min="12556" max="12556" width="8.140625" style="4" customWidth="1"/>
    <col min="12557" max="12557" width="12.28515625" style="4" customWidth="1"/>
    <col min="12558" max="12800" width="9.140625" style="4"/>
    <col min="12801" max="12801" width="5.140625" style="4" customWidth="1"/>
    <col min="12802" max="12802" width="50.28515625" style="4" customWidth="1"/>
    <col min="12803" max="12803" width="13.140625" style="4" customWidth="1"/>
    <col min="12804" max="12804" width="8.140625" style="4" customWidth="1"/>
    <col min="12805" max="12805" width="6.140625" style="4" customWidth="1"/>
    <col min="12806" max="12806" width="10.85546875" style="4" customWidth="1"/>
    <col min="12807" max="12807" width="12.140625" style="4" customWidth="1"/>
    <col min="12808" max="12808" width="20.42578125" style="4" customWidth="1"/>
    <col min="12809" max="12809" width="12.28515625" style="4" customWidth="1"/>
    <col min="12810" max="12810" width="15.5703125" style="4" customWidth="1"/>
    <col min="12811" max="12811" width="7.140625" style="4" customWidth="1"/>
    <col min="12812" max="12812" width="8.140625" style="4" customWidth="1"/>
    <col min="12813" max="12813" width="12.28515625" style="4" customWidth="1"/>
    <col min="12814" max="13056" width="9.140625" style="4"/>
    <col min="13057" max="13057" width="5.140625" style="4" customWidth="1"/>
    <col min="13058" max="13058" width="50.28515625" style="4" customWidth="1"/>
    <col min="13059" max="13059" width="13.140625" style="4" customWidth="1"/>
    <col min="13060" max="13060" width="8.140625" style="4" customWidth="1"/>
    <col min="13061" max="13061" width="6.140625" style="4" customWidth="1"/>
    <col min="13062" max="13062" width="10.85546875" style="4" customWidth="1"/>
    <col min="13063" max="13063" width="12.140625" style="4" customWidth="1"/>
    <col min="13064" max="13064" width="20.42578125" style="4" customWidth="1"/>
    <col min="13065" max="13065" width="12.28515625" style="4" customWidth="1"/>
    <col min="13066" max="13066" width="15.5703125" style="4" customWidth="1"/>
    <col min="13067" max="13067" width="7.140625" style="4" customWidth="1"/>
    <col min="13068" max="13068" width="8.140625" style="4" customWidth="1"/>
    <col min="13069" max="13069" width="12.28515625" style="4" customWidth="1"/>
    <col min="13070" max="13312" width="9.140625" style="4"/>
    <col min="13313" max="13313" width="5.140625" style="4" customWidth="1"/>
    <col min="13314" max="13314" width="50.28515625" style="4" customWidth="1"/>
    <col min="13315" max="13315" width="13.140625" style="4" customWidth="1"/>
    <col min="13316" max="13316" width="8.140625" style="4" customWidth="1"/>
    <col min="13317" max="13317" width="6.140625" style="4" customWidth="1"/>
    <col min="13318" max="13318" width="10.85546875" style="4" customWidth="1"/>
    <col min="13319" max="13319" width="12.140625" style="4" customWidth="1"/>
    <col min="13320" max="13320" width="20.42578125" style="4" customWidth="1"/>
    <col min="13321" max="13321" width="12.28515625" style="4" customWidth="1"/>
    <col min="13322" max="13322" width="15.5703125" style="4" customWidth="1"/>
    <col min="13323" max="13323" width="7.140625" style="4" customWidth="1"/>
    <col min="13324" max="13324" width="8.140625" style="4" customWidth="1"/>
    <col min="13325" max="13325" width="12.28515625" style="4" customWidth="1"/>
    <col min="13326" max="13568" width="9.140625" style="4"/>
    <col min="13569" max="13569" width="5.140625" style="4" customWidth="1"/>
    <col min="13570" max="13570" width="50.28515625" style="4" customWidth="1"/>
    <col min="13571" max="13571" width="13.140625" style="4" customWidth="1"/>
    <col min="13572" max="13572" width="8.140625" style="4" customWidth="1"/>
    <col min="13573" max="13573" width="6.140625" style="4" customWidth="1"/>
    <col min="13574" max="13574" width="10.85546875" style="4" customWidth="1"/>
    <col min="13575" max="13575" width="12.140625" style="4" customWidth="1"/>
    <col min="13576" max="13576" width="20.42578125" style="4" customWidth="1"/>
    <col min="13577" max="13577" width="12.28515625" style="4" customWidth="1"/>
    <col min="13578" max="13578" width="15.5703125" style="4" customWidth="1"/>
    <col min="13579" max="13579" width="7.140625" style="4" customWidth="1"/>
    <col min="13580" max="13580" width="8.140625" style="4" customWidth="1"/>
    <col min="13581" max="13581" width="12.28515625" style="4" customWidth="1"/>
    <col min="13582" max="13824" width="9.140625" style="4"/>
    <col min="13825" max="13825" width="5.140625" style="4" customWidth="1"/>
    <col min="13826" max="13826" width="50.28515625" style="4" customWidth="1"/>
    <col min="13827" max="13827" width="13.140625" style="4" customWidth="1"/>
    <col min="13828" max="13828" width="8.140625" style="4" customWidth="1"/>
    <col min="13829" max="13829" width="6.140625" style="4" customWidth="1"/>
    <col min="13830" max="13830" width="10.85546875" style="4" customWidth="1"/>
    <col min="13831" max="13831" width="12.140625" style="4" customWidth="1"/>
    <col min="13832" max="13832" width="20.42578125" style="4" customWidth="1"/>
    <col min="13833" max="13833" width="12.28515625" style="4" customWidth="1"/>
    <col min="13834" max="13834" width="15.5703125" style="4" customWidth="1"/>
    <col min="13835" max="13835" width="7.140625" style="4" customWidth="1"/>
    <col min="13836" max="13836" width="8.140625" style="4" customWidth="1"/>
    <col min="13837" max="13837" width="12.28515625" style="4" customWidth="1"/>
    <col min="13838" max="14080" width="9.140625" style="4"/>
    <col min="14081" max="14081" width="5.140625" style="4" customWidth="1"/>
    <col min="14082" max="14082" width="50.28515625" style="4" customWidth="1"/>
    <col min="14083" max="14083" width="13.140625" style="4" customWidth="1"/>
    <col min="14084" max="14084" width="8.140625" style="4" customWidth="1"/>
    <col min="14085" max="14085" width="6.140625" style="4" customWidth="1"/>
    <col min="14086" max="14086" width="10.85546875" style="4" customWidth="1"/>
    <col min="14087" max="14087" width="12.140625" style="4" customWidth="1"/>
    <col min="14088" max="14088" width="20.42578125" style="4" customWidth="1"/>
    <col min="14089" max="14089" width="12.28515625" style="4" customWidth="1"/>
    <col min="14090" max="14090" width="15.5703125" style="4" customWidth="1"/>
    <col min="14091" max="14091" width="7.140625" style="4" customWidth="1"/>
    <col min="14092" max="14092" width="8.140625" style="4" customWidth="1"/>
    <col min="14093" max="14093" width="12.28515625" style="4" customWidth="1"/>
    <col min="14094" max="14336" width="9.140625" style="4"/>
    <col min="14337" max="14337" width="5.140625" style="4" customWidth="1"/>
    <col min="14338" max="14338" width="50.28515625" style="4" customWidth="1"/>
    <col min="14339" max="14339" width="13.140625" style="4" customWidth="1"/>
    <col min="14340" max="14340" width="8.140625" style="4" customWidth="1"/>
    <col min="14341" max="14341" width="6.140625" style="4" customWidth="1"/>
    <col min="14342" max="14342" width="10.85546875" style="4" customWidth="1"/>
    <col min="14343" max="14343" width="12.140625" style="4" customWidth="1"/>
    <col min="14344" max="14344" width="20.42578125" style="4" customWidth="1"/>
    <col min="14345" max="14345" width="12.28515625" style="4" customWidth="1"/>
    <col min="14346" max="14346" width="15.5703125" style="4" customWidth="1"/>
    <col min="14347" max="14347" width="7.140625" style="4" customWidth="1"/>
    <col min="14348" max="14348" width="8.140625" style="4" customWidth="1"/>
    <col min="14349" max="14349" width="12.28515625" style="4" customWidth="1"/>
    <col min="14350" max="14592" width="9.140625" style="4"/>
    <col min="14593" max="14593" width="5.140625" style="4" customWidth="1"/>
    <col min="14594" max="14594" width="50.28515625" style="4" customWidth="1"/>
    <col min="14595" max="14595" width="13.140625" style="4" customWidth="1"/>
    <col min="14596" max="14596" width="8.140625" style="4" customWidth="1"/>
    <col min="14597" max="14597" width="6.140625" style="4" customWidth="1"/>
    <col min="14598" max="14598" width="10.85546875" style="4" customWidth="1"/>
    <col min="14599" max="14599" width="12.140625" style="4" customWidth="1"/>
    <col min="14600" max="14600" width="20.42578125" style="4" customWidth="1"/>
    <col min="14601" max="14601" width="12.28515625" style="4" customWidth="1"/>
    <col min="14602" max="14602" width="15.5703125" style="4" customWidth="1"/>
    <col min="14603" max="14603" width="7.140625" style="4" customWidth="1"/>
    <col min="14604" max="14604" width="8.140625" style="4" customWidth="1"/>
    <col min="14605" max="14605" width="12.28515625" style="4" customWidth="1"/>
    <col min="14606" max="14848" width="9.140625" style="4"/>
    <col min="14849" max="14849" width="5.140625" style="4" customWidth="1"/>
    <col min="14850" max="14850" width="50.28515625" style="4" customWidth="1"/>
    <col min="14851" max="14851" width="13.140625" style="4" customWidth="1"/>
    <col min="14852" max="14852" width="8.140625" style="4" customWidth="1"/>
    <col min="14853" max="14853" width="6.140625" style="4" customWidth="1"/>
    <col min="14854" max="14854" width="10.85546875" style="4" customWidth="1"/>
    <col min="14855" max="14855" width="12.140625" style="4" customWidth="1"/>
    <col min="14856" max="14856" width="20.42578125" style="4" customWidth="1"/>
    <col min="14857" max="14857" width="12.28515625" style="4" customWidth="1"/>
    <col min="14858" max="14858" width="15.5703125" style="4" customWidth="1"/>
    <col min="14859" max="14859" width="7.140625" style="4" customWidth="1"/>
    <col min="14860" max="14860" width="8.140625" style="4" customWidth="1"/>
    <col min="14861" max="14861" width="12.28515625" style="4" customWidth="1"/>
    <col min="14862" max="15104" width="9.140625" style="4"/>
    <col min="15105" max="15105" width="5.140625" style="4" customWidth="1"/>
    <col min="15106" max="15106" width="50.28515625" style="4" customWidth="1"/>
    <col min="15107" max="15107" width="13.140625" style="4" customWidth="1"/>
    <col min="15108" max="15108" width="8.140625" style="4" customWidth="1"/>
    <col min="15109" max="15109" width="6.140625" style="4" customWidth="1"/>
    <col min="15110" max="15110" width="10.85546875" style="4" customWidth="1"/>
    <col min="15111" max="15111" width="12.140625" style="4" customWidth="1"/>
    <col min="15112" max="15112" width="20.42578125" style="4" customWidth="1"/>
    <col min="15113" max="15113" width="12.28515625" style="4" customWidth="1"/>
    <col min="15114" max="15114" width="15.5703125" style="4" customWidth="1"/>
    <col min="15115" max="15115" width="7.140625" style="4" customWidth="1"/>
    <col min="15116" max="15116" width="8.140625" style="4" customWidth="1"/>
    <col min="15117" max="15117" width="12.28515625" style="4" customWidth="1"/>
    <col min="15118" max="15360" width="9.140625" style="4"/>
    <col min="15361" max="15361" width="5.140625" style="4" customWidth="1"/>
    <col min="15362" max="15362" width="50.28515625" style="4" customWidth="1"/>
    <col min="15363" max="15363" width="13.140625" style="4" customWidth="1"/>
    <col min="15364" max="15364" width="8.140625" style="4" customWidth="1"/>
    <col min="15365" max="15365" width="6.140625" style="4" customWidth="1"/>
    <col min="15366" max="15366" width="10.85546875" style="4" customWidth="1"/>
    <col min="15367" max="15367" width="12.140625" style="4" customWidth="1"/>
    <col min="15368" max="15368" width="20.42578125" style="4" customWidth="1"/>
    <col min="15369" max="15369" width="12.28515625" style="4" customWidth="1"/>
    <col min="15370" max="15370" width="15.5703125" style="4" customWidth="1"/>
    <col min="15371" max="15371" width="7.140625" style="4" customWidth="1"/>
    <col min="15372" max="15372" width="8.140625" style="4" customWidth="1"/>
    <col min="15373" max="15373" width="12.28515625" style="4" customWidth="1"/>
    <col min="15374" max="15616" width="9.140625" style="4"/>
    <col min="15617" max="15617" width="5.140625" style="4" customWidth="1"/>
    <col min="15618" max="15618" width="50.28515625" style="4" customWidth="1"/>
    <col min="15619" max="15619" width="13.140625" style="4" customWidth="1"/>
    <col min="15620" max="15620" width="8.140625" style="4" customWidth="1"/>
    <col min="15621" max="15621" width="6.140625" style="4" customWidth="1"/>
    <col min="15622" max="15622" width="10.85546875" style="4" customWidth="1"/>
    <col min="15623" max="15623" width="12.140625" style="4" customWidth="1"/>
    <col min="15624" max="15624" width="20.42578125" style="4" customWidth="1"/>
    <col min="15625" max="15625" width="12.28515625" style="4" customWidth="1"/>
    <col min="15626" max="15626" width="15.5703125" style="4" customWidth="1"/>
    <col min="15627" max="15627" width="7.140625" style="4" customWidth="1"/>
    <col min="15628" max="15628" width="8.140625" style="4" customWidth="1"/>
    <col min="15629" max="15629" width="12.28515625" style="4" customWidth="1"/>
    <col min="15630" max="15872" width="9.140625" style="4"/>
    <col min="15873" max="15873" width="5.140625" style="4" customWidth="1"/>
    <col min="15874" max="15874" width="50.28515625" style="4" customWidth="1"/>
    <col min="15875" max="15875" width="13.140625" style="4" customWidth="1"/>
    <col min="15876" max="15876" width="8.140625" style="4" customWidth="1"/>
    <col min="15877" max="15877" width="6.140625" style="4" customWidth="1"/>
    <col min="15878" max="15878" width="10.85546875" style="4" customWidth="1"/>
    <col min="15879" max="15879" width="12.140625" style="4" customWidth="1"/>
    <col min="15880" max="15880" width="20.42578125" style="4" customWidth="1"/>
    <col min="15881" max="15881" width="12.28515625" style="4" customWidth="1"/>
    <col min="15882" max="15882" width="15.5703125" style="4" customWidth="1"/>
    <col min="15883" max="15883" width="7.140625" style="4" customWidth="1"/>
    <col min="15884" max="15884" width="8.140625" style="4" customWidth="1"/>
    <col min="15885" max="15885" width="12.28515625" style="4" customWidth="1"/>
    <col min="15886" max="16128" width="9.140625" style="4"/>
    <col min="16129" max="16129" width="5.140625" style="4" customWidth="1"/>
    <col min="16130" max="16130" width="50.28515625" style="4" customWidth="1"/>
    <col min="16131" max="16131" width="13.140625" style="4" customWidth="1"/>
    <col min="16132" max="16132" width="8.140625" style="4" customWidth="1"/>
    <col min="16133" max="16133" width="6.140625" style="4" customWidth="1"/>
    <col min="16134" max="16134" width="10.85546875" style="4" customWidth="1"/>
    <col min="16135" max="16135" width="12.140625" style="4" customWidth="1"/>
    <col min="16136" max="16136" width="20.42578125" style="4" customWidth="1"/>
    <col min="16137" max="16137" width="12.28515625" style="4" customWidth="1"/>
    <col min="16138" max="16138" width="15.5703125" style="4" customWidth="1"/>
    <col min="16139" max="16139" width="7.140625" style="4" customWidth="1"/>
    <col min="16140" max="16140" width="8.140625" style="4" customWidth="1"/>
    <col min="16141" max="16141" width="12.28515625" style="4" customWidth="1"/>
    <col min="16142" max="16384" width="9.140625" style="4"/>
  </cols>
  <sheetData>
    <row r="1" spans="1:13" ht="18">
      <c r="A1" s="185"/>
      <c r="B1" s="3309" t="s">
        <v>172</v>
      </c>
      <c r="C1" s="3309"/>
      <c r="D1" s="3309"/>
      <c r="E1" s="3309"/>
      <c r="F1" s="186"/>
      <c r="G1" s="186"/>
    </row>
    <row r="2" spans="1:13" ht="7.5" customHeight="1">
      <c r="A2" s="185"/>
      <c r="B2" s="181"/>
      <c r="C2" s="181"/>
      <c r="D2" s="181"/>
      <c r="E2" s="181"/>
      <c r="F2" s="186"/>
      <c r="G2" s="186"/>
    </row>
    <row r="3" spans="1:13" ht="33.75" customHeight="1">
      <c r="A3" s="185"/>
      <c r="B3" s="3075" t="s">
        <v>173</v>
      </c>
      <c r="C3" s="3075"/>
      <c r="D3" s="3075"/>
      <c r="E3" s="3075"/>
      <c r="F3" s="3075"/>
      <c r="G3" s="187"/>
    </row>
    <row r="4" spans="1:13" ht="16.5" customHeight="1">
      <c r="A4" s="185"/>
      <c r="B4" s="188"/>
      <c r="C4" s="188"/>
      <c r="D4" s="188"/>
      <c r="E4" s="188"/>
      <c r="F4" s="925" t="s">
        <v>89</v>
      </c>
      <c r="G4" s="187"/>
    </row>
    <row r="5" spans="1:13" ht="9.75" customHeight="1">
      <c r="A5" s="185"/>
      <c r="B5" s="188"/>
      <c r="C5" s="188"/>
      <c r="D5" s="188"/>
      <c r="E5" s="188"/>
      <c r="G5" s="187"/>
    </row>
    <row r="6" spans="1:13" ht="30" customHeight="1">
      <c r="A6" s="189" t="s">
        <v>2</v>
      </c>
      <c r="B6" s="190" t="s">
        <v>3</v>
      </c>
      <c r="C6" s="191" t="s">
        <v>4</v>
      </c>
      <c r="D6" s="192" t="s">
        <v>5</v>
      </c>
      <c r="E6" s="192" t="s">
        <v>95</v>
      </c>
      <c r="F6" s="120" t="s">
        <v>174</v>
      </c>
      <c r="G6" s="120" t="s">
        <v>10</v>
      </c>
    </row>
    <row r="7" spans="1:13" ht="15.75" customHeight="1">
      <c r="A7" s="342">
        <v>1</v>
      </c>
      <c r="B7" s="190">
        <v>2</v>
      </c>
      <c r="C7" s="207" t="s">
        <v>184</v>
      </c>
      <c r="D7" s="192">
        <v>4</v>
      </c>
      <c r="E7" s="192">
        <v>5</v>
      </c>
      <c r="F7" s="120">
        <v>6</v>
      </c>
      <c r="G7" s="120">
        <v>7</v>
      </c>
    </row>
    <row r="8" spans="1:13" ht="17.25" customHeight="1">
      <c r="A8" s="157">
        <v>1</v>
      </c>
      <c r="B8" s="1182" t="s">
        <v>175</v>
      </c>
      <c r="C8" s="1186">
        <v>7130830060</v>
      </c>
      <c r="D8" s="1181" t="s">
        <v>147</v>
      </c>
      <c r="E8" s="1181">
        <v>3.03</v>
      </c>
      <c r="F8" s="734">
        <f>VLOOKUP(C8,'SOR RATE'!A:D,4,0)</f>
        <v>70920.66</v>
      </c>
      <c r="G8" s="734">
        <f>F8*E8</f>
        <v>214889.5998</v>
      </c>
      <c r="I8" s="193"/>
      <c r="J8" s="194"/>
      <c r="K8" s="195"/>
      <c r="L8" s="196"/>
      <c r="M8" s="197"/>
    </row>
    <row r="9" spans="1:13" ht="17.25" customHeight="1">
      <c r="A9" s="1181">
        <v>2</v>
      </c>
      <c r="B9" s="1182" t="s">
        <v>176</v>
      </c>
      <c r="C9" s="1258">
        <v>7130810511</v>
      </c>
      <c r="D9" s="1181" t="s">
        <v>12</v>
      </c>
      <c r="E9" s="1181">
        <v>1</v>
      </c>
      <c r="F9" s="734">
        <f>VLOOKUP(C9,'SOR RATE'!A:D,4,0)</f>
        <v>3272.43</v>
      </c>
      <c r="G9" s="734">
        <f>F9*E9</f>
        <v>3272.43</v>
      </c>
      <c r="I9" s="12"/>
      <c r="J9" s="12"/>
      <c r="K9" s="12"/>
      <c r="L9" s="12"/>
      <c r="M9" s="12"/>
    </row>
    <row r="10" spans="1:13" ht="17.25" customHeight="1">
      <c r="A10" s="1181">
        <v>3</v>
      </c>
      <c r="B10" s="1182" t="s">
        <v>177</v>
      </c>
      <c r="C10" s="1258">
        <v>7130870043</v>
      </c>
      <c r="D10" s="1181" t="s">
        <v>26</v>
      </c>
      <c r="E10" s="1181">
        <v>35</v>
      </c>
      <c r="F10" s="734">
        <f>VLOOKUP(C10,'SOR RATE'!A:D,4,0)/1000</f>
        <v>80.521839999999997</v>
      </c>
      <c r="G10" s="734">
        <f t="shared" ref="G10:G15" si="0">E10*F10</f>
        <v>2818.2644</v>
      </c>
    </row>
    <row r="11" spans="1:13" ht="17.25" customHeight="1">
      <c r="A11" s="1181">
        <v>4</v>
      </c>
      <c r="B11" s="1182" t="s">
        <v>178</v>
      </c>
      <c r="C11" s="1258">
        <v>7130810026</v>
      </c>
      <c r="D11" s="1181" t="s">
        <v>15</v>
      </c>
      <c r="E11" s="1181">
        <v>2</v>
      </c>
      <c r="F11" s="734">
        <f>VLOOKUP(C11,'SOR RATE'!A201:D201,4,0)</f>
        <v>198.14</v>
      </c>
      <c r="G11" s="734">
        <f t="shared" si="0"/>
        <v>396.28</v>
      </c>
    </row>
    <row r="12" spans="1:13" ht="17.25" customHeight="1">
      <c r="A12" s="1181">
        <v>5</v>
      </c>
      <c r="B12" s="1475" t="s">
        <v>179</v>
      </c>
      <c r="C12" s="1258">
        <v>7130860077</v>
      </c>
      <c r="D12" s="1181" t="s">
        <v>26</v>
      </c>
      <c r="E12" s="1181">
        <v>11</v>
      </c>
      <c r="F12" s="734">
        <f>VLOOKUP(C12,'SOR RATE'!A:D,4,0)/1000</f>
        <v>93.76643</v>
      </c>
      <c r="G12" s="734">
        <f t="shared" si="0"/>
        <v>1031.43073</v>
      </c>
      <c r="I12" s="198"/>
      <c r="J12" s="199"/>
    </row>
    <row r="13" spans="1:13" ht="17.25" customHeight="1">
      <c r="A13" s="1181">
        <v>6</v>
      </c>
      <c r="B13" s="1182" t="s">
        <v>154</v>
      </c>
      <c r="C13" s="1258">
        <v>7130860032</v>
      </c>
      <c r="D13" s="1181" t="s">
        <v>12</v>
      </c>
      <c r="E13" s="1181">
        <v>2</v>
      </c>
      <c r="F13" s="734">
        <f>VLOOKUP(C13,'SOR RATE'!A:D,4,0)</f>
        <v>566.19000000000005</v>
      </c>
      <c r="G13" s="734">
        <f t="shared" si="0"/>
        <v>1132.3800000000001</v>
      </c>
    </row>
    <row r="14" spans="1:13" ht="17.25" customHeight="1">
      <c r="A14" s="1181">
        <v>7</v>
      </c>
      <c r="B14" s="1182" t="s">
        <v>180</v>
      </c>
      <c r="C14" s="1258">
        <v>7130620013</v>
      </c>
      <c r="D14" s="1181" t="s">
        <v>12</v>
      </c>
      <c r="E14" s="1181">
        <v>4</v>
      </c>
      <c r="F14" s="734">
        <f>VLOOKUP(C14,'SOR RATE'!A:D,4,0)</f>
        <v>156.05000000000001</v>
      </c>
      <c r="G14" s="734">
        <f t="shared" si="0"/>
        <v>624.20000000000005</v>
      </c>
    </row>
    <row r="15" spans="1:13" ht="17.25" customHeight="1">
      <c r="A15" s="1181">
        <v>8</v>
      </c>
      <c r="B15" s="1182" t="s">
        <v>1634</v>
      </c>
      <c r="C15" s="1258">
        <v>7130820248</v>
      </c>
      <c r="D15" s="1181" t="s">
        <v>12</v>
      </c>
      <c r="E15" s="1181">
        <v>12</v>
      </c>
      <c r="F15" s="734">
        <f>VLOOKUP(C15,'SOR RATE'!A:D,4,0)</f>
        <v>318.89</v>
      </c>
      <c r="G15" s="734">
        <f t="shared" si="0"/>
        <v>3826.68</v>
      </c>
      <c r="H15" s="517" t="s">
        <v>1635</v>
      </c>
    </row>
    <row r="16" spans="1:13" ht="17.25" customHeight="1">
      <c r="A16" s="931">
        <v>9</v>
      </c>
      <c r="B16" s="1503" t="s">
        <v>48</v>
      </c>
      <c r="C16" s="1181"/>
      <c r="D16" s="1710"/>
      <c r="E16" s="1181"/>
      <c r="F16" s="1260"/>
      <c r="G16" s="1193">
        <f>SUM(G8:G15)</f>
        <v>227991.26493</v>
      </c>
      <c r="H16" s="12"/>
    </row>
    <row r="17" spans="1:9" ht="17.25" customHeight="1">
      <c r="A17" s="931">
        <v>10</v>
      </c>
      <c r="B17" s="1191" t="s">
        <v>49</v>
      </c>
      <c r="C17" s="1181"/>
      <c r="D17" s="1710"/>
      <c r="E17" s="1181"/>
      <c r="F17" s="1260"/>
      <c r="G17" s="1193">
        <f>G16/1.18</f>
        <v>193212.93638135595</v>
      </c>
      <c r="H17" s="17"/>
    </row>
    <row r="18" spans="1:9" ht="17.25" customHeight="1">
      <c r="A18" s="1181">
        <v>11</v>
      </c>
      <c r="B18" s="1185" t="s">
        <v>50</v>
      </c>
      <c r="C18" s="1181"/>
      <c r="D18" s="1710"/>
      <c r="E18" s="1181"/>
      <c r="F18" s="1711">
        <v>7.4999999999999997E-2</v>
      </c>
      <c r="G18" s="734">
        <f>G16*F18</f>
        <v>17099.344869749999</v>
      </c>
      <c r="H18" s="16"/>
    </row>
    <row r="19" spans="1:9" ht="33" customHeight="1">
      <c r="A19" s="1181">
        <v>12</v>
      </c>
      <c r="B19" s="1203" t="s">
        <v>1414</v>
      </c>
      <c r="C19" s="1181"/>
      <c r="D19" s="1181"/>
      <c r="E19" s="1181"/>
      <c r="F19" s="734"/>
      <c r="G19" s="734">
        <v>24542.02</v>
      </c>
      <c r="H19" s="12"/>
    </row>
    <row r="20" spans="1:9" ht="19.5" customHeight="1">
      <c r="A20" s="1181">
        <v>13</v>
      </c>
      <c r="B20" s="1206" t="s">
        <v>1636</v>
      </c>
      <c r="C20" s="1712"/>
      <c r="D20" s="1712"/>
      <c r="E20" s="1712"/>
      <c r="F20" s="1712"/>
      <c r="G20" s="1210">
        <f>G17*0.04</f>
        <v>7728.5174552542376</v>
      </c>
      <c r="H20" s="737" t="s">
        <v>1827</v>
      </c>
      <c r="I20" s="26"/>
    </row>
    <row r="21" spans="1:9" ht="32.25" customHeight="1">
      <c r="A21" s="1181">
        <v>14</v>
      </c>
      <c r="B21" s="1206" t="s">
        <v>1640</v>
      </c>
      <c r="C21" s="1712"/>
      <c r="D21" s="1712"/>
      <c r="E21" s="1712"/>
      <c r="F21" s="1712"/>
      <c r="G21" s="1210">
        <f>(((28020.76/1.18)*3.03)/2)*0.04</f>
        <v>1439.0322508474576</v>
      </c>
      <c r="H21" s="517" t="s">
        <v>1635</v>
      </c>
      <c r="I21" s="26"/>
    </row>
    <row r="22" spans="1:9" ht="33.75" customHeight="1">
      <c r="A22" s="1181">
        <v>15</v>
      </c>
      <c r="B22" s="1206" t="s">
        <v>1647</v>
      </c>
      <c r="C22" s="1712"/>
      <c r="D22" s="1712"/>
      <c r="E22" s="1712"/>
      <c r="F22" s="1712"/>
      <c r="G22" s="1210">
        <f>(G16+G18+G19+G20+G21)*0.125</f>
        <v>34850.022438231455</v>
      </c>
      <c r="H22" s="201"/>
      <c r="I22" s="26"/>
    </row>
    <row r="23" spans="1:9" ht="30">
      <c r="A23" s="931">
        <v>16</v>
      </c>
      <c r="B23" s="1214" t="s">
        <v>1643</v>
      </c>
      <c r="C23" s="1712"/>
      <c r="D23" s="1712"/>
      <c r="E23" s="1712"/>
      <c r="F23" s="1712"/>
      <c r="G23" s="1193">
        <f>SUM(G17:G22)</f>
        <v>278871.87339543912</v>
      </c>
      <c r="H23" s="202"/>
      <c r="I23" s="180"/>
    </row>
    <row r="24" spans="1:9" ht="18.75" customHeight="1">
      <c r="A24" s="1181">
        <v>17</v>
      </c>
      <c r="B24" s="1185" t="s">
        <v>1644</v>
      </c>
      <c r="C24" s="1712"/>
      <c r="D24" s="1712"/>
      <c r="E24" s="1712"/>
      <c r="F24" s="1198">
        <v>0.09</v>
      </c>
      <c r="G24" s="734">
        <f>G23*F24</f>
        <v>25098.468605589522</v>
      </c>
      <c r="H24" s="202"/>
      <c r="I24" s="180"/>
    </row>
    <row r="25" spans="1:9" ht="18.75" customHeight="1">
      <c r="A25" s="1181">
        <v>18</v>
      </c>
      <c r="B25" s="1185" t="s">
        <v>1645</v>
      </c>
      <c r="C25" s="1712"/>
      <c r="D25" s="1712"/>
      <c r="E25" s="1712"/>
      <c r="F25" s="1198">
        <v>0.09</v>
      </c>
      <c r="G25" s="734">
        <f>G23*F25</f>
        <v>25098.468605589522</v>
      </c>
      <c r="H25" s="60"/>
      <c r="I25" s="180"/>
    </row>
    <row r="26" spans="1:9" ht="20.25" customHeight="1">
      <c r="A26" s="931">
        <v>19</v>
      </c>
      <c r="B26" s="1214" t="s">
        <v>1646</v>
      </c>
      <c r="C26" s="1713"/>
      <c r="D26" s="1713"/>
      <c r="E26" s="1713"/>
      <c r="F26" s="1713"/>
      <c r="G26" s="1193">
        <f>G23+G24+G25</f>
        <v>329068.81060661818</v>
      </c>
    </row>
    <row r="27" spans="1:9" ht="22.5" customHeight="1">
      <c r="A27" s="931">
        <v>20</v>
      </c>
      <c r="B27" s="1214" t="s">
        <v>59</v>
      </c>
      <c r="C27" s="1295"/>
      <c r="D27" s="1295"/>
      <c r="E27" s="1295"/>
      <c r="F27" s="1295"/>
      <c r="G27" s="1193">
        <f>ROUND(G26,0)</f>
        <v>329069</v>
      </c>
    </row>
    <row r="28" spans="1:9" ht="15.75">
      <c r="B28" s="12"/>
      <c r="C28" s="203"/>
      <c r="D28" s="204"/>
      <c r="E28" s="205"/>
      <c r="F28" s="19"/>
    </row>
  </sheetData>
  <mergeCells count="2">
    <mergeCell ref="B1:E1"/>
    <mergeCell ref="B3:F3"/>
  </mergeCells>
  <conditionalFormatting sqref="B17">
    <cfRule type="cellIs" dxfId="102" priority="1" stopIfTrue="1" operator="equal">
      <formula>"?"</formula>
    </cfRule>
  </conditionalFormatting>
  <pageMargins left="1.0236220472440944" right="0.15748031496062992" top="0.70866141732283472" bottom="0.31496062992125984" header="0.70866141732283472" footer="0.15748031496062992"/>
  <pageSetup scale="11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R54"/>
  <sheetViews>
    <sheetView zoomScale="90" zoomScaleNormal="90" workbookViewId="0">
      <pane xSplit="3" ySplit="7" topLeftCell="D44" activePane="bottomRight" state="frozen"/>
      <selection pane="topRight" activeCell="D1" sqref="D1"/>
      <selection pane="bottomLeft" activeCell="A8" sqref="A8"/>
      <selection pane="bottomRight" activeCell="I40" sqref="I40"/>
    </sheetView>
  </sheetViews>
  <sheetFormatPr defaultRowHeight="12.75"/>
  <cols>
    <col min="1" max="1" width="5" style="4" bestFit="1" customWidth="1"/>
    <col min="2" max="2" width="65.42578125" style="4" customWidth="1"/>
    <col min="3" max="3" width="15.7109375" style="4" customWidth="1"/>
    <col min="4" max="4" width="8.140625" style="4" customWidth="1"/>
    <col min="5" max="5" width="11.85546875" style="4" customWidth="1"/>
    <col min="6" max="6" width="8.85546875" style="4" customWidth="1"/>
    <col min="7" max="7" width="13.7109375" style="4" customWidth="1"/>
    <col min="8" max="8" width="15.5703125" style="4" customWidth="1"/>
    <col min="9" max="9" width="26.42578125" style="4" customWidth="1"/>
    <col min="10" max="10" width="9.140625" style="4"/>
    <col min="11" max="11" width="11.7109375" style="4" customWidth="1"/>
    <col min="12" max="12" width="13.5703125" style="4" customWidth="1"/>
    <col min="13" max="256" width="9.140625" style="4"/>
    <col min="257" max="257" width="5" style="4" bestFit="1" customWidth="1"/>
    <col min="258" max="258" width="65.42578125" style="4" customWidth="1"/>
    <col min="259" max="259" width="15.7109375" style="4" customWidth="1"/>
    <col min="260" max="260" width="8.140625" style="4" customWidth="1"/>
    <col min="261" max="261" width="11.85546875" style="4" customWidth="1"/>
    <col min="262" max="262" width="8.85546875" style="4" customWidth="1"/>
    <col min="263" max="263" width="13.7109375" style="4" customWidth="1"/>
    <col min="264" max="264" width="15.5703125" style="4" customWidth="1"/>
    <col min="265" max="265" width="26.42578125" style="4" customWidth="1"/>
    <col min="266" max="266" width="9.140625" style="4"/>
    <col min="267" max="267" width="11.7109375" style="4" customWidth="1"/>
    <col min="268" max="268" width="13.5703125" style="4" customWidth="1"/>
    <col min="269" max="512" width="9.140625" style="4"/>
    <col min="513" max="513" width="5" style="4" bestFit="1" customWidth="1"/>
    <col min="514" max="514" width="65.42578125" style="4" customWidth="1"/>
    <col min="515" max="515" width="15.7109375" style="4" customWidth="1"/>
    <col min="516" max="516" width="8.140625" style="4" customWidth="1"/>
    <col min="517" max="517" width="11.85546875" style="4" customWidth="1"/>
    <col min="518" max="518" width="8.85546875" style="4" customWidth="1"/>
    <col min="519" max="519" width="13.7109375" style="4" customWidth="1"/>
    <col min="520" max="520" width="15.5703125" style="4" customWidth="1"/>
    <col min="521" max="521" width="26.42578125" style="4" customWidth="1"/>
    <col min="522" max="522" width="9.140625" style="4"/>
    <col min="523" max="523" width="11.7109375" style="4" customWidth="1"/>
    <col min="524" max="524" width="13.5703125" style="4" customWidth="1"/>
    <col min="525" max="768" width="9.140625" style="4"/>
    <col min="769" max="769" width="5" style="4" bestFit="1" customWidth="1"/>
    <col min="770" max="770" width="65.42578125" style="4" customWidth="1"/>
    <col min="771" max="771" width="15.7109375" style="4" customWidth="1"/>
    <col min="772" max="772" width="8.140625" style="4" customWidth="1"/>
    <col min="773" max="773" width="11.85546875" style="4" customWidth="1"/>
    <col min="774" max="774" width="8.85546875" style="4" customWidth="1"/>
    <col min="775" max="775" width="13.7109375" style="4" customWidth="1"/>
    <col min="776" max="776" width="15.5703125" style="4" customWidth="1"/>
    <col min="777" max="777" width="26.42578125" style="4" customWidth="1"/>
    <col min="778" max="778" width="9.140625" style="4"/>
    <col min="779" max="779" width="11.7109375" style="4" customWidth="1"/>
    <col min="780" max="780" width="13.5703125" style="4" customWidth="1"/>
    <col min="781" max="1024" width="9.140625" style="4"/>
    <col min="1025" max="1025" width="5" style="4" bestFit="1" customWidth="1"/>
    <col min="1026" max="1026" width="65.42578125" style="4" customWidth="1"/>
    <col min="1027" max="1027" width="15.7109375" style="4" customWidth="1"/>
    <col min="1028" max="1028" width="8.140625" style="4" customWidth="1"/>
    <col min="1029" max="1029" width="11.85546875" style="4" customWidth="1"/>
    <col min="1030" max="1030" width="8.85546875" style="4" customWidth="1"/>
    <col min="1031" max="1031" width="13.7109375" style="4" customWidth="1"/>
    <col min="1032" max="1032" width="15.5703125" style="4" customWidth="1"/>
    <col min="1033" max="1033" width="26.42578125" style="4" customWidth="1"/>
    <col min="1034" max="1034" width="9.140625" style="4"/>
    <col min="1035" max="1035" width="11.7109375" style="4" customWidth="1"/>
    <col min="1036" max="1036" width="13.5703125" style="4" customWidth="1"/>
    <col min="1037" max="1280" width="9.140625" style="4"/>
    <col min="1281" max="1281" width="5" style="4" bestFit="1" customWidth="1"/>
    <col min="1282" max="1282" width="65.42578125" style="4" customWidth="1"/>
    <col min="1283" max="1283" width="15.7109375" style="4" customWidth="1"/>
    <col min="1284" max="1284" width="8.140625" style="4" customWidth="1"/>
    <col min="1285" max="1285" width="11.85546875" style="4" customWidth="1"/>
    <col min="1286" max="1286" width="8.85546875" style="4" customWidth="1"/>
    <col min="1287" max="1287" width="13.7109375" style="4" customWidth="1"/>
    <col min="1288" max="1288" width="15.5703125" style="4" customWidth="1"/>
    <col min="1289" max="1289" width="26.42578125" style="4" customWidth="1"/>
    <col min="1290" max="1290" width="9.140625" style="4"/>
    <col min="1291" max="1291" width="11.7109375" style="4" customWidth="1"/>
    <col min="1292" max="1292" width="13.5703125" style="4" customWidth="1"/>
    <col min="1293" max="1536" width="9.140625" style="4"/>
    <col min="1537" max="1537" width="5" style="4" bestFit="1" customWidth="1"/>
    <col min="1538" max="1538" width="65.42578125" style="4" customWidth="1"/>
    <col min="1539" max="1539" width="15.7109375" style="4" customWidth="1"/>
    <col min="1540" max="1540" width="8.140625" style="4" customWidth="1"/>
    <col min="1541" max="1541" width="11.85546875" style="4" customWidth="1"/>
    <col min="1542" max="1542" width="8.85546875" style="4" customWidth="1"/>
    <col min="1543" max="1543" width="13.7109375" style="4" customWidth="1"/>
    <col min="1544" max="1544" width="15.5703125" style="4" customWidth="1"/>
    <col min="1545" max="1545" width="26.42578125" style="4" customWidth="1"/>
    <col min="1546" max="1546" width="9.140625" style="4"/>
    <col min="1547" max="1547" width="11.7109375" style="4" customWidth="1"/>
    <col min="1548" max="1548" width="13.5703125" style="4" customWidth="1"/>
    <col min="1549" max="1792" width="9.140625" style="4"/>
    <col min="1793" max="1793" width="5" style="4" bestFit="1" customWidth="1"/>
    <col min="1794" max="1794" width="65.42578125" style="4" customWidth="1"/>
    <col min="1795" max="1795" width="15.7109375" style="4" customWidth="1"/>
    <col min="1796" max="1796" width="8.140625" style="4" customWidth="1"/>
    <col min="1797" max="1797" width="11.85546875" style="4" customWidth="1"/>
    <col min="1798" max="1798" width="8.85546875" style="4" customWidth="1"/>
    <col min="1799" max="1799" width="13.7109375" style="4" customWidth="1"/>
    <col min="1800" max="1800" width="15.5703125" style="4" customWidth="1"/>
    <col min="1801" max="1801" width="26.42578125" style="4" customWidth="1"/>
    <col min="1802" max="1802" width="9.140625" style="4"/>
    <col min="1803" max="1803" width="11.7109375" style="4" customWidth="1"/>
    <col min="1804" max="1804" width="13.5703125" style="4" customWidth="1"/>
    <col min="1805" max="2048" width="9.140625" style="4"/>
    <col min="2049" max="2049" width="5" style="4" bestFit="1" customWidth="1"/>
    <col min="2050" max="2050" width="65.42578125" style="4" customWidth="1"/>
    <col min="2051" max="2051" width="15.7109375" style="4" customWidth="1"/>
    <col min="2052" max="2052" width="8.140625" style="4" customWidth="1"/>
    <col min="2053" max="2053" width="11.85546875" style="4" customWidth="1"/>
    <col min="2054" max="2054" width="8.85546875" style="4" customWidth="1"/>
    <col min="2055" max="2055" width="13.7109375" style="4" customWidth="1"/>
    <col min="2056" max="2056" width="15.5703125" style="4" customWidth="1"/>
    <col min="2057" max="2057" width="26.42578125" style="4" customWidth="1"/>
    <col min="2058" max="2058" width="9.140625" style="4"/>
    <col min="2059" max="2059" width="11.7109375" style="4" customWidth="1"/>
    <col min="2060" max="2060" width="13.5703125" style="4" customWidth="1"/>
    <col min="2061" max="2304" width="9.140625" style="4"/>
    <col min="2305" max="2305" width="5" style="4" bestFit="1" customWidth="1"/>
    <col min="2306" max="2306" width="65.42578125" style="4" customWidth="1"/>
    <col min="2307" max="2307" width="15.7109375" style="4" customWidth="1"/>
    <col min="2308" max="2308" width="8.140625" style="4" customWidth="1"/>
    <col min="2309" max="2309" width="11.85546875" style="4" customWidth="1"/>
    <col min="2310" max="2310" width="8.85546875" style="4" customWidth="1"/>
    <col min="2311" max="2311" width="13.7109375" style="4" customWidth="1"/>
    <col min="2312" max="2312" width="15.5703125" style="4" customWidth="1"/>
    <col min="2313" max="2313" width="26.42578125" style="4" customWidth="1"/>
    <col min="2314" max="2314" width="9.140625" style="4"/>
    <col min="2315" max="2315" width="11.7109375" style="4" customWidth="1"/>
    <col min="2316" max="2316" width="13.5703125" style="4" customWidth="1"/>
    <col min="2317" max="2560" width="9.140625" style="4"/>
    <col min="2561" max="2561" width="5" style="4" bestFit="1" customWidth="1"/>
    <col min="2562" max="2562" width="65.42578125" style="4" customWidth="1"/>
    <col min="2563" max="2563" width="15.7109375" style="4" customWidth="1"/>
    <col min="2564" max="2564" width="8.140625" style="4" customWidth="1"/>
    <col min="2565" max="2565" width="11.85546875" style="4" customWidth="1"/>
    <col min="2566" max="2566" width="8.85546875" style="4" customWidth="1"/>
    <col min="2567" max="2567" width="13.7109375" style="4" customWidth="1"/>
    <col min="2568" max="2568" width="15.5703125" style="4" customWidth="1"/>
    <col min="2569" max="2569" width="26.42578125" style="4" customWidth="1"/>
    <col min="2570" max="2570" width="9.140625" style="4"/>
    <col min="2571" max="2571" width="11.7109375" style="4" customWidth="1"/>
    <col min="2572" max="2572" width="13.5703125" style="4" customWidth="1"/>
    <col min="2573" max="2816" width="9.140625" style="4"/>
    <col min="2817" max="2817" width="5" style="4" bestFit="1" customWidth="1"/>
    <col min="2818" max="2818" width="65.42578125" style="4" customWidth="1"/>
    <col min="2819" max="2819" width="15.7109375" style="4" customWidth="1"/>
    <col min="2820" max="2820" width="8.140625" style="4" customWidth="1"/>
    <col min="2821" max="2821" width="11.85546875" style="4" customWidth="1"/>
    <col min="2822" max="2822" width="8.85546875" style="4" customWidth="1"/>
    <col min="2823" max="2823" width="13.7109375" style="4" customWidth="1"/>
    <col min="2824" max="2824" width="15.5703125" style="4" customWidth="1"/>
    <col min="2825" max="2825" width="26.42578125" style="4" customWidth="1"/>
    <col min="2826" max="2826" width="9.140625" style="4"/>
    <col min="2827" max="2827" width="11.7109375" style="4" customWidth="1"/>
    <col min="2828" max="2828" width="13.5703125" style="4" customWidth="1"/>
    <col min="2829" max="3072" width="9.140625" style="4"/>
    <col min="3073" max="3073" width="5" style="4" bestFit="1" customWidth="1"/>
    <col min="3074" max="3074" width="65.42578125" style="4" customWidth="1"/>
    <col min="3075" max="3075" width="15.7109375" style="4" customWidth="1"/>
    <col min="3076" max="3076" width="8.140625" style="4" customWidth="1"/>
    <col min="3077" max="3077" width="11.85546875" style="4" customWidth="1"/>
    <col min="3078" max="3078" width="8.85546875" style="4" customWidth="1"/>
    <col min="3079" max="3079" width="13.7109375" style="4" customWidth="1"/>
    <col min="3080" max="3080" width="15.5703125" style="4" customWidth="1"/>
    <col min="3081" max="3081" width="26.42578125" style="4" customWidth="1"/>
    <col min="3082" max="3082" width="9.140625" style="4"/>
    <col min="3083" max="3083" width="11.7109375" style="4" customWidth="1"/>
    <col min="3084" max="3084" width="13.5703125" style="4" customWidth="1"/>
    <col min="3085" max="3328" width="9.140625" style="4"/>
    <col min="3329" max="3329" width="5" style="4" bestFit="1" customWidth="1"/>
    <col min="3330" max="3330" width="65.42578125" style="4" customWidth="1"/>
    <col min="3331" max="3331" width="15.7109375" style="4" customWidth="1"/>
    <col min="3332" max="3332" width="8.140625" style="4" customWidth="1"/>
    <col min="3333" max="3333" width="11.85546875" style="4" customWidth="1"/>
    <col min="3334" max="3334" width="8.85546875" style="4" customWidth="1"/>
    <col min="3335" max="3335" width="13.7109375" style="4" customWidth="1"/>
    <col min="3336" max="3336" width="15.5703125" style="4" customWidth="1"/>
    <col min="3337" max="3337" width="26.42578125" style="4" customWidth="1"/>
    <col min="3338" max="3338" width="9.140625" style="4"/>
    <col min="3339" max="3339" width="11.7109375" style="4" customWidth="1"/>
    <col min="3340" max="3340" width="13.5703125" style="4" customWidth="1"/>
    <col min="3341" max="3584" width="9.140625" style="4"/>
    <col min="3585" max="3585" width="5" style="4" bestFit="1" customWidth="1"/>
    <col min="3586" max="3586" width="65.42578125" style="4" customWidth="1"/>
    <col min="3587" max="3587" width="15.7109375" style="4" customWidth="1"/>
    <col min="3588" max="3588" width="8.140625" style="4" customWidth="1"/>
    <col min="3589" max="3589" width="11.85546875" style="4" customWidth="1"/>
    <col min="3590" max="3590" width="8.85546875" style="4" customWidth="1"/>
    <col min="3591" max="3591" width="13.7109375" style="4" customWidth="1"/>
    <col min="3592" max="3592" width="15.5703125" style="4" customWidth="1"/>
    <col min="3593" max="3593" width="26.42578125" style="4" customWidth="1"/>
    <col min="3594" max="3594" width="9.140625" style="4"/>
    <col min="3595" max="3595" width="11.7109375" style="4" customWidth="1"/>
    <col min="3596" max="3596" width="13.5703125" style="4" customWidth="1"/>
    <col min="3597" max="3840" width="9.140625" style="4"/>
    <col min="3841" max="3841" width="5" style="4" bestFit="1" customWidth="1"/>
    <col min="3842" max="3842" width="65.42578125" style="4" customWidth="1"/>
    <col min="3843" max="3843" width="15.7109375" style="4" customWidth="1"/>
    <col min="3844" max="3844" width="8.140625" style="4" customWidth="1"/>
    <col min="3845" max="3845" width="11.85546875" style="4" customWidth="1"/>
    <col min="3846" max="3846" width="8.85546875" style="4" customWidth="1"/>
    <col min="3847" max="3847" width="13.7109375" style="4" customWidth="1"/>
    <col min="3848" max="3848" width="15.5703125" style="4" customWidth="1"/>
    <col min="3849" max="3849" width="26.42578125" style="4" customWidth="1"/>
    <col min="3850" max="3850" width="9.140625" style="4"/>
    <col min="3851" max="3851" width="11.7109375" style="4" customWidth="1"/>
    <col min="3852" max="3852" width="13.5703125" style="4" customWidth="1"/>
    <col min="3853" max="4096" width="9.140625" style="4"/>
    <col min="4097" max="4097" width="5" style="4" bestFit="1" customWidth="1"/>
    <col min="4098" max="4098" width="65.42578125" style="4" customWidth="1"/>
    <col min="4099" max="4099" width="15.7109375" style="4" customWidth="1"/>
    <col min="4100" max="4100" width="8.140625" style="4" customWidth="1"/>
    <col min="4101" max="4101" width="11.85546875" style="4" customWidth="1"/>
    <col min="4102" max="4102" width="8.85546875" style="4" customWidth="1"/>
    <col min="4103" max="4103" width="13.7109375" style="4" customWidth="1"/>
    <col min="4104" max="4104" width="15.5703125" style="4" customWidth="1"/>
    <col min="4105" max="4105" width="26.42578125" style="4" customWidth="1"/>
    <col min="4106" max="4106" width="9.140625" style="4"/>
    <col min="4107" max="4107" width="11.7109375" style="4" customWidth="1"/>
    <col min="4108" max="4108" width="13.5703125" style="4" customWidth="1"/>
    <col min="4109" max="4352" width="9.140625" style="4"/>
    <col min="4353" max="4353" width="5" style="4" bestFit="1" customWidth="1"/>
    <col min="4354" max="4354" width="65.42578125" style="4" customWidth="1"/>
    <col min="4355" max="4355" width="15.7109375" style="4" customWidth="1"/>
    <col min="4356" max="4356" width="8.140625" style="4" customWidth="1"/>
    <col min="4357" max="4357" width="11.85546875" style="4" customWidth="1"/>
    <col min="4358" max="4358" width="8.85546875" style="4" customWidth="1"/>
    <col min="4359" max="4359" width="13.7109375" style="4" customWidth="1"/>
    <col min="4360" max="4360" width="15.5703125" style="4" customWidth="1"/>
    <col min="4361" max="4361" width="26.42578125" style="4" customWidth="1"/>
    <col min="4362" max="4362" width="9.140625" style="4"/>
    <col min="4363" max="4363" width="11.7109375" style="4" customWidth="1"/>
    <col min="4364" max="4364" width="13.5703125" style="4" customWidth="1"/>
    <col min="4365" max="4608" width="9.140625" style="4"/>
    <col min="4609" max="4609" width="5" style="4" bestFit="1" customWidth="1"/>
    <col min="4610" max="4610" width="65.42578125" style="4" customWidth="1"/>
    <col min="4611" max="4611" width="15.7109375" style="4" customWidth="1"/>
    <col min="4612" max="4612" width="8.140625" style="4" customWidth="1"/>
    <col min="4613" max="4613" width="11.85546875" style="4" customWidth="1"/>
    <col min="4614" max="4614" width="8.85546875" style="4" customWidth="1"/>
    <col min="4615" max="4615" width="13.7109375" style="4" customWidth="1"/>
    <col min="4616" max="4616" width="15.5703125" style="4" customWidth="1"/>
    <col min="4617" max="4617" width="26.42578125" style="4" customWidth="1"/>
    <col min="4618" max="4618" width="9.140625" style="4"/>
    <col min="4619" max="4619" width="11.7109375" style="4" customWidth="1"/>
    <col min="4620" max="4620" width="13.5703125" style="4" customWidth="1"/>
    <col min="4621" max="4864" width="9.140625" style="4"/>
    <col min="4865" max="4865" width="5" style="4" bestFit="1" customWidth="1"/>
    <col min="4866" max="4866" width="65.42578125" style="4" customWidth="1"/>
    <col min="4867" max="4867" width="15.7109375" style="4" customWidth="1"/>
    <col min="4868" max="4868" width="8.140625" style="4" customWidth="1"/>
    <col min="4869" max="4869" width="11.85546875" style="4" customWidth="1"/>
    <col min="4870" max="4870" width="8.85546875" style="4" customWidth="1"/>
    <col min="4871" max="4871" width="13.7109375" style="4" customWidth="1"/>
    <col min="4872" max="4872" width="15.5703125" style="4" customWidth="1"/>
    <col min="4873" max="4873" width="26.42578125" style="4" customWidth="1"/>
    <col min="4874" max="4874" width="9.140625" style="4"/>
    <col min="4875" max="4875" width="11.7109375" style="4" customWidth="1"/>
    <col min="4876" max="4876" width="13.5703125" style="4" customWidth="1"/>
    <col min="4877" max="5120" width="9.140625" style="4"/>
    <col min="5121" max="5121" width="5" style="4" bestFit="1" customWidth="1"/>
    <col min="5122" max="5122" width="65.42578125" style="4" customWidth="1"/>
    <col min="5123" max="5123" width="15.7109375" style="4" customWidth="1"/>
    <col min="5124" max="5124" width="8.140625" style="4" customWidth="1"/>
    <col min="5125" max="5125" width="11.85546875" style="4" customWidth="1"/>
    <col min="5126" max="5126" width="8.85546875" style="4" customWidth="1"/>
    <col min="5127" max="5127" width="13.7109375" style="4" customWidth="1"/>
    <col min="5128" max="5128" width="15.5703125" style="4" customWidth="1"/>
    <col min="5129" max="5129" width="26.42578125" style="4" customWidth="1"/>
    <col min="5130" max="5130" width="9.140625" style="4"/>
    <col min="5131" max="5131" width="11.7109375" style="4" customWidth="1"/>
    <col min="5132" max="5132" width="13.5703125" style="4" customWidth="1"/>
    <col min="5133" max="5376" width="9.140625" style="4"/>
    <col min="5377" max="5377" width="5" style="4" bestFit="1" customWidth="1"/>
    <col min="5378" max="5378" width="65.42578125" style="4" customWidth="1"/>
    <col min="5379" max="5379" width="15.7109375" style="4" customWidth="1"/>
    <col min="5380" max="5380" width="8.140625" style="4" customWidth="1"/>
    <col min="5381" max="5381" width="11.85546875" style="4" customWidth="1"/>
    <col min="5382" max="5382" width="8.85546875" style="4" customWidth="1"/>
    <col min="5383" max="5383" width="13.7109375" style="4" customWidth="1"/>
    <col min="5384" max="5384" width="15.5703125" style="4" customWidth="1"/>
    <col min="5385" max="5385" width="26.42578125" style="4" customWidth="1"/>
    <col min="5386" max="5386" width="9.140625" style="4"/>
    <col min="5387" max="5387" width="11.7109375" style="4" customWidth="1"/>
    <col min="5388" max="5388" width="13.5703125" style="4" customWidth="1"/>
    <col min="5389" max="5632" width="9.140625" style="4"/>
    <col min="5633" max="5633" width="5" style="4" bestFit="1" customWidth="1"/>
    <col min="5634" max="5634" width="65.42578125" style="4" customWidth="1"/>
    <col min="5635" max="5635" width="15.7109375" style="4" customWidth="1"/>
    <col min="5636" max="5636" width="8.140625" style="4" customWidth="1"/>
    <col min="5637" max="5637" width="11.85546875" style="4" customWidth="1"/>
    <col min="5638" max="5638" width="8.85546875" style="4" customWidth="1"/>
    <col min="5639" max="5639" width="13.7109375" style="4" customWidth="1"/>
    <col min="5640" max="5640" width="15.5703125" style="4" customWidth="1"/>
    <col min="5641" max="5641" width="26.42578125" style="4" customWidth="1"/>
    <col min="5642" max="5642" width="9.140625" style="4"/>
    <col min="5643" max="5643" width="11.7109375" style="4" customWidth="1"/>
    <col min="5644" max="5644" width="13.5703125" style="4" customWidth="1"/>
    <col min="5645" max="5888" width="9.140625" style="4"/>
    <col min="5889" max="5889" width="5" style="4" bestFit="1" customWidth="1"/>
    <col min="5890" max="5890" width="65.42578125" style="4" customWidth="1"/>
    <col min="5891" max="5891" width="15.7109375" style="4" customWidth="1"/>
    <col min="5892" max="5892" width="8.140625" style="4" customWidth="1"/>
    <col min="5893" max="5893" width="11.85546875" style="4" customWidth="1"/>
    <col min="5894" max="5894" width="8.85546875" style="4" customWidth="1"/>
    <col min="5895" max="5895" width="13.7109375" style="4" customWidth="1"/>
    <col min="5896" max="5896" width="15.5703125" style="4" customWidth="1"/>
    <col min="5897" max="5897" width="26.42578125" style="4" customWidth="1"/>
    <col min="5898" max="5898" width="9.140625" style="4"/>
    <col min="5899" max="5899" width="11.7109375" style="4" customWidth="1"/>
    <col min="5900" max="5900" width="13.5703125" style="4" customWidth="1"/>
    <col min="5901" max="6144" width="9.140625" style="4"/>
    <col min="6145" max="6145" width="5" style="4" bestFit="1" customWidth="1"/>
    <col min="6146" max="6146" width="65.42578125" style="4" customWidth="1"/>
    <col min="6147" max="6147" width="15.7109375" style="4" customWidth="1"/>
    <col min="6148" max="6148" width="8.140625" style="4" customWidth="1"/>
    <col min="6149" max="6149" width="11.85546875" style="4" customWidth="1"/>
    <col min="6150" max="6150" width="8.85546875" style="4" customWidth="1"/>
    <col min="6151" max="6151" width="13.7109375" style="4" customWidth="1"/>
    <col min="6152" max="6152" width="15.5703125" style="4" customWidth="1"/>
    <col min="6153" max="6153" width="26.42578125" style="4" customWidth="1"/>
    <col min="6154" max="6154" width="9.140625" style="4"/>
    <col min="6155" max="6155" width="11.7109375" style="4" customWidth="1"/>
    <col min="6156" max="6156" width="13.5703125" style="4" customWidth="1"/>
    <col min="6157" max="6400" width="9.140625" style="4"/>
    <col min="6401" max="6401" width="5" style="4" bestFit="1" customWidth="1"/>
    <col min="6402" max="6402" width="65.42578125" style="4" customWidth="1"/>
    <col min="6403" max="6403" width="15.7109375" style="4" customWidth="1"/>
    <col min="6404" max="6404" width="8.140625" style="4" customWidth="1"/>
    <col min="6405" max="6405" width="11.85546875" style="4" customWidth="1"/>
    <col min="6406" max="6406" width="8.85546875" style="4" customWidth="1"/>
    <col min="6407" max="6407" width="13.7109375" style="4" customWidth="1"/>
    <col min="6408" max="6408" width="15.5703125" style="4" customWidth="1"/>
    <col min="6409" max="6409" width="26.42578125" style="4" customWidth="1"/>
    <col min="6410" max="6410" width="9.140625" style="4"/>
    <col min="6411" max="6411" width="11.7109375" style="4" customWidth="1"/>
    <col min="6412" max="6412" width="13.5703125" style="4" customWidth="1"/>
    <col min="6413" max="6656" width="9.140625" style="4"/>
    <col min="6657" max="6657" width="5" style="4" bestFit="1" customWidth="1"/>
    <col min="6658" max="6658" width="65.42578125" style="4" customWidth="1"/>
    <col min="6659" max="6659" width="15.7109375" style="4" customWidth="1"/>
    <col min="6660" max="6660" width="8.140625" style="4" customWidth="1"/>
    <col min="6661" max="6661" width="11.85546875" style="4" customWidth="1"/>
    <col min="6662" max="6662" width="8.85546875" style="4" customWidth="1"/>
    <col min="6663" max="6663" width="13.7109375" style="4" customWidth="1"/>
    <col min="6664" max="6664" width="15.5703125" style="4" customWidth="1"/>
    <col min="6665" max="6665" width="26.42578125" style="4" customWidth="1"/>
    <col min="6666" max="6666" width="9.140625" style="4"/>
    <col min="6667" max="6667" width="11.7109375" style="4" customWidth="1"/>
    <col min="6668" max="6668" width="13.5703125" style="4" customWidth="1"/>
    <col min="6669" max="6912" width="9.140625" style="4"/>
    <col min="6913" max="6913" width="5" style="4" bestFit="1" customWidth="1"/>
    <col min="6914" max="6914" width="65.42578125" style="4" customWidth="1"/>
    <col min="6915" max="6915" width="15.7109375" style="4" customWidth="1"/>
    <col min="6916" max="6916" width="8.140625" style="4" customWidth="1"/>
    <col min="6917" max="6917" width="11.85546875" style="4" customWidth="1"/>
    <col min="6918" max="6918" width="8.85546875" style="4" customWidth="1"/>
    <col min="6919" max="6919" width="13.7109375" style="4" customWidth="1"/>
    <col min="6920" max="6920" width="15.5703125" style="4" customWidth="1"/>
    <col min="6921" max="6921" width="26.42578125" style="4" customWidth="1"/>
    <col min="6922" max="6922" width="9.140625" style="4"/>
    <col min="6923" max="6923" width="11.7109375" style="4" customWidth="1"/>
    <col min="6924" max="6924" width="13.5703125" style="4" customWidth="1"/>
    <col min="6925" max="7168" width="9.140625" style="4"/>
    <col min="7169" max="7169" width="5" style="4" bestFit="1" customWidth="1"/>
    <col min="7170" max="7170" width="65.42578125" style="4" customWidth="1"/>
    <col min="7171" max="7171" width="15.7109375" style="4" customWidth="1"/>
    <col min="7172" max="7172" width="8.140625" style="4" customWidth="1"/>
    <col min="7173" max="7173" width="11.85546875" style="4" customWidth="1"/>
    <col min="7174" max="7174" width="8.85546875" style="4" customWidth="1"/>
    <col min="7175" max="7175" width="13.7109375" style="4" customWidth="1"/>
    <col min="7176" max="7176" width="15.5703125" style="4" customWidth="1"/>
    <col min="7177" max="7177" width="26.42578125" style="4" customWidth="1"/>
    <col min="7178" max="7178" width="9.140625" style="4"/>
    <col min="7179" max="7179" width="11.7109375" style="4" customWidth="1"/>
    <col min="7180" max="7180" width="13.5703125" style="4" customWidth="1"/>
    <col min="7181" max="7424" width="9.140625" style="4"/>
    <col min="7425" max="7425" width="5" style="4" bestFit="1" customWidth="1"/>
    <col min="7426" max="7426" width="65.42578125" style="4" customWidth="1"/>
    <col min="7427" max="7427" width="15.7109375" style="4" customWidth="1"/>
    <col min="7428" max="7428" width="8.140625" style="4" customWidth="1"/>
    <col min="7429" max="7429" width="11.85546875" style="4" customWidth="1"/>
    <col min="7430" max="7430" width="8.85546875" style="4" customWidth="1"/>
    <col min="7431" max="7431" width="13.7109375" style="4" customWidth="1"/>
    <col min="7432" max="7432" width="15.5703125" style="4" customWidth="1"/>
    <col min="7433" max="7433" width="26.42578125" style="4" customWidth="1"/>
    <col min="7434" max="7434" width="9.140625" style="4"/>
    <col min="7435" max="7435" width="11.7109375" style="4" customWidth="1"/>
    <col min="7436" max="7436" width="13.5703125" style="4" customWidth="1"/>
    <col min="7437" max="7680" width="9.140625" style="4"/>
    <col min="7681" max="7681" width="5" style="4" bestFit="1" customWidth="1"/>
    <col min="7682" max="7682" width="65.42578125" style="4" customWidth="1"/>
    <col min="7683" max="7683" width="15.7109375" style="4" customWidth="1"/>
    <col min="7684" max="7684" width="8.140625" style="4" customWidth="1"/>
    <col min="7685" max="7685" width="11.85546875" style="4" customWidth="1"/>
    <col min="7686" max="7686" width="8.85546875" style="4" customWidth="1"/>
    <col min="7687" max="7687" width="13.7109375" style="4" customWidth="1"/>
    <col min="7688" max="7688" width="15.5703125" style="4" customWidth="1"/>
    <col min="7689" max="7689" width="26.42578125" style="4" customWidth="1"/>
    <col min="7690" max="7690" width="9.140625" style="4"/>
    <col min="7691" max="7691" width="11.7109375" style="4" customWidth="1"/>
    <col min="7692" max="7692" width="13.5703125" style="4" customWidth="1"/>
    <col min="7693" max="7936" width="9.140625" style="4"/>
    <col min="7937" max="7937" width="5" style="4" bestFit="1" customWidth="1"/>
    <col min="7938" max="7938" width="65.42578125" style="4" customWidth="1"/>
    <col min="7939" max="7939" width="15.7109375" style="4" customWidth="1"/>
    <col min="7940" max="7940" width="8.140625" style="4" customWidth="1"/>
    <col min="7941" max="7941" width="11.85546875" style="4" customWidth="1"/>
    <col min="7942" max="7942" width="8.85546875" style="4" customWidth="1"/>
    <col min="7943" max="7943" width="13.7109375" style="4" customWidth="1"/>
    <col min="7944" max="7944" width="15.5703125" style="4" customWidth="1"/>
    <col min="7945" max="7945" width="26.42578125" style="4" customWidth="1"/>
    <col min="7946" max="7946" width="9.140625" style="4"/>
    <col min="7947" max="7947" width="11.7109375" style="4" customWidth="1"/>
    <col min="7948" max="7948" width="13.5703125" style="4" customWidth="1"/>
    <col min="7949" max="8192" width="9.140625" style="4"/>
    <col min="8193" max="8193" width="5" style="4" bestFit="1" customWidth="1"/>
    <col min="8194" max="8194" width="65.42578125" style="4" customWidth="1"/>
    <col min="8195" max="8195" width="15.7109375" style="4" customWidth="1"/>
    <col min="8196" max="8196" width="8.140625" style="4" customWidth="1"/>
    <col min="8197" max="8197" width="11.85546875" style="4" customWidth="1"/>
    <col min="8198" max="8198" width="8.85546875" style="4" customWidth="1"/>
    <col min="8199" max="8199" width="13.7109375" style="4" customWidth="1"/>
    <col min="8200" max="8200" width="15.5703125" style="4" customWidth="1"/>
    <col min="8201" max="8201" width="26.42578125" style="4" customWidth="1"/>
    <col min="8202" max="8202" width="9.140625" style="4"/>
    <col min="8203" max="8203" width="11.7109375" style="4" customWidth="1"/>
    <col min="8204" max="8204" width="13.5703125" style="4" customWidth="1"/>
    <col min="8205" max="8448" width="9.140625" style="4"/>
    <col min="8449" max="8449" width="5" style="4" bestFit="1" customWidth="1"/>
    <col min="8450" max="8450" width="65.42578125" style="4" customWidth="1"/>
    <col min="8451" max="8451" width="15.7109375" style="4" customWidth="1"/>
    <col min="8452" max="8452" width="8.140625" style="4" customWidth="1"/>
    <col min="8453" max="8453" width="11.85546875" style="4" customWidth="1"/>
    <col min="8454" max="8454" width="8.85546875" style="4" customWidth="1"/>
    <col min="8455" max="8455" width="13.7109375" style="4" customWidth="1"/>
    <col min="8456" max="8456" width="15.5703125" style="4" customWidth="1"/>
    <col min="8457" max="8457" width="26.42578125" style="4" customWidth="1"/>
    <col min="8458" max="8458" width="9.140625" style="4"/>
    <col min="8459" max="8459" width="11.7109375" style="4" customWidth="1"/>
    <col min="8460" max="8460" width="13.5703125" style="4" customWidth="1"/>
    <col min="8461" max="8704" width="9.140625" style="4"/>
    <col min="8705" max="8705" width="5" style="4" bestFit="1" customWidth="1"/>
    <col min="8706" max="8706" width="65.42578125" style="4" customWidth="1"/>
    <col min="8707" max="8707" width="15.7109375" style="4" customWidth="1"/>
    <col min="8708" max="8708" width="8.140625" style="4" customWidth="1"/>
    <col min="8709" max="8709" width="11.85546875" style="4" customWidth="1"/>
    <col min="8710" max="8710" width="8.85546875" style="4" customWidth="1"/>
    <col min="8711" max="8711" width="13.7109375" style="4" customWidth="1"/>
    <col min="8712" max="8712" width="15.5703125" style="4" customWidth="1"/>
    <col min="8713" max="8713" width="26.42578125" style="4" customWidth="1"/>
    <col min="8714" max="8714" width="9.140625" style="4"/>
    <col min="8715" max="8715" width="11.7109375" style="4" customWidth="1"/>
    <col min="8716" max="8716" width="13.5703125" style="4" customWidth="1"/>
    <col min="8717" max="8960" width="9.140625" style="4"/>
    <col min="8961" max="8961" width="5" style="4" bestFit="1" customWidth="1"/>
    <col min="8962" max="8962" width="65.42578125" style="4" customWidth="1"/>
    <col min="8963" max="8963" width="15.7109375" style="4" customWidth="1"/>
    <col min="8964" max="8964" width="8.140625" style="4" customWidth="1"/>
    <col min="8965" max="8965" width="11.85546875" style="4" customWidth="1"/>
    <col min="8966" max="8966" width="8.85546875" style="4" customWidth="1"/>
    <col min="8967" max="8967" width="13.7109375" style="4" customWidth="1"/>
    <col min="8968" max="8968" width="15.5703125" style="4" customWidth="1"/>
    <col min="8969" max="8969" width="26.42578125" style="4" customWidth="1"/>
    <col min="8970" max="8970" width="9.140625" style="4"/>
    <col min="8971" max="8971" width="11.7109375" style="4" customWidth="1"/>
    <col min="8972" max="8972" width="13.5703125" style="4" customWidth="1"/>
    <col min="8973" max="9216" width="9.140625" style="4"/>
    <col min="9217" max="9217" width="5" style="4" bestFit="1" customWidth="1"/>
    <col min="9218" max="9218" width="65.42578125" style="4" customWidth="1"/>
    <col min="9219" max="9219" width="15.7109375" style="4" customWidth="1"/>
    <col min="9220" max="9220" width="8.140625" style="4" customWidth="1"/>
    <col min="9221" max="9221" width="11.85546875" style="4" customWidth="1"/>
    <col min="9222" max="9222" width="8.85546875" style="4" customWidth="1"/>
    <col min="9223" max="9223" width="13.7109375" style="4" customWidth="1"/>
    <col min="9224" max="9224" width="15.5703125" style="4" customWidth="1"/>
    <col min="9225" max="9225" width="26.42578125" style="4" customWidth="1"/>
    <col min="9226" max="9226" width="9.140625" style="4"/>
    <col min="9227" max="9227" width="11.7109375" style="4" customWidth="1"/>
    <col min="9228" max="9228" width="13.5703125" style="4" customWidth="1"/>
    <col min="9229" max="9472" width="9.140625" style="4"/>
    <col min="9473" max="9473" width="5" style="4" bestFit="1" customWidth="1"/>
    <col min="9474" max="9474" width="65.42578125" style="4" customWidth="1"/>
    <col min="9475" max="9475" width="15.7109375" style="4" customWidth="1"/>
    <col min="9476" max="9476" width="8.140625" style="4" customWidth="1"/>
    <col min="9477" max="9477" width="11.85546875" style="4" customWidth="1"/>
    <col min="9478" max="9478" width="8.85546875" style="4" customWidth="1"/>
    <col min="9479" max="9479" width="13.7109375" style="4" customWidth="1"/>
    <col min="9480" max="9480" width="15.5703125" style="4" customWidth="1"/>
    <col min="9481" max="9481" width="26.42578125" style="4" customWidth="1"/>
    <col min="9482" max="9482" width="9.140625" style="4"/>
    <col min="9483" max="9483" width="11.7109375" style="4" customWidth="1"/>
    <col min="9484" max="9484" width="13.5703125" style="4" customWidth="1"/>
    <col min="9485" max="9728" width="9.140625" style="4"/>
    <col min="9729" max="9729" width="5" style="4" bestFit="1" customWidth="1"/>
    <col min="9730" max="9730" width="65.42578125" style="4" customWidth="1"/>
    <col min="9731" max="9731" width="15.7109375" style="4" customWidth="1"/>
    <col min="9732" max="9732" width="8.140625" style="4" customWidth="1"/>
    <col min="9733" max="9733" width="11.85546875" style="4" customWidth="1"/>
    <col min="9734" max="9734" width="8.85546875" style="4" customWidth="1"/>
    <col min="9735" max="9735" width="13.7109375" style="4" customWidth="1"/>
    <col min="9736" max="9736" width="15.5703125" style="4" customWidth="1"/>
    <col min="9737" max="9737" width="26.42578125" style="4" customWidth="1"/>
    <col min="9738" max="9738" width="9.140625" style="4"/>
    <col min="9739" max="9739" width="11.7109375" style="4" customWidth="1"/>
    <col min="9740" max="9740" width="13.5703125" style="4" customWidth="1"/>
    <col min="9741" max="9984" width="9.140625" style="4"/>
    <col min="9985" max="9985" width="5" style="4" bestFit="1" customWidth="1"/>
    <col min="9986" max="9986" width="65.42578125" style="4" customWidth="1"/>
    <col min="9987" max="9987" width="15.7109375" style="4" customWidth="1"/>
    <col min="9988" max="9988" width="8.140625" style="4" customWidth="1"/>
    <col min="9989" max="9989" width="11.85546875" style="4" customWidth="1"/>
    <col min="9990" max="9990" width="8.85546875" style="4" customWidth="1"/>
    <col min="9991" max="9991" width="13.7109375" style="4" customWidth="1"/>
    <col min="9992" max="9992" width="15.5703125" style="4" customWidth="1"/>
    <col min="9993" max="9993" width="26.42578125" style="4" customWidth="1"/>
    <col min="9994" max="9994" width="9.140625" style="4"/>
    <col min="9995" max="9995" width="11.7109375" style="4" customWidth="1"/>
    <col min="9996" max="9996" width="13.5703125" style="4" customWidth="1"/>
    <col min="9997" max="10240" width="9.140625" style="4"/>
    <col min="10241" max="10241" width="5" style="4" bestFit="1" customWidth="1"/>
    <col min="10242" max="10242" width="65.42578125" style="4" customWidth="1"/>
    <col min="10243" max="10243" width="15.7109375" style="4" customWidth="1"/>
    <col min="10244" max="10244" width="8.140625" style="4" customWidth="1"/>
    <col min="10245" max="10245" width="11.85546875" style="4" customWidth="1"/>
    <col min="10246" max="10246" width="8.85546875" style="4" customWidth="1"/>
    <col min="10247" max="10247" width="13.7109375" style="4" customWidth="1"/>
    <col min="10248" max="10248" width="15.5703125" style="4" customWidth="1"/>
    <col min="10249" max="10249" width="26.42578125" style="4" customWidth="1"/>
    <col min="10250" max="10250" width="9.140625" style="4"/>
    <col min="10251" max="10251" width="11.7109375" style="4" customWidth="1"/>
    <col min="10252" max="10252" width="13.5703125" style="4" customWidth="1"/>
    <col min="10253" max="10496" width="9.140625" style="4"/>
    <col min="10497" max="10497" width="5" style="4" bestFit="1" customWidth="1"/>
    <col min="10498" max="10498" width="65.42578125" style="4" customWidth="1"/>
    <col min="10499" max="10499" width="15.7109375" style="4" customWidth="1"/>
    <col min="10500" max="10500" width="8.140625" style="4" customWidth="1"/>
    <col min="10501" max="10501" width="11.85546875" style="4" customWidth="1"/>
    <col min="10502" max="10502" width="8.85546875" style="4" customWidth="1"/>
    <col min="10503" max="10503" width="13.7109375" style="4" customWidth="1"/>
    <col min="10504" max="10504" width="15.5703125" style="4" customWidth="1"/>
    <col min="10505" max="10505" width="26.42578125" style="4" customWidth="1"/>
    <col min="10506" max="10506" width="9.140625" style="4"/>
    <col min="10507" max="10507" width="11.7109375" style="4" customWidth="1"/>
    <col min="10508" max="10508" width="13.5703125" style="4" customWidth="1"/>
    <col min="10509" max="10752" width="9.140625" style="4"/>
    <col min="10753" max="10753" width="5" style="4" bestFit="1" customWidth="1"/>
    <col min="10754" max="10754" width="65.42578125" style="4" customWidth="1"/>
    <col min="10755" max="10755" width="15.7109375" style="4" customWidth="1"/>
    <col min="10756" max="10756" width="8.140625" style="4" customWidth="1"/>
    <col min="10757" max="10757" width="11.85546875" style="4" customWidth="1"/>
    <col min="10758" max="10758" width="8.85546875" style="4" customWidth="1"/>
    <col min="10759" max="10759" width="13.7109375" style="4" customWidth="1"/>
    <col min="10760" max="10760" width="15.5703125" style="4" customWidth="1"/>
    <col min="10761" max="10761" width="26.42578125" style="4" customWidth="1"/>
    <col min="10762" max="10762" width="9.140625" style="4"/>
    <col min="10763" max="10763" width="11.7109375" style="4" customWidth="1"/>
    <col min="10764" max="10764" width="13.5703125" style="4" customWidth="1"/>
    <col min="10765" max="11008" width="9.140625" style="4"/>
    <col min="11009" max="11009" width="5" style="4" bestFit="1" customWidth="1"/>
    <col min="11010" max="11010" width="65.42578125" style="4" customWidth="1"/>
    <col min="11011" max="11011" width="15.7109375" style="4" customWidth="1"/>
    <col min="11012" max="11012" width="8.140625" style="4" customWidth="1"/>
    <col min="11013" max="11013" width="11.85546875" style="4" customWidth="1"/>
    <col min="11014" max="11014" width="8.85546875" style="4" customWidth="1"/>
    <col min="11015" max="11015" width="13.7109375" style="4" customWidth="1"/>
    <col min="11016" max="11016" width="15.5703125" style="4" customWidth="1"/>
    <col min="11017" max="11017" width="26.42578125" style="4" customWidth="1"/>
    <col min="11018" max="11018" width="9.140625" style="4"/>
    <col min="11019" max="11019" width="11.7109375" style="4" customWidth="1"/>
    <col min="11020" max="11020" width="13.5703125" style="4" customWidth="1"/>
    <col min="11021" max="11264" width="9.140625" style="4"/>
    <col min="11265" max="11265" width="5" style="4" bestFit="1" customWidth="1"/>
    <col min="11266" max="11266" width="65.42578125" style="4" customWidth="1"/>
    <col min="11267" max="11267" width="15.7109375" style="4" customWidth="1"/>
    <col min="11268" max="11268" width="8.140625" style="4" customWidth="1"/>
    <col min="11269" max="11269" width="11.85546875" style="4" customWidth="1"/>
    <col min="11270" max="11270" width="8.85546875" style="4" customWidth="1"/>
    <col min="11271" max="11271" width="13.7109375" style="4" customWidth="1"/>
    <col min="11272" max="11272" width="15.5703125" style="4" customWidth="1"/>
    <col min="11273" max="11273" width="26.42578125" style="4" customWidth="1"/>
    <col min="11274" max="11274" width="9.140625" style="4"/>
    <col min="11275" max="11275" width="11.7109375" style="4" customWidth="1"/>
    <col min="11276" max="11276" width="13.5703125" style="4" customWidth="1"/>
    <col min="11277" max="11520" width="9.140625" style="4"/>
    <col min="11521" max="11521" width="5" style="4" bestFit="1" customWidth="1"/>
    <col min="11522" max="11522" width="65.42578125" style="4" customWidth="1"/>
    <col min="11523" max="11523" width="15.7109375" style="4" customWidth="1"/>
    <col min="11524" max="11524" width="8.140625" style="4" customWidth="1"/>
    <col min="11525" max="11525" width="11.85546875" style="4" customWidth="1"/>
    <col min="11526" max="11526" width="8.85546875" style="4" customWidth="1"/>
    <col min="11527" max="11527" width="13.7109375" style="4" customWidth="1"/>
    <col min="11528" max="11528" width="15.5703125" style="4" customWidth="1"/>
    <col min="11529" max="11529" width="26.42578125" style="4" customWidth="1"/>
    <col min="11530" max="11530" width="9.140625" style="4"/>
    <col min="11531" max="11531" width="11.7109375" style="4" customWidth="1"/>
    <col min="11532" max="11532" width="13.5703125" style="4" customWidth="1"/>
    <col min="11533" max="11776" width="9.140625" style="4"/>
    <col min="11777" max="11777" width="5" style="4" bestFit="1" customWidth="1"/>
    <col min="11778" max="11778" width="65.42578125" style="4" customWidth="1"/>
    <col min="11779" max="11779" width="15.7109375" style="4" customWidth="1"/>
    <col min="11780" max="11780" width="8.140625" style="4" customWidth="1"/>
    <col min="11781" max="11781" width="11.85546875" style="4" customWidth="1"/>
    <col min="11782" max="11782" width="8.85546875" style="4" customWidth="1"/>
    <col min="11783" max="11783" width="13.7109375" style="4" customWidth="1"/>
    <col min="11784" max="11784" width="15.5703125" style="4" customWidth="1"/>
    <col min="11785" max="11785" width="26.42578125" style="4" customWidth="1"/>
    <col min="11786" max="11786" width="9.140625" style="4"/>
    <col min="11787" max="11787" width="11.7109375" style="4" customWidth="1"/>
    <col min="11788" max="11788" width="13.5703125" style="4" customWidth="1"/>
    <col min="11789" max="12032" width="9.140625" style="4"/>
    <col min="12033" max="12033" width="5" style="4" bestFit="1" customWidth="1"/>
    <col min="12034" max="12034" width="65.42578125" style="4" customWidth="1"/>
    <col min="12035" max="12035" width="15.7109375" style="4" customWidth="1"/>
    <col min="12036" max="12036" width="8.140625" style="4" customWidth="1"/>
    <col min="12037" max="12037" width="11.85546875" style="4" customWidth="1"/>
    <col min="12038" max="12038" width="8.85546875" style="4" customWidth="1"/>
    <col min="12039" max="12039" width="13.7109375" style="4" customWidth="1"/>
    <col min="12040" max="12040" width="15.5703125" style="4" customWidth="1"/>
    <col min="12041" max="12041" width="26.42578125" style="4" customWidth="1"/>
    <col min="12042" max="12042" width="9.140625" style="4"/>
    <col min="12043" max="12043" width="11.7109375" style="4" customWidth="1"/>
    <col min="12044" max="12044" width="13.5703125" style="4" customWidth="1"/>
    <col min="12045" max="12288" width="9.140625" style="4"/>
    <col min="12289" max="12289" width="5" style="4" bestFit="1" customWidth="1"/>
    <col min="12290" max="12290" width="65.42578125" style="4" customWidth="1"/>
    <col min="12291" max="12291" width="15.7109375" style="4" customWidth="1"/>
    <col min="12292" max="12292" width="8.140625" style="4" customWidth="1"/>
    <col min="12293" max="12293" width="11.85546875" style="4" customWidth="1"/>
    <col min="12294" max="12294" width="8.85546875" style="4" customWidth="1"/>
    <col min="12295" max="12295" width="13.7109375" style="4" customWidth="1"/>
    <col min="12296" max="12296" width="15.5703125" style="4" customWidth="1"/>
    <col min="12297" max="12297" width="26.42578125" style="4" customWidth="1"/>
    <col min="12298" max="12298" width="9.140625" style="4"/>
    <col min="12299" max="12299" width="11.7109375" style="4" customWidth="1"/>
    <col min="12300" max="12300" width="13.5703125" style="4" customWidth="1"/>
    <col min="12301" max="12544" width="9.140625" style="4"/>
    <col min="12545" max="12545" width="5" style="4" bestFit="1" customWidth="1"/>
    <col min="12546" max="12546" width="65.42578125" style="4" customWidth="1"/>
    <col min="12547" max="12547" width="15.7109375" style="4" customWidth="1"/>
    <col min="12548" max="12548" width="8.140625" style="4" customWidth="1"/>
    <col min="12549" max="12549" width="11.85546875" style="4" customWidth="1"/>
    <col min="12550" max="12550" width="8.85546875" style="4" customWidth="1"/>
    <col min="12551" max="12551" width="13.7109375" style="4" customWidth="1"/>
    <col min="12552" max="12552" width="15.5703125" style="4" customWidth="1"/>
    <col min="12553" max="12553" width="26.42578125" style="4" customWidth="1"/>
    <col min="12554" max="12554" width="9.140625" style="4"/>
    <col min="12555" max="12555" width="11.7109375" style="4" customWidth="1"/>
    <col min="12556" max="12556" width="13.5703125" style="4" customWidth="1"/>
    <col min="12557" max="12800" width="9.140625" style="4"/>
    <col min="12801" max="12801" width="5" style="4" bestFit="1" customWidth="1"/>
    <col min="12802" max="12802" width="65.42578125" style="4" customWidth="1"/>
    <col min="12803" max="12803" width="15.7109375" style="4" customWidth="1"/>
    <col min="12804" max="12804" width="8.140625" style="4" customWidth="1"/>
    <col min="12805" max="12805" width="11.85546875" style="4" customWidth="1"/>
    <col min="12806" max="12806" width="8.85546875" style="4" customWidth="1"/>
    <col min="12807" max="12807" width="13.7109375" style="4" customWidth="1"/>
    <col min="12808" max="12808" width="15.5703125" style="4" customWidth="1"/>
    <col min="12809" max="12809" width="26.42578125" style="4" customWidth="1"/>
    <col min="12810" max="12810" width="9.140625" style="4"/>
    <col min="12811" max="12811" width="11.7109375" style="4" customWidth="1"/>
    <col min="12812" max="12812" width="13.5703125" style="4" customWidth="1"/>
    <col min="12813" max="13056" width="9.140625" style="4"/>
    <col min="13057" max="13057" width="5" style="4" bestFit="1" customWidth="1"/>
    <col min="13058" max="13058" width="65.42578125" style="4" customWidth="1"/>
    <col min="13059" max="13059" width="15.7109375" style="4" customWidth="1"/>
    <col min="13060" max="13060" width="8.140625" style="4" customWidth="1"/>
    <col min="13061" max="13061" width="11.85546875" style="4" customWidth="1"/>
    <col min="13062" max="13062" width="8.85546875" style="4" customWidth="1"/>
    <col min="13063" max="13063" width="13.7109375" style="4" customWidth="1"/>
    <col min="13064" max="13064" width="15.5703125" style="4" customWidth="1"/>
    <col min="13065" max="13065" width="26.42578125" style="4" customWidth="1"/>
    <col min="13066" max="13066" width="9.140625" style="4"/>
    <col min="13067" max="13067" width="11.7109375" style="4" customWidth="1"/>
    <col min="13068" max="13068" width="13.5703125" style="4" customWidth="1"/>
    <col min="13069" max="13312" width="9.140625" style="4"/>
    <col min="13313" max="13313" width="5" style="4" bestFit="1" customWidth="1"/>
    <col min="13314" max="13314" width="65.42578125" style="4" customWidth="1"/>
    <col min="13315" max="13315" width="15.7109375" style="4" customWidth="1"/>
    <col min="13316" max="13316" width="8.140625" style="4" customWidth="1"/>
    <col min="13317" max="13317" width="11.85546875" style="4" customWidth="1"/>
    <col min="13318" max="13318" width="8.85546875" style="4" customWidth="1"/>
    <col min="13319" max="13319" width="13.7109375" style="4" customWidth="1"/>
    <col min="13320" max="13320" width="15.5703125" style="4" customWidth="1"/>
    <col min="13321" max="13321" width="26.42578125" style="4" customWidth="1"/>
    <col min="13322" max="13322" width="9.140625" style="4"/>
    <col min="13323" max="13323" width="11.7109375" style="4" customWidth="1"/>
    <col min="13324" max="13324" width="13.5703125" style="4" customWidth="1"/>
    <col min="13325" max="13568" width="9.140625" style="4"/>
    <col min="13569" max="13569" width="5" style="4" bestFit="1" customWidth="1"/>
    <col min="13570" max="13570" width="65.42578125" style="4" customWidth="1"/>
    <col min="13571" max="13571" width="15.7109375" style="4" customWidth="1"/>
    <col min="13572" max="13572" width="8.140625" style="4" customWidth="1"/>
    <col min="13573" max="13573" width="11.85546875" style="4" customWidth="1"/>
    <col min="13574" max="13574" width="8.85546875" style="4" customWidth="1"/>
    <col min="13575" max="13575" width="13.7109375" style="4" customWidth="1"/>
    <col min="13576" max="13576" width="15.5703125" style="4" customWidth="1"/>
    <col min="13577" max="13577" width="26.42578125" style="4" customWidth="1"/>
    <col min="13578" max="13578" width="9.140625" style="4"/>
    <col min="13579" max="13579" width="11.7109375" style="4" customWidth="1"/>
    <col min="13580" max="13580" width="13.5703125" style="4" customWidth="1"/>
    <col min="13581" max="13824" width="9.140625" style="4"/>
    <col min="13825" max="13825" width="5" style="4" bestFit="1" customWidth="1"/>
    <col min="13826" max="13826" width="65.42578125" style="4" customWidth="1"/>
    <col min="13827" max="13827" width="15.7109375" style="4" customWidth="1"/>
    <col min="13828" max="13828" width="8.140625" style="4" customWidth="1"/>
    <col min="13829" max="13829" width="11.85546875" style="4" customWidth="1"/>
    <col min="13830" max="13830" width="8.85546875" style="4" customWidth="1"/>
    <col min="13831" max="13831" width="13.7109375" style="4" customWidth="1"/>
    <col min="13832" max="13832" width="15.5703125" style="4" customWidth="1"/>
    <col min="13833" max="13833" width="26.42578125" style="4" customWidth="1"/>
    <col min="13834" max="13834" width="9.140625" style="4"/>
    <col min="13835" max="13835" width="11.7109375" style="4" customWidth="1"/>
    <col min="13836" max="13836" width="13.5703125" style="4" customWidth="1"/>
    <col min="13837" max="14080" width="9.140625" style="4"/>
    <col min="14081" max="14081" width="5" style="4" bestFit="1" customWidth="1"/>
    <col min="14082" max="14082" width="65.42578125" style="4" customWidth="1"/>
    <col min="14083" max="14083" width="15.7109375" style="4" customWidth="1"/>
    <col min="14084" max="14084" width="8.140625" style="4" customWidth="1"/>
    <col min="14085" max="14085" width="11.85546875" style="4" customWidth="1"/>
    <col min="14086" max="14086" width="8.85546875" style="4" customWidth="1"/>
    <col min="14087" max="14087" width="13.7109375" style="4" customWidth="1"/>
    <col min="14088" max="14088" width="15.5703125" style="4" customWidth="1"/>
    <col min="14089" max="14089" width="26.42578125" style="4" customWidth="1"/>
    <col min="14090" max="14090" width="9.140625" style="4"/>
    <col min="14091" max="14091" width="11.7109375" style="4" customWidth="1"/>
    <col min="14092" max="14092" width="13.5703125" style="4" customWidth="1"/>
    <col min="14093" max="14336" width="9.140625" style="4"/>
    <col min="14337" max="14337" width="5" style="4" bestFit="1" customWidth="1"/>
    <col min="14338" max="14338" width="65.42578125" style="4" customWidth="1"/>
    <col min="14339" max="14339" width="15.7109375" style="4" customWidth="1"/>
    <col min="14340" max="14340" width="8.140625" style="4" customWidth="1"/>
    <col min="14341" max="14341" width="11.85546875" style="4" customWidth="1"/>
    <col min="14342" max="14342" width="8.85546875" style="4" customWidth="1"/>
    <col min="14343" max="14343" width="13.7109375" style="4" customWidth="1"/>
    <col min="14344" max="14344" width="15.5703125" style="4" customWidth="1"/>
    <col min="14345" max="14345" width="26.42578125" style="4" customWidth="1"/>
    <col min="14346" max="14346" width="9.140625" style="4"/>
    <col min="14347" max="14347" width="11.7109375" style="4" customWidth="1"/>
    <col min="14348" max="14348" width="13.5703125" style="4" customWidth="1"/>
    <col min="14349" max="14592" width="9.140625" style="4"/>
    <col min="14593" max="14593" width="5" style="4" bestFit="1" customWidth="1"/>
    <col min="14594" max="14594" width="65.42578125" style="4" customWidth="1"/>
    <col min="14595" max="14595" width="15.7109375" style="4" customWidth="1"/>
    <col min="14596" max="14596" width="8.140625" style="4" customWidth="1"/>
    <col min="14597" max="14597" width="11.85546875" style="4" customWidth="1"/>
    <col min="14598" max="14598" width="8.85546875" style="4" customWidth="1"/>
    <col min="14599" max="14599" width="13.7109375" style="4" customWidth="1"/>
    <col min="14600" max="14600" width="15.5703125" style="4" customWidth="1"/>
    <col min="14601" max="14601" width="26.42578125" style="4" customWidth="1"/>
    <col min="14602" max="14602" width="9.140625" style="4"/>
    <col min="14603" max="14603" width="11.7109375" style="4" customWidth="1"/>
    <col min="14604" max="14604" width="13.5703125" style="4" customWidth="1"/>
    <col min="14605" max="14848" width="9.140625" style="4"/>
    <col min="14849" max="14849" width="5" style="4" bestFit="1" customWidth="1"/>
    <col min="14850" max="14850" width="65.42578125" style="4" customWidth="1"/>
    <col min="14851" max="14851" width="15.7109375" style="4" customWidth="1"/>
    <col min="14852" max="14852" width="8.140625" style="4" customWidth="1"/>
    <col min="14853" max="14853" width="11.85546875" style="4" customWidth="1"/>
    <col min="14854" max="14854" width="8.85546875" style="4" customWidth="1"/>
    <col min="14855" max="14855" width="13.7109375" style="4" customWidth="1"/>
    <col min="14856" max="14856" width="15.5703125" style="4" customWidth="1"/>
    <col min="14857" max="14857" width="26.42578125" style="4" customWidth="1"/>
    <col min="14858" max="14858" width="9.140625" style="4"/>
    <col min="14859" max="14859" width="11.7109375" style="4" customWidth="1"/>
    <col min="14860" max="14860" width="13.5703125" style="4" customWidth="1"/>
    <col min="14861" max="15104" width="9.140625" style="4"/>
    <col min="15105" max="15105" width="5" style="4" bestFit="1" customWidth="1"/>
    <col min="15106" max="15106" width="65.42578125" style="4" customWidth="1"/>
    <col min="15107" max="15107" width="15.7109375" style="4" customWidth="1"/>
    <col min="15108" max="15108" width="8.140625" style="4" customWidth="1"/>
    <col min="15109" max="15109" width="11.85546875" style="4" customWidth="1"/>
    <col min="15110" max="15110" width="8.85546875" style="4" customWidth="1"/>
    <col min="15111" max="15111" width="13.7109375" style="4" customWidth="1"/>
    <col min="15112" max="15112" width="15.5703125" style="4" customWidth="1"/>
    <col min="15113" max="15113" width="26.42578125" style="4" customWidth="1"/>
    <col min="15114" max="15114" width="9.140625" style="4"/>
    <col min="15115" max="15115" width="11.7109375" style="4" customWidth="1"/>
    <col min="15116" max="15116" width="13.5703125" style="4" customWidth="1"/>
    <col min="15117" max="15360" width="9.140625" style="4"/>
    <col min="15361" max="15361" width="5" style="4" bestFit="1" customWidth="1"/>
    <col min="15362" max="15362" width="65.42578125" style="4" customWidth="1"/>
    <col min="15363" max="15363" width="15.7109375" style="4" customWidth="1"/>
    <col min="15364" max="15364" width="8.140625" style="4" customWidth="1"/>
    <col min="15365" max="15365" width="11.85546875" style="4" customWidth="1"/>
    <col min="15366" max="15366" width="8.85546875" style="4" customWidth="1"/>
    <col min="15367" max="15367" width="13.7109375" style="4" customWidth="1"/>
    <col min="15368" max="15368" width="15.5703125" style="4" customWidth="1"/>
    <col min="15369" max="15369" width="26.42578125" style="4" customWidth="1"/>
    <col min="15370" max="15370" width="9.140625" style="4"/>
    <col min="15371" max="15371" width="11.7109375" style="4" customWidth="1"/>
    <col min="15372" max="15372" width="13.5703125" style="4" customWidth="1"/>
    <col min="15373" max="15616" width="9.140625" style="4"/>
    <col min="15617" max="15617" width="5" style="4" bestFit="1" customWidth="1"/>
    <col min="15618" max="15618" width="65.42578125" style="4" customWidth="1"/>
    <col min="15619" max="15619" width="15.7109375" style="4" customWidth="1"/>
    <col min="15620" max="15620" width="8.140625" style="4" customWidth="1"/>
    <col min="15621" max="15621" width="11.85546875" style="4" customWidth="1"/>
    <col min="15622" max="15622" width="8.85546875" style="4" customWidth="1"/>
    <col min="15623" max="15623" width="13.7109375" style="4" customWidth="1"/>
    <col min="15624" max="15624" width="15.5703125" style="4" customWidth="1"/>
    <col min="15625" max="15625" width="26.42578125" style="4" customWidth="1"/>
    <col min="15626" max="15626" width="9.140625" style="4"/>
    <col min="15627" max="15627" width="11.7109375" style="4" customWidth="1"/>
    <col min="15628" max="15628" width="13.5703125" style="4" customWidth="1"/>
    <col min="15629" max="15872" width="9.140625" style="4"/>
    <col min="15873" max="15873" width="5" style="4" bestFit="1" customWidth="1"/>
    <col min="15874" max="15874" width="65.42578125" style="4" customWidth="1"/>
    <col min="15875" max="15875" width="15.7109375" style="4" customWidth="1"/>
    <col min="15876" max="15876" width="8.140625" style="4" customWidth="1"/>
    <col min="15877" max="15877" width="11.85546875" style="4" customWidth="1"/>
    <col min="15878" max="15878" width="8.85546875" style="4" customWidth="1"/>
    <col min="15879" max="15879" width="13.7109375" style="4" customWidth="1"/>
    <col min="15880" max="15880" width="15.5703125" style="4" customWidth="1"/>
    <col min="15881" max="15881" width="26.42578125" style="4" customWidth="1"/>
    <col min="15882" max="15882" width="9.140625" style="4"/>
    <col min="15883" max="15883" width="11.7109375" style="4" customWidth="1"/>
    <col min="15884" max="15884" width="13.5703125" style="4" customWidth="1"/>
    <col min="15885" max="16128" width="9.140625" style="4"/>
    <col min="16129" max="16129" width="5" style="4" bestFit="1" customWidth="1"/>
    <col min="16130" max="16130" width="65.42578125" style="4" customWidth="1"/>
    <col min="16131" max="16131" width="15.7109375" style="4" customWidth="1"/>
    <col min="16132" max="16132" width="8.140625" style="4" customWidth="1"/>
    <col min="16133" max="16133" width="11.85546875" style="4" customWidth="1"/>
    <col min="16134" max="16134" width="8.85546875" style="4" customWidth="1"/>
    <col min="16135" max="16135" width="13.7109375" style="4" customWidth="1"/>
    <col min="16136" max="16136" width="15.5703125" style="4" customWidth="1"/>
    <col min="16137" max="16137" width="26.42578125" style="4" customWidth="1"/>
    <col min="16138" max="16138" width="9.140625" style="4"/>
    <col min="16139" max="16139" width="11.7109375" style="4" customWidth="1"/>
    <col min="16140" max="16140" width="13.5703125" style="4" customWidth="1"/>
    <col min="16141" max="16384" width="9.140625" style="4"/>
  </cols>
  <sheetData>
    <row r="1" spans="1:18" ht="18">
      <c r="B1" s="3047" t="s">
        <v>1466</v>
      </c>
      <c r="C1" s="3047"/>
      <c r="D1" s="3047"/>
      <c r="E1" s="3047"/>
      <c r="F1" s="2"/>
      <c r="G1" s="2"/>
    </row>
    <row r="2" spans="1:18" ht="14.25" customHeight="1">
      <c r="C2" s="47"/>
      <c r="D2" s="47"/>
      <c r="E2" s="47"/>
      <c r="F2" s="47"/>
      <c r="G2" s="47"/>
    </row>
    <row r="3" spans="1:18" ht="22.5" customHeight="1">
      <c r="B3" s="3048" t="s">
        <v>1467</v>
      </c>
      <c r="C3" s="3048"/>
      <c r="D3" s="3048"/>
      <c r="E3" s="3048"/>
      <c r="F3" s="3048"/>
      <c r="G3" s="3048"/>
      <c r="H3" s="945" t="s">
        <v>89</v>
      </c>
    </row>
    <row r="4" spans="1:18" ht="12.75" customHeight="1">
      <c r="A4" s="390"/>
      <c r="B4" s="390"/>
      <c r="C4" s="390"/>
      <c r="D4" s="390"/>
      <c r="E4" s="390"/>
      <c r="F4" s="390"/>
      <c r="G4" s="390"/>
    </row>
    <row r="5" spans="1:18" ht="52.5" customHeight="1">
      <c r="A5" s="3049" t="s">
        <v>2</v>
      </c>
      <c r="B5" s="3051" t="s">
        <v>3</v>
      </c>
      <c r="C5" s="3052" t="s">
        <v>1421</v>
      </c>
      <c r="D5" s="3051" t="s">
        <v>5</v>
      </c>
      <c r="E5" s="3054" t="s">
        <v>9</v>
      </c>
      <c r="F5" s="3055" t="s">
        <v>95</v>
      </c>
      <c r="G5" s="391" t="s">
        <v>1468</v>
      </c>
      <c r="H5" s="391" t="s">
        <v>1469</v>
      </c>
    </row>
    <row r="6" spans="1:18" ht="18.75" customHeight="1">
      <c r="A6" s="3050"/>
      <c r="B6" s="3051"/>
      <c r="C6" s="3053"/>
      <c r="D6" s="3051"/>
      <c r="E6" s="3054"/>
      <c r="F6" s="3055"/>
      <c r="G6" s="392" t="s">
        <v>10</v>
      </c>
      <c r="H6" s="392" t="s">
        <v>10</v>
      </c>
    </row>
    <row r="7" spans="1:18" ht="15.75">
      <c r="A7" s="393" t="s">
        <v>1470</v>
      </c>
      <c r="B7" s="393" t="s">
        <v>1425</v>
      </c>
      <c r="C7" s="393" t="s">
        <v>184</v>
      </c>
      <c r="D7" s="393">
        <v>4</v>
      </c>
      <c r="E7" s="393">
        <v>5</v>
      </c>
      <c r="F7" s="393" t="s">
        <v>1471</v>
      </c>
      <c r="G7" s="393">
        <v>7</v>
      </c>
      <c r="H7" s="393">
        <v>8</v>
      </c>
    </row>
    <row r="8" spans="1:18" ht="21.75" customHeight="1">
      <c r="A8" s="1086">
        <v>1</v>
      </c>
      <c r="B8" s="1087" t="s">
        <v>1472</v>
      </c>
      <c r="C8" s="1088">
        <v>7130800033</v>
      </c>
      <c r="D8" s="1089" t="s">
        <v>12</v>
      </c>
      <c r="E8" s="1090">
        <f>VLOOKUP(C8,'SOR RATE'!A196:D196,4,0)</f>
        <v>4451.53</v>
      </c>
      <c r="F8" s="1089">
        <v>4</v>
      </c>
      <c r="G8" s="1091">
        <f>E8*F8</f>
        <v>17806.12</v>
      </c>
      <c r="H8" s="1092"/>
    </row>
    <row r="9" spans="1:18" ht="37.5" customHeight="1">
      <c r="A9" s="1086">
        <v>2</v>
      </c>
      <c r="B9" s="1087" t="s">
        <v>1473</v>
      </c>
      <c r="C9" s="1088">
        <v>7130601958</v>
      </c>
      <c r="D9" s="1089" t="s">
        <v>26</v>
      </c>
      <c r="E9" s="1090">
        <f>VLOOKUP(C9,'SOR RATE'!A:D,4,0)/1000</f>
        <v>64.326520000000002</v>
      </c>
      <c r="F9" s="1093">
        <v>1929.2</v>
      </c>
      <c r="G9" s="1094"/>
      <c r="H9" s="1090">
        <f>E9*F9</f>
        <v>124098.72238400001</v>
      </c>
      <c r="I9" s="193"/>
      <c r="J9" s="193"/>
      <c r="K9" s="193"/>
      <c r="L9" s="193"/>
    </row>
    <row r="10" spans="1:18" ht="23.25" customHeight="1">
      <c r="A10" s="1086">
        <v>3</v>
      </c>
      <c r="B10" s="1095" t="s">
        <v>1474</v>
      </c>
      <c r="C10" s="1088">
        <v>7130810608</v>
      </c>
      <c r="D10" s="1086" t="s">
        <v>40</v>
      </c>
      <c r="E10" s="1090">
        <f>VLOOKUP(C10,'SOR RATE'!A:D,4,0)</f>
        <v>7080.84</v>
      </c>
      <c r="F10" s="1086">
        <v>0</v>
      </c>
      <c r="G10" s="1091">
        <f>F10*E10</f>
        <v>0</v>
      </c>
      <c r="H10" s="1090">
        <f>F10*E10</f>
        <v>0</v>
      </c>
      <c r="I10" s="394"/>
      <c r="J10" s="395"/>
      <c r="K10" s="395"/>
      <c r="L10" s="395"/>
      <c r="M10" s="395"/>
      <c r="O10" s="3042"/>
      <c r="P10" s="3042"/>
      <c r="Q10" s="3042"/>
      <c r="R10" s="3042"/>
    </row>
    <row r="11" spans="1:18" ht="19.5" customHeight="1">
      <c r="A11" s="1086">
        <v>4</v>
      </c>
      <c r="B11" s="923" t="s">
        <v>1475</v>
      </c>
      <c r="C11" s="1096">
        <v>7130820248</v>
      </c>
      <c r="D11" s="920" t="s">
        <v>12</v>
      </c>
      <c r="E11" s="1090">
        <f>VLOOKUP(C11,'SOR RATE'!A:D,4,0)</f>
        <v>318.89</v>
      </c>
      <c r="F11" s="1086">
        <v>24</v>
      </c>
      <c r="G11" s="1091">
        <f>F11*E11</f>
        <v>7653.36</v>
      </c>
      <c r="H11" s="1090">
        <f>F11*E11</f>
        <v>7653.36</v>
      </c>
    </row>
    <row r="12" spans="1:18" ht="20.25" customHeight="1">
      <c r="A12" s="1086">
        <v>5</v>
      </c>
      <c r="B12" s="923" t="s">
        <v>1476</v>
      </c>
      <c r="C12" s="1088">
        <v>7130820013</v>
      </c>
      <c r="D12" s="920" t="s">
        <v>12</v>
      </c>
      <c r="E12" s="1090">
        <f>VLOOKUP(C12,'SOR RATE'!A:D,4,0)</f>
        <v>216.4</v>
      </c>
      <c r="F12" s="1086">
        <v>24</v>
      </c>
      <c r="G12" s="1091">
        <f t="shared" ref="G12" si="0">F12*E12</f>
        <v>5193.6000000000004</v>
      </c>
      <c r="H12" s="1090">
        <f t="shared" ref="H12" si="1">F12*E12</f>
        <v>5193.6000000000004</v>
      </c>
      <c r="I12" s="396"/>
      <c r="J12" s="239"/>
    </row>
    <row r="13" spans="1:18" ht="21.75" customHeight="1">
      <c r="A13" s="1086">
        <v>6</v>
      </c>
      <c r="B13" s="1097" t="s">
        <v>1477</v>
      </c>
      <c r="C13" s="1088">
        <v>7130830063</v>
      </c>
      <c r="D13" s="1098" t="s">
        <v>21</v>
      </c>
      <c r="E13" s="1090">
        <f>VLOOKUP(C13,'SOR RATE'!A:D,4,0)/1000</f>
        <v>92.285690000000002</v>
      </c>
      <c r="F13" s="1086">
        <v>50</v>
      </c>
      <c r="G13" s="1091">
        <f>F13*E13</f>
        <v>4614.2844999999998</v>
      </c>
      <c r="H13" s="1090">
        <f>F13*E13</f>
        <v>4614.2844999999998</v>
      </c>
      <c r="I13" s="60"/>
      <c r="J13" s="239"/>
    </row>
    <row r="14" spans="1:18" ht="16.5" customHeight="1">
      <c r="A14" s="1099">
        <v>7</v>
      </c>
      <c r="B14" s="1100" t="s">
        <v>1432</v>
      </c>
      <c r="C14" s="1101">
        <v>7130820009</v>
      </c>
      <c r="D14" s="1099" t="s">
        <v>68</v>
      </c>
      <c r="E14" s="1090">
        <f>VLOOKUP(C14,'SOR RATE'!A:D,4,0)</f>
        <v>288.23</v>
      </c>
      <c r="F14" s="1099">
        <v>8</v>
      </c>
      <c r="G14" s="1102">
        <f>F14*E14</f>
        <v>2305.84</v>
      </c>
      <c r="H14" s="1103">
        <f>F14*E14</f>
        <v>2305.84</v>
      </c>
      <c r="I14" s="20"/>
      <c r="J14" s="17"/>
    </row>
    <row r="15" spans="1:18" ht="17.25" customHeight="1">
      <c r="A15" s="1086">
        <v>8</v>
      </c>
      <c r="B15" s="1104" t="s">
        <v>1478</v>
      </c>
      <c r="C15" s="1089">
        <v>7130810006</v>
      </c>
      <c r="D15" s="1086" t="s">
        <v>40</v>
      </c>
      <c r="E15" s="1090">
        <f>VLOOKUP(C15,'SOR RATE'!A:D,4,0)</f>
        <v>8965.2999999999993</v>
      </c>
      <c r="F15" s="1086">
        <v>10</v>
      </c>
      <c r="G15" s="1091">
        <f>F15*E15</f>
        <v>89653</v>
      </c>
      <c r="H15" s="1090">
        <f>F15*E15</f>
        <v>89653</v>
      </c>
      <c r="I15" s="180"/>
    </row>
    <row r="16" spans="1:18" ht="18" customHeight="1">
      <c r="A16" s="3043">
        <v>9</v>
      </c>
      <c r="B16" s="1097" t="s">
        <v>1479</v>
      </c>
      <c r="C16" s="1088">
        <v>7130810193</v>
      </c>
      <c r="D16" s="1098" t="s">
        <v>15</v>
      </c>
      <c r="E16" s="1090">
        <f>VLOOKUP(C16,'SOR RATE'!A:D,4,0)</f>
        <v>369.79</v>
      </c>
      <c r="F16" s="1086">
        <v>16</v>
      </c>
      <c r="G16" s="1091">
        <f>F16*E16</f>
        <v>5916.64</v>
      </c>
      <c r="H16" s="1090"/>
      <c r="I16" s="20"/>
      <c r="J16" s="17"/>
    </row>
    <row r="17" spans="1:10" ht="19.5" customHeight="1">
      <c r="A17" s="3044"/>
      <c r="B17" s="1097" t="s">
        <v>1480</v>
      </c>
      <c r="C17" s="1088">
        <v>7130810692</v>
      </c>
      <c r="D17" s="1098" t="s">
        <v>15</v>
      </c>
      <c r="E17" s="1090">
        <f>VLOOKUP(C17,'SOR RATE'!A:D,4,0)</f>
        <v>410.25</v>
      </c>
      <c r="F17" s="1086">
        <v>16</v>
      </c>
      <c r="G17" s="1091"/>
      <c r="H17" s="1090">
        <f>F17*E17</f>
        <v>6564</v>
      </c>
      <c r="I17" s="20"/>
      <c r="J17" s="17"/>
    </row>
    <row r="18" spans="1:10" ht="21.75" customHeight="1">
      <c r="A18" s="1086">
        <v>10</v>
      </c>
      <c r="B18" s="1097" t="s">
        <v>1481</v>
      </c>
      <c r="C18" s="1088">
        <v>7131930321</v>
      </c>
      <c r="D18" s="426" t="s">
        <v>33</v>
      </c>
      <c r="E18" s="1090">
        <f>VLOOKUP(C18,'SOR RATE'!A:D,4,0)</f>
        <v>22056.66</v>
      </c>
      <c r="F18" s="1086">
        <v>4</v>
      </c>
      <c r="G18" s="1091">
        <f>F18*E18</f>
        <v>88226.64</v>
      </c>
      <c r="H18" s="1090">
        <f>F18*E18</f>
        <v>88226.64</v>
      </c>
    </row>
    <row r="19" spans="1:10" ht="37.5" customHeight="1">
      <c r="A19" s="3045">
        <v>11</v>
      </c>
      <c r="B19" s="1097" t="s">
        <v>1482</v>
      </c>
      <c r="C19" s="1089">
        <v>7130200202</v>
      </c>
      <c r="D19" s="1105" t="s">
        <v>1483</v>
      </c>
      <c r="E19" s="1090">
        <f>VLOOKUP(C19,'SOR RATE'!A:D,4,0)</f>
        <v>2970</v>
      </c>
      <c r="F19" s="1106">
        <f>(0.55*4)</f>
        <v>2.2000000000000002</v>
      </c>
      <c r="G19" s="1107">
        <f>F19*E19</f>
        <v>6534.0000000000009</v>
      </c>
      <c r="H19" s="1108"/>
      <c r="I19" s="504" t="s">
        <v>47</v>
      </c>
    </row>
    <row r="20" spans="1:10" ht="36.75" customHeight="1">
      <c r="A20" s="3045"/>
      <c r="B20" s="1097" t="s">
        <v>1484</v>
      </c>
      <c r="C20" s="1089">
        <v>7130200202</v>
      </c>
      <c r="D20" s="1105" t="s">
        <v>1483</v>
      </c>
      <c r="E20" s="1090">
        <f>VLOOKUP(C20,'SOR RATE'!A:D,4,0)</f>
        <v>2970</v>
      </c>
      <c r="F20" s="1106">
        <f>(0.65*4)</f>
        <v>2.6</v>
      </c>
      <c r="G20" s="1109"/>
      <c r="H20" s="1108">
        <f>E20*F20</f>
        <v>7722</v>
      </c>
      <c r="I20" s="504" t="s">
        <v>47</v>
      </c>
    </row>
    <row r="21" spans="1:10" ht="21" customHeight="1">
      <c r="A21" s="1110">
        <v>12</v>
      </c>
      <c r="B21" s="1097" t="s">
        <v>1485</v>
      </c>
      <c r="C21" s="1088">
        <v>7130600051</v>
      </c>
      <c r="D21" s="1098" t="s">
        <v>26</v>
      </c>
      <c r="E21" s="1090">
        <f>VLOOKUP(C21,'SOR RATE'!A:D,4,0)/1000</f>
        <v>54.512970000000003</v>
      </c>
      <c r="F21" s="1089">
        <v>240</v>
      </c>
      <c r="G21" s="1091">
        <f>E21*F21</f>
        <v>13083.112800000001</v>
      </c>
      <c r="H21" s="1090">
        <f>E21*F21</f>
        <v>13083.112800000001</v>
      </c>
      <c r="I21" s="398"/>
      <c r="J21" s="212"/>
    </row>
    <row r="22" spans="1:10" ht="17.25" customHeight="1">
      <c r="A22" s="1086">
        <v>13</v>
      </c>
      <c r="B22" s="1097" t="s">
        <v>1431</v>
      </c>
      <c r="C22" s="1088">
        <v>7130870013</v>
      </c>
      <c r="D22" s="1098" t="s">
        <v>12</v>
      </c>
      <c r="E22" s="1090">
        <f>VLOOKUP(C22,'SOR RATE'!A:D,4,0)</f>
        <v>152.88999999999999</v>
      </c>
      <c r="F22" s="1089">
        <v>4</v>
      </c>
      <c r="G22" s="1091">
        <f>E22*F22</f>
        <v>611.55999999999995</v>
      </c>
      <c r="H22" s="1090">
        <f>E22*F22</f>
        <v>611.55999999999995</v>
      </c>
    </row>
    <row r="23" spans="1:10" ht="17.25" customHeight="1">
      <c r="A23" s="1086">
        <v>14</v>
      </c>
      <c r="B23" s="1111" t="s">
        <v>1486</v>
      </c>
      <c r="C23" s="1088">
        <v>7130211158</v>
      </c>
      <c r="D23" s="1098" t="s">
        <v>29</v>
      </c>
      <c r="E23" s="1090">
        <f>VLOOKUP(C23,'SOR RATE'!A:D,4,0)</f>
        <v>193.62</v>
      </c>
      <c r="F23" s="1086">
        <v>6</v>
      </c>
      <c r="G23" s="1091"/>
      <c r="H23" s="1090">
        <f t="shared" ref="H23:H27" si="2">E23*F23</f>
        <v>1161.72</v>
      </c>
    </row>
    <row r="24" spans="1:10" ht="17.25" customHeight="1">
      <c r="A24" s="1086">
        <v>15</v>
      </c>
      <c r="B24" s="1111" t="s">
        <v>1487</v>
      </c>
      <c r="C24" s="1088">
        <v>7130210809</v>
      </c>
      <c r="D24" s="1098" t="s">
        <v>29</v>
      </c>
      <c r="E24" s="1090">
        <f>VLOOKUP(C24,'SOR RATE'!A:D,4,0)</f>
        <v>432.63</v>
      </c>
      <c r="F24" s="1086">
        <v>6</v>
      </c>
      <c r="G24" s="1091"/>
      <c r="H24" s="1090">
        <f t="shared" si="2"/>
        <v>2595.7799999999997</v>
      </c>
    </row>
    <row r="25" spans="1:10" ht="21" customHeight="1">
      <c r="A25" s="1086">
        <v>16</v>
      </c>
      <c r="B25" s="1097" t="s">
        <v>1441</v>
      </c>
      <c r="C25" s="1088">
        <v>7130610206</v>
      </c>
      <c r="D25" s="1098" t="s">
        <v>26</v>
      </c>
      <c r="E25" s="1090">
        <f>VLOOKUP(C25,'SOR RATE'!A:D,4,0)/1000</f>
        <v>97.233429999999998</v>
      </c>
      <c r="F25" s="1086">
        <v>8</v>
      </c>
      <c r="G25" s="1091">
        <f>E25*F25</f>
        <v>777.86743999999999</v>
      </c>
      <c r="H25" s="1090">
        <f t="shared" si="2"/>
        <v>777.86743999999999</v>
      </c>
      <c r="I25" s="60"/>
      <c r="J25" s="174"/>
    </row>
    <row r="26" spans="1:10" ht="18" customHeight="1">
      <c r="A26" s="1086">
        <v>17</v>
      </c>
      <c r="B26" s="1111" t="s">
        <v>128</v>
      </c>
      <c r="C26" s="1088">
        <v>7130880041</v>
      </c>
      <c r="D26" s="1098" t="s">
        <v>12</v>
      </c>
      <c r="E26" s="1090">
        <f>VLOOKUP(C26,'SOR RATE'!A:D,4,0)</f>
        <v>113.77</v>
      </c>
      <c r="F26" s="1086">
        <v>4</v>
      </c>
      <c r="G26" s="1091">
        <f>E26*F26</f>
        <v>455.08</v>
      </c>
      <c r="H26" s="1090">
        <f t="shared" si="2"/>
        <v>455.08</v>
      </c>
      <c r="I26" s="22"/>
    </row>
    <row r="27" spans="1:10" ht="18" customHeight="1">
      <c r="A27" s="1086">
        <v>18</v>
      </c>
      <c r="B27" s="1111" t="s">
        <v>1488</v>
      </c>
      <c r="C27" s="1088">
        <v>7130810624</v>
      </c>
      <c r="D27" s="1098" t="s">
        <v>12</v>
      </c>
      <c r="E27" s="1090">
        <f>VLOOKUP(C27,'SOR RATE'!A:D,4,0)</f>
        <v>114.38</v>
      </c>
      <c r="F27" s="1086">
        <v>12</v>
      </c>
      <c r="G27" s="1112">
        <f>E27*F27</f>
        <v>1372.56</v>
      </c>
      <c r="H27" s="1113">
        <f t="shared" si="2"/>
        <v>1372.56</v>
      </c>
      <c r="I27" s="186"/>
    </row>
    <row r="28" spans="1:10" ht="18" customHeight="1">
      <c r="A28" s="3043">
        <v>19</v>
      </c>
      <c r="B28" s="1111" t="s">
        <v>163</v>
      </c>
      <c r="C28" s="1111"/>
      <c r="D28" s="1086" t="s">
        <v>26</v>
      </c>
      <c r="E28" s="1090"/>
      <c r="F28" s="1114"/>
      <c r="G28" s="1091"/>
      <c r="H28" s="1090"/>
    </row>
    <row r="29" spans="1:10" ht="18" customHeight="1">
      <c r="A29" s="3046"/>
      <c r="B29" s="1097" t="s">
        <v>79</v>
      </c>
      <c r="C29" s="1088">
        <v>7130620609</v>
      </c>
      <c r="D29" s="1098" t="s">
        <v>26</v>
      </c>
      <c r="E29" s="1090">
        <f>VLOOKUP(C29,'SOR RATE'!A:D,4,0)</f>
        <v>87.23</v>
      </c>
      <c r="F29" s="1086">
        <v>2</v>
      </c>
      <c r="G29" s="1091"/>
      <c r="H29" s="1090">
        <f>E29*F29</f>
        <v>174.46</v>
      </c>
      <c r="I29" s="29"/>
    </row>
    <row r="30" spans="1:10" ht="18" customHeight="1">
      <c r="A30" s="3046"/>
      <c r="B30" s="1097" t="s">
        <v>111</v>
      </c>
      <c r="C30" s="1088">
        <v>7130620614</v>
      </c>
      <c r="D30" s="1098" t="s">
        <v>26</v>
      </c>
      <c r="E30" s="1090">
        <f>VLOOKUP(C30,'SOR RATE'!A:D,4,0)</f>
        <v>85.77</v>
      </c>
      <c r="F30" s="1086">
        <v>2</v>
      </c>
      <c r="G30" s="1091"/>
      <c r="H30" s="1090">
        <f>E30*F30</f>
        <v>171.54</v>
      </c>
      <c r="I30" s="29"/>
    </row>
    <row r="31" spans="1:10" ht="18" customHeight="1">
      <c r="A31" s="3046"/>
      <c r="B31" s="1097" t="s">
        <v>36</v>
      </c>
      <c r="C31" s="1088">
        <v>7130620619</v>
      </c>
      <c r="D31" s="1098" t="s">
        <v>26</v>
      </c>
      <c r="E31" s="1090">
        <f>VLOOKUP(C31,'SOR RATE'!A:D,4,0)</f>
        <v>85.77</v>
      </c>
      <c r="F31" s="1086">
        <v>10</v>
      </c>
      <c r="G31" s="1091">
        <f>E31*F31</f>
        <v>857.69999999999993</v>
      </c>
      <c r="H31" s="1090">
        <f>E31*F31</f>
        <v>857.69999999999993</v>
      </c>
      <c r="I31" s="29"/>
    </row>
    <row r="32" spans="1:10" ht="18" customHeight="1">
      <c r="A32" s="3044"/>
      <c r="B32" s="1097" t="s">
        <v>80</v>
      </c>
      <c r="C32" s="1088">
        <v>7130620631</v>
      </c>
      <c r="D32" s="1098" t="s">
        <v>26</v>
      </c>
      <c r="E32" s="1090">
        <f>VLOOKUP(C32,'SOR RATE'!A:D,4,0)</f>
        <v>84.32</v>
      </c>
      <c r="F32" s="1086">
        <v>15</v>
      </c>
      <c r="G32" s="1091">
        <f>E32*F32</f>
        <v>1264.8</v>
      </c>
      <c r="H32" s="1090">
        <f>E32*F32</f>
        <v>1264.8</v>
      </c>
      <c r="I32" s="29"/>
    </row>
    <row r="33" spans="1:13" ht="18" customHeight="1">
      <c r="A33" s="1110">
        <v>20</v>
      </c>
      <c r="B33" s="1111" t="s">
        <v>699</v>
      </c>
      <c r="C33" s="1088">
        <v>7130830585</v>
      </c>
      <c r="D33" s="1098" t="s">
        <v>12</v>
      </c>
      <c r="E33" s="1090">
        <f>VLOOKUP(C33,'SOR RATE'!A:D,4,0)</f>
        <v>346.08</v>
      </c>
      <c r="F33" s="1086">
        <v>6</v>
      </c>
      <c r="G33" s="1091">
        <f>E33*F33</f>
        <v>2076.48</v>
      </c>
      <c r="H33" s="1090">
        <f>E33*F33</f>
        <v>2076.48</v>
      </c>
      <c r="K33" s="212"/>
      <c r="L33" s="212"/>
    </row>
    <row r="34" spans="1:13" ht="21.75" customHeight="1">
      <c r="A34" s="1115">
        <v>21</v>
      </c>
      <c r="B34" s="1116" t="s">
        <v>48</v>
      </c>
      <c r="C34" s="1117"/>
      <c r="D34" s="426"/>
      <c r="E34" s="426"/>
      <c r="F34" s="426"/>
      <c r="G34" s="1118">
        <f>SUM(G8:G33)</f>
        <v>248402.64474000002</v>
      </c>
      <c r="H34" s="1118">
        <f>SUM(H8:H33)</f>
        <v>360634.10712400003</v>
      </c>
      <c r="I34" s="399"/>
    </row>
    <row r="35" spans="1:13" ht="21.75" customHeight="1">
      <c r="A35" s="1115">
        <v>22</v>
      </c>
      <c r="B35" s="1116" t="s">
        <v>49</v>
      </c>
      <c r="C35" s="1119"/>
      <c r="D35" s="1120"/>
      <c r="E35" s="426"/>
      <c r="F35" s="1121"/>
      <c r="G35" s="922">
        <f>G34/1.18</f>
        <v>210510.71588135595</v>
      </c>
      <c r="H35" s="924">
        <f>H34/1.18</f>
        <v>305622.12468135596</v>
      </c>
      <c r="I35" s="193"/>
    </row>
    <row r="36" spans="1:13" ht="21" customHeight="1">
      <c r="A36" s="1086">
        <v>23</v>
      </c>
      <c r="B36" s="1097" t="s">
        <v>50</v>
      </c>
      <c r="C36" s="1122"/>
      <c r="D36" s="1122"/>
      <c r="E36" s="1086">
        <v>7.4999999999999997E-2</v>
      </c>
      <c r="F36" s="1123"/>
      <c r="G36" s="1124">
        <f>G34*E36</f>
        <v>18630.198355500001</v>
      </c>
      <c r="H36" s="1113">
        <f>H34*E36</f>
        <v>27047.5580343</v>
      </c>
      <c r="I36" s="17"/>
      <c r="J36" s="1084"/>
      <c r="K36" s="633"/>
      <c r="L36" s="803"/>
    </row>
    <row r="37" spans="1:13" ht="20.25" customHeight="1">
      <c r="A37" s="1086">
        <v>24</v>
      </c>
      <c r="B37" s="1125" t="s">
        <v>1489</v>
      </c>
      <c r="C37" s="1111"/>
      <c r="D37" s="1098" t="s">
        <v>76</v>
      </c>
      <c r="E37" s="1054">
        <f>665.173187113158*1.043</f>
        <v>693.77563415902364</v>
      </c>
      <c r="F37" s="1106">
        <f>(0.55*4)</f>
        <v>2.2000000000000002</v>
      </c>
      <c r="G37" s="1091">
        <f>E37*F37</f>
        <v>1526.3063951498521</v>
      </c>
      <c r="H37" s="1090"/>
      <c r="I37" s="400"/>
      <c r="J37" s="12"/>
      <c r="K37" s="633"/>
      <c r="L37" s="526"/>
    </row>
    <row r="38" spans="1:13" ht="20.25" customHeight="1">
      <c r="A38" s="1086">
        <v>25</v>
      </c>
      <c r="B38" s="1125" t="s">
        <v>1490</v>
      </c>
      <c r="C38" s="1111"/>
      <c r="D38" s="1098" t="s">
        <v>76</v>
      </c>
      <c r="E38" s="1054">
        <f>665.173187113158*1.043</f>
        <v>693.77563415902364</v>
      </c>
      <c r="F38" s="1106">
        <f>(0.65*4)</f>
        <v>2.6</v>
      </c>
      <c r="G38" s="1091"/>
      <c r="H38" s="1090">
        <f>E38*F38</f>
        <v>1803.8166488134616</v>
      </c>
      <c r="I38" s="401"/>
      <c r="J38" s="93"/>
      <c r="K38" s="633"/>
      <c r="L38" s="804"/>
    </row>
    <row r="39" spans="1:13" ht="20.25" customHeight="1">
      <c r="A39" s="1086">
        <v>26</v>
      </c>
      <c r="B39" s="1097" t="s">
        <v>1491</v>
      </c>
      <c r="C39" s="1111"/>
      <c r="D39" s="1098"/>
      <c r="E39" s="1090"/>
      <c r="F39" s="1086"/>
      <c r="G39" s="535">
        <v>22237.8</v>
      </c>
      <c r="H39" s="1126">
        <v>24180.91</v>
      </c>
    </row>
    <row r="40" spans="1:13" ht="19.5" customHeight="1">
      <c r="A40" s="1086">
        <v>27</v>
      </c>
      <c r="B40" s="1095" t="s">
        <v>1606</v>
      </c>
      <c r="C40" s="1095"/>
      <c r="D40" s="426"/>
      <c r="E40" s="426"/>
      <c r="F40" s="426"/>
      <c r="G40" s="1127">
        <f>G35*0.04</f>
        <v>8420.4286352542385</v>
      </c>
      <c r="H40" s="1126">
        <f>H35*0.04</f>
        <v>12224.884987254238</v>
      </c>
      <c r="I40" s="814" t="s">
        <v>1827</v>
      </c>
      <c r="J40" s="178"/>
      <c r="K40" s="26"/>
      <c r="L40" s="178"/>
      <c r="M40" s="178"/>
    </row>
    <row r="41" spans="1:13" ht="38.25" customHeight="1">
      <c r="A41" s="1086">
        <v>28</v>
      </c>
      <c r="B41" s="1097" t="s">
        <v>1492</v>
      </c>
      <c r="C41" s="1095"/>
      <c r="D41" s="426"/>
      <c r="E41" s="426"/>
      <c r="F41" s="426"/>
      <c r="H41" s="1126"/>
      <c r="I41" s="402"/>
      <c r="J41" s="178"/>
      <c r="K41" s="26"/>
      <c r="L41" s="178"/>
      <c r="M41" s="178"/>
    </row>
    <row r="42" spans="1:13" ht="21" customHeight="1">
      <c r="A42" s="1086" t="s">
        <v>1493</v>
      </c>
      <c r="B42" s="1125" t="s">
        <v>1607</v>
      </c>
      <c r="C42" s="1095"/>
      <c r="D42" s="426"/>
      <c r="E42" s="426"/>
      <c r="F42" s="426"/>
      <c r="G42" s="1126">
        <f>(G34+G36+G37+G39+G40)*0.125</f>
        <v>37402.172265738009</v>
      </c>
      <c r="H42" s="966"/>
      <c r="I42" s="402"/>
      <c r="J42" s="178"/>
      <c r="K42" s="26"/>
      <c r="L42" s="178"/>
      <c r="M42" s="178"/>
    </row>
    <row r="43" spans="1:13" ht="21.75" customHeight="1">
      <c r="A43" s="1086" t="s">
        <v>1494</v>
      </c>
      <c r="B43" s="1125" t="s">
        <v>1608</v>
      </c>
      <c r="C43" s="1095"/>
      <c r="D43" s="426"/>
      <c r="E43" s="426"/>
      <c r="F43" s="426"/>
      <c r="G43" s="922"/>
      <c r="H43" s="1126">
        <f>(H34+H36+H38+H39+H40)*0.125</f>
        <v>53236.409599295963</v>
      </c>
      <c r="I43" s="402"/>
      <c r="J43" s="178"/>
      <c r="K43" s="26"/>
      <c r="L43" s="178"/>
      <c r="M43" s="178"/>
    </row>
    <row r="44" spans="1:13" ht="22.5" customHeight="1">
      <c r="A44" s="1115">
        <v>29</v>
      </c>
      <c r="B44" s="1128" t="s">
        <v>1495</v>
      </c>
      <c r="C44" s="1095"/>
      <c r="D44" s="426"/>
      <c r="E44" s="426"/>
      <c r="F44" s="426"/>
      <c r="H44" s="924"/>
      <c r="I44" s="403"/>
      <c r="J44" s="181"/>
      <c r="K44" s="181"/>
      <c r="L44" s="181"/>
      <c r="M44" s="181"/>
    </row>
    <row r="45" spans="1:13" ht="21.75" customHeight="1">
      <c r="A45" s="1086" t="s">
        <v>1493</v>
      </c>
      <c r="B45" s="923" t="s">
        <v>1609</v>
      </c>
      <c r="C45" s="1095"/>
      <c r="D45" s="426"/>
      <c r="E45" s="426"/>
      <c r="F45" s="426"/>
      <c r="G45" s="922">
        <f>G35+G36+G37+G39+G40+G42</f>
        <v>298727.62153299805</v>
      </c>
      <c r="H45" s="924"/>
      <c r="I45" s="403"/>
      <c r="J45" s="181"/>
      <c r="K45" s="181"/>
      <c r="L45" s="181"/>
      <c r="M45" s="181"/>
    </row>
    <row r="46" spans="1:13" ht="20.25" customHeight="1">
      <c r="A46" s="1086" t="s">
        <v>1494</v>
      </c>
      <c r="B46" s="1125" t="s">
        <v>1610</v>
      </c>
      <c r="C46" s="1095"/>
      <c r="D46" s="426"/>
      <c r="E46" s="426"/>
      <c r="F46" s="426"/>
      <c r="G46" s="966"/>
      <c r="H46" s="1118">
        <f>H35+H36+H38+H39+H40+H43</f>
        <v>424115.70395101956</v>
      </c>
      <c r="I46" s="403"/>
      <c r="J46" s="181"/>
      <c r="K46" s="181"/>
      <c r="L46" s="181"/>
      <c r="M46" s="181"/>
    </row>
    <row r="47" spans="1:13" ht="21.75" customHeight="1">
      <c r="A47" s="1086">
        <v>30</v>
      </c>
      <c r="B47" s="1097" t="s">
        <v>1611</v>
      </c>
      <c r="C47" s="1095"/>
      <c r="D47" s="426"/>
      <c r="E47" s="1090">
        <v>0.09</v>
      </c>
      <c r="F47" s="426"/>
      <c r="G47" s="1091">
        <f>G45*E47</f>
        <v>26885.485937969825</v>
      </c>
      <c r="H47" s="1090">
        <f>H46*E47</f>
        <v>38170.413355591758</v>
      </c>
      <c r="I47" s="404"/>
      <c r="J47" s="181"/>
      <c r="K47" s="181"/>
      <c r="L47" s="181"/>
      <c r="M47" s="181"/>
    </row>
    <row r="48" spans="1:13" ht="21.75" customHeight="1">
      <c r="A48" s="1086">
        <v>31</v>
      </c>
      <c r="B48" s="1097" t="s">
        <v>1612</v>
      </c>
      <c r="C48" s="1095"/>
      <c r="D48" s="426"/>
      <c r="E48" s="1090">
        <v>0.09</v>
      </c>
      <c r="F48" s="426"/>
      <c r="G48" s="1091">
        <f>G45*E48</f>
        <v>26885.485937969825</v>
      </c>
      <c r="H48" s="1090">
        <f>H46*E48</f>
        <v>38170.413355591758</v>
      </c>
      <c r="I48" s="405"/>
      <c r="J48" s="181"/>
      <c r="K48" s="181"/>
      <c r="L48" s="181"/>
      <c r="M48" s="181"/>
    </row>
    <row r="49" spans="1:8" ht="21" customHeight="1">
      <c r="A49" s="1086">
        <v>32</v>
      </c>
      <c r="B49" s="1097" t="s">
        <v>1613</v>
      </c>
      <c r="C49" s="1111"/>
      <c r="D49" s="426"/>
      <c r="E49" s="426"/>
      <c r="F49" s="426"/>
      <c r="G49" s="1091">
        <f>G45+G47+G48</f>
        <v>352498.59340893768</v>
      </c>
      <c r="H49" s="1090">
        <f>H46+H47+H48</f>
        <v>500456.53066220309</v>
      </c>
    </row>
    <row r="50" spans="1:8" ht="22.5" customHeight="1">
      <c r="A50" s="1115">
        <v>33</v>
      </c>
      <c r="B50" s="1128" t="s">
        <v>59</v>
      </c>
      <c r="C50" s="1129"/>
      <c r="D50" s="1130"/>
      <c r="E50" s="1130"/>
      <c r="F50" s="1130"/>
      <c r="G50" s="1131">
        <f>ROUND(G49,0)</f>
        <v>352499</v>
      </c>
      <c r="H50" s="1118">
        <f>ROUND(H49,0)</f>
        <v>500457</v>
      </c>
    </row>
    <row r="54" spans="1:8" ht="15">
      <c r="G54" s="44"/>
      <c r="H54" s="44"/>
    </row>
  </sheetData>
  <mergeCells count="12">
    <mergeCell ref="O10:R10"/>
    <mergeCell ref="A16:A17"/>
    <mergeCell ref="A19:A20"/>
    <mergeCell ref="A28:A32"/>
    <mergeCell ref="B1:E1"/>
    <mergeCell ref="B3:G3"/>
    <mergeCell ref="A5:A6"/>
    <mergeCell ref="B5:B6"/>
    <mergeCell ref="C5:C6"/>
    <mergeCell ref="D5:D6"/>
    <mergeCell ref="E5:E6"/>
    <mergeCell ref="F5:F6"/>
  </mergeCells>
  <conditionalFormatting sqref="B34">
    <cfRule type="cellIs" dxfId="150" priority="2" stopIfTrue="1" operator="equal">
      <formula>"?"</formula>
    </cfRule>
  </conditionalFormatting>
  <conditionalFormatting sqref="B35">
    <cfRule type="cellIs" dxfId="149" priority="1" stopIfTrue="1" operator="equal">
      <formula>"?"</formula>
    </cfRule>
  </conditionalFormatting>
  <pageMargins left="0.87" right="0.14000000000000001" top="0.61" bottom="0.33" header="0.5" footer="0.15"/>
  <pageSetup paperSize="9" scale="95"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33"/>
  <sheetViews>
    <sheetView workbookViewId="0">
      <pane xSplit="3" ySplit="7" topLeftCell="D25" activePane="bottomRight" state="frozen"/>
      <selection pane="topRight" activeCell="D1" sqref="D1"/>
      <selection pane="bottomLeft" activeCell="A8" sqref="A8"/>
      <selection pane="bottomRight" activeCell="K21" sqref="K21"/>
    </sheetView>
  </sheetViews>
  <sheetFormatPr defaultRowHeight="12.75"/>
  <cols>
    <col min="1" max="1" width="4.42578125" style="138" bestFit="1" customWidth="1"/>
    <col min="2" max="2" width="61.42578125" style="4" customWidth="1"/>
    <col min="3" max="3" width="13.42578125" style="4" customWidth="1"/>
    <col min="4" max="4" width="8" style="4" customWidth="1"/>
    <col min="5" max="5" width="5.85546875" style="4" customWidth="1"/>
    <col min="6" max="6" width="9.7109375" style="4" customWidth="1"/>
    <col min="7" max="7" width="12.28515625" style="4" customWidth="1"/>
    <col min="8" max="8" width="18.28515625" style="4" customWidth="1"/>
    <col min="9" max="9" width="12.28515625" style="4" customWidth="1"/>
    <col min="10" max="10" width="12" style="4" customWidth="1"/>
    <col min="11" max="11" width="9.140625" style="4"/>
    <col min="12" max="12" width="5.28515625" style="4" customWidth="1"/>
    <col min="13" max="13" width="9.140625" style="4"/>
    <col min="14" max="14" width="26.85546875" style="4" customWidth="1"/>
    <col min="15" max="256" width="9.140625" style="4"/>
    <col min="257" max="257" width="4.42578125" style="4" bestFit="1" customWidth="1"/>
    <col min="258" max="258" width="48.140625" style="4" customWidth="1"/>
    <col min="259" max="259" width="13.42578125" style="4" customWidth="1"/>
    <col min="260" max="260" width="8" style="4" customWidth="1"/>
    <col min="261" max="261" width="5.85546875" style="4" customWidth="1"/>
    <col min="262" max="262" width="9.7109375" style="4" customWidth="1"/>
    <col min="263" max="263" width="12.28515625" style="4" customWidth="1"/>
    <col min="264" max="264" width="18.28515625" style="4" customWidth="1"/>
    <col min="265" max="265" width="12.28515625" style="4" customWidth="1"/>
    <col min="266" max="266" width="12" style="4" customWidth="1"/>
    <col min="267" max="267" width="9.140625" style="4"/>
    <col min="268" max="268" width="5.28515625" style="4" customWidth="1"/>
    <col min="269" max="269" width="9.140625" style="4"/>
    <col min="270" max="270" width="26.85546875" style="4" customWidth="1"/>
    <col min="271" max="512" width="9.140625" style="4"/>
    <col min="513" max="513" width="4.42578125" style="4" bestFit="1" customWidth="1"/>
    <col min="514" max="514" width="48.140625" style="4" customWidth="1"/>
    <col min="515" max="515" width="13.42578125" style="4" customWidth="1"/>
    <col min="516" max="516" width="8" style="4" customWidth="1"/>
    <col min="517" max="517" width="5.85546875" style="4" customWidth="1"/>
    <col min="518" max="518" width="9.7109375" style="4" customWidth="1"/>
    <col min="519" max="519" width="12.28515625" style="4" customWidth="1"/>
    <col min="520" max="520" width="18.28515625" style="4" customWidth="1"/>
    <col min="521" max="521" width="12.28515625" style="4" customWidth="1"/>
    <col min="522" max="522" width="12" style="4" customWidth="1"/>
    <col min="523" max="523" width="9.140625" style="4"/>
    <col min="524" max="524" width="5.28515625" style="4" customWidth="1"/>
    <col min="525" max="525" width="9.140625" style="4"/>
    <col min="526" max="526" width="26.85546875" style="4" customWidth="1"/>
    <col min="527" max="768" width="9.140625" style="4"/>
    <col min="769" max="769" width="4.42578125" style="4" bestFit="1" customWidth="1"/>
    <col min="770" max="770" width="48.140625" style="4" customWidth="1"/>
    <col min="771" max="771" width="13.42578125" style="4" customWidth="1"/>
    <col min="772" max="772" width="8" style="4" customWidth="1"/>
    <col min="773" max="773" width="5.85546875" style="4" customWidth="1"/>
    <col min="774" max="774" width="9.7109375" style="4" customWidth="1"/>
    <col min="775" max="775" width="12.28515625" style="4" customWidth="1"/>
    <col min="776" max="776" width="18.28515625" style="4" customWidth="1"/>
    <col min="777" max="777" width="12.28515625" style="4" customWidth="1"/>
    <col min="778" max="778" width="12" style="4" customWidth="1"/>
    <col min="779" max="779" width="9.140625" style="4"/>
    <col min="780" max="780" width="5.28515625" style="4" customWidth="1"/>
    <col min="781" max="781" width="9.140625" style="4"/>
    <col min="782" max="782" width="26.85546875" style="4" customWidth="1"/>
    <col min="783" max="1024" width="9.140625" style="4"/>
    <col min="1025" max="1025" width="4.42578125" style="4" bestFit="1" customWidth="1"/>
    <col min="1026" max="1026" width="48.140625" style="4" customWidth="1"/>
    <col min="1027" max="1027" width="13.42578125" style="4" customWidth="1"/>
    <col min="1028" max="1028" width="8" style="4" customWidth="1"/>
    <col min="1029" max="1029" width="5.85546875" style="4" customWidth="1"/>
    <col min="1030" max="1030" width="9.7109375" style="4" customWidth="1"/>
    <col min="1031" max="1031" width="12.28515625" style="4" customWidth="1"/>
    <col min="1032" max="1032" width="18.28515625" style="4" customWidth="1"/>
    <col min="1033" max="1033" width="12.28515625" style="4" customWidth="1"/>
    <col min="1034" max="1034" width="12" style="4" customWidth="1"/>
    <col min="1035" max="1035" width="9.140625" style="4"/>
    <col min="1036" max="1036" width="5.28515625" style="4" customWidth="1"/>
    <col min="1037" max="1037" width="9.140625" style="4"/>
    <col min="1038" max="1038" width="26.85546875" style="4" customWidth="1"/>
    <col min="1039" max="1280" width="9.140625" style="4"/>
    <col min="1281" max="1281" width="4.42578125" style="4" bestFit="1" customWidth="1"/>
    <col min="1282" max="1282" width="48.140625" style="4" customWidth="1"/>
    <col min="1283" max="1283" width="13.42578125" style="4" customWidth="1"/>
    <col min="1284" max="1284" width="8" style="4" customWidth="1"/>
    <col min="1285" max="1285" width="5.85546875" style="4" customWidth="1"/>
    <col min="1286" max="1286" width="9.7109375" style="4" customWidth="1"/>
    <col min="1287" max="1287" width="12.28515625" style="4" customWidth="1"/>
    <col min="1288" max="1288" width="18.28515625" style="4" customWidth="1"/>
    <col min="1289" max="1289" width="12.28515625" style="4" customWidth="1"/>
    <col min="1290" max="1290" width="12" style="4" customWidth="1"/>
    <col min="1291" max="1291" width="9.140625" style="4"/>
    <col min="1292" max="1292" width="5.28515625" style="4" customWidth="1"/>
    <col min="1293" max="1293" width="9.140625" style="4"/>
    <col min="1294" max="1294" width="26.85546875" style="4" customWidth="1"/>
    <col min="1295" max="1536" width="9.140625" style="4"/>
    <col min="1537" max="1537" width="4.42578125" style="4" bestFit="1" customWidth="1"/>
    <col min="1538" max="1538" width="48.140625" style="4" customWidth="1"/>
    <col min="1539" max="1539" width="13.42578125" style="4" customWidth="1"/>
    <col min="1540" max="1540" width="8" style="4" customWidth="1"/>
    <col min="1541" max="1541" width="5.85546875" style="4" customWidth="1"/>
    <col min="1542" max="1542" width="9.7109375" style="4" customWidth="1"/>
    <col min="1543" max="1543" width="12.28515625" style="4" customWidth="1"/>
    <col min="1544" max="1544" width="18.28515625" style="4" customWidth="1"/>
    <col min="1545" max="1545" width="12.28515625" style="4" customWidth="1"/>
    <col min="1546" max="1546" width="12" style="4" customWidth="1"/>
    <col min="1547" max="1547" width="9.140625" style="4"/>
    <col min="1548" max="1548" width="5.28515625" style="4" customWidth="1"/>
    <col min="1549" max="1549" width="9.140625" style="4"/>
    <col min="1550" max="1550" width="26.85546875" style="4" customWidth="1"/>
    <col min="1551" max="1792" width="9.140625" style="4"/>
    <col min="1793" max="1793" width="4.42578125" style="4" bestFit="1" customWidth="1"/>
    <col min="1794" max="1794" width="48.140625" style="4" customWidth="1"/>
    <col min="1795" max="1795" width="13.42578125" style="4" customWidth="1"/>
    <col min="1796" max="1796" width="8" style="4" customWidth="1"/>
    <col min="1797" max="1797" width="5.85546875" style="4" customWidth="1"/>
    <col min="1798" max="1798" width="9.7109375" style="4" customWidth="1"/>
    <col min="1799" max="1799" width="12.28515625" style="4" customWidth="1"/>
    <col min="1800" max="1800" width="18.28515625" style="4" customWidth="1"/>
    <col min="1801" max="1801" width="12.28515625" style="4" customWidth="1"/>
    <col min="1802" max="1802" width="12" style="4" customWidth="1"/>
    <col min="1803" max="1803" width="9.140625" style="4"/>
    <col min="1804" max="1804" width="5.28515625" style="4" customWidth="1"/>
    <col min="1805" max="1805" width="9.140625" style="4"/>
    <col min="1806" max="1806" width="26.85546875" style="4" customWidth="1"/>
    <col min="1807" max="2048" width="9.140625" style="4"/>
    <col min="2049" max="2049" width="4.42578125" style="4" bestFit="1" customWidth="1"/>
    <col min="2050" max="2050" width="48.140625" style="4" customWidth="1"/>
    <col min="2051" max="2051" width="13.42578125" style="4" customWidth="1"/>
    <col min="2052" max="2052" width="8" style="4" customWidth="1"/>
    <col min="2053" max="2053" width="5.85546875" style="4" customWidth="1"/>
    <col min="2054" max="2054" width="9.7109375" style="4" customWidth="1"/>
    <col min="2055" max="2055" width="12.28515625" style="4" customWidth="1"/>
    <col min="2056" max="2056" width="18.28515625" style="4" customWidth="1"/>
    <col min="2057" max="2057" width="12.28515625" style="4" customWidth="1"/>
    <col min="2058" max="2058" width="12" style="4" customWidth="1"/>
    <col min="2059" max="2059" width="9.140625" style="4"/>
    <col min="2060" max="2060" width="5.28515625" style="4" customWidth="1"/>
    <col min="2061" max="2061" width="9.140625" style="4"/>
    <col min="2062" max="2062" width="26.85546875" style="4" customWidth="1"/>
    <col min="2063" max="2304" width="9.140625" style="4"/>
    <col min="2305" max="2305" width="4.42578125" style="4" bestFit="1" customWidth="1"/>
    <col min="2306" max="2306" width="48.140625" style="4" customWidth="1"/>
    <col min="2307" max="2307" width="13.42578125" style="4" customWidth="1"/>
    <col min="2308" max="2308" width="8" style="4" customWidth="1"/>
    <col min="2309" max="2309" width="5.85546875" style="4" customWidth="1"/>
    <col min="2310" max="2310" width="9.7109375" style="4" customWidth="1"/>
    <col min="2311" max="2311" width="12.28515625" style="4" customWidth="1"/>
    <col min="2312" max="2312" width="18.28515625" style="4" customWidth="1"/>
    <col min="2313" max="2313" width="12.28515625" style="4" customWidth="1"/>
    <col min="2314" max="2314" width="12" style="4" customWidth="1"/>
    <col min="2315" max="2315" width="9.140625" style="4"/>
    <col min="2316" max="2316" width="5.28515625" style="4" customWidth="1"/>
    <col min="2317" max="2317" width="9.140625" style="4"/>
    <col min="2318" max="2318" width="26.85546875" style="4" customWidth="1"/>
    <col min="2319" max="2560" width="9.140625" style="4"/>
    <col min="2561" max="2561" width="4.42578125" style="4" bestFit="1" customWidth="1"/>
    <col min="2562" max="2562" width="48.140625" style="4" customWidth="1"/>
    <col min="2563" max="2563" width="13.42578125" style="4" customWidth="1"/>
    <col min="2564" max="2564" width="8" style="4" customWidth="1"/>
    <col min="2565" max="2565" width="5.85546875" style="4" customWidth="1"/>
    <col min="2566" max="2566" width="9.7109375" style="4" customWidth="1"/>
    <col min="2567" max="2567" width="12.28515625" style="4" customWidth="1"/>
    <col min="2568" max="2568" width="18.28515625" style="4" customWidth="1"/>
    <col min="2569" max="2569" width="12.28515625" style="4" customWidth="1"/>
    <col min="2570" max="2570" width="12" style="4" customWidth="1"/>
    <col min="2571" max="2571" width="9.140625" style="4"/>
    <col min="2572" max="2572" width="5.28515625" style="4" customWidth="1"/>
    <col min="2573" max="2573" width="9.140625" style="4"/>
    <col min="2574" max="2574" width="26.85546875" style="4" customWidth="1"/>
    <col min="2575" max="2816" width="9.140625" style="4"/>
    <col min="2817" max="2817" width="4.42578125" style="4" bestFit="1" customWidth="1"/>
    <col min="2818" max="2818" width="48.140625" style="4" customWidth="1"/>
    <col min="2819" max="2819" width="13.42578125" style="4" customWidth="1"/>
    <col min="2820" max="2820" width="8" style="4" customWidth="1"/>
    <col min="2821" max="2821" width="5.85546875" style="4" customWidth="1"/>
    <col min="2822" max="2822" width="9.7109375" style="4" customWidth="1"/>
    <col min="2823" max="2823" width="12.28515625" style="4" customWidth="1"/>
    <col min="2824" max="2824" width="18.28515625" style="4" customWidth="1"/>
    <col min="2825" max="2825" width="12.28515625" style="4" customWidth="1"/>
    <col min="2826" max="2826" width="12" style="4" customWidth="1"/>
    <col min="2827" max="2827" width="9.140625" style="4"/>
    <col min="2828" max="2828" width="5.28515625" style="4" customWidth="1"/>
    <col min="2829" max="2829" width="9.140625" style="4"/>
    <col min="2830" max="2830" width="26.85546875" style="4" customWidth="1"/>
    <col min="2831" max="3072" width="9.140625" style="4"/>
    <col min="3073" max="3073" width="4.42578125" style="4" bestFit="1" customWidth="1"/>
    <col min="3074" max="3074" width="48.140625" style="4" customWidth="1"/>
    <col min="3075" max="3075" width="13.42578125" style="4" customWidth="1"/>
    <col min="3076" max="3076" width="8" style="4" customWidth="1"/>
    <col min="3077" max="3077" width="5.85546875" style="4" customWidth="1"/>
    <col min="3078" max="3078" width="9.7109375" style="4" customWidth="1"/>
    <col min="3079" max="3079" width="12.28515625" style="4" customWidth="1"/>
    <col min="3080" max="3080" width="18.28515625" style="4" customWidth="1"/>
    <col min="3081" max="3081" width="12.28515625" style="4" customWidth="1"/>
    <col min="3082" max="3082" width="12" style="4" customWidth="1"/>
    <col min="3083" max="3083" width="9.140625" style="4"/>
    <col min="3084" max="3084" width="5.28515625" style="4" customWidth="1"/>
    <col min="3085" max="3085" width="9.140625" style="4"/>
    <col min="3086" max="3086" width="26.85546875" style="4" customWidth="1"/>
    <col min="3087" max="3328" width="9.140625" style="4"/>
    <col min="3329" max="3329" width="4.42578125" style="4" bestFit="1" customWidth="1"/>
    <col min="3330" max="3330" width="48.140625" style="4" customWidth="1"/>
    <col min="3331" max="3331" width="13.42578125" style="4" customWidth="1"/>
    <col min="3332" max="3332" width="8" style="4" customWidth="1"/>
    <col min="3333" max="3333" width="5.85546875" style="4" customWidth="1"/>
    <col min="3334" max="3334" width="9.7109375" style="4" customWidth="1"/>
    <col min="3335" max="3335" width="12.28515625" style="4" customWidth="1"/>
    <col min="3336" max="3336" width="18.28515625" style="4" customWidth="1"/>
    <col min="3337" max="3337" width="12.28515625" style="4" customWidth="1"/>
    <col min="3338" max="3338" width="12" style="4" customWidth="1"/>
    <col min="3339" max="3339" width="9.140625" style="4"/>
    <col min="3340" max="3340" width="5.28515625" style="4" customWidth="1"/>
    <col min="3341" max="3341" width="9.140625" style="4"/>
    <col min="3342" max="3342" width="26.85546875" style="4" customWidth="1"/>
    <col min="3343" max="3584" width="9.140625" style="4"/>
    <col min="3585" max="3585" width="4.42578125" style="4" bestFit="1" customWidth="1"/>
    <col min="3586" max="3586" width="48.140625" style="4" customWidth="1"/>
    <col min="3587" max="3587" width="13.42578125" style="4" customWidth="1"/>
    <col min="3588" max="3588" width="8" style="4" customWidth="1"/>
    <col min="3589" max="3589" width="5.85546875" style="4" customWidth="1"/>
    <col min="3590" max="3590" width="9.7109375" style="4" customWidth="1"/>
    <col min="3591" max="3591" width="12.28515625" style="4" customWidth="1"/>
    <col min="3592" max="3592" width="18.28515625" style="4" customWidth="1"/>
    <col min="3593" max="3593" width="12.28515625" style="4" customWidth="1"/>
    <col min="3594" max="3594" width="12" style="4" customWidth="1"/>
    <col min="3595" max="3595" width="9.140625" style="4"/>
    <col min="3596" max="3596" width="5.28515625" style="4" customWidth="1"/>
    <col min="3597" max="3597" width="9.140625" style="4"/>
    <col min="3598" max="3598" width="26.85546875" style="4" customWidth="1"/>
    <col min="3599" max="3840" width="9.140625" style="4"/>
    <col min="3841" max="3841" width="4.42578125" style="4" bestFit="1" customWidth="1"/>
    <col min="3842" max="3842" width="48.140625" style="4" customWidth="1"/>
    <col min="3843" max="3843" width="13.42578125" style="4" customWidth="1"/>
    <col min="3844" max="3844" width="8" style="4" customWidth="1"/>
    <col min="3845" max="3845" width="5.85546875" style="4" customWidth="1"/>
    <col min="3846" max="3846" width="9.7109375" style="4" customWidth="1"/>
    <col min="3847" max="3847" width="12.28515625" style="4" customWidth="1"/>
    <col min="3848" max="3848" width="18.28515625" style="4" customWidth="1"/>
    <col min="3849" max="3849" width="12.28515625" style="4" customWidth="1"/>
    <col min="3850" max="3850" width="12" style="4" customWidth="1"/>
    <col min="3851" max="3851" width="9.140625" style="4"/>
    <col min="3852" max="3852" width="5.28515625" style="4" customWidth="1"/>
    <col min="3853" max="3853" width="9.140625" style="4"/>
    <col min="3854" max="3854" width="26.85546875" style="4" customWidth="1"/>
    <col min="3855" max="4096" width="9.140625" style="4"/>
    <col min="4097" max="4097" width="4.42578125" style="4" bestFit="1" customWidth="1"/>
    <col min="4098" max="4098" width="48.140625" style="4" customWidth="1"/>
    <col min="4099" max="4099" width="13.42578125" style="4" customWidth="1"/>
    <col min="4100" max="4100" width="8" style="4" customWidth="1"/>
    <col min="4101" max="4101" width="5.85546875" style="4" customWidth="1"/>
    <col min="4102" max="4102" width="9.7109375" style="4" customWidth="1"/>
    <col min="4103" max="4103" width="12.28515625" style="4" customWidth="1"/>
    <col min="4104" max="4104" width="18.28515625" style="4" customWidth="1"/>
    <col min="4105" max="4105" width="12.28515625" style="4" customWidth="1"/>
    <col min="4106" max="4106" width="12" style="4" customWidth="1"/>
    <col min="4107" max="4107" width="9.140625" style="4"/>
    <col min="4108" max="4108" width="5.28515625" style="4" customWidth="1"/>
    <col min="4109" max="4109" width="9.140625" style="4"/>
    <col min="4110" max="4110" width="26.85546875" style="4" customWidth="1"/>
    <col min="4111" max="4352" width="9.140625" style="4"/>
    <col min="4353" max="4353" width="4.42578125" style="4" bestFit="1" customWidth="1"/>
    <col min="4354" max="4354" width="48.140625" style="4" customWidth="1"/>
    <col min="4355" max="4355" width="13.42578125" style="4" customWidth="1"/>
    <col min="4356" max="4356" width="8" style="4" customWidth="1"/>
    <col min="4357" max="4357" width="5.85546875" style="4" customWidth="1"/>
    <col min="4358" max="4358" width="9.7109375" style="4" customWidth="1"/>
    <col min="4359" max="4359" width="12.28515625" style="4" customWidth="1"/>
    <col min="4360" max="4360" width="18.28515625" style="4" customWidth="1"/>
    <col min="4361" max="4361" width="12.28515625" style="4" customWidth="1"/>
    <col min="4362" max="4362" width="12" style="4" customWidth="1"/>
    <col min="4363" max="4363" width="9.140625" style="4"/>
    <col min="4364" max="4364" width="5.28515625" style="4" customWidth="1"/>
    <col min="4365" max="4365" width="9.140625" style="4"/>
    <col min="4366" max="4366" width="26.85546875" style="4" customWidth="1"/>
    <col min="4367" max="4608" width="9.140625" style="4"/>
    <col min="4609" max="4609" width="4.42578125" style="4" bestFit="1" customWidth="1"/>
    <col min="4610" max="4610" width="48.140625" style="4" customWidth="1"/>
    <col min="4611" max="4611" width="13.42578125" style="4" customWidth="1"/>
    <col min="4612" max="4612" width="8" style="4" customWidth="1"/>
    <col min="4613" max="4613" width="5.85546875" style="4" customWidth="1"/>
    <col min="4614" max="4614" width="9.7109375" style="4" customWidth="1"/>
    <col min="4615" max="4615" width="12.28515625" style="4" customWidth="1"/>
    <col min="4616" max="4616" width="18.28515625" style="4" customWidth="1"/>
    <col min="4617" max="4617" width="12.28515625" style="4" customWidth="1"/>
    <col min="4618" max="4618" width="12" style="4" customWidth="1"/>
    <col min="4619" max="4619" width="9.140625" style="4"/>
    <col min="4620" max="4620" width="5.28515625" style="4" customWidth="1"/>
    <col min="4621" max="4621" width="9.140625" style="4"/>
    <col min="4622" max="4622" width="26.85546875" style="4" customWidth="1"/>
    <col min="4623" max="4864" width="9.140625" style="4"/>
    <col min="4865" max="4865" width="4.42578125" style="4" bestFit="1" customWidth="1"/>
    <col min="4866" max="4866" width="48.140625" style="4" customWidth="1"/>
    <col min="4867" max="4867" width="13.42578125" style="4" customWidth="1"/>
    <col min="4868" max="4868" width="8" style="4" customWidth="1"/>
    <col min="4869" max="4869" width="5.85546875" style="4" customWidth="1"/>
    <col min="4870" max="4870" width="9.7109375" style="4" customWidth="1"/>
    <col min="4871" max="4871" width="12.28515625" style="4" customWidth="1"/>
    <col min="4872" max="4872" width="18.28515625" style="4" customWidth="1"/>
    <col min="4873" max="4873" width="12.28515625" style="4" customWidth="1"/>
    <col min="4874" max="4874" width="12" style="4" customWidth="1"/>
    <col min="4875" max="4875" width="9.140625" style="4"/>
    <col min="4876" max="4876" width="5.28515625" style="4" customWidth="1"/>
    <col min="4877" max="4877" width="9.140625" style="4"/>
    <col min="4878" max="4878" width="26.85546875" style="4" customWidth="1"/>
    <col min="4879" max="5120" width="9.140625" style="4"/>
    <col min="5121" max="5121" width="4.42578125" style="4" bestFit="1" customWidth="1"/>
    <col min="5122" max="5122" width="48.140625" style="4" customWidth="1"/>
    <col min="5123" max="5123" width="13.42578125" style="4" customWidth="1"/>
    <col min="5124" max="5124" width="8" style="4" customWidth="1"/>
    <col min="5125" max="5125" width="5.85546875" style="4" customWidth="1"/>
    <col min="5126" max="5126" width="9.7109375" style="4" customWidth="1"/>
    <col min="5127" max="5127" width="12.28515625" style="4" customWidth="1"/>
    <col min="5128" max="5128" width="18.28515625" style="4" customWidth="1"/>
    <col min="5129" max="5129" width="12.28515625" style="4" customWidth="1"/>
    <col min="5130" max="5130" width="12" style="4" customWidth="1"/>
    <col min="5131" max="5131" width="9.140625" style="4"/>
    <col min="5132" max="5132" width="5.28515625" style="4" customWidth="1"/>
    <col min="5133" max="5133" width="9.140625" style="4"/>
    <col min="5134" max="5134" width="26.85546875" style="4" customWidth="1"/>
    <col min="5135" max="5376" width="9.140625" style="4"/>
    <col min="5377" max="5377" width="4.42578125" style="4" bestFit="1" customWidth="1"/>
    <col min="5378" max="5378" width="48.140625" style="4" customWidth="1"/>
    <col min="5379" max="5379" width="13.42578125" style="4" customWidth="1"/>
    <col min="5380" max="5380" width="8" style="4" customWidth="1"/>
    <col min="5381" max="5381" width="5.85546875" style="4" customWidth="1"/>
    <col min="5382" max="5382" width="9.7109375" style="4" customWidth="1"/>
    <col min="5383" max="5383" width="12.28515625" style="4" customWidth="1"/>
    <col min="5384" max="5384" width="18.28515625" style="4" customWidth="1"/>
    <col min="5385" max="5385" width="12.28515625" style="4" customWidth="1"/>
    <col min="5386" max="5386" width="12" style="4" customWidth="1"/>
    <col min="5387" max="5387" width="9.140625" style="4"/>
    <col min="5388" max="5388" width="5.28515625" style="4" customWidth="1"/>
    <col min="5389" max="5389" width="9.140625" style="4"/>
    <col min="5390" max="5390" width="26.85546875" style="4" customWidth="1"/>
    <col min="5391" max="5632" width="9.140625" style="4"/>
    <col min="5633" max="5633" width="4.42578125" style="4" bestFit="1" customWidth="1"/>
    <col min="5634" max="5634" width="48.140625" style="4" customWidth="1"/>
    <col min="5635" max="5635" width="13.42578125" style="4" customWidth="1"/>
    <col min="5636" max="5636" width="8" style="4" customWidth="1"/>
    <col min="5637" max="5637" width="5.85546875" style="4" customWidth="1"/>
    <col min="5638" max="5638" width="9.7109375" style="4" customWidth="1"/>
    <col min="5639" max="5639" width="12.28515625" style="4" customWidth="1"/>
    <col min="5640" max="5640" width="18.28515625" style="4" customWidth="1"/>
    <col min="5641" max="5641" width="12.28515625" style="4" customWidth="1"/>
    <col min="5642" max="5642" width="12" style="4" customWidth="1"/>
    <col min="5643" max="5643" width="9.140625" style="4"/>
    <col min="5644" max="5644" width="5.28515625" style="4" customWidth="1"/>
    <col min="5645" max="5645" width="9.140625" style="4"/>
    <col min="5646" max="5646" width="26.85546875" style="4" customWidth="1"/>
    <col min="5647" max="5888" width="9.140625" style="4"/>
    <col min="5889" max="5889" width="4.42578125" style="4" bestFit="1" customWidth="1"/>
    <col min="5890" max="5890" width="48.140625" style="4" customWidth="1"/>
    <col min="5891" max="5891" width="13.42578125" style="4" customWidth="1"/>
    <col min="5892" max="5892" width="8" style="4" customWidth="1"/>
    <col min="5893" max="5893" width="5.85546875" style="4" customWidth="1"/>
    <col min="5894" max="5894" width="9.7109375" style="4" customWidth="1"/>
    <col min="5895" max="5895" width="12.28515625" style="4" customWidth="1"/>
    <col min="5896" max="5896" width="18.28515625" style="4" customWidth="1"/>
    <col min="5897" max="5897" width="12.28515625" style="4" customWidth="1"/>
    <col min="5898" max="5898" width="12" style="4" customWidth="1"/>
    <col min="5899" max="5899" width="9.140625" style="4"/>
    <col min="5900" max="5900" width="5.28515625" style="4" customWidth="1"/>
    <col min="5901" max="5901" width="9.140625" style="4"/>
    <col min="5902" max="5902" width="26.85546875" style="4" customWidth="1"/>
    <col min="5903" max="6144" width="9.140625" style="4"/>
    <col min="6145" max="6145" width="4.42578125" style="4" bestFit="1" customWidth="1"/>
    <col min="6146" max="6146" width="48.140625" style="4" customWidth="1"/>
    <col min="6147" max="6147" width="13.42578125" style="4" customWidth="1"/>
    <col min="6148" max="6148" width="8" style="4" customWidth="1"/>
    <col min="6149" max="6149" width="5.85546875" style="4" customWidth="1"/>
    <col min="6150" max="6150" width="9.7109375" style="4" customWidth="1"/>
    <col min="6151" max="6151" width="12.28515625" style="4" customWidth="1"/>
    <col min="6152" max="6152" width="18.28515625" style="4" customWidth="1"/>
    <col min="6153" max="6153" width="12.28515625" style="4" customWidth="1"/>
    <col min="6154" max="6154" width="12" style="4" customWidth="1"/>
    <col min="6155" max="6155" width="9.140625" style="4"/>
    <col min="6156" max="6156" width="5.28515625" style="4" customWidth="1"/>
    <col min="6157" max="6157" width="9.140625" style="4"/>
    <col min="6158" max="6158" width="26.85546875" style="4" customWidth="1"/>
    <col min="6159" max="6400" width="9.140625" style="4"/>
    <col min="6401" max="6401" width="4.42578125" style="4" bestFit="1" customWidth="1"/>
    <col min="6402" max="6402" width="48.140625" style="4" customWidth="1"/>
    <col min="6403" max="6403" width="13.42578125" style="4" customWidth="1"/>
    <col min="6404" max="6404" width="8" style="4" customWidth="1"/>
    <col min="6405" max="6405" width="5.85546875" style="4" customWidth="1"/>
    <col min="6406" max="6406" width="9.7109375" style="4" customWidth="1"/>
    <col min="6407" max="6407" width="12.28515625" style="4" customWidth="1"/>
    <col min="6408" max="6408" width="18.28515625" style="4" customWidth="1"/>
    <col min="6409" max="6409" width="12.28515625" style="4" customWidth="1"/>
    <col min="6410" max="6410" width="12" style="4" customWidth="1"/>
    <col min="6411" max="6411" width="9.140625" style="4"/>
    <col min="6412" max="6412" width="5.28515625" style="4" customWidth="1"/>
    <col min="6413" max="6413" width="9.140625" style="4"/>
    <col min="6414" max="6414" width="26.85546875" style="4" customWidth="1"/>
    <col min="6415" max="6656" width="9.140625" style="4"/>
    <col min="6657" max="6657" width="4.42578125" style="4" bestFit="1" customWidth="1"/>
    <col min="6658" max="6658" width="48.140625" style="4" customWidth="1"/>
    <col min="6659" max="6659" width="13.42578125" style="4" customWidth="1"/>
    <col min="6660" max="6660" width="8" style="4" customWidth="1"/>
    <col min="6661" max="6661" width="5.85546875" style="4" customWidth="1"/>
    <col min="6662" max="6662" width="9.7109375" style="4" customWidth="1"/>
    <col min="6663" max="6663" width="12.28515625" style="4" customWidth="1"/>
    <col min="6664" max="6664" width="18.28515625" style="4" customWidth="1"/>
    <col min="6665" max="6665" width="12.28515625" style="4" customWidth="1"/>
    <col min="6666" max="6666" width="12" style="4" customWidth="1"/>
    <col min="6667" max="6667" width="9.140625" style="4"/>
    <col min="6668" max="6668" width="5.28515625" style="4" customWidth="1"/>
    <col min="6669" max="6669" width="9.140625" style="4"/>
    <col min="6670" max="6670" width="26.85546875" style="4" customWidth="1"/>
    <col min="6671" max="6912" width="9.140625" style="4"/>
    <col min="6913" max="6913" width="4.42578125" style="4" bestFit="1" customWidth="1"/>
    <col min="6914" max="6914" width="48.140625" style="4" customWidth="1"/>
    <col min="6915" max="6915" width="13.42578125" style="4" customWidth="1"/>
    <col min="6916" max="6916" width="8" style="4" customWidth="1"/>
    <col min="6917" max="6917" width="5.85546875" style="4" customWidth="1"/>
    <col min="6918" max="6918" width="9.7109375" style="4" customWidth="1"/>
    <col min="6919" max="6919" width="12.28515625" style="4" customWidth="1"/>
    <col min="6920" max="6920" width="18.28515625" style="4" customWidth="1"/>
    <col min="6921" max="6921" width="12.28515625" style="4" customWidth="1"/>
    <col min="6922" max="6922" width="12" style="4" customWidth="1"/>
    <col min="6923" max="6923" width="9.140625" style="4"/>
    <col min="6924" max="6924" width="5.28515625" style="4" customWidth="1"/>
    <col min="6925" max="6925" width="9.140625" style="4"/>
    <col min="6926" max="6926" width="26.85546875" style="4" customWidth="1"/>
    <col min="6927" max="7168" width="9.140625" style="4"/>
    <col min="7169" max="7169" width="4.42578125" style="4" bestFit="1" customWidth="1"/>
    <col min="7170" max="7170" width="48.140625" style="4" customWidth="1"/>
    <col min="7171" max="7171" width="13.42578125" style="4" customWidth="1"/>
    <col min="7172" max="7172" width="8" style="4" customWidth="1"/>
    <col min="7173" max="7173" width="5.85546875" style="4" customWidth="1"/>
    <col min="7174" max="7174" width="9.7109375" style="4" customWidth="1"/>
    <col min="7175" max="7175" width="12.28515625" style="4" customWidth="1"/>
    <col min="7176" max="7176" width="18.28515625" style="4" customWidth="1"/>
    <col min="7177" max="7177" width="12.28515625" style="4" customWidth="1"/>
    <col min="7178" max="7178" width="12" style="4" customWidth="1"/>
    <col min="7179" max="7179" width="9.140625" style="4"/>
    <col min="7180" max="7180" width="5.28515625" style="4" customWidth="1"/>
    <col min="7181" max="7181" width="9.140625" style="4"/>
    <col min="7182" max="7182" width="26.85546875" style="4" customWidth="1"/>
    <col min="7183" max="7424" width="9.140625" style="4"/>
    <col min="7425" max="7425" width="4.42578125" style="4" bestFit="1" customWidth="1"/>
    <col min="7426" max="7426" width="48.140625" style="4" customWidth="1"/>
    <col min="7427" max="7427" width="13.42578125" style="4" customWidth="1"/>
    <col min="7428" max="7428" width="8" style="4" customWidth="1"/>
    <col min="7429" max="7429" width="5.85546875" style="4" customWidth="1"/>
    <col min="7430" max="7430" width="9.7109375" style="4" customWidth="1"/>
    <col min="7431" max="7431" width="12.28515625" style="4" customWidth="1"/>
    <col min="7432" max="7432" width="18.28515625" style="4" customWidth="1"/>
    <col min="7433" max="7433" width="12.28515625" style="4" customWidth="1"/>
    <col min="7434" max="7434" width="12" style="4" customWidth="1"/>
    <col min="7435" max="7435" width="9.140625" style="4"/>
    <col min="7436" max="7436" width="5.28515625" style="4" customWidth="1"/>
    <col min="7437" max="7437" width="9.140625" style="4"/>
    <col min="7438" max="7438" width="26.85546875" style="4" customWidth="1"/>
    <col min="7439" max="7680" width="9.140625" style="4"/>
    <col min="7681" max="7681" width="4.42578125" style="4" bestFit="1" customWidth="1"/>
    <col min="7682" max="7682" width="48.140625" style="4" customWidth="1"/>
    <col min="7683" max="7683" width="13.42578125" style="4" customWidth="1"/>
    <col min="7684" max="7684" width="8" style="4" customWidth="1"/>
    <col min="7685" max="7685" width="5.85546875" style="4" customWidth="1"/>
    <col min="7686" max="7686" width="9.7109375" style="4" customWidth="1"/>
    <col min="7687" max="7687" width="12.28515625" style="4" customWidth="1"/>
    <col min="7688" max="7688" width="18.28515625" style="4" customWidth="1"/>
    <col min="7689" max="7689" width="12.28515625" style="4" customWidth="1"/>
    <col min="7690" max="7690" width="12" style="4" customWidth="1"/>
    <col min="7691" max="7691" width="9.140625" style="4"/>
    <col min="7692" max="7692" width="5.28515625" style="4" customWidth="1"/>
    <col min="7693" max="7693" width="9.140625" style="4"/>
    <col min="7694" max="7694" width="26.85546875" style="4" customWidth="1"/>
    <col min="7695" max="7936" width="9.140625" style="4"/>
    <col min="7937" max="7937" width="4.42578125" style="4" bestFit="1" customWidth="1"/>
    <col min="7938" max="7938" width="48.140625" style="4" customWidth="1"/>
    <col min="7939" max="7939" width="13.42578125" style="4" customWidth="1"/>
    <col min="7940" max="7940" width="8" style="4" customWidth="1"/>
    <col min="7941" max="7941" width="5.85546875" style="4" customWidth="1"/>
    <col min="7942" max="7942" width="9.7109375" style="4" customWidth="1"/>
    <col min="7943" max="7943" width="12.28515625" style="4" customWidth="1"/>
    <col min="7944" max="7944" width="18.28515625" style="4" customWidth="1"/>
    <col min="7945" max="7945" width="12.28515625" style="4" customWidth="1"/>
    <col min="7946" max="7946" width="12" style="4" customWidth="1"/>
    <col min="7947" max="7947" width="9.140625" style="4"/>
    <col min="7948" max="7948" width="5.28515625" style="4" customWidth="1"/>
    <col min="7949" max="7949" width="9.140625" style="4"/>
    <col min="7950" max="7950" width="26.85546875" style="4" customWidth="1"/>
    <col min="7951" max="8192" width="9.140625" style="4"/>
    <col min="8193" max="8193" width="4.42578125" style="4" bestFit="1" customWidth="1"/>
    <col min="8194" max="8194" width="48.140625" style="4" customWidth="1"/>
    <col min="8195" max="8195" width="13.42578125" style="4" customWidth="1"/>
    <col min="8196" max="8196" width="8" style="4" customWidth="1"/>
    <col min="8197" max="8197" width="5.85546875" style="4" customWidth="1"/>
    <col min="8198" max="8198" width="9.7109375" style="4" customWidth="1"/>
    <col min="8199" max="8199" width="12.28515625" style="4" customWidth="1"/>
    <col min="8200" max="8200" width="18.28515625" style="4" customWidth="1"/>
    <col min="8201" max="8201" width="12.28515625" style="4" customWidth="1"/>
    <col min="8202" max="8202" width="12" style="4" customWidth="1"/>
    <col min="8203" max="8203" width="9.140625" style="4"/>
    <col min="8204" max="8204" width="5.28515625" style="4" customWidth="1"/>
    <col min="8205" max="8205" width="9.140625" style="4"/>
    <col min="8206" max="8206" width="26.85546875" style="4" customWidth="1"/>
    <col min="8207" max="8448" width="9.140625" style="4"/>
    <col min="8449" max="8449" width="4.42578125" style="4" bestFit="1" customWidth="1"/>
    <col min="8450" max="8450" width="48.140625" style="4" customWidth="1"/>
    <col min="8451" max="8451" width="13.42578125" style="4" customWidth="1"/>
    <col min="8452" max="8452" width="8" style="4" customWidth="1"/>
    <col min="8453" max="8453" width="5.85546875" style="4" customWidth="1"/>
    <col min="8454" max="8454" width="9.7109375" style="4" customWidth="1"/>
    <col min="8455" max="8455" width="12.28515625" style="4" customWidth="1"/>
    <col min="8456" max="8456" width="18.28515625" style="4" customWidth="1"/>
    <col min="8457" max="8457" width="12.28515625" style="4" customWidth="1"/>
    <col min="8458" max="8458" width="12" style="4" customWidth="1"/>
    <col min="8459" max="8459" width="9.140625" style="4"/>
    <col min="8460" max="8460" width="5.28515625" style="4" customWidth="1"/>
    <col min="8461" max="8461" width="9.140625" style="4"/>
    <col min="8462" max="8462" width="26.85546875" style="4" customWidth="1"/>
    <col min="8463" max="8704" width="9.140625" style="4"/>
    <col min="8705" max="8705" width="4.42578125" style="4" bestFit="1" customWidth="1"/>
    <col min="8706" max="8706" width="48.140625" style="4" customWidth="1"/>
    <col min="8707" max="8707" width="13.42578125" style="4" customWidth="1"/>
    <col min="8708" max="8708" width="8" style="4" customWidth="1"/>
    <col min="8709" max="8709" width="5.85546875" style="4" customWidth="1"/>
    <col min="8710" max="8710" width="9.7109375" style="4" customWidth="1"/>
    <col min="8711" max="8711" width="12.28515625" style="4" customWidth="1"/>
    <col min="8712" max="8712" width="18.28515625" style="4" customWidth="1"/>
    <col min="8713" max="8713" width="12.28515625" style="4" customWidth="1"/>
    <col min="8714" max="8714" width="12" style="4" customWidth="1"/>
    <col min="8715" max="8715" width="9.140625" style="4"/>
    <col min="8716" max="8716" width="5.28515625" style="4" customWidth="1"/>
    <col min="8717" max="8717" width="9.140625" style="4"/>
    <col min="8718" max="8718" width="26.85546875" style="4" customWidth="1"/>
    <col min="8719" max="8960" width="9.140625" style="4"/>
    <col min="8961" max="8961" width="4.42578125" style="4" bestFit="1" customWidth="1"/>
    <col min="8962" max="8962" width="48.140625" style="4" customWidth="1"/>
    <col min="8963" max="8963" width="13.42578125" style="4" customWidth="1"/>
    <col min="8964" max="8964" width="8" style="4" customWidth="1"/>
    <col min="8965" max="8965" width="5.85546875" style="4" customWidth="1"/>
    <col min="8966" max="8966" width="9.7109375" style="4" customWidth="1"/>
    <col min="8967" max="8967" width="12.28515625" style="4" customWidth="1"/>
    <col min="8968" max="8968" width="18.28515625" style="4" customWidth="1"/>
    <col min="8969" max="8969" width="12.28515625" style="4" customWidth="1"/>
    <col min="8970" max="8970" width="12" style="4" customWidth="1"/>
    <col min="8971" max="8971" width="9.140625" style="4"/>
    <col min="8972" max="8972" width="5.28515625" style="4" customWidth="1"/>
    <col min="8973" max="8973" width="9.140625" style="4"/>
    <col min="8974" max="8974" width="26.85546875" style="4" customWidth="1"/>
    <col min="8975" max="9216" width="9.140625" style="4"/>
    <col min="9217" max="9217" width="4.42578125" style="4" bestFit="1" customWidth="1"/>
    <col min="9218" max="9218" width="48.140625" style="4" customWidth="1"/>
    <col min="9219" max="9219" width="13.42578125" style="4" customWidth="1"/>
    <col min="9220" max="9220" width="8" style="4" customWidth="1"/>
    <col min="9221" max="9221" width="5.85546875" style="4" customWidth="1"/>
    <col min="9222" max="9222" width="9.7109375" style="4" customWidth="1"/>
    <col min="9223" max="9223" width="12.28515625" style="4" customWidth="1"/>
    <col min="9224" max="9224" width="18.28515625" style="4" customWidth="1"/>
    <col min="9225" max="9225" width="12.28515625" style="4" customWidth="1"/>
    <col min="9226" max="9226" width="12" style="4" customWidth="1"/>
    <col min="9227" max="9227" width="9.140625" style="4"/>
    <col min="9228" max="9228" width="5.28515625" style="4" customWidth="1"/>
    <col min="9229" max="9229" width="9.140625" style="4"/>
    <col min="9230" max="9230" width="26.85546875" style="4" customWidth="1"/>
    <col min="9231" max="9472" width="9.140625" style="4"/>
    <col min="9473" max="9473" width="4.42578125" style="4" bestFit="1" customWidth="1"/>
    <col min="9474" max="9474" width="48.140625" style="4" customWidth="1"/>
    <col min="9475" max="9475" width="13.42578125" style="4" customWidth="1"/>
    <col min="9476" max="9476" width="8" style="4" customWidth="1"/>
    <col min="9477" max="9477" width="5.85546875" style="4" customWidth="1"/>
    <col min="9478" max="9478" width="9.7109375" style="4" customWidth="1"/>
    <col min="9479" max="9479" width="12.28515625" style="4" customWidth="1"/>
    <col min="9480" max="9480" width="18.28515625" style="4" customWidth="1"/>
    <col min="9481" max="9481" width="12.28515625" style="4" customWidth="1"/>
    <col min="9482" max="9482" width="12" style="4" customWidth="1"/>
    <col min="9483" max="9483" width="9.140625" style="4"/>
    <col min="9484" max="9484" width="5.28515625" style="4" customWidth="1"/>
    <col min="9485" max="9485" width="9.140625" style="4"/>
    <col min="9486" max="9486" width="26.85546875" style="4" customWidth="1"/>
    <col min="9487" max="9728" width="9.140625" style="4"/>
    <col min="9729" max="9729" width="4.42578125" style="4" bestFit="1" customWidth="1"/>
    <col min="9730" max="9730" width="48.140625" style="4" customWidth="1"/>
    <col min="9731" max="9731" width="13.42578125" style="4" customWidth="1"/>
    <col min="9732" max="9732" width="8" style="4" customWidth="1"/>
    <col min="9733" max="9733" width="5.85546875" style="4" customWidth="1"/>
    <col min="9734" max="9734" width="9.7109375" style="4" customWidth="1"/>
    <col min="9735" max="9735" width="12.28515625" style="4" customWidth="1"/>
    <col min="9736" max="9736" width="18.28515625" style="4" customWidth="1"/>
    <col min="9737" max="9737" width="12.28515625" style="4" customWidth="1"/>
    <col min="9738" max="9738" width="12" style="4" customWidth="1"/>
    <col min="9739" max="9739" width="9.140625" style="4"/>
    <col min="9740" max="9740" width="5.28515625" style="4" customWidth="1"/>
    <col min="9741" max="9741" width="9.140625" style="4"/>
    <col min="9742" max="9742" width="26.85546875" style="4" customWidth="1"/>
    <col min="9743" max="9984" width="9.140625" style="4"/>
    <col min="9985" max="9985" width="4.42578125" style="4" bestFit="1" customWidth="1"/>
    <col min="9986" max="9986" width="48.140625" style="4" customWidth="1"/>
    <col min="9987" max="9987" width="13.42578125" style="4" customWidth="1"/>
    <col min="9988" max="9988" width="8" style="4" customWidth="1"/>
    <col min="9989" max="9989" width="5.85546875" style="4" customWidth="1"/>
    <col min="9990" max="9990" width="9.7109375" style="4" customWidth="1"/>
    <col min="9991" max="9991" width="12.28515625" style="4" customWidth="1"/>
    <col min="9992" max="9992" width="18.28515625" style="4" customWidth="1"/>
    <col min="9993" max="9993" width="12.28515625" style="4" customWidth="1"/>
    <col min="9994" max="9994" width="12" style="4" customWidth="1"/>
    <col min="9995" max="9995" width="9.140625" style="4"/>
    <col min="9996" max="9996" width="5.28515625" style="4" customWidth="1"/>
    <col min="9997" max="9997" width="9.140625" style="4"/>
    <col min="9998" max="9998" width="26.85546875" style="4" customWidth="1"/>
    <col min="9999" max="10240" width="9.140625" style="4"/>
    <col min="10241" max="10241" width="4.42578125" style="4" bestFit="1" customWidth="1"/>
    <col min="10242" max="10242" width="48.140625" style="4" customWidth="1"/>
    <col min="10243" max="10243" width="13.42578125" style="4" customWidth="1"/>
    <col min="10244" max="10244" width="8" style="4" customWidth="1"/>
    <col min="10245" max="10245" width="5.85546875" style="4" customWidth="1"/>
    <col min="10246" max="10246" width="9.7109375" style="4" customWidth="1"/>
    <col min="10247" max="10247" width="12.28515625" style="4" customWidth="1"/>
    <col min="10248" max="10248" width="18.28515625" style="4" customWidth="1"/>
    <col min="10249" max="10249" width="12.28515625" style="4" customWidth="1"/>
    <col min="10250" max="10250" width="12" style="4" customWidth="1"/>
    <col min="10251" max="10251" width="9.140625" style="4"/>
    <col min="10252" max="10252" width="5.28515625" style="4" customWidth="1"/>
    <col min="10253" max="10253" width="9.140625" style="4"/>
    <col min="10254" max="10254" width="26.85546875" style="4" customWidth="1"/>
    <col min="10255" max="10496" width="9.140625" style="4"/>
    <col min="10497" max="10497" width="4.42578125" style="4" bestFit="1" customWidth="1"/>
    <col min="10498" max="10498" width="48.140625" style="4" customWidth="1"/>
    <col min="10499" max="10499" width="13.42578125" style="4" customWidth="1"/>
    <col min="10500" max="10500" width="8" style="4" customWidth="1"/>
    <col min="10501" max="10501" width="5.85546875" style="4" customWidth="1"/>
    <col min="10502" max="10502" width="9.7109375" style="4" customWidth="1"/>
    <col min="10503" max="10503" width="12.28515625" style="4" customWidth="1"/>
    <col min="10504" max="10504" width="18.28515625" style="4" customWidth="1"/>
    <col min="10505" max="10505" width="12.28515625" style="4" customWidth="1"/>
    <col min="10506" max="10506" width="12" style="4" customWidth="1"/>
    <col min="10507" max="10507" width="9.140625" style="4"/>
    <col min="10508" max="10508" width="5.28515625" style="4" customWidth="1"/>
    <col min="10509" max="10509" width="9.140625" style="4"/>
    <col min="10510" max="10510" width="26.85546875" style="4" customWidth="1"/>
    <col min="10511" max="10752" width="9.140625" style="4"/>
    <col min="10753" max="10753" width="4.42578125" style="4" bestFit="1" customWidth="1"/>
    <col min="10754" max="10754" width="48.140625" style="4" customWidth="1"/>
    <col min="10755" max="10755" width="13.42578125" style="4" customWidth="1"/>
    <col min="10756" max="10756" width="8" style="4" customWidth="1"/>
    <col min="10757" max="10757" width="5.85546875" style="4" customWidth="1"/>
    <col min="10758" max="10758" width="9.7109375" style="4" customWidth="1"/>
    <col min="10759" max="10759" width="12.28515625" style="4" customWidth="1"/>
    <col min="10760" max="10760" width="18.28515625" style="4" customWidth="1"/>
    <col min="10761" max="10761" width="12.28515625" style="4" customWidth="1"/>
    <col min="10762" max="10762" width="12" style="4" customWidth="1"/>
    <col min="10763" max="10763" width="9.140625" style="4"/>
    <col min="10764" max="10764" width="5.28515625" style="4" customWidth="1"/>
    <col min="10765" max="10765" width="9.140625" style="4"/>
    <col min="10766" max="10766" width="26.85546875" style="4" customWidth="1"/>
    <col min="10767" max="11008" width="9.140625" style="4"/>
    <col min="11009" max="11009" width="4.42578125" style="4" bestFit="1" customWidth="1"/>
    <col min="11010" max="11010" width="48.140625" style="4" customWidth="1"/>
    <col min="11011" max="11011" width="13.42578125" style="4" customWidth="1"/>
    <col min="11012" max="11012" width="8" style="4" customWidth="1"/>
    <col min="11013" max="11013" width="5.85546875" style="4" customWidth="1"/>
    <col min="11014" max="11014" width="9.7109375" style="4" customWidth="1"/>
    <col min="11015" max="11015" width="12.28515625" style="4" customWidth="1"/>
    <col min="11016" max="11016" width="18.28515625" style="4" customWidth="1"/>
    <col min="11017" max="11017" width="12.28515625" style="4" customWidth="1"/>
    <col min="11018" max="11018" width="12" style="4" customWidth="1"/>
    <col min="11019" max="11019" width="9.140625" style="4"/>
    <col min="11020" max="11020" width="5.28515625" style="4" customWidth="1"/>
    <col min="11021" max="11021" width="9.140625" style="4"/>
    <col min="11022" max="11022" width="26.85546875" style="4" customWidth="1"/>
    <col min="11023" max="11264" width="9.140625" style="4"/>
    <col min="11265" max="11265" width="4.42578125" style="4" bestFit="1" customWidth="1"/>
    <col min="11266" max="11266" width="48.140625" style="4" customWidth="1"/>
    <col min="11267" max="11267" width="13.42578125" style="4" customWidth="1"/>
    <col min="11268" max="11268" width="8" style="4" customWidth="1"/>
    <col min="11269" max="11269" width="5.85546875" style="4" customWidth="1"/>
    <col min="11270" max="11270" width="9.7109375" style="4" customWidth="1"/>
    <col min="11271" max="11271" width="12.28515625" style="4" customWidth="1"/>
    <col min="11272" max="11272" width="18.28515625" style="4" customWidth="1"/>
    <col min="11273" max="11273" width="12.28515625" style="4" customWidth="1"/>
    <col min="11274" max="11274" width="12" style="4" customWidth="1"/>
    <col min="11275" max="11275" width="9.140625" style="4"/>
    <col min="11276" max="11276" width="5.28515625" style="4" customWidth="1"/>
    <col min="11277" max="11277" width="9.140625" style="4"/>
    <col min="11278" max="11278" width="26.85546875" style="4" customWidth="1"/>
    <col min="11279" max="11520" width="9.140625" style="4"/>
    <col min="11521" max="11521" width="4.42578125" style="4" bestFit="1" customWidth="1"/>
    <col min="11522" max="11522" width="48.140625" style="4" customWidth="1"/>
    <col min="11523" max="11523" width="13.42578125" style="4" customWidth="1"/>
    <col min="11524" max="11524" width="8" style="4" customWidth="1"/>
    <col min="11525" max="11525" width="5.85546875" style="4" customWidth="1"/>
    <col min="11526" max="11526" width="9.7109375" style="4" customWidth="1"/>
    <col min="11527" max="11527" width="12.28515625" style="4" customWidth="1"/>
    <col min="11528" max="11528" width="18.28515625" style="4" customWidth="1"/>
    <col min="11529" max="11529" width="12.28515625" style="4" customWidth="1"/>
    <col min="11530" max="11530" width="12" style="4" customWidth="1"/>
    <col min="11531" max="11531" width="9.140625" style="4"/>
    <col min="11532" max="11532" width="5.28515625" style="4" customWidth="1"/>
    <col min="11533" max="11533" width="9.140625" style="4"/>
    <col min="11534" max="11534" width="26.85546875" style="4" customWidth="1"/>
    <col min="11535" max="11776" width="9.140625" style="4"/>
    <col min="11777" max="11777" width="4.42578125" style="4" bestFit="1" customWidth="1"/>
    <col min="11778" max="11778" width="48.140625" style="4" customWidth="1"/>
    <col min="11779" max="11779" width="13.42578125" style="4" customWidth="1"/>
    <col min="11780" max="11780" width="8" style="4" customWidth="1"/>
    <col min="11781" max="11781" width="5.85546875" style="4" customWidth="1"/>
    <col min="11782" max="11782" width="9.7109375" style="4" customWidth="1"/>
    <col min="11783" max="11783" width="12.28515625" style="4" customWidth="1"/>
    <col min="11784" max="11784" width="18.28515625" style="4" customWidth="1"/>
    <col min="11785" max="11785" width="12.28515625" style="4" customWidth="1"/>
    <col min="11786" max="11786" width="12" style="4" customWidth="1"/>
    <col min="11787" max="11787" width="9.140625" style="4"/>
    <col min="11788" max="11788" width="5.28515625" style="4" customWidth="1"/>
    <col min="11789" max="11789" width="9.140625" style="4"/>
    <col min="11790" max="11790" width="26.85546875" style="4" customWidth="1"/>
    <col min="11791" max="12032" width="9.140625" style="4"/>
    <col min="12033" max="12033" width="4.42578125" style="4" bestFit="1" customWidth="1"/>
    <col min="12034" max="12034" width="48.140625" style="4" customWidth="1"/>
    <col min="12035" max="12035" width="13.42578125" style="4" customWidth="1"/>
    <col min="12036" max="12036" width="8" style="4" customWidth="1"/>
    <col min="12037" max="12037" width="5.85546875" style="4" customWidth="1"/>
    <col min="12038" max="12038" width="9.7109375" style="4" customWidth="1"/>
    <col min="12039" max="12039" width="12.28515625" style="4" customWidth="1"/>
    <col min="12040" max="12040" width="18.28515625" style="4" customWidth="1"/>
    <col min="12041" max="12041" width="12.28515625" style="4" customWidth="1"/>
    <col min="12042" max="12042" width="12" style="4" customWidth="1"/>
    <col min="12043" max="12043" width="9.140625" style="4"/>
    <col min="12044" max="12044" width="5.28515625" style="4" customWidth="1"/>
    <col min="12045" max="12045" width="9.140625" style="4"/>
    <col min="12046" max="12046" width="26.85546875" style="4" customWidth="1"/>
    <col min="12047" max="12288" width="9.140625" style="4"/>
    <col min="12289" max="12289" width="4.42578125" style="4" bestFit="1" customWidth="1"/>
    <col min="12290" max="12290" width="48.140625" style="4" customWidth="1"/>
    <col min="12291" max="12291" width="13.42578125" style="4" customWidth="1"/>
    <col min="12292" max="12292" width="8" style="4" customWidth="1"/>
    <col min="12293" max="12293" width="5.85546875" style="4" customWidth="1"/>
    <col min="12294" max="12294" width="9.7109375" style="4" customWidth="1"/>
    <col min="12295" max="12295" width="12.28515625" style="4" customWidth="1"/>
    <col min="12296" max="12296" width="18.28515625" style="4" customWidth="1"/>
    <col min="12297" max="12297" width="12.28515625" style="4" customWidth="1"/>
    <col min="12298" max="12298" width="12" style="4" customWidth="1"/>
    <col min="12299" max="12299" width="9.140625" style="4"/>
    <col min="12300" max="12300" width="5.28515625" style="4" customWidth="1"/>
    <col min="12301" max="12301" width="9.140625" style="4"/>
    <col min="12302" max="12302" width="26.85546875" style="4" customWidth="1"/>
    <col min="12303" max="12544" width="9.140625" style="4"/>
    <col min="12545" max="12545" width="4.42578125" style="4" bestFit="1" customWidth="1"/>
    <col min="12546" max="12546" width="48.140625" style="4" customWidth="1"/>
    <col min="12547" max="12547" width="13.42578125" style="4" customWidth="1"/>
    <col min="12548" max="12548" width="8" style="4" customWidth="1"/>
    <col min="12549" max="12549" width="5.85546875" style="4" customWidth="1"/>
    <col min="12550" max="12550" width="9.7109375" style="4" customWidth="1"/>
    <col min="12551" max="12551" width="12.28515625" style="4" customWidth="1"/>
    <col min="12552" max="12552" width="18.28515625" style="4" customWidth="1"/>
    <col min="12553" max="12553" width="12.28515625" style="4" customWidth="1"/>
    <col min="12554" max="12554" width="12" style="4" customWidth="1"/>
    <col min="12555" max="12555" width="9.140625" style="4"/>
    <col min="12556" max="12556" width="5.28515625" style="4" customWidth="1"/>
    <col min="12557" max="12557" width="9.140625" style="4"/>
    <col min="12558" max="12558" width="26.85546875" style="4" customWidth="1"/>
    <col min="12559" max="12800" width="9.140625" style="4"/>
    <col min="12801" max="12801" width="4.42578125" style="4" bestFit="1" customWidth="1"/>
    <col min="12802" max="12802" width="48.140625" style="4" customWidth="1"/>
    <col min="12803" max="12803" width="13.42578125" style="4" customWidth="1"/>
    <col min="12804" max="12804" width="8" style="4" customWidth="1"/>
    <col min="12805" max="12805" width="5.85546875" style="4" customWidth="1"/>
    <col min="12806" max="12806" width="9.7109375" style="4" customWidth="1"/>
    <col min="12807" max="12807" width="12.28515625" style="4" customWidth="1"/>
    <col min="12808" max="12808" width="18.28515625" style="4" customWidth="1"/>
    <col min="12809" max="12809" width="12.28515625" style="4" customWidth="1"/>
    <col min="12810" max="12810" width="12" style="4" customWidth="1"/>
    <col min="12811" max="12811" width="9.140625" style="4"/>
    <col min="12812" max="12812" width="5.28515625" style="4" customWidth="1"/>
    <col min="12813" max="12813" width="9.140625" style="4"/>
    <col min="12814" max="12814" width="26.85546875" style="4" customWidth="1"/>
    <col min="12815" max="13056" width="9.140625" style="4"/>
    <col min="13057" max="13057" width="4.42578125" style="4" bestFit="1" customWidth="1"/>
    <col min="13058" max="13058" width="48.140625" style="4" customWidth="1"/>
    <col min="13059" max="13059" width="13.42578125" style="4" customWidth="1"/>
    <col min="13060" max="13060" width="8" style="4" customWidth="1"/>
    <col min="13061" max="13061" width="5.85546875" style="4" customWidth="1"/>
    <col min="13062" max="13062" width="9.7109375" style="4" customWidth="1"/>
    <col min="13063" max="13063" width="12.28515625" style="4" customWidth="1"/>
    <col min="13064" max="13064" width="18.28515625" style="4" customWidth="1"/>
    <col min="13065" max="13065" width="12.28515625" style="4" customWidth="1"/>
    <col min="13066" max="13066" width="12" style="4" customWidth="1"/>
    <col min="13067" max="13067" width="9.140625" style="4"/>
    <col min="13068" max="13068" width="5.28515625" style="4" customWidth="1"/>
    <col min="13069" max="13069" width="9.140625" style="4"/>
    <col min="13070" max="13070" width="26.85546875" style="4" customWidth="1"/>
    <col min="13071" max="13312" width="9.140625" style="4"/>
    <col min="13313" max="13313" width="4.42578125" style="4" bestFit="1" customWidth="1"/>
    <col min="13314" max="13314" width="48.140625" style="4" customWidth="1"/>
    <col min="13315" max="13315" width="13.42578125" style="4" customWidth="1"/>
    <col min="13316" max="13316" width="8" style="4" customWidth="1"/>
    <col min="13317" max="13317" width="5.85546875" style="4" customWidth="1"/>
    <col min="13318" max="13318" width="9.7109375" style="4" customWidth="1"/>
    <col min="13319" max="13319" width="12.28515625" style="4" customWidth="1"/>
    <col min="13320" max="13320" width="18.28515625" style="4" customWidth="1"/>
    <col min="13321" max="13321" width="12.28515625" style="4" customWidth="1"/>
    <col min="13322" max="13322" width="12" style="4" customWidth="1"/>
    <col min="13323" max="13323" width="9.140625" style="4"/>
    <col min="13324" max="13324" width="5.28515625" style="4" customWidth="1"/>
    <col min="13325" max="13325" width="9.140625" style="4"/>
    <col min="13326" max="13326" width="26.85546875" style="4" customWidth="1"/>
    <col min="13327" max="13568" width="9.140625" style="4"/>
    <col min="13569" max="13569" width="4.42578125" style="4" bestFit="1" customWidth="1"/>
    <col min="13570" max="13570" width="48.140625" style="4" customWidth="1"/>
    <col min="13571" max="13571" width="13.42578125" style="4" customWidth="1"/>
    <col min="13572" max="13572" width="8" style="4" customWidth="1"/>
    <col min="13573" max="13573" width="5.85546875" style="4" customWidth="1"/>
    <col min="13574" max="13574" width="9.7109375" style="4" customWidth="1"/>
    <col min="13575" max="13575" width="12.28515625" style="4" customWidth="1"/>
    <col min="13576" max="13576" width="18.28515625" style="4" customWidth="1"/>
    <col min="13577" max="13577" width="12.28515625" style="4" customWidth="1"/>
    <col min="13578" max="13578" width="12" style="4" customWidth="1"/>
    <col min="13579" max="13579" width="9.140625" style="4"/>
    <col min="13580" max="13580" width="5.28515625" style="4" customWidth="1"/>
    <col min="13581" max="13581" width="9.140625" style="4"/>
    <col min="13582" max="13582" width="26.85546875" style="4" customWidth="1"/>
    <col min="13583" max="13824" width="9.140625" style="4"/>
    <col min="13825" max="13825" width="4.42578125" style="4" bestFit="1" customWidth="1"/>
    <col min="13826" max="13826" width="48.140625" style="4" customWidth="1"/>
    <col min="13827" max="13827" width="13.42578125" style="4" customWidth="1"/>
    <col min="13828" max="13828" width="8" style="4" customWidth="1"/>
    <col min="13829" max="13829" width="5.85546875" style="4" customWidth="1"/>
    <col min="13830" max="13830" width="9.7109375" style="4" customWidth="1"/>
    <col min="13831" max="13831" width="12.28515625" style="4" customWidth="1"/>
    <col min="13832" max="13832" width="18.28515625" style="4" customWidth="1"/>
    <col min="13833" max="13833" width="12.28515625" style="4" customWidth="1"/>
    <col min="13834" max="13834" width="12" style="4" customWidth="1"/>
    <col min="13835" max="13835" width="9.140625" style="4"/>
    <col min="13836" max="13836" width="5.28515625" style="4" customWidth="1"/>
    <col min="13837" max="13837" width="9.140625" style="4"/>
    <col min="13838" max="13838" width="26.85546875" style="4" customWidth="1"/>
    <col min="13839" max="14080" width="9.140625" style="4"/>
    <col min="14081" max="14081" width="4.42578125" style="4" bestFit="1" customWidth="1"/>
    <col min="14082" max="14082" width="48.140625" style="4" customWidth="1"/>
    <col min="14083" max="14083" width="13.42578125" style="4" customWidth="1"/>
    <col min="14084" max="14084" width="8" style="4" customWidth="1"/>
    <col min="14085" max="14085" width="5.85546875" style="4" customWidth="1"/>
    <col min="14086" max="14086" width="9.7109375" style="4" customWidth="1"/>
    <col min="14087" max="14087" width="12.28515625" style="4" customWidth="1"/>
    <col min="14088" max="14088" width="18.28515625" style="4" customWidth="1"/>
    <col min="14089" max="14089" width="12.28515625" style="4" customWidth="1"/>
    <col min="14090" max="14090" width="12" style="4" customWidth="1"/>
    <col min="14091" max="14091" width="9.140625" style="4"/>
    <col min="14092" max="14092" width="5.28515625" style="4" customWidth="1"/>
    <col min="14093" max="14093" width="9.140625" style="4"/>
    <col min="14094" max="14094" width="26.85546875" style="4" customWidth="1"/>
    <col min="14095" max="14336" width="9.140625" style="4"/>
    <col min="14337" max="14337" width="4.42578125" style="4" bestFit="1" customWidth="1"/>
    <col min="14338" max="14338" width="48.140625" style="4" customWidth="1"/>
    <col min="14339" max="14339" width="13.42578125" style="4" customWidth="1"/>
    <col min="14340" max="14340" width="8" style="4" customWidth="1"/>
    <col min="14341" max="14341" width="5.85546875" style="4" customWidth="1"/>
    <col min="14342" max="14342" width="9.7109375" style="4" customWidth="1"/>
    <col min="14343" max="14343" width="12.28515625" style="4" customWidth="1"/>
    <col min="14344" max="14344" width="18.28515625" style="4" customWidth="1"/>
    <col min="14345" max="14345" width="12.28515625" style="4" customWidth="1"/>
    <col min="14346" max="14346" width="12" style="4" customWidth="1"/>
    <col min="14347" max="14347" width="9.140625" style="4"/>
    <col min="14348" max="14348" width="5.28515625" style="4" customWidth="1"/>
    <col min="14349" max="14349" width="9.140625" style="4"/>
    <col min="14350" max="14350" width="26.85546875" style="4" customWidth="1"/>
    <col min="14351" max="14592" width="9.140625" style="4"/>
    <col min="14593" max="14593" width="4.42578125" style="4" bestFit="1" customWidth="1"/>
    <col min="14594" max="14594" width="48.140625" style="4" customWidth="1"/>
    <col min="14595" max="14595" width="13.42578125" style="4" customWidth="1"/>
    <col min="14596" max="14596" width="8" style="4" customWidth="1"/>
    <col min="14597" max="14597" width="5.85546875" style="4" customWidth="1"/>
    <col min="14598" max="14598" width="9.7109375" style="4" customWidth="1"/>
    <col min="14599" max="14599" width="12.28515625" style="4" customWidth="1"/>
    <col min="14600" max="14600" width="18.28515625" style="4" customWidth="1"/>
    <col min="14601" max="14601" width="12.28515625" style="4" customWidth="1"/>
    <col min="14602" max="14602" width="12" style="4" customWidth="1"/>
    <col min="14603" max="14603" width="9.140625" style="4"/>
    <col min="14604" max="14604" width="5.28515625" style="4" customWidth="1"/>
    <col min="14605" max="14605" width="9.140625" style="4"/>
    <col min="14606" max="14606" width="26.85546875" style="4" customWidth="1"/>
    <col min="14607" max="14848" width="9.140625" style="4"/>
    <col min="14849" max="14849" width="4.42578125" style="4" bestFit="1" customWidth="1"/>
    <col min="14850" max="14850" width="48.140625" style="4" customWidth="1"/>
    <col min="14851" max="14851" width="13.42578125" style="4" customWidth="1"/>
    <col min="14852" max="14852" width="8" style="4" customWidth="1"/>
    <col min="14853" max="14853" width="5.85546875" style="4" customWidth="1"/>
    <col min="14854" max="14854" width="9.7109375" style="4" customWidth="1"/>
    <col min="14855" max="14855" width="12.28515625" style="4" customWidth="1"/>
    <col min="14856" max="14856" width="18.28515625" style="4" customWidth="1"/>
    <col min="14857" max="14857" width="12.28515625" style="4" customWidth="1"/>
    <col min="14858" max="14858" width="12" style="4" customWidth="1"/>
    <col min="14859" max="14859" width="9.140625" style="4"/>
    <col min="14860" max="14860" width="5.28515625" style="4" customWidth="1"/>
    <col min="14861" max="14861" width="9.140625" style="4"/>
    <col min="14862" max="14862" width="26.85546875" style="4" customWidth="1"/>
    <col min="14863" max="15104" width="9.140625" style="4"/>
    <col min="15105" max="15105" width="4.42578125" style="4" bestFit="1" customWidth="1"/>
    <col min="15106" max="15106" width="48.140625" style="4" customWidth="1"/>
    <col min="15107" max="15107" width="13.42578125" style="4" customWidth="1"/>
    <col min="15108" max="15108" width="8" style="4" customWidth="1"/>
    <col min="15109" max="15109" width="5.85546875" style="4" customWidth="1"/>
    <col min="15110" max="15110" width="9.7109375" style="4" customWidth="1"/>
    <col min="15111" max="15111" width="12.28515625" style="4" customWidth="1"/>
    <col min="15112" max="15112" width="18.28515625" style="4" customWidth="1"/>
    <col min="15113" max="15113" width="12.28515625" style="4" customWidth="1"/>
    <col min="15114" max="15114" width="12" style="4" customWidth="1"/>
    <col min="15115" max="15115" width="9.140625" style="4"/>
    <col min="15116" max="15116" width="5.28515625" style="4" customWidth="1"/>
    <col min="15117" max="15117" width="9.140625" style="4"/>
    <col min="15118" max="15118" width="26.85546875" style="4" customWidth="1"/>
    <col min="15119" max="15360" width="9.140625" style="4"/>
    <col min="15361" max="15361" width="4.42578125" style="4" bestFit="1" customWidth="1"/>
    <col min="15362" max="15362" width="48.140625" style="4" customWidth="1"/>
    <col min="15363" max="15363" width="13.42578125" style="4" customWidth="1"/>
    <col min="15364" max="15364" width="8" style="4" customWidth="1"/>
    <col min="15365" max="15365" width="5.85546875" style="4" customWidth="1"/>
    <col min="15366" max="15366" width="9.7109375" style="4" customWidth="1"/>
    <col min="15367" max="15367" width="12.28515625" style="4" customWidth="1"/>
    <col min="15368" max="15368" width="18.28515625" style="4" customWidth="1"/>
    <col min="15369" max="15369" width="12.28515625" style="4" customWidth="1"/>
    <col min="15370" max="15370" width="12" style="4" customWidth="1"/>
    <col min="15371" max="15371" width="9.140625" style="4"/>
    <col min="15372" max="15372" width="5.28515625" style="4" customWidth="1"/>
    <col min="15373" max="15373" width="9.140625" style="4"/>
    <col min="15374" max="15374" width="26.85546875" style="4" customWidth="1"/>
    <col min="15375" max="15616" width="9.140625" style="4"/>
    <col min="15617" max="15617" width="4.42578125" style="4" bestFit="1" customWidth="1"/>
    <col min="15618" max="15618" width="48.140625" style="4" customWidth="1"/>
    <col min="15619" max="15619" width="13.42578125" style="4" customWidth="1"/>
    <col min="15620" max="15620" width="8" style="4" customWidth="1"/>
    <col min="15621" max="15621" width="5.85546875" style="4" customWidth="1"/>
    <col min="15622" max="15622" width="9.7109375" style="4" customWidth="1"/>
    <col min="15623" max="15623" width="12.28515625" style="4" customWidth="1"/>
    <col min="15624" max="15624" width="18.28515625" style="4" customWidth="1"/>
    <col min="15625" max="15625" width="12.28515625" style="4" customWidth="1"/>
    <col min="15626" max="15626" width="12" style="4" customWidth="1"/>
    <col min="15627" max="15627" width="9.140625" style="4"/>
    <col min="15628" max="15628" width="5.28515625" style="4" customWidth="1"/>
    <col min="15629" max="15629" width="9.140625" style="4"/>
    <col min="15630" max="15630" width="26.85546875" style="4" customWidth="1"/>
    <col min="15631" max="15872" width="9.140625" style="4"/>
    <col min="15873" max="15873" width="4.42578125" style="4" bestFit="1" customWidth="1"/>
    <col min="15874" max="15874" width="48.140625" style="4" customWidth="1"/>
    <col min="15875" max="15875" width="13.42578125" style="4" customWidth="1"/>
    <col min="15876" max="15876" width="8" style="4" customWidth="1"/>
    <col min="15877" max="15877" width="5.85546875" style="4" customWidth="1"/>
    <col min="15878" max="15878" width="9.7109375" style="4" customWidth="1"/>
    <col min="15879" max="15879" width="12.28515625" style="4" customWidth="1"/>
    <col min="15880" max="15880" width="18.28515625" style="4" customWidth="1"/>
    <col min="15881" max="15881" width="12.28515625" style="4" customWidth="1"/>
    <col min="15882" max="15882" width="12" style="4" customWidth="1"/>
    <col min="15883" max="15883" width="9.140625" style="4"/>
    <col min="15884" max="15884" width="5.28515625" style="4" customWidth="1"/>
    <col min="15885" max="15885" width="9.140625" style="4"/>
    <col min="15886" max="15886" width="26.85546875" style="4" customWidth="1"/>
    <col min="15887" max="16128" width="9.140625" style="4"/>
    <col min="16129" max="16129" width="4.42578125" style="4" bestFit="1" customWidth="1"/>
    <col min="16130" max="16130" width="48.140625" style="4" customWidth="1"/>
    <col min="16131" max="16131" width="13.42578125" style="4" customWidth="1"/>
    <col min="16132" max="16132" width="8" style="4" customWidth="1"/>
    <col min="16133" max="16133" width="5.85546875" style="4" customWidth="1"/>
    <col min="16134" max="16134" width="9.7109375" style="4" customWidth="1"/>
    <col min="16135" max="16135" width="12.28515625" style="4" customWidth="1"/>
    <col min="16136" max="16136" width="18.28515625" style="4" customWidth="1"/>
    <col min="16137" max="16137" width="12.28515625" style="4" customWidth="1"/>
    <col min="16138" max="16138" width="12" style="4" customWidth="1"/>
    <col min="16139" max="16139" width="9.140625" style="4"/>
    <col min="16140" max="16140" width="5.28515625" style="4" customWidth="1"/>
    <col min="16141" max="16141" width="9.140625" style="4"/>
    <col min="16142" max="16142" width="26.85546875" style="4" customWidth="1"/>
    <col min="16143" max="16384" width="9.140625" style="4"/>
  </cols>
  <sheetData>
    <row r="1" spans="1:14" ht="18">
      <c r="A1" s="144" t="s">
        <v>181</v>
      </c>
      <c r="B1" s="3309" t="s">
        <v>182</v>
      </c>
      <c r="C1" s="3309"/>
      <c r="D1" s="3309"/>
      <c r="E1" s="178"/>
      <c r="F1" s="178"/>
      <c r="G1" s="178"/>
    </row>
    <row r="2" spans="1:14" ht="10.5" customHeight="1">
      <c r="A2" s="144"/>
      <c r="B2" s="181"/>
      <c r="C2" s="181"/>
      <c r="D2" s="181"/>
      <c r="E2" s="178"/>
      <c r="F2" s="178"/>
      <c r="G2" s="178"/>
    </row>
    <row r="3" spans="1:14" ht="23.25" customHeight="1">
      <c r="A3" s="144"/>
      <c r="B3" s="3075" t="s">
        <v>183</v>
      </c>
      <c r="C3" s="3075"/>
      <c r="D3" s="3075"/>
      <c r="E3" s="3075"/>
      <c r="F3" s="3075"/>
      <c r="G3" s="3075"/>
      <c r="I3" s="206"/>
      <c r="J3" s="206"/>
      <c r="K3" s="206"/>
      <c r="L3" s="206"/>
      <c r="M3" s="206"/>
      <c r="N3" s="206"/>
    </row>
    <row r="4" spans="1:14" ht="17.25" customHeight="1">
      <c r="A4" s="144"/>
      <c r="B4" s="188"/>
      <c r="C4" s="188"/>
      <c r="D4" s="188"/>
      <c r="E4" s="188"/>
      <c r="F4" s="188"/>
      <c r="G4" s="925" t="s">
        <v>89</v>
      </c>
      <c r="I4" s="206"/>
      <c r="J4" s="206"/>
      <c r="K4" s="206"/>
      <c r="L4" s="206"/>
      <c r="M4" s="206"/>
      <c r="N4" s="206"/>
    </row>
    <row r="5" spans="1:14" ht="11.25" customHeight="1">
      <c r="A5" s="144"/>
      <c r="B5" s="188"/>
      <c r="C5" s="188"/>
      <c r="D5" s="188"/>
      <c r="E5" s="188"/>
      <c r="F5" s="188"/>
      <c r="I5" s="206"/>
      <c r="J5" s="206"/>
      <c r="K5" s="206"/>
      <c r="L5" s="206"/>
      <c r="M5" s="206"/>
      <c r="N5" s="206"/>
    </row>
    <row r="6" spans="1:14" ht="30">
      <c r="A6" s="142" t="s">
        <v>2</v>
      </c>
      <c r="B6" s="190" t="s">
        <v>3</v>
      </c>
      <c r="C6" s="207" t="s">
        <v>4</v>
      </c>
      <c r="D6" s="190" t="s">
        <v>5</v>
      </c>
      <c r="E6" s="190" t="s">
        <v>95</v>
      </c>
      <c r="F6" s="120" t="s">
        <v>174</v>
      </c>
      <c r="G6" s="120" t="s">
        <v>10</v>
      </c>
    </row>
    <row r="7" spans="1:14" ht="13.5">
      <c r="A7" s="208">
        <v>1</v>
      </c>
      <c r="B7" s="209">
        <v>2</v>
      </c>
      <c r="C7" s="210" t="s">
        <v>184</v>
      </c>
      <c r="D7" s="209">
        <v>4</v>
      </c>
      <c r="E7" s="209">
        <v>5</v>
      </c>
      <c r="F7" s="211">
        <v>6</v>
      </c>
      <c r="G7" s="211">
        <v>7</v>
      </c>
    </row>
    <row r="8" spans="1:14" ht="17.25" customHeight="1">
      <c r="A8" s="1181">
        <v>1</v>
      </c>
      <c r="B8" s="1470" t="s">
        <v>185</v>
      </c>
      <c r="C8" s="1258">
        <v>7130830057</v>
      </c>
      <c r="D8" s="1181" t="s">
        <v>147</v>
      </c>
      <c r="E8" s="1181">
        <v>3.03</v>
      </c>
      <c r="F8" s="734">
        <f>VLOOKUP(C8,'SOR RATE'!A:D,4,0)</f>
        <v>46676.09</v>
      </c>
      <c r="G8" s="734">
        <f>F8*E8</f>
        <v>141428.55269999997</v>
      </c>
      <c r="H8" s="169"/>
      <c r="I8" s="169"/>
      <c r="J8" s="169"/>
      <c r="K8" s="12"/>
      <c r="L8" s="12"/>
    </row>
    <row r="9" spans="1:14" ht="17.25" customHeight="1">
      <c r="A9" s="1181">
        <v>2</v>
      </c>
      <c r="B9" s="1182" t="s">
        <v>176</v>
      </c>
      <c r="C9" s="1258">
        <v>7130810511</v>
      </c>
      <c r="D9" s="1181" t="s">
        <v>12</v>
      </c>
      <c r="E9" s="1181">
        <v>1</v>
      </c>
      <c r="F9" s="734">
        <f>VLOOKUP(C9,'SOR RATE'!A:D,4,0)</f>
        <v>3272.43</v>
      </c>
      <c r="G9" s="734">
        <f>F9*E9</f>
        <v>3272.43</v>
      </c>
      <c r="H9" s="169"/>
      <c r="J9" s="169"/>
      <c r="K9" s="12"/>
      <c r="L9" s="12"/>
    </row>
    <row r="10" spans="1:14" ht="17.25" customHeight="1">
      <c r="A10" s="1181">
        <v>3</v>
      </c>
      <c r="B10" s="1470" t="s">
        <v>177</v>
      </c>
      <c r="C10" s="1258">
        <v>7130870043</v>
      </c>
      <c r="D10" s="1181" t="s">
        <v>26</v>
      </c>
      <c r="E10" s="1181">
        <v>35</v>
      </c>
      <c r="F10" s="734">
        <f>VLOOKUP(C10,'SOR RATE'!A:D,4,0)/1000</f>
        <v>80.521839999999997</v>
      </c>
      <c r="G10" s="734">
        <f>E10*F10</f>
        <v>2818.2644</v>
      </c>
      <c r="H10" s="169"/>
      <c r="I10" s="169"/>
      <c r="J10" s="169"/>
      <c r="K10" s="12"/>
      <c r="L10" s="12"/>
    </row>
    <row r="11" spans="1:14" ht="17.25" customHeight="1">
      <c r="A11" s="1181">
        <v>4</v>
      </c>
      <c r="B11" s="1470" t="s">
        <v>178</v>
      </c>
      <c r="C11" s="1258">
        <v>7130810026</v>
      </c>
      <c r="D11" s="1181" t="s">
        <v>15</v>
      </c>
      <c r="E11" s="1181">
        <v>2</v>
      </c>
      <c r="F11" s="734">
        <f>VLOOKUP(C11,'SOR RATE'!A201:D201,4,0)</f>
        <v>198.14</v>
      </c>
      <c r="G11" s="734">
        <f t="shared" ref="G11" si="0">E11*F11</f>
        <v>396.28</v>
      </c>
      <c r="H11" s="169"/>
      <c r="I11" s="169"/>
      <c r="J11" s="169"/>
      <c r="K11" s="12"/>
      <c r="L11" s="12"/>
    </row>
    <row r="12" spans="1:14" ht="17.25" customHeight="1">
      <c r="A12" s="1181">
        <v>5</v>
      </c>
      <c r="B12" s="1475" t="s">
        <v>179</v>
      </c>
      <c r="C12" s="1258">
        <v>7130860077</v>
      </c>
      <c r="D12" s="1181" t="s">
        <v>26</v>
      </c>
      <c r="E12" s="1181">
        <v>11</v>
      </c>
      <c r="F12" s="734">
        <f>VLOOKUP(C12,'SOR RATE'!A:D,4,0)/1000</f>
        <v>93.76643</v>
      </c>
      <c r="G12" s="734">
        <f>E12*F12</f>
        <v>1031.43073</v>
      </c>
      <c r="H12" s="169"/>
      <c r="I12" s="169"/>
      <c r="J12" s="169"/>
      <c r="K12" s="12"/>
      <c r="L12" s="12"/>
    </row>
    <row r="13" spans="1:14" ht="17.25" customHeight="1">
      <c r="A13" s="1181">
        <v>6</v>
      </c>
      <c r="B13" s="1470" t="s">
        <v>154</v>
      </c>
      <c r="C13" s="1258">
        <v>7130860032</v>
      </c>
      <c r="D13" s="1181" t="s">
        <v>12</v>
      </c>
      <c r="E13" s="1181">
        <v>2</v>
      </c>
      <c r="F13" s="734">
        <f>VLOOKUP(C13,'SOR RATE'!A:D,4,0)</f>
        <v>566.19000000000005</v>
      </c>
      <c r="G13" s="734">
        <f>E13*F13</f>
        <v>1132.3800000000001</v>
      </c>
      <c r="H13" s="169"/>
      <c r="I13" s="169"/>
      <c r="J13" s="169"/>
      <c r="K13" s="12"/>
      <c r="L13" s="12"/>
    </row>
    <row r="14" spans="1:14" ht="17.25" customHeight="1">
      <c r="A14" s="1181">
        <v>7</v>
      </c>
      <c r="B14" s="1182" t="s">
        <v>180</v>
      </c>
      <c r="C14" s="1258">
        <v>7130620013</v>
      </c>
      <c r="D14" s="1181" t="s">
        <v>68</v>
      </c>
      <c r="E14" s="1181">
        <v>4</v>
      </c>
      <c r="F14" s="734">
        <f>VLOOKUP(C14,'SOR RATE'!A:D,4,0)</f>
        <v>156.05000000000001</v>
      </c>
      <c r="G14" s="734">
        <f>E14*F14</f>
        <v>624.20000000000005</v>
      </c>
      <c r="H14" s="169"/>
      <c r="I14" s="169"/>
      <c r="J14" s="169"/>
      <c r="K14" s="12"/>
      <c r="L14" s="12"/>
    </row>
    <row r="15" spans="1:14" ht="17.25" customHeight="1">
      <c r="A15" s="931">
        <v>8</v>
      </c>
      <c r="B15" s="1503" t="s">
        <v>48</v>
      </c>
      <c r="C15" s="1714"/>
      <c r="D15" s="1715"/>
      <c r="E15" s="1209"/>
      <c r="F15" s="1209"/>
      <c r="G15" s="1193">
        <f>SUM(G8:G14)</f>
        <v>150703.53782999999</v>
      </c>
      <c r="H15" s="12"/>
      <c r="I15" s="12"/>
      <c r="J15" s="169"/>
      <c r="K15" s="12"/>
      <c r="L15" s="12"/>
    </row>
    <row r="16" spans="1:14" ht="17.25" customHeight="1">
      <c r="A16" s="931">
        <v>9</v>
      </c>
      <c r="B16" s="1191" t="s">
        <v>49</v>
      </c>
      <c r="C16" s="1714"/>
      <c r="D16" s="1715"/>
      <c r="E16" s="1209"/>
      <c r="F16" s="1209"/>
      <c r="G16" s="1193">
        <f>G15/1.18</f>
        <v>127714.8625677966</v>
      </c>
      <c r="H16" s="17"/>
      <c r="I16" s="12"/>
      <c r="J16" s="169"/>
      <c r="K16" s="12"/>
      <c r="L16" s="12"/>
    </row>
    <row r="17" spans="1:12" ht="17.25" customHeight="1">
      <c r="A17" s="1181">
        <v>10</v>
      </c>
      <c r="B17" s="1185" t="s">
        <v>50</v>
      </c>
      <c r="C17" s="1714"/>
      <c r="D17" s="1715"/>
      <c r="E17" s="1209"/>
      <c r="F17" s="1181">
        <v>7.4999999999999997E-2</v>
      </c>
      <c r="G17" s="734">
        <f>G15*F17</f>
        <v>11302.765337249999</v>
      </c>
      <c r="H17" s="16"/>
      <c r="I17" s="12"/>
      <c r="J17" s="169"/>
      <c r="K17" s="12"/>
      <c r="L17" s="12"/>
    </row>
    <row r="18" spans="1:12" ht="30.75" customHeight="1">
      <c r="A18" s="1181">
        <v>11</v>
      </c>
      <c r="B18" s="1203" t="s">
        <v>1416</v>
      </c>
      <c r="C18" s="1300"/>
      <c r="D18" s="1470"/>
      <c r="E18" s="1181"/>
      <c r="F18" s="734"/>
      <c r="G18" s="734">
        <v>21303.5</v>
      </c>
      <c r="H18" s="12"/>
      <c r="I18" s="12"/>
      <c r="J18" s="518"/>
      <c r="K18" s="12"/>
      <c r="L18" s="12"/>
    </row>
    <row r="19" spans="1:12" ht="18.75" customHeight="1">
      <c r="A19" s="1181">
        <v>12</v>
      </c>
      <c r="B19" s="1206" t="s">
        <v>1415</v>
      </c>
      <c r="C19" s="1712"/>
      <c r="D19" s="1712"/>
      <c r="E19" s="1712"/>
      <c r="F19" s="1712"/>
      <c r="G19" s="1210">
        <f>G16*0.04</f>
        <v>5108.5945027118642</v>
      </c>
      <c r="H19" s="737" t="s">
        <v>1827</v>
      </c>
      <c r="I19" s="26"/>
      <c r="J19" s="164"/>
      <c r="K19" s="12"/>
      <c r="L19" s="12"/>
    </row>
    <row r="20" spans="1:12" ht="30" customHeight="1">
      <c r="A20" s="1181">
        <v>13</v>
      </c>
      <c r="B20" s="1206" t="s">
        <v>1640</v>
      </c>
      <c r="C20" s="1712"/>
      <c r="D20" s="1712"/>
      <c r="E20" s="1712"/>
      <c r="F20" s="1712"/>
      <c r="G20" s="1210">
        <f>(((28020.76/1.18)*3.03)/2)*0.04</f>
        <v>1439.0322508474576</v>
      </c>
      <c r="H20" s="517" t="s">
        <v>1635</v>
      </c>
      <c r="I20" s="26"/>
      <c r="J20" s="164"/>
      <c r="K20" s="12"/>
      <c r="L20" s="12"/>
    </row>
    <row r="21" spans="1:12" ht="37.5" customHeight="1">
      <c r="A21" s="1181">
        <v>14</v>
      </c>
      <c r="B21" s="1206" t="s">
        <v>1641</v>
      </c>
      <c r="C21" s="1712"/>
      <c r="D21" s="1712"/>
      <c r="E21" s="1712"/>
      <c r="F21" s="1712"/>
      <c r="G21" s="1210">
        <f>(G15+G17+G18+G19+G20)*0.125</f>
        <v>23732.178740101164</v>
      </c>
      <c r="H21" s="177"/>
      <c r="I21" s="26"/>
      <c r="J21" s="12"/>
      <c r="K21" s="12"/>
      <c r="L21" s="12"/>
    </row>
    <row r="22" spans="1:12" ht="34.5" customHeight="1">
      <c r="A22" s="931">
        <v>15</v>
      </c>
      <c r="B22" s="1214" t="s">
        <v>1642</v>
      </c>
      <c r="C22" s="1201"/>
      <c r="D22" s="1201"/>
      <c r="E22" s="1201"/>
      <c r="F22" s="1201"/>
      <c r="G22" s="1193">
        <f>SUM(G16:G21)</f>
        <v>190600.9333987071</v>
      </c>
      <c r="H22" s="202"/>
      <c r="I22" s="12"/>
      <c r="J22" s="12"/>
      <c r="K22" s="12"/>
      <c r="L22" s="12"/>
    </row>
    <row r="23" spans="1:12" ht="18" customHeight="1">
      <c r="A23" s="1181">
        <v>16</v>
      </c>
      <c r="B23" s="1185" t="s">
        <v>1637</v>
      </c>
      <c r="C23" s="1716"/>
      <c r="D23" s="1716"/>
      <c r="E23" s="1716"/>
      <c r="F23" s="1198">
        <v>0.09</v>
      </c>
      <c r="G23" s="734">
        <f>G22*F23</f>
        <v>17154.08400588364</v>
      </c>
      <c r="H23" s="202"/>
      <c r="I23" s="12"/>
      <c r="K23" s="12"/>
      <c r="L23" s="12"/>
    </row>
    <row r="24" spans="1:12" ht="18" customHeight="1">
      <c r="A24" s="1181">
        <v>17</v>
      </c>
      <c r="B24" s="1185" t="s">
        <v>1638</v>
      </c>
      <c r="C24" s="1716"/>
      <c r="D24" s="1716"/>
      <c r="E24" s="1716"/>
      <c r="F24" s="1198">
        <v>0.09</v>
      </c>
      <c r="G24" s="734">
        <f>G22*F24</f>
        <v>17154.08400588364</v>
      </c>
      <c r="H24" s="60"/>
      <c r="I24" s="12"/>
      <c r="J24" s="12"/>
      <c r="K24" s="12"/>
      <c r="L24" s="12"/>
    </row>
    <row r="25" spans="1:12" ht="19.5" customHeight="1">
      <c r="A25" s="931">
        <v>18</v>
      </c>
      <c r="B25" s="1214" t="s">
        <v>1639</v>
      </c>
      <c r="C25" s="1470"/>
      <c r="D25" s="1470"/>
      <c r="E25" s="1470"/>
      <c r="F25" s="1470"/>
      <c r="G25" s="734">
        <f>G22+G23+G24</f>
        <v>224909.10141047437</v>
      </c>
      <c r="H25" s="12"/>
      <c r="I25" s="12"/>
      <c r="J25" s="12"/>
      <c r="K25" s="12"/>
      <c r="L25" s="12"/>
    </row>
    <row r="26" spans="1:12" ht="21" customHeight="1">
      <c r="A26" s="931">
        <v>19</v>
      </c>
      <c r="B26" s="1214" t="s">
        <v>59</v>
      </c>
      <c r="C26" s="1295"/>
      <c r="D26" s="1295"/>
      <c r="E26" s="1295"/>
      <c r="F26" s="1295"/>
      <c r="G26" s="1193">
        <f>ROUND(G25,0)</f>
        <v>224909</v>
      </c>
      <c r="H26" s="12"/>
      <c r="I26" s="12"/>
      <c r="J26" s="12"/>
      <c r="K26" s="12"/>
      <c r="L26" s="12"/>
    </row>
    <row r="27" spans="1:12">
      <c r="A27" s="139"/>
      <c r="B27" s="12"/>
      <c r="C27" s="12"/>
      <c r="D27" s="12"/>
      <c r="E27" s="12"/>
      <c r="F27" s="12"/>
      <c r="G27" s="12"/>
    </row>
    <row r="28" spans="1:12" ht="14.25">
      <c r="A28" s="139"/>
      <c r="B28" s="212"/>
      <c r="C28" s="213"/>
      <c r="D28" s="177"/>
      <c r="E28" s="177"/>
      <c r="F28" s="164"/>
      <c r="G28" s="12"/>
    </row>
    <row r="29" spans="1:12" ht="14.25">
      <c r="A29" s="139"/>
      <c r="B29" s="212"/>
      <c r="C29" s="214"/>
      <c r="D29" s="177"/>
      <c r="E29" s="177"/>
      <c r="F29" s="164"/>
      <c r="G29" s="12"/>
    </row>
    <row r="30" spans="1:12" ht="14.25">
      <c r="A30" s="139"/>
      <c r="B30" s="212"/>
      <c r="C30" s="213"/>
      <c r="D30" s="177"/>
      <c r="E30" s="177"/>
      <c r="F30" s="164"/>
    </row>
    <row r="31" spans="1:12" ht="14.25">
      <c r="A31" s="139"/>
      <c r="B31" s="215"/>
      <c r="C31" s="214"/>
      <c r="D31" s="177"/>
      <c r="E31" s="177"/>
      <c r="F31" s="164"/>
      <c r="G31" s="12"/>
    </row>
    <row r="32" spans="1:12" ht="14.25">
      <c r="A32" s="139"/>
      <c r="B32" s="212"/>
      <c r="C32" s="214"/>
      <c r="D32" s="177"/>
      <c r="E32" s="177"/>
      <c r="F32" s="164"/>
      <c r="G32" s="12"/>
    </row>
    <row r="33" spans="1:7" ht="14.25">
      <c r="A33" s="139"/>
      <c r="B33" s="212"/>
      <c r="C33" s="214"/>
      <c r="D33" s="177"/>
      <c r="E33" s="177"/>
      <c r="F33" s="164"/>
      <c r="G33" s="12"/>
    </row>
  </sheetData>
  <mergeCells count="2">
    <mergeCell ref="B1:D1"/>
    <mergeCell ref="B3:G3"/>
  </mergeCells>
  <conditionalFormatting sqref="B16">
    <cfRule type="cellIs" dxfId="101" priority="1" stopIfTrue="1" operator="equal">
      <formula>"?"</formula>
    </cfRule>
  </conditionalFormatting>
  <pageMargins left="1.0236220472440944" right="0.15748031496062992" top="0.98425196850393704" bottom="0.31496062992125984" header="0.70866141732283472" footer="0.15748031496062992"/>
  <pageSetup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P45"/>
  <sheetViews>
    <sheetView workbookViewId="0">
      <pane xSplit="2" ySplit="7" topLeftCell="D42" activePane="bottomRight" state="frozen"/>
      <selection pane="topRight" activeCell="C1" sqref="C1"/>
      <selection pane="bottomLeft" activeCell="A8" sqref="A8"/>
      <selection pane="bottomRight" activeCell="I38" sqref="I38"/>
    </sheetView>
  </sheetViews>
  <sheetFormatPr defaultRowHeight="12.75"/>
  <cols>
    <col min="1" max="1" width="4.140625" style="138" customWidth="1"/>
    <col min="2" max="2" width="52.85546875" style="4" customWidth="1"/>
    <col min="3" max="3" width="12.42578125" style="4" bestFit="1" customWidth="1"/>
    <col min="4" max="4" width="6.28515625" style="4" customWidth="1"/>
    <col min="5" max="5" width="8.7109375" style="4" customWidth="1"/>
    <col min="6" max="6" width="11.85546875" style="4" customWidth="1"/>
    <col min="7" max="7" width="12.28515625" style="4" customWidth="1"/>
    <col min="8" max="8" width="21.5703125" style="4" customWidth="1"/>
    <col min="9" max="9" width="17.85546875" style="4" customWidth="1"/>
    <col min="10" max="10" width="11" style="4" bestFit="1" customWidth="1"/>
    <col min="11" max="13" width="9.140625" style="4"/>
    <col min="14" max="14" width="9.42578125" style="4" customWidth="1"/>
    <col min="15" max="15" width="11" style="4" bestFit="1" customWidth="1"/>
    <col min="16" max="256" width="9.140625" style="4"/>
    <col min="257" max="257" width="4.140625" style="4" customWidth="1"/>
    <col min="258" max="258" width="52.85546875" style="4" customWidth="1"/>
    <col min="259" max="259" width="12.42578125" style="4" bestFit="1" customWidth="1"/>
    <col min="260" max="260" width="6.28515625" style="4" customWidth="1"/>
    <col min="261" max="261" width="8.7109375" style="4" customWidth="1"/>
    <col min="262" max="262" width="11.85546875" style="4" customWidth="1"/>
    <col min="263" max="263" width="12.28515625" style="4" customWidth="1"/>
    <col min="264" max="264" width="21.5703125" style="4" customWidth="1"/>
    <col min="265" max="265" width="17.85546875" style="4" customWidth="1"/>
    <col min="266" max="266" width="11" style="4" bestFit="1" customWidth="1"/>
    <col min="267" max="269" width="9.140625" style="4"/>
    <col min="270" max="270" width="9.42578125" style="4" customWidth="1"/>
    <col min="271" max="271" width="11" style="4" bestFit="1" customWidth="1"/>
    <col min="272" max="512" width="9.140625" style="4"/>
    <col min="513" max="513" width="4.140625" style="4" customWidth="1"/>
    <col min="514" max="514" width="52.85546875" style="4" customWidth="1"/>
    <col min="515" max="515" width="12.42578125" style="4" bestFit="1" customWidth="1"/>
    <col min="516" max="516" width="6.28515625" style="4" customWidth="1"/>
    <col min="517" max="517" width="8.7109375" style="4" customWidth="1"/>
    <col min="518" max="518" width="11.85546875" style="4" customWidth="1"/>
    <col min="519" max="519" width="12.28515625" style="4" customWidth="1"/>
    <col min="520" max="520" width="21.5703125" style="4" customWidth="1"/>
    <col min="521" max="521" width="17.85546875" style="4" customWidth="1"/>
    <col min="522" max="522" width="11" style="4" bestFit="1" customWidth="1"/>
    <col min="523" max="525" width="9.140625" style="4"/>
    <col min="526" max="526" width="9.42578125" style="4" customWidth="1"/>
    <col min="527" max="527" width="11" style="4" bestFit="1" customWidth="1"/>
    <col min="528" max="768" width="9.140625" style="4"/>
    <col min="769" max="769" width="4.140625" style="4" customWidth="1"/>
    <col min="770" max="770" width="52.85546875" style="4" customWidth="1"/>
    <col min="771" max="771" width="12.42578125" style="4" bestFit="1" customWidth="1"/>
    <col min="772" max="772" width="6.28515625" style="4" customWidth="1"/>
    <col min="773" max="773" width="8.7109375" style="4" customWidth="1"/>
    <col min="774" max="774" width="11.85546875" style="4" customWidth="1"/>
    <col min="775" max="775" width="12.28515625" style="4" customWidth="1"/>
    <col min="776" max="776" width="21.5703125" style="4" customWidth="1"/>
    <col min="777" max="777" width="17.85546875" style="4" customWidth="1"/>
    <col min="778" max="778" width="11" style="4" bestFit="1" customWidth="1"/>
    <col min="779" max="781" width="9.140625" style="4"/>
    <col min="782" max="782" width="9.42578125" style="4" customWidth="1"/>
    <col min="783" max="783" width="11" style="4" bestFit="1" customWidth="1"/>
    <col min="784" max="1024" width="9.140625" style="4"/>
    <col min="1025" max="1025" width="4.140625" style="4" customWidth="1"/>
    <col min="1026" max="1026" width="52.85546875" style="4" customWidth="1"/>
    <col min="1027" max="1027" width="12.42578125" style="4" bestFit="1" customWidth="1"/>
    <col min="1028" max="1028" width="6.28515625" style="4" customWidth="1"/>
    <col min="1029" max="1029" width="8.7109375" style="4" customWidth="1"/>
    <col min="1030" max="1030" width="11.85546875" style="4" customWidth="1"/>
    <col min="1031" max="1031" width="12.28515625" style="4" customWidth="1"/>
    <col min="1032" max="1032" width="21.5703125" style="4" customWidth="1"/>
    <col min="1033" max="1033" width="17.85546875" style="4" customWidth="1"/>
    <col min="1034" max="1034" width="11" style="4" bestFit="1" customWidth="1"/>
    <col min="1035" max="1037" width="9.140625" style="4"/>
    <col min="1038" max="1038" width="9.42578125" style="4" customWidth="1"/>
    <col min="1039" max="1039" width="11" style="4" bestFit="1" customWidth="1"/>
    <col min="1040" max="1280" width="9.140625" style="4"/>
    <col min="1281" max="1281" width="4.140625" style="4" customWidth="1"/>
    <col min="1282" max="1282" width="52.85546875" style="4" customWidth="1"/>
    <col min="1283" max="1283" width="12.42578125" style="4" bestFit="1" customWidth="1"/>
    <col min="1284" max="1284" width="6.28515625" style="4" customWidth="1"/>
    <col min="1285" max="1285" width="8.7109375" style="4" customWidth="1"/>
    <col min="1286" max="1286" width="11.85546875" style="4" customWidth="1"/>
    <col min="1287" max="1287" width="12.28515625" style="4" customWidth="1"/>
    <col min="1288" max="1288" width="21.5703125" style="4" customWidth="1"/>
    <col min="1289" max="1289" width="17.85546875" style="4" customWidth="1"/>
    <col min="1290" max="1290" width="11" style="4" bestFit="1" customWidth="1"/>
    <col min="1291" max="1293" width="9.140625" style="4"/>
    <col min="1294" max="1294" width="9.42578125" style="4" customWidth="1"/>
    <col min="1295" max="1295" width="11" style="4" bestFit="1" customWidth="1"/>
    <col min="1296" max="1536" width="9.140625" style="4"/>
    <col min="1537" max="1537" width="4.140625" style="4" customWidth="1"/>
    <col min="1538" max="1538" width="52.85546875" style="4" customWidth="1"/>
    <col min="1539" max="1539" width="12.42578125" style="4" bestFit="1" customWidth="1"/>
    <col min="1540" max="1540" width="6.28515625" style="4" customWidth="1"/>
    <col min="1541" max="1541" width="8.7109375" style="4" customWidth="1"/>
    <col min="1542" max="1542" width="11.85546875" style="4" customWidth="1"/>
    <col min="1543" max="1543" width="12.28515625" style="4" customWidth="1"/>
    <col min="1544" max="1544" width="21.5703125" style="4" customWidth="1"/>
    <col min="1545" max="1545" width="17.85546875" style="4" customWidth="1"/>
    <col min="1546" max="1546" width="11" style="4" bestFit="1" customWidth="1"/>
    <col min="1547" max="1549" width="9.140625" style="4"/>
    <col min="1550" max="1550" width="9.42578125" style="4" customWidth="1"/>
    <col min="1551" max="1551" width="11" style="4" bestFit="1" customWidth="1"/>
    <col min="1552" max="1792" width="9.140625" style="4"/>
    <col min="1793" max="1793" width="4.140625" style="4" customWidth="1"/>
    <col min="1794" max="1794" width="52.85546875" style="4" customWidth="1"/>
    <col min="1795" max="1795" width="12.42578125" style="4" bestFit="1" customWidth="1"/>
    <col min="1796" max="1796" width="6.28515625" style="4" customWidth="1"/>
    <col min="1797" max="1797" width="8.7109375" style="4" customWidth="1"/>
    <col min="1798" max="1798" width="11.85546875" style="4" customWidth="1"/>
    <col min="1799" max="1799" width="12.28515625" style="4" customWidth="1"/>
    <col min="1800" max="1800" width="21.5703125" style="4" customWidth="1"/>
    <col min="1801" max="1801" width="17.85546875" style="4" customWidth="1"/>
    <col min="1802" max="1802" width="11" style="4" bestFit="1" customWidth="1"/>
    <col min="1803" max="1805" width="9.140625" style="4"/>
    <col min="1806" max="1806" width="9.42578125" style="4" customWidth="1"/>
    <col min="1807" max="1807" width="11" style="4" bestFit="1" customWidth="1"/>
    <col min="1808" max="2048" width="9.140625" style="4"/>
    <col min="2049" max="2049" width="4.140625" style="4" customWidth="1"/>
    <col min="2050" max="2050" width="52.85546875" style="4" customWidth="1"/>
    <col min="2051" max="2051" width="12.42578125" style="4" bestFit="1" customWidth="1"/>
    <col min="2052" max="2052" width="6.28515625" style="4" customWidth="1"/>
    <col min="2053" max="2053" width="8.7109375" style="4" customWidth="1"/>
    <col min="2054" max="2054" width="11.85546875" style="4" customWidth="1"/>
    <col min="2055" max="2055" width="12.28515625" style="4" customWidth="1"/>
    <col min="2056" max="2056" width="21.5703125" style="4" customWidth="1"/>
    <col min="2057" max="2057" width="17.85546875" style="4" customWidth="1"/>
    <col min="2058" max="2058" width="11" style="4" bestFit="1" customWidth="1"/>
    <col min="2059" max="2061" width="9.140625" style="4"/>
    <col min="2062" max="2062" width="9.42578125" style="4" customWidth="1"/>
    <col min="2063" max="2063" width="11" style="4" bestFit="1" customWidth="1"/>
    <col min="2064" max="2304" width="9.140625" style="4"/>
    <col min="2305" max="2305" width="4.140625" style="4" customWidth="1"/>
    <col min="2306" max="2306" width="52.85546875" style="4" customWidth="1"/>
    <col min="2307" max="2307" width="12.42578125" style="4" bestFit="1" customWidth="1"/>
    <col min="2308" max="2308" width="6.28515625" style="4" customWidth="1"/>
    <col min="2309" max="2309" width="8.7109375" style="4" customWidth="1"/>
    <col min="2310" max="2310" width="11.85546875" style="4" customWidth="1"/>
    <col min="2311" max="2311" width="12.28515625" style="4" customWidth="1"/>
    <col min="2312" max="2312" width="21.5703125" style="4" customWidth="1"/>
    <col min="2313" max="2313" width="17.85546875" style="4" customWidth="1"/>
    <col min="2314" max="2314" width="11" style="4" bestFit="1" customWidth="1"/>
    <col min="2315" max="2317" width="9.140625" style="4"/>
    <col min="2318" max="2318" width="9.42578125" style="4" customWidth="1"/>
    <col min="2319" max="2319" width="11" style="4" bestFit="1" customWidth="1"/>
    <col min="2320" max="2560" width="9.140625" style="4"/>
    <col min="2561" max="2561" width="4.140625" style="4" customWidth="1"/>
    <col min="2562" max="2562" width="52.85546875" style="4" customWidth="1"/>
    <col min="2563" max="2563" width="12.42578125" style="4" bestFit="1" customWidth="1"/>
    <col min="2564" max="2564" width="6.28515625" style="4" customWidth="1"/>
    <col min="2565" max="2565" width="8.7109375" style="4" customWidth="1"/>
    <col min="2566" max="2566" width="11.85546875" style="4" customWidth="1"/>
    <col min="2567" max="2567" width="12.28515625" style="4" customWidth="1"/>
    <col min="2568" max="2568" width="21.5703125" style="4" customWidth="1"/>
    <col min="2569" max="2569" width="17.85546875" style="4" customWidth="1"/>
    <col min="2570" max="2570" width="11" style="4" bestFit="1" customWidth="1"/>
    <col min="2571" max="2573" width="9.140625" style="4"/>
    <col min="2574" max="2574" width="9.42578125" style="4" customWidth="1"/>
    <col min="2575" max="2575" width="11" style="4" bestFit="1" customWidth="1"/>
    <col min="2576" max="2816" width="9.140625" style="4"/>
    <col min="2817" max="2817" width="4.140625" style="4" customWidth="1"/>
    <col min="2818" max="2818" width="52.85546875" style="4" customWidth="1"/>
    <col min="2819" max="2819" width="12.42578125" style="4" bestFit="1" customWidth="1"/>
    <col min="2820" max="2820" width="6.28515625" style="4" customWidth="1"/>
    <col min="2821" max="2821" width="8.7109375" style="4" customWidth="1"/>
    <col min="2822" max="2822" width="11.85546875" style="4" customWidth="1"/>
    <col min="2823" max="2823" width="12.28515625" style="4" customWidth="1"/>
    <col min="2824" max="2824" width="21.5703125" style="4" customWidth="1"/>
    <col min="2825" max="2825" width="17.85546875" style="4" customWidth="1"/>
    <col min="2826" max="2826" width="11" style="4" bestFit="1" customWidth="1"/>
    <col min="2827" max="2829" width="9.140625" style="4"/>
    <col min="2830" max="2830" width="9.42578125" style="4" customWidth="1"/>
    <col min="2831" max="2831" width="11" style="4" bestFit="1" customWidth="1"/>
    <col min="2832" max="3072" width="9.140625" style="4"/>
    <col min="3073" max="3073" width="4.140625" style="4" customWidth="1"/>
    <col min="3074" max="3074" width="52.85546875" style="4" customWidth="1"/>
    <col min="3075" max="3075" width="12.42578125" style="4" bestFit="1" customWidth="1"/>
    <col min="3076" max="3076" width="6.28515625" style="4" customWidth="1"/>
    <col min="3077" max="3077" width="8.7109375" style="4" customWidth="1"/>
    <col min="3078" max="3078" width="11.85546875" style="4" customWidth="1"/>
    <col min="3079" max="3079" width="12.28515625" style="4" customWidth="1"/>
    <col min="3080" max="3080" width="21.5703125" style="4" customWidth="1"/>
    <col min="3081" max="3081" width="17.85546875" style="4" customWidth="1"/>
    <col min="3082" max="3082" width="11" style="4" bestFit="1" customWidth="1"/>
    <col min="3083" max="3085" width="9.140625" style="4"/>
    <col min="3086" max="3086" width="9.42578125" style="4" customWidth="1"/>
    <col min="3087" max="3087" width="11" style="4" bestFit="1" customWidth="1"/>
    <col min="3088" max="3328" width="9.140625" style="4"/>
    <col min="3329" max="3329" width="4.140625" style="4" customWidth="1"/>
    <col min="3330" max="3330" width="52.85546875" style="4" customWidth="1"/>
    <col min="3331" max="3331" width="12.42578125" style="4" bestFit="1" customWidth="1"/>
    <col min="3332" max="3332" width="6.28515625" style="4" customWidth="1"/>
    <col min="3333" max="3333" width="8.7109375" style="4" customWidth="1"/>
    <col min="3334" max="3334" width="11.85546875" style="4" customWidth="1"/>
    <col min="3335" max="3335" width="12.28515625" style="4" customWidth="1"/>
    <col min="3336" max="3336" width="21.5703125" style="4" customWidth="1"/>
    <col min="3337" max="3337" width="17.85546875" style="4" customWidth="1"/>
    <col min="3338" max="3338" width="11" style="4" bestFit="1" customWidth="1"/>
    <col min="3339" max="3341" width="9.140625" style="4"/>
    <col min="3342" max="3342" width="9.42578125" style="4" customWidth="1"/>
    <col min="3343" max="3343" width="11" style="4" bestFit="1" customWidth="1"/>
    <col min="3344" max="3584" width="9.140625" style="4"/>
    <col min="3585" max="3585" width="4.140625" style="4" customWidth="1"/>
    <col min="3586" max="3586" width="52.85546875" style="4" customWidth="1"/>
    <col min="3587" max="3587" width="12.42578125" style="4" bestFit="1" customWidth="1"/>
    <col min="3588" max="3588" width="6.28515625" style="4" customWidth="1"/>
    <col min="3589" max="3589" width="8.7109375" style="4" customWidth="1"/>
    <col min="3590" max="3590" width="11.85546875" style="4" customWidth="1"/>
    <col min="3591" max="3591" width="12.28515625" style="4" customWidth="1"/>
    <col min="3592" max="3592" width="21.5703125" style="4" customWidth="1"/>
    <col min="3593" max="3593" width="17.85546875" style="4" customWidth="1"/>
    <col min="3594" max="3594" width="11" style="4" bestFit="1" customWidth="1"/>
    <col min="3595" max="3597" width="9.140625" style="4"/>
    <col min="3598" max="3598" width="9.42578125" style="4" customWidth="1"/>
    <col min="3599" max="3599" width="11" style="4" bestFit="1" customWidth="1"/>
    <col min="3600" max="3840" width="9.140625" style="4"/>
    <col min="3841" max="3841" width="4.140625" style="4" customWidth="1"/>
    <col min="3842" max="3842" width="52.85546875" style="4" customWidth="1"/>
    <col min="3843" max="3843" width="12.42578125" style="4" bestFit="1" customWidth="1"/>
    <col min="3844" max="3844" width="6.28515625" style="4" customWidth="1"/>
    <col min="3845" max="3845" width="8.7109375" style="4" customWidth="1"/>
    <col min="3846" max="3846" width="11.85546875" style="4" customWidth="1"/>
    <col min="3847" max="3847" width="12.28515625" style="4" customWidth="1"/>
    <col min="3848" max="3848" width="21.5703125" style="4" customWidth="1"/>
    <col min="3849" max="3849" width="17.85546875" style="4" customWidth="1"/>
    <col min="3850" max="3850" width="11" style="4" bestFit="1" customWidth="1"/>
    <col min="3851" max="3853" width="9.140625" style="4"/>
    <col min="3854" max="3854" width="9.42578125" style="4" customWidth="1"/>
    <col min="3855" max="3855" width="11" style="4" bestFit="1" customWidth="1"/>
    <col min="3856" max="4096" width="9.140625" style="4"/>
    <col min="4097" max="4097" width="4.140625" style="4" customWidth="1"/>
    <col min="4098" max="4098" width="52.85546875" style="4" customWidth="1"/>
    <col min="4099" max="4099" width="12.42578125" style="4" bestFit="1" customWidth="1"/>
    <col min="4100" max="4100" width="6.28515625" style="4" customWidth="1"/>
    <col min="4101" max="4101" width="8.7109375" style="4" customWidth="1"/>
    <col min="4102" max="4102" width="11.85546875" style="4" customWidth="1"/>
    <col min="4103" max="4103" width="12.28515625" style="4" customWidth="1"/>
    <col min="4104" max="4104" width="21.5703125" style="4" customWidth="1"/>
    <col min="4105" max="4105" width="17.85546875" style="4" customWidth="1"/>
    <col min="4106" max="4106" width="11" style="4" bestFit="1" customWidth="1"/>
    <col min="4107" max="4109" width="9.140625" style="4"/>
    <col min="4110" max="4110" width="9.42578125" style="4" customWidth="1"/>
    <col min="4111" max="4111" width="11" style="4" bestFit="1" customWidth="1"/>
    <col min="4112" max="4352" width="9.140625" style="4"/>
    <col min="4353" max="4353" width="4.140625" style="4" customWidth="1"/>
    <col min="4354" max="4354" width="52.85546875" style="4" customWidth="1"/>
    <col min="4355" max="4355" width="12.42578125" style="4" bestFit="1" customWidth="1"/>
    <col min="4356" max="4356" width="6.28515625" style="4" customWidth="1"/>
    <col min="4357" max="4357" width="8.7109375" style="4" customWidth="1"/>
    <col min="4358" max="4358" width="11.85546875" style="4" customWidth="1"/>
    <col min="4359" max="4359" width="12.28515625" style="4" customWidth="1"/>
    <col min="4360" max="4360" width="21.5703125" style="4" customWidth="1"/>
    <col min="4361" max="4361" width="17.85546875" style="4" customWidth="1"/>
    <col min="4362" max="4362" width="11" style="4" bestFit="1" customWidth="1"/>
    <col min="4363" max="4365" width="9.140625" style="4"/>
    <col min="4366" max="4366" width="9.42578125" style="4" customWidth="1"/>
    <col min="4367" max="4367" width="11" style="4" bestFit="1" customWidth="1"/>
    <col min="4368" max="4608" width="9.140625" style="4"/>
    <col min="4609" max="4609" width="4.140625" style="4" customWidth="1"/>
    <col min="4610" max="4610" width="52.85546875" style="4" customWidth="1"/>
    <col min="4611" max="4611" width="12.42578125" style="4" bestFit="1" customWidth="1"/>
    <col min="4612" max="4612" width="6.28515625" style="4" customWidth="1"/>
    <col min="4613" max="4613" width="8.7109375" style="4" customWidth="1"/>
    <col min="4614" max="4614" width="11.85546875" style="4" customWidth="1"/>
    <col min="4615" max="4615" width="12.28515625" style="4" customWidth="1"/>
    <col min="4616" max="4616" width="21.5703125" style="4" customWidth="1"/>
    <col min="4617" max="4617" width="17.85546875" style="4" customWidth="1"/>
    <col min="4618" max="4618" width="11" style="4" bestFit="1" customWidth="1"/>
    <col min="4619" max="4621" width="9.140625" style="4"/>
    <col min="4622" max="4622" width="9.42578125" style="4" customWidth="1"/>
    <col min="4623" max="4623" width="11" style="4" bestFit="1" customWidth="1"/>
    <col min="4624" max="4864" width="9.140625" style="4"/>
    <col min="4865" max="4865" width="4.140625" style="4" customWidth="1"/>
    <col min="4866" max="4866" width="52.85546875" style="4" customWidth="1"/>
    <col min="4867" max="4867" width="12.42578125" style="4" bestFit="1" customWidth="1"/>
    <col min="4868" max="4868" width="6.28515625" style="4" customWidth="1"/>
    <col min="4869" max="4869" width="8.7109375" style="4" customWidth="1"/>
    <col min="4870" max="4870" width="11.85546875" style="4" customWidth="1"/>
    <col min="4871" max="4871" width="12.28515625" style="4" customWidth="1"/>
    <col min="4872" max="4872" width="21.5703125" style="4" customWidth="1"/>
    <col min="4873" max="4873" width="17.85546875" style="4" customWidth="1"/>
    <col min="4874" max="4874" width="11" style="4" bestFit="1" customWidth="1"/>
    <col min="4875" max="4877" width="9.140625" style="4"/>
    <col min="4878" max="4878" width="9.42578125" style="4" customWidth="1"/>
    <col min="4879" max="4879" width="11" style="4" bestFit="1" customWidth="1"/>
    <col min="4880" max="5120" width="9.140625" style="4"/>
    <col min="5121" max="5121" width="4.140625" style="4" customWidth="1"/>
    <col min="5122" max="5122" width="52.85546875" style="4" customWidth="1"/>
    <col min="5123" max="5123" width="12.42578125" style="4" bestFit="1" customWidth="1"/>
    <col min="5124" max="5124" width="6.28515625" style="4" customWidth="1"/>
    <col min="5125" max="5125" width="8.7109375" style="4" customWidth="1"/>
    <col min="5126" max="5126" width="11.85546875" style="4" customWidth="1"/>
    <col min="5127" max="5127" width="12.28515625" style="4" customWidth="1"/>
    <col min="5128" max="5128" width="21.5703125" style="4" customWidth="1"/>
    <col min="5129" max="5129" width="17.85546875" style="4" customWidth="1"/>
    <col min="5130" max="5130" width="11" style="4" bestFit="1" customWidth="1"/>
    <col min="5131" max="5133" width="9.140625" style="4"/>
    <col min="5134" max="5134" width="9.42578125" style="4" customWidth="1"/>
    <col min="5135" max="5135" width="11" style="4" bestFit="1" customWidth="1"/>
    <col min="5136" max="5376" width="9.140625" style="4"/>
    <col min="5377" max="5377" width="4.140625" style="4" customWidth="1"/>
    <col min="5378" max="5378" width="52.85546875" style="4" customWidth="1"/>
    <col min="5379" max="5379" width="12.42578125" style="4" bestFit="1" customWidth="1"/>
    <col min="5380" max="5380" width="6.28515625" style="4" customWidth="1"/>
    <col min="5381" max="5381" width="8.7109375" style="4" customWidth="1"/>
    <col min="5382" max="5382" width="11.85546875" style="4" customWidth="1"/>
    <col min="5383" max="5383" width="12.28515625" style="4" customWidth="1"/>
    <col min="5384" max="5384" width="21.5703125" style="4" customWidth="1"/>
    <col min="5385" max="5385" width="17.85546875" style="4" customWidth="1"/>
    <col min="5386" max="5386" width="11" style="4" bestFit="1" customWidth="1"/>
    <col min="5387" max="5389" width="9.140625" style="4"/>
    <col min="5390" max="5390" width="9.42578125" style="4" customWidth="1"/>
    <col min="5391" max="5391" width="11" style="4" bestFit="1" customWidth="1"/>
    <col min="5392" max="5632" width="9.140625" style="4"/>
    <col min="5633" max="5633" width="4.140625" style="4" customWidth="1"/>
    <col min="5634" max="5634" width="52.85546875" style="4" customWidth="1"/>
    <col min="5635" max="5635" width="12.42578125" style="4" bestFit="1" customWidth="1"/>
    <col min="5636" max="5636" width="6.28515625" style="4" customWidth="1"/>
    <col min="5637" max="5637" width="8.7109375" style="4" customWidth="1"/>
    <col min="5638" max="5638" width="11.85546875" style="4" customWidth="1"/>
    <col min="5639" max="5639" width="12.28515625" style="4" customWidth="1"/>
    <col min="5640" max="5640" width="21.5703125" style="4" customWidth="1"/>
    <col min="5641" max="5641" width="17.85546875" style="4" customWidth="1"/>
    <col min="5642" max="5642" width="11" style="4" bestFit="1" customWidth="1"/>
    <col min="5643" max="5645" width="9.140625" style="4"/>
    <col min="5646" max="5646" width="9.42578125" style="4" customWidth="1"/>
    <col min="5647" max="5647" width="11" style="4" bestFit="1" customWidth="1"/>
    <col min="5648" max="5888" width="9.140625" style="4"/>
    <col min="5889" max="5889" width="4.140625" style="4" customWidth="1"/>
    <col min="5890" max="5890" width="52.85546875" style="4" customWidth="1"/>
    <col min="5891" max="5891" width="12.42578125" style="4" bestFit="1" customWidth="1"/>
    <col min="5892" max="5892" width="6.28515625" style="4" customWidth="1"/>
    <col min="5893" max="5893" width="8.7109375" style="4" customWidth="1"/>
    <col min="5894" max="5894" width="11.85546875" style="4" customWidth="1"/>
    <col min="5895" max="5895" width="12.28515625" style="4" customWidth="1"/>
    <col min="5896" max="5896" width="21.5703125" style="4" customWidth="1"/>
    <col min="5897" max="5897" width="17.85546875" style="4" customWidth="1"/>
    <col min="5898" max="5898" width="11" style="4" bestFit="1" customWidth="1"/>
    <col min="5899" max="5901" width="9.140625" style="4"/>
    <col min="5902" max="5902" width="9.42578125" style="4" customWidth="1"/>
    <col min="5903" max="5903" width="11" style="4" bestFit="1" customWidth="1"/>
    <col min="5904" max="6144" width="9.140625" style="4"/>
    <col min="6145" max="6145" width="4.140625" style="4" customWidth="1"/>
    <col min="6146" max="6146" width="52.85546875" style="4" customWidth="1"/>
    <col min="6147" max="6147" width="12.42578125" style="4" bestFit="1" customWidth="1"/>
    <col min="6148" max="6148" width="6.28515625" style="4" customWidth="1"/>
    <col min="6149" max="6149" width="8.7109375" style="4" customWidth="1"/>
    <col min="6150" max="6150" width="11.85546875" style="4" customWidth="1"/>
    <col min="6151" max="6151" width="12.28515625" style="4" customWidth="1"/>
    <col min="6152" max="6152" width="21.5703125" style="4" customWidth="1"/>
    <col min="6153" max="6153" width="17.85546875" style="4" customWidth="1"/>
    <col min="6154" max="6154" width="11" style="4" bestFit="1" customWidth="1"/>
    <col min="6155" max="6157" width="9.140625" style="4"/>
    <col min="6158" max="6158" width="9.42578125" style="4" customWidth="1"/>
    <col min="6159" max="6159" width="11" style="4" bestFit="1" customWidth="1"/>
    <col min="6160" max="6400" width="9.140625" style="4"/>
    <col min="6401" max="6401" width="4.140625" style="4" customWidth="1"/>
    <col min="6402" max="6402" width="52.85546875" style="4" customWidth="1"/>
    <col min="6403" max="6403" width="12.42578125" style="4" bestFit="1" customWidth="1"/>
    <col min="6404" max="6404" width="6.28515625" style="4" customWidth="1"/>
    <col min="6405" max="6405" width="8.7109375" style="4" customWidth="1"/>
    <col min="6406" max="6406" width="11.85546875" style="4" customWidth="1"/>
    <col min="6407" max="6407" width="12.28515625" style="4" customWidth="1"/>
    <col min="6408" max="6408" width="21.5703125" style="4" customWidth="1"/>
    <col min="6409" max="6409" width="17.85546875" style="4" customWidth="1"/>
    <col min="6410" max="6410" width="11" style="4" bestFit="1" customWidth="1"/>
    <col min="6411" max="6413" width="9.140625" style="4"/>
    <col min="6414" max="6414" width="9.42578125" style="4" customWidth="1"/>
    <col min="6415" max="6415" width="11" style="4" bestFit="1" customWidth="1"/>
    <col min="6416" max="6656" width="9.140625" style="4"/>
    <col min="6657" max="6657" width="4.140625" style="4" customWidth="1"/>
    <col min="6658" max="6658" width="52.85546875" style="4" customWidth="1"/>
    <col min="6659" max="6659" width="12.42578125" style="4" bestFit="1" customWidth="1"/>
    <col min="6660" max="6660" width="6.28515625" style="4" customWidth="1"/>
    <col min="6661" max="6661" width="8.7109375" style="4" customWidth="1"/>
    <col min="6662" max="6662" width="11.85546875" style="4" customWidth="1"/>
    <col min="6663" max="6663" width="12.28515625" style="4" customWidth="1"/>
    <col min="6664" max="6664" width="21.5703125" style="4" customWidth="1"/>
    <col min="6665" max="6665" width="17.85546875" style="4" customWidth="1"/>
    <col min="6666" max="6666" width="11" style="4" bestFit="1" customWidth="1"/>
    <col min="6667" max="6669" width="9.140625" style="4"/>
    <col min="6670" max="6670" width="9.42578125" style="4" customWidth="1"/>
    <col min="6671" max="6671" width="11" style="4" bestFit="1" customWidth="1"/>
    <col min="6672" max="6912" width="9.140625" style="4"/>
    <col min="6913" max="6913" width="4.140625" style="4" customWidth="1"/>
    <col min="6914" max="6914" width="52.85546875" style="4" customWidth="1"/>
    <col min="6915" max="6915" width="12.42578125" style="4" bestFit="1" customWidth="1"/>
    <col min="6916" max="6916" width="6.28515625" style="4" customWidth="1"/>
    <col min="6917" max="6917" width="8.7109375" style="4" customWidth="1"/>
    <col min="6918" max="6918" width="11.85546875" style="4" customWidth="1"/>
    <col min="6919" max="6919" width="12.28515625" style="4" customWidth="1"/>
    <col min="6920" max="6920" width="21.5703125" style="4" customWidth="1"/>
    <col min="6921" max="6921" width="17.85546875" style="4" customWidth="1"/>
    <col min="6922" max="6922" width="11" style="4" bestFit="1" customWidth="1"/>
    <col min="6923" max="6925" width="9.140625" style="4"/>
    <col min="6926" max="6926" width="9.42578125" style="4" customWidth="1"/>
    <col min="6927" max="6927" width="11" style="4" bestFit="1" customWidth="1"/>
    <col min="6928" max="7168" width="9.140625" style="4"/>
    <col min="7169" max="7169" width="4.140625" style="4" customWidth="1"/>
    <col min="7170" max="7170" width="52.85546875" style="4" customWidth="1"/>
    <col min="7171" max="7171" width="12.42578125" style="4" bestFit="1" customWidth="1"/>
    <col min="7172" max="7172" width="6.28515625" style="4" customWidth="1"/>
    <col min="7173" max="7173" width="8.7109375" style="4" customWidth="1"/>
    <col min="7174" max="7174" width="11.85546875" style="4" customWidth="1"/>
    <col min="7175" max="7175" width="12.28515625" style="4" customWidth="1"/>
    <col min="7176" max="7176" width="21.5703125" style="4" customWidth="1"/>
    <col min="7177" max="7177" width="17.85546875" style="4" customWidth="1"/>
    <col min="7178" max="7178" width="11" style="4" bestFit="1" customWidth="1"/>
    <col min="7179" max="7181" width="9.140625" style="4"/>
    <col min="7182" max="7182" width="9.42578125" style="4" customWidth="1"/>
    <col min="7183" max="7183" width="11" style="4" bestFit="1" customWidth="1"/>
    <col min="7184" max="7424" width="9.140625" style="4"/>
    <col min="7425" max="7425" width="4.140625" style="4" customWidth="1"/>
    <col min="7426" max="7426" width="52.85546875" style="4" customWidth="1"/>
    <col min="7427" max="7427" width="12.42578125" style="4" bestFit="1" customWidth="1"/>
    <col min="7428" max="7428" width="6.28515625" style="4" customWidth="1"/>
    <col min="7429" max="7429" width="8.7109375" style="4" customWidth="1"/>
    <col min="7430" max="7430" width="11.85546875" style="4" customWidth="1"/>
    <col min="7431" max="7431" width="12.28515625" style="4" customWidth="1"/>
    <col min="7432" max="7432" width="21.5703125" style="4" customWidth="1"/>
    <col min="7433" max="7433" width="17.85546875" style="4" customWidth="1"/>
    <col min="7434" max="7434" width="11" style="4" bestFit="1" customWidth="1"/>
    <col min="7435" max="7437" width="9.140625" style="4"/>
    <col min="7438" max="7438" width="9.42578125" style="4" customWidth="1"/>
    <col min="7439" max="7439" width="11" style="4" bestFit="1" customWidth="1"/>
    <col min="7440" max="7680" width="9.140625" style="4"/>
    <col min="7681" max="7681" width="4.140625" style="4" customWidth="1"/>
    <col min="7682" max="7682" width="52.85546875" style="4" customWidth="1"/>
    <col min="7683" max="7683" width="12.42578125" style="4" bestFit="1" customWidth="1"/>
    <col min="7684" max="7684" width="6.28515625" style="4" customWidth="1"/>
    <col min="7685" max="7685" width="8.7109375" style="4" customWidth="1"/>
    <col min="7686" max="7686" width="11.85546875" style="4" customWidth="1"/>
    <col min="7687" max="7687" width="12.28515625" style="4" customWidth="1"/>
    <col min="7688" max="7688" width="21.5703125" style="4" customWidth="1"/>
    <col min="7689" max="7689" width="17.85546875" style="4" customWidth="1"/>
    <col min="7690" max="7690" width="11" style="4" bestFit="1" customWidth="1"/>
    <col min="7691" max="7693" width="9.140625" style="4"/>
    <col min="7694" max="7694" width="9.42578125" style="4" customWidth="1"/>
    <col min="7695" max="7695" width="11" style="4" bestFit="1" customWidth="1"/>
    <col min="7696" max="7936" width="9.140625" style="4"/>
    <col min="7937" max="7937" width="4.140625" style="4" customWidth="1"/>
    <col min="7938" max="7938" width="52.85546875" style="4" customWidth="1"/>
    <col min="7939" max="7939" width="12.42578125" style="4" bestFit="1" customWidth="1"/>
    <col min="7940" max="7940" width="6.28515625" style="4" customWidth="1"/>
    <col min="7941" max="7941" width="8.7109375" style="4" customWidth="1"/>
    <col min="7942" max="7942" width="11.85546875" style="4" customWidth="1"/>
    <col min="7943" max="7943" width="12.28515625" style="4" customWidth="1"/>
    <col min="7944" max="7944" width="21.5703125" style="4" customWidth="1"/>
    <col min="7945" max="7945" width="17.85546875" style="4" customWidth="1"/>
    <col min="7946" max="7946" width="11" style="4" bestFit="1" customWidth="1"/>
    <col min="7947" max="7949" width="9.140625" style="4"/>
    <col min="7950" max="7950" width="9.42578125" style="4" customWidth="1"/>
    <col min="7951" max="7951" width="11" style="4" bestFit="1" customWidth="1"/>
    <col min="7952" max="8192" width="9.140625" style="4"/>
    <col min="8193" max="8193" width="4.140625" style="4" customWidth="1"/>
    <col min="8194" max="8194" width="52.85546875" style="4" customWidth="1"/>
    <col min="8195" max="8195" width="12.42578125" style="4" bestFit="1" customWidth="1"/>
    <col min="8196" max="8196" width="6.28515625" style="4" customWidth="1"/>
    <col min="8197" max="8197" width="8.7109375" style="4" customWidth="1"/>
    <col min="8198" max="8198" width="11.85546875" style="4" customWidth="1"/>
    <col min="8199" max="8199" width="12.28515625" style="4" customWidth="1"/>
    <col min="8200" max="8200" width="21.5703125" style="4" customWidth="1"/>
    <col min="8201" max="8201" width="17.85546875" style="4" customWidth="1"/>
    <col min="8202" max="8202" width="11" style="4" bestFit="1" customWidth="1"/>
    <col min="8203" max="8205" width="9.140625" style="4"/>
    <col min="8206" max="8206" width="9.42578125" style="4" customWidth="1"/>
    <col min="8207" max="8207" width="11" style="4" bestFit="1" customWidth="1"/>
    <col min="8208" max="8448" width="9.140625" style="4"/>
    <col min="8449" max="8449" width="4.140625" style="4" customWidth="1"/>
    <col min="8450" max="8450" width="52.85546875" style="4" customWidth="1"/>
    <col min="8451" max="8451" width="12.42578125" style="4" bestFit="1" customWidth="1"/>
    <col min="8452" max="8452" width="6.28515625" style="4" customWidth="1"/>
    <col min="8453" max="8453" width="8.7109375" style="4" customWidth="1"/>
    <col min="8454" max="8454" width="11.85546875" style="4" customWidth="1"/>
    <col min="8455" max="8455" width="12.28515625" style="4" customWidth="1"/>
    <col min="8456" max="8456" width="21.5703125" style="4" customWidth="1"/>
    <col min="8457" max="8457" width="17.85546875" style="4" customWidth="1"/>
    <col min="8458" max="8458" width="11" style="4" bestFit="1" customWidth="1"/>
    <col min="8459" max="8461" width="9.140625" style="4"/>
    <col min="8462" max="8462" width="9.42578125" style="4" customWidth="1"/>
    <col min="8463" max="8463" width="11" style="4" bestFit="1" customWidth="1"/>
    <col min="8464" max="8704" width="9.140625" style="4"/>
    <col min="8705" max="8705" width="4.140625" style="4" customWidth="1"/>
    <col min="8706" max="8706" width="52.85546875" style="4" customWidth="1"/>
    <col min="8707" max="8707" width="12.42578125" style="4" bestFit="1" customWidth="1"/>
    <col min="8708" max="8708" width="6.28515625" style="4" customWidth="1"/>
    <col min="8709" max="8709" width="8.7109375" style="4" customWidth="1"/>
    <col min="8710" max="8710" width="11.85546875" style="4" customWidth="1"/>
    <col min="8711" max="8711" width="12.28515625" style="4" customWidth="1"/>
    <col min="8712" max="8712" width="21.5703125" style="4" customWidth="1"/>
    <col min="8713" max="8713" width="17.85546875" style="4" customWidth="1"/>
    <col min="8714" max="8714" width="11" style="4" bestFit="1" customWidth="1"/>
    <col min="8715" max="8717" width="9.140625" style="4"/>
    <col min="8718" max="8718" width="9.42578125" style="4" customWidth="1"/>
    <col min="8719" max="8719" width="11" style="4" bestFit="1" customWidth="1"/>
    <col min="8720" max="8960" width="9.140625" style="4"/>
    <col min="8961" max="8961" width="4.140625" style="4" customWidth="1"/>
    <col min="8962" max="8962" width="52.85546875" style="4" customWidth="1"/>
    <col min="8963" max="8963" width="12.42578125" style="4" bestFit="1" customWidth="1"/>
    <col min="8964" max="8964" width="6.28515625" style="4" customWidth="1"/>
    <col min="8965" max="8965" width="8.7109375" style="4" customWidth="1"/>
    <col min="8966" max="8966" width="11.85546875" style="4" customWidth="1"/>
    <col min="8967" max="8967" width="12.28515625" style="4" customWidth="1"/>
    <col min="8968" max="8968" width="21.5703125" style="4" customWidth="1"/>
    <col min="8969" max="8969" width="17.85546875" style="4" customWidth="1"/>
    <col min="8970" max="8970" width="11" style="4" bestFit="1" customWidth="1"/>
    <col min="8971" max="8973" width="9.140625" style="4"/>
    <col min="8974" max="8974" width="9.42578125" style="4" customWidth="1"/>
    <col min="8975" max="8975" width="11" style="4" bestFit="1" customWidth="1"/>
    <col min="8976" max="9216" width="9.140625" style="4"/>
    <col min="9217" max="9217" width="4.140625" style="4" customWidth="1"/>
    <col min="9218" max="9218" width="52.85546875" style="4" customWidth="1"/>
    <col min="9219" max="9219" width="12.42578125" style="4" bestFit="1" customWidth="1"/>
    <col min="9220" max="9220" width="6.28515625" style="4" customWidth="1"/>
    <col min="9221" max="9221" width="8.7109375" style="4" customWidth="1"/>
    <col min="9222" max="9222" width="11.85546875" style="4" customWidth="1"/>
    <col min="9223" max="9223" width="12.28515625" style="4" customWidth="1"/>
    <col min="9224" max="9224" width="21.5703125" style="4" customWidth="1"/>
    <col min="9225" max="9225" width="17.85546875" style="4" customWidth="1"/>
    <col min="9226" max="9226" width="11" style="4" bestFit="1" customWidth="1"/>
    <col min="9227" max="9229" width="9.140625" style="4"/>
    <col min="9230" max="9230" width="9.42578125" style="4" customWidth="1"/>
    <col min="9231" max="9231" width="11" style="4" bestFit="1" customWidth="1"/>
    <col min="9232" max="9472" width="9.140625" style="4"/>
    <col min="9473" max="9473" width="4.140625" style="4" customWidth="1"/>
    <col min="9474" max="9474" width="52.85546875" style="4" customWidth="1"/>
    <col min="9475" max="9475" width="12.42578125" style="4" bestFit="1" customWidth="1"/>
    <col min="9476" max="9476" width="6.28515625" style="4" customWidth="1"/>
    <col min="9477" max="9477" width="8.7109375" style="4" customWidth="1"/>
    <col min="9478" max="9478" width="11.85546875" style="4" customWidth="1"/>
    <col min="9479" max="9479" width="12.28515625" style="4" customWidth="1"/>
    <col min="9480" max="9480" width="21.5703125" style="4" customWidth="1"/>
    <col min="9481" max="9481" width="17.85546875" style="4" customWidth="1"/>
    <col min="9482" max="9482" width="11" style="4" bestFit="1" customWidth="1"/>
    <col min="9483" max="9485" width="9.140625" style="4"/>
    <col min="9486" max="9486" width="9.42578125" style="4" customWidth="1"/>
    <col min="9487" max="9487" width="11" style="4" bestFit="1" customWidth="1"/>
    <col min="9488" max="9728" width="9.140625" style="4"/>
    <col min="9729" max="9729" width="4.140625" style="4" customWidth="1"/>
    <col min="9730" max="9730" width="52.85546875" style="4" customWidth="1"/>
    <col min="9731" max="9731" width="12.42578125" style="4" bestFit="1" customWidth="1"/>
    <col min="9732" max="9732" width="6.28515625" style="4" customWidth="1"/>
    <col min="9733" max="9733" width="8.7109375" style="4" customWidth="1"/>
    <col min="9734" max="9734" width="11.85546875" style="4" customWidth="1"/>
    <col min="9735" max="9735" width="12.28515625" style="4" customWidth="1"/>
    <col min="9736" max="9736" width="21.5703125" style="4" customWidth="1"/>
    <col min="9737" max="9737" width="17.85546875" style="4" customWidth="1"/>
    <col min="9738" max="9738" width="11" style="4" bestFit="1" customWidth="1"/>
    <col min="9739" max="9741" width="9.140625" style="4"/>
    <col min="9742" max="9742" width="9.42578125" style="4" customWidth="1"/>
    <col min="9743" max="9743" width="11" style="4" bestFit="1" customWidth="1"/>
    <col min="9744" max="9984" width="9.140625" style="4"/>
    <col min="9985" max="9985" width="4.140625" style="4" customWidth="1"/>
    <col min="9986" max="9986" width="52.85546875" style="4" customWidth="1"/>
    <col min="9987" max="9987" width="12.42578125" style="4" bestFit="1" customWidth="1"/>
    <col min="9988" max="9988" width="6.28515625" style="4" customWidth="1"/>
    <col min="9989" max="9989" width="8.7109375" style="4" customWidth="1"/>
    <col min="9990" max="9990" width="11.85546875" style="4" customWidth="1"/>
    <col min="9991" max="9991" width="12.28515625" style="4" customWidth="1"/>
    <col min="9992" max="9992" width="21.5703125" style="4" customWidth="1"/>
    <col min="9993" max="9993" width="17.85546875" style="4" customWidth="1"/>
    <col min="9994" max="9994" width="11" style="4" bestFit="1" customWidth="1"/>
    <col min="9995" max="9997" width="9.140625" style="4"/>
    <col min="9998" max="9998" width="9.42578125" style="4" customWidth="1"/>
    <col min="9999" max="9999" width="11" style="4" bestFit="1" customWidth="1"/>
    <col min="10000" max="10240" width="9.140625" style="4"/>
    <col min="10241" max="10241" width="4.140625" style="4" customWidth="1"/>
    <col min="10242" max="10242" width="52.85546875" style="4" customWidth="1"/>
    <col min="10243" max="10243" width="12.42578125" style="4" bestFit="1" customWidth="1"/>
    <col min="10244" max="10244" width="6.28515625" style="4" customWidth="1"/>
    <col min="10245" max="10245" width="8.7109375" style="4" customWidth="1"/>
    <col min="10246" max="10246" width="11.85546875" style="4" customWidth="1"/>
    <col min="10247" max="10247" width="12.28515625" style="4" customWidth="1"/>
    <col min="10248" max="10248" width="21.5703125" style="4" customWidth="1"/>
    <col min="10249" max="10249" width="17.85546875" style="4" customWidth="1"/>
    <col min="10250" max="10250" width="11" style="4" bestFit="1" customWidth="1"/>
    <col min="10251" max="10253" width="9.140625" style="4"/>
    <col min="10254" max="10254" width="9.42578125" style="4" customWidth="1"/>
    <col min="10255" max="10255" width="11" style="4" bestFit="1" customWidth="1"/>
    <col min="10256" max="10496" width="9.140625" style="4"/>
    <col min="10497" max="10497" width="4.140625" style="4" customWidth="1"/>
    <col min="10498" max="10498" width="52.85546875" style="4" customWidth="1"/>
    <col min="10499" max="10499" width="12.42578125" style="4" bestFit="1" customWidth="1"/>
    <col min="10500" max="10500" width="6.28515625" style="4" customWidth="1"/>
    <col min="10501" max="10501" width="8.7109375" style="4" customWidth="1"/>
    <col min="10502" max="10502" width="11.85546875" style="4" customWidth="1"/>
    <col min="10503" max="10503" width="12.28515625" style="4" customWidth="1"/>
    <col min="10504" max="10504" width="21.5703125" style="4" customWidth="1"/>
    <col min="10505" max="10505" width="17.85546875" style="4" customWidth="1"/>
    <col min="10506" max="10506" width="11" style="4" bestFit="1" customWidth="1"/>
    <col min="10507" max="10509" width="9.140625" style="4"/>
    <col min="10510" max="10510" width="9.42578125" style="4" customWidth="1"/>
    <col min="10511" max="10511" width="11" style="4" bestFit="1" customWidth="1"/>
    <col min="10512" max="10752" width="9.140625" style="4"/>
    <col min="10753" max="10753" width="4.140625" style="4" customWidth="1"/>
    <col min="10754" max="10754" width="52.85546875" style="4" customWidth="1"/>
    <col min="10755" max="10755" width="12.42578125" style="4" bestFit="1" customWidth="1"/>
    <col min="10756" max="10756" width="6.28515625" style="4" customWidth="1"/>
    <col min="10757" max="10757" width="8.7109375" style="4" customWidth="1"/>
    <col min="10758" max="10758" width="11.85546875" style="4" customWidth="1"/>
    <col min="10759" max="10759" width="12.28515625" style="4" customWidth="1"/>
    <col min="10760" max="10760" width="21.5703125" style="4" customWidth="1"/>
    <col min="10761" max="10761" width="17.85546875" style="4" customWidth="1"/>
    <col min="10762" max="10762" width="11" style="4" bestFit="1" customWidth="1"/>
    <col min="10763" max="10765" width="9.140625" style="4"/>
    <col min="10766" max="10766" width="9.42578125" style="4" customWidth="1"/>
    <col min="10767" max="10767" width="11" style="4" bestFit="1" customWidth="1"/>
    <col min="10768" max="11008" width="9.140625" style="4"/>
    <col min="11009" max="11009" width="4.140625" style="4" customWidth="1"/>
    <col min="11010" max="11010" width="52.85546875" style="4" customWidth="1"/>
    <col min="11011" max="11011" width="12.42578125" style="4" bestFit="1" customWidth="1"/>
    <col min="11012" max="11012" width="6.28515625" style="4" customWidth="1"/>
    <col min="11013" max="11013" width="8.7109375" style="4" customWidth="1"/>
    <col min="11014" max="11014" width="11.85546875" style="4" customWidth="1"/>
    <col min="11015" max="11015" width="12.28515625" style="4" customWidth="1"/>
    <col min="11016" max="11016" width="21.5703125" style="4" customWidth="1"/>
    <col min="11017" max="11017" width="17.85546875" style="4" customWidth="1"/>
    <col min="11018" max="11018" width="11" style="4" bestFit="1" customWidth="1"/>
    <col min="11019" max="11021" width="9.140625" style="4"/>
    <col min="11022" max="11022" width="9.42578125" style="4" customWidth="1"/>
    <col min="11023" max="11023" width="11" style="4" bestFit="1" customWidth="1"/>
    <col min="11024" max="11264" width="9.140625" style="4"/>
    <col min="11265" max="11265" width="4.140625" style="4" customWidth="1"/>
    <col min="11266" max="11266" width="52.85546875" style="4" customWidth="1"/>
    <col min="11267" max="11267" width="12.42578125" style="4" bestFit="1" customWidth="1"/>
    <col min="11268" max="11268" width="6.28515625" style="4" customWidth="1"/>
    <col min="11269" max="11269" width="8.7109375" style="4" customWidth="1"/>
    <col min="11270" max="11270" width="11.85546875" style="4" customWidth="1"/>
    <col min="11271" max="11271" width="12.28515625" style="4" customWidth="1"/>
    <col min="11272" max="11272" width="21.5703125" style="4" customWidth="1"/>
    <col min="11273" max="11273" width="17.85546875" style="4" customWidth="1"/>
    <col min="11274" max="11274" width="11" style="4" bestFit="1" customWidth="1"/>
    <col min="11275" max="11277" width="9.140625" style="4"/>
    <col min="11278" max="11278" width="9.42578125" style="4" customWidth="1"/>
    <col min="11279" max="11279" width="11" style="4" bestFit="1" customWidth="1"/>
    <col min="11280" max="11520" width="9.140625" style="4"/>
    <col min="11521" max="11521" width="4.140625" style="4" customWidth="1"/>
    <col min="11522" max="11522" width="52.85546875" style="4" customWidth="1"/>
    <col min="11523" max="11523" width="12.42578125" style="4" bestFit="1" customWidth="1"/>
    <col min="11524" max="11524" width="6.28515625" style="4" customWidth="1"/>
    <col min="11525" max="11525" width="8.7109375" style="4" customWidth="1"/>
    <col min="11526" max="11526" width="11.85546875" style="4" customWidth="1"/>
    <col min="11527" max="11527" width="12.28515625" style="4" customWidth="1"/>
    <col min="11528" max="11528" width="21.5703125" style="4" customWidth="1"/>
    <col min="11529" max="11529" width="17.85546875" style="4" customWidth="1"/>
    <col min="11530" max="11530" width="11" style="4" bestFit="1" customWidth="1"/>
    <col min="11531" max="11533" width="9.140625" style="4"/>
    <col min="11534" max="11534" width="9.42578125" style="4" customWidth="1"/>
    <col min="11535" max="11535" width="11" style="4" bestFit="1" customWidth="1"/>
    <col min="11536" max="11776" width="9.140625" style="4"/>
    <col min="11777" max="11777" width="4.140625" style="4" customWidth="1"/>
    <col min="11778" max="11778" width="52.85546875" style="4" customWidth="1"/>
    <col min="11779" max="11779" width="12.42578125" style="4" bestFit="1" customWidth="1"/>
    <col min="11780" max="11780" width="6.28515625" style="4" customWidth="1"/>
    <col min="11781" max="11781" width="8.7109375" style="4" customWidth="1"/>
    <col min="11782" max="11782" width="11.85546875" style="4" customWidth="1"/>
    <col min="11783" max="11783" width="12.28515625" style="4" customWidth="1"/>
    <col min="11784" max="11784" width="21.5703125" style="4" customWidth="1"/>
    <col min="11785" max="11785" width="17.85546875" style="4" customWidth="1"/>
    <col min="11786" max="11786" width="11" style="4" bestFit="1" customWidth="1"/>
    <col min="11787" max="11789" width="9.140625" style="4"/>
    <col min="11790" max="11790" width="9.42578125" style="4" customWidth="1"/>
    <col min="11791" max="11791" width="11" style="4" bestFit="1" customWidth="1"/>
    <col min="11792" max="12032" width="9.140625" style="4"/>
    <col min="12033" max="12033" width="4.140625" style="4" customWidth="1"/>
    <col min="12034" max="12034" width="52.85546875" style="4" customWidth="1"/>
    <col min="12035" max="12035" width="12.42578125" style="4" bestFit="1" customWidth="1"/>
    <col min="12036" max="12036" width="6.28515625" style="4" customWidth="1"/>
    <col min="12037" max="12037" width="8.7109375" style="4" customWidth="1"/>
    <col min="12038" max="12038" width="11.85546875" style="4" customWidth="1"/>
    <col min="12039" max="12039" width="12.28515625" style="4" customWidth="1"/>
    <col min="12040" max="12040" width="21.5703125" style="4" customWidth="1"/>
    <col min="12041" max="12041" width="17.85546875" style="4" customWidth="1"/>
    <col min="12042" max="12042" width="11" style="4" bestFit="1" customWidth="1"/>
    <col min="12043" max="12045" width="9.140625" style="4"/>
    <col min="12046" max="12046" width="9.42578125" style="4" customWidth="1"/>
    <col min="12047" max="12047" width="11" style="4" bestFit="1" customWidth="1"/>
    <col min="12048" max="12288" width="9.140625" style="4"/>
    <col min="12289" max="12289" width="4.140625" style="4" customWidth="1"/>
    <col min="12290" max="12290" width="52.85546875" style="4" customWidth="1"/>
    <col min="12291" max="12291" width="12.42578125" style="4" bestFit="1" customWidth="1"/>
    <col min="12292" max="12292" width="6.28515625" style="4" customWidth="1"/>
    <col min="12293" max="12293" width="8.7109375" style="4" customWidth="1"/>
    <col min="12294" max="12294" width="11.85546875" style="4" customWidth="1"/>
    <col min="12295" max="12295" width="12.28515625" style="4" customWidth="1"/>
    <col min="12296" max="12296" width="21.5703125" style="4" customWidth="1"/>
    <col min="12297" max="12297" width="17.85546875" style="4" customWidth="1"/>
    <col min="12298" max="12298" width="11" style="4" bestFit="1" customWidth="1"/>
    <col min="12299" max="12301" width="9.140625" style="4"/>
    <col min="12302" max="12302" width="9.42578125" style="4" customWidth="1"/>
    <col min="12303" max="12303" width="11" style="4" bestFit="1" customWidth="1"/>
    <col min="12304" max="12544" width="9.140625" style="4"/>
    <col min="12545" max="12545" width="4.140625" style="4" customWidth="1"/>
    <col min="12546" max="12546" width="52.85546875" style="4" customWidth="1"/>
    <col min="12547" max="12547" width="12.42578125" style="4" bestFit="1" customWidth="1"/>
    <col min="12548" max="12548" width="6.28515625" style="4" customWidth="1"/>
    <col min="12549" max="12549" width="8.7109375" style="4" customWidth="1"/>
    <col min="12550" max="12550" width="11.85546875" style="4" customWidth="1"/>
    <col min="12551" max="12551" width="12.28515625" style="4" customWidth="1"/>
    <col min="12552" max="12552" width="21.5703125" style="4" customWidth="1"/>
    <col min="12553" max="12553" width="17.85546875" style="4" customWidth="1"/>
    <col min="12554" max="12554" width="11" style="4" bestFit="1" customWidth="1"/>
    <col min="12555" max="12557" width="9.140625" style="4"/>
    <col min="12558" max="12558" width="9.42578125" style="4" customWidth="1"/>
    <col min="12559" max="12559" width="11" style="4" bestFit="1" customWidth="1"/>
    <col min="12560" max="12800" width="9.140625" style="4"/>
    <col min="12801" max="12801" width="4.140625" style="4" customWidth="1"/>
    <col min="12802" max="12802" width="52.85546875" style="4" customWidth="1"/>
    <col min="12803" max="12803" width="12.42578125" style="4" bestFit="1" customWidth="1"/>
    <col min="12804" max="12804" width="6.28515625" style="4" customWidth="1"/>
    <col min="12805" max="12805" width="8.7109375" style="4" customWidth="1"/>
    <col min="12806" max="12806" width="11.85546875" style="4" customWidth="1"/>
    <col min="12807" max="12807" width="12.28515625" style="4" customWidth="1"/>
    <col min="12808" max="12808" width="21.5703125" style="4" customWidth="1"/>
    <col min="12809" max="12809" width="17.85546875" style="4" customWidth="1"/>
    <col min="12810" max="12810" width="11" style="4" bestFit="1" customWidth="1"/>
    <col min="12811" max="12813" width="9.140625" style="4"/>
    <col min="12814" max="12814" width="9.42578125" style="4" customWidth="1"/>
    <col min="12815" max="12815" width="11" style="4" bestFit="1" customWidth="1"/>
    <col min="12816" max="13056" width="9.140625" style="4"/>
    <col min="13057" max="13057" width="4.140625" style="4" customWidth="1"/>
    <col min="13058" max="13058" width="52.85546875" style="4" customWidth="1"/>
    <col min="13059" max="13059" width="12.42578125" style="4" bestFit="1" customWidth="1"/>
    <col min="13060" max="13060" width="6.28515625" style="4" customWidth="1"/>
    <col min="13061" max="13061" width="8.7109375" style="4" customWidth="1"/>
    <col min="13062" max="13062" width="11.85546875" style="4" customWidth="1"/>
    <col min="13063" max="13063" width="12.28515625" style="4" customWidth="1"/>
    <col min="13064" max="13064" width="21.5703125" style="4" customWidth="1"/>
    <col min="13065" max="13065" width="17.85546875" style="4" customWidth="1"/>
    <col min="13066" max="13066" width="11" style="4" bestFit="1" customWidth="1"/>
    <col min="13067" max="13069" width="9.140625" style="4"/>
    <col min="13070" max="13070" width="9.42578125" style="4" customWidth="1"/>
    <col min="13071" max="13071" width="11" style="4" bestFit="1" customWidth="1"/>
    <col min="13072" max="13312" width="9.140625" style="4"/>
    <col min="13313" max="13313" width="4.140625" style="4" customWidth="1"/>
    <col min="13314" max="13314" width="52.85546875" style="4" customWidth="1"/>
    <col min="13315" max="13315" width="12.42578125" style="4" bestFit="1" customWidth="1"/>
    <col min="13316" max="13316" width="6.28515625" style="4" customWidth="1"/>
    <col min="13317" max="13317" width="8.7109375" style="4" customWidth="1"/>
    <col min="13318" max="13318" width="11.85546875" style="4" customWidth="1"/>
    <col min="13319" max="13319" width="12.28515625" style="4" customWidth="1"/>
    <col min="13320" max="13320" width="21.5703125" style="4" customWidth="1"/>
    <col min="13321" max="13321" width="17.85546875" style="4" customWidth="1"/>
    <col min="13322" max="13322" width="11" style="4" bestFit="1" customWidth="1"/>
    <col min="13323" max="13325" width="9.140625" style="4"/>
    <col min="13326" max="13326" width="9.42578125" style="4" customWidth="1"/>
    <col min="13327" max="13327" width="11" style="4" bestFit="1" customWidth="1"/>
    <col min="13328" max="13568" width="9.140625" style="4"/>
    <col min="13569" max="13569" width="4.140625" style="4" customWidth="1"/>
    <col min="13570" max="13570" width="52.85546875" style="4" customWidth="1"/>
    <col min="13571" max="13571" width="12.42578125" style="4" bestFit="1" customWidth="1"/>
    <col min="13572" max="13572" width="6.28515625" style="4" customWidth="1"/>
    <col min="13573" max="13573" width="8.7109375" style="4" customWidth="1"/>
    <col min="13574" max="13574" width="11.85546875" style="4" customWidth="1"/>
    <col min="13575" max="13575" width="12.28515625" style="4" customWidth="1"/>
    <col min="13576" max="13576" width="21.5703125" style="4" customWidth="1"/>
    <col min="13577" max="13577" width="17.85546875" style="4" customWidth="1"/>
    <col min="13578" max="13578" width="11" style="4" bestFit="1" customWidth="1"/>
    <col min="13579" max="13581" width="9.140625" style="4"/>
    <col min="13582" max="13582" width="9.42578125" style="4" customWidth="1"/>
    <col min="13583" max="13583" width="11" style="4" bestFit="1" customWidth="1"/>
    <col min="13584" max="13824" width="9.140625" style="4"/>
    <col min="13825" max="13825" width="4.140625" style="4" customWidth="1"/>
    <col min="13826" max="13826" width="52.85546875" style="4" customWidth="1"/>
    <col min="13827" max="13827" width="12.42578125" style="4" bestFit="1" customWidth="1"/>
    <col min="13828" max="13828" width="6.28515625" style="4" customWidth="1"/>
    <col min="13829" max="13829" width="8.7109375" style="4" customWidth="1"/>
    <col min="13830" max="13830" width="11.85546875" style="4" customWidth="1"/>
    <col min="13831" max="13831" width="12.28515625" style="4" customWidth="1"/>
    <col min="13832" max="13832" width="21.5703125" style="4" customWidth="1"/>
    <col min="13833" max="13833" width="17.85546875" style="4" customWidth="1"/>
    <col min="13834" max="13834" width="11" style="4" bestFit="1" customWidth="1"/>
    <col min="13835" max="13837" width="9.140625" style="4"/>
    <col min="13838" max="13838" width="9.42578125" style="4" customWidth="1"/>
    <col min="13839" max="13839" width="11" style="4" bestFit="1" customWidth="1"/>
    <col min="13840" max="14080" width="9.140625" style="4"/>
    <col min="14081" max="14081" width="4.140625" style="4" customWidth="1"/>
    <col min="14082" max="14082" width="52.85546875" style="4" customWidth="1"/>
    <col min="14083" max="14083" width="12.42578125" style="4" bestFit="1" customWidth="1"/>
    <col min="14084" max="14084" width="6.28515625" style="4" customWidth="1"/>
    <col min="14085" max="14085" width="8.7109375" style="4" customWidth="1"/>
    <col min="14086" max="14086" width="11.85546875" style="4" customWidth="1"/>
    <col min="14087" max="14087" width="12.28515625" style="4" customWidth="1"/>
    <col min="14088" max="14088" width="21.5703125" style="4" customWidth="1"/>
    <col min="14089" max="14089" width="17.85546875" style="4" customWidth="1"/>
    <col min="14090" max="14090" width="11" style="4" bestFit="1" customWidth="1"/>
    <col min="14091" max="14093" width="9.140625" style="4"/>
    <col min="14094" max="14094" width="9.42578125" style="4" customWidth="1"/>
    <col min="14095" max="14095" width="11" style="4" bestFit="1" customWidth="1"/>
    <col min="14096" max="14336" width="9.140625" style="4"/>
    <col min="14337" max="14337" width="4.140625" style="4" customWidth="1"/>
    <col min="14338" max="14338" width="52.85546875" style="4" customWidth="1"/>
    <col min="14339" max="14339" width="12.42578125" style="4" bestFit="1" customWidth="1"/>
    <col min="14340" max="14340" width="6.28515625" style="4" customWidth="1"/>
    <col min="14341" max="14341" width="8.7109375" style="4" customWidth="1"/>
    <col min="14342" max="14342" width="11.85546875" style="4" customWidth="1"/>
    <col min="14343" max="14343" width="12.28515625" style="4" customWidth="1"/>
    <col min="14344" max="14344" width="21.5703125" style="4" customWidth="1"/>
    <col min="14345" max="14345" width="17.85546875" style="4" customWidth="1"/>
    <col min="14346" max="14346" width="11" style="4" bestFit="1" customWidth="1"/>
    <col min="14347" max="14349" width="9.140625" style="4"/>
    <col min="14350" max="14350" width="9.42578125" style="4" customWidth="1"/>
    <col min="14351" max="14351" width="11" style="4" bestFit="1" customWidth="1"/>
    <col min="14352" max="14592" width="9.140625" style="4"/>
    <col min="14593" max="14593" width="4.140625" style="4" customWidth="1"/>
    <col min="14594" max="14594" width="52.85546875" style="4" customWidth="1"/>
    <col min="14595" max="14595" width="12.42578125" style="4" bestFit="1" customWidth="1"/>
    <col min="14596" max="14596" width="6.28515625" style="4" customWidth="1"/>
    <col min="14597" max="14597" width="8.7109375" style="4" customWidth="1"/>
    <col min="14598" max="14598" width="11.85546875" style="4" customWidth="1"/>
    <col min="14599" max="14599" width="12.28515625" style="4" customWidth="1"/>
    <col min="14600" max="14600" width="21.5703125" style="4" customWidth="1"/>
    <col min="14601" max="14601" width="17.85546875" style="4" customWidth="1"/>
    <col min="14602" max="14602" width="11" style="4" bestFit="1" customWidth="1"/>
    <col min="14603" max="14605" width="9.140625" style="4"/>
    <col min="14606" max="14606" width="9.42578125" style="4" customWidth="1"/>
    <col min="14607" max="14607" width="11" style="4" bestFit="1" customWidth="1"/>
    <col min="14608" max="14848" width="9.140625" style="4"/>
    <col min="14849" max="14849" width="4.140625" style="4" customWidth="1"/>
    <col min="14850" max="14850" width="52.85546875" style="4" customWidth="1"/>
    <col min="14851" max="14851" width="12.42578125" style="4" bestFit="1" customWidth="1"/>
    <col min="14852" max="14852" width="6.28515625" style="4" customWidth="1"/>
    <col min="14853" max="14853" width="8.7109375" style="4" customWidth="1"/>
    <col min="14854" max="14854" width="11.85546875" style="4" customWidth="1"/>
    <col min="14855" max="14855" width="12.28515625" style="4" customWidth="1"/>
    <col min="14856" max="14856" width="21.5703125" style="4" customWidth="1"/>
    <col min="14857" max="14857" width="17.85546875" style="4" customWidth="1"/>
    <col min="14858" max="14858" width="11" style="4" bestFit="1" customWidth="1"/>
    <col min="14859" max="14861" width="9.140625" style="4"/>
    <col min="14862" max="14862" width="9.42578125" style="4" customWidth="1"/>
    <col min="14863" max="14863" width="11" style="4" bestFit="1" customWidth="1"/>
    <col min="14864" max="15104" width="9.140625" style="4"/>
    <col min="15105" max="15105" width="4.140625" style="4" customWidth="1"/>
    <col min="15106" max="15106" width="52.85546875" style="4" customWidth="1"/>
    <col min="15107" max="15107" width="12.42578125" style="4" bestFit="1" customWidth="1"/>
    <col min="15108" max="15108" width="6.28515625" style="4" customWidth="1"/>
    <col min="15109" max="15109" width="8.7109375" style="4" customWidth="1"/>
    <col min="15110" max="15110" width="11.85546875" style="4" customWidth="1"/>
    <col min="15111" max="15111" width="12.28515625" style="4" customWidth="1"/>
    <col min="15112" max="15112" width="21.5703125" style="4" customWidth="1"/>
    <col min="15113" max="15113" width="17.85546875" style="4" customWidth="1"/>
    <col min="15114" max="15114" width="11" style="4" bestFit="1" customWidth="1"/>
    <col min="15115" max="15117" width="9.140625" style="4"/>
    <col min="15118" max="15118" width="9.42578125" style="4" customWidth="1"/>
    <col min="15119" max="15119" width="11" style="4" bestFit="1" customWidth="1"/>
    <col min="15120" max="15360" width="9.140625" style="4"/>
    <col min="15361" max="15361" width="4.140625" style="4" customWidth="1"/>
    <col min="15362" max="15362" width="52.85546875" style="4" customWidth="1"/>
    <col min="15363" max="15363" width="12.42578125" style="4" bestFit="1" customWidth="1"/>
    <col min="15364" max="15364" width="6.28515625" style="4" customWidth="1"/>
    <col min="15365" max="15365" width="8.7109375" style="4" customWidth="1"/>
    <col min="15366" max="15366" width="11.85546875" style="4" customWidth="1"/>
    <col min="15367" max="15367" width="12.28515625" style="4" customWidth="1"/>
    <col min="15368" max="15368" width="21.5703125" style="4" customWidth="1"/>
    <col min="15369" max="15369" width="17.85546875" style="4" customWidth="1"/>
    <col min="15370" max="15370" width="11" style="4" bestFit="1" customWidth="1"/>
    <col min="15371" max="15373" width="9.140625" style="4"/>
    <col min="15374" max="15374" width="9.42578125" style="4" customWidth="1"/>
    <col min="15375" max="15375" width="11" style="4" bestFit="1" customWidth="1"/>
    <col min="15376" max="15616" width="9.140625" style="4"/>
    <col min="15617" max="15617" width="4.140625" style="4" customWidth="1"/>
    <col min="15618" max="15618" width="52.85546875" style="4" customWidth="1"/>
    <col min="15619" max="15619" width="12.42578125" style="4" bestFit="1" customWidth="1"/>
    <col min="15620" max="15620" width="6.28515625" style="4" customWidth="1"/>
    <col min="15621" max="15621" width="8.7109375" style="4" customWidth="1"/>
    <col min="15622" max="15622" width="11.85546875" style="4" customWidth="1"/>
    <col min="15623" max="15623" width="12.28515625" style="4" customWidth="1"/>
    <col min="15624" max="15624" width="21.5703125" style="4" customWidth="1"/>
    <col min="15625" max="15625" width="17.85546875" style="4" customWidth="1"/>
    <col min="15626" max="15626" width="11" style="4" bestFit="1" customWidth="1"/>
    <col min="15627" max="15629" width="9.140625" style="4"/>
    <col min="15630" max="15630" width="9.42578125" style="4" customWidth="1"/>
    <col min="15631" max="15631" width="11" style="4" bestFit="1" customWidth="1"/>
    <col min="15632" max="15872" width="9.140625" style="4"/>
    <col min="15873" max="15873" width="4.140625" style="4" customWidth="1"/>
    <col min="15874" max="15874" width="52.85546875" style="4" customWidth="1"/>
    <col min="15875" max="15875" width="12.42578125" style="4" bestFit="1" customWidth="1"/>
    <col min="15876" max="15876" width="6.28515625" style="4" customWidth="1"/>
    <col min="15877" max="15877" width="8.7109375" style="4" customWidth="1"/>
    <col min="15878" max="15878" width="11.85546875" style="4" customWidth="1"/>
    <col min="15879" max="15879" width="12.28515625" style="4" customWidth="1"/>
    <col min="15880" max="15880" width="21.5703125" style="4" customWidth="1"/>
    <col min="15881" max="15881" width="17.85546875" style="4" customWidth="1"/>
    <col min="15882" max="15882" width="11" style="4" bestFit="1" customWidth="1"/>
    <col min="15883" max="15885" width="9.140625" style="4"/>
    <col min="15886" max="15886" width="9.42578125" style="4" customWidth="1"/>
    <col min="15887" max="15887" width="11" style="4" bestFit="1" customWidth="1"/>
    <col min="15888" max="16128" width="9.140625" style="4"/>
    <col min="16129" max="16129" width="4.140625" style="4" customWidth="1"/>
    <col min="16130" max="16130" width="52.85546875" style="4" customWidth="1"/>
    <col min="16131" max="16131" width="12.42578125" style="4" bestFit="1" customWidth="1"/>
    <col min="16132" max="16132" width="6.28515625" style="4" customWidth="1"/>
    <col min="16133" max="16133" width="8.7109375" style="4" customWidth="1"/>
    <col min="16134" max="16134" width="11.85546875" style="4" customWidth="1"/>
    <col min="16135" max="16135" width="12.28515625" style="4" customWidth="1"/>
    <col min="16136" max="16136" width="21.5703125" style="4" customWidth="1"/>
    <col min="16137" max="16137" width="17.85546875" style="4" customWidth="1"/>
    <col min="16138" max="16138" width="11" style="4" bestFit="1" customWidth="1"/>
    <col min="16139" max="16141" width="9.140625" style="4"/>
    <col min="16142" max="16142" width="9.42578125" style="4" customWidth="1"/>
    <col min="16143" max="16143" width="11" style="4" bestFit="1" customWidth="1"/>
    <col min="16144" max="16384" width="9.140625" style="4"/>
  </cols>
  <sheetData>
    <row r="1" spans="1:16" ht="20.25">
      <c r="B1" s="3297" t="s">
        <v>186</v>
      </c>
      <c r="C1" s="3297"/>
      <c r="D1" s="3297"/>
      <c r="E1" s="3297"/>
      <c r="F1" s="3297"/>
    </row>
    <row r="2" spans="1:16" ht="15">
      <c r="A2" s="144"/>
      <c r="B2" s="145"/>
      <c r="C2" s="145"/>
      <c r="D2" s="146"/>
      <c r="E2" s="145"/>
      <c r="F2" s="3310" t="s">
        <v>89</v>
      </c>
      <c r="G2" s="3310"/>
      <c r="H2" s="145"/>
    </row>
    <row r="3" spans="1:16" ht="33.75" customHeight="1">
      <c r="A3" s="3298" t="s">
        <v>187</v>
      </c>
      <c r="B3" s="3311"/>
      <c r="C3" s="3311"/>
      <c r="D3" s="3311"/>
      <c r="E3" s="3311"/>
      <c r="F3" s="3311"/>
      <c r="G3" s="3311"/>
      <c r="H3" s="145"/>
    </row>
    <row r="4" spans="1:16" ht="15">
      <c r="A4" s="148"/>
      <c r="B4" s="216" t="s">
        <v>188</v>
      </c>
      <c r="C4" s="149"/>
      <c r="D4" s="149"/>
      <c r="E4" s="149"/>
      <c r="F4" s="149"/>
      <c r="G4" s="149"/>
      <c r="H4" s="145"/>
    </row>
    <row r="5" spans="1:16" ht="10.5" customHeight="1">
      <c r="A5" s="217"/>
      <c r="B5" s="218"/>
      <c r="C5" s="218"/>
      <c r="D5" s="218"/>
      <c r="E5" s="218"/>
      <c r="F5" s="184"/>
      <c r="G5" s="184"/>
      <c r="H5" s="145"/>
    </row>
    <row r="6" spans="1:16" ht="33" customHeight="1">
      <c r="A6" s="155" t="s">
        <v>2</v>
      </c>
      <c r="B6" s="219" t="s">
        <v>3</v>
      </c>
      <c r="C6" s="207" t="s">
        <v>4</v>
      </c>
      <c r="D6" s="142" t="s">
        <v>5</v>
      </c>
      <c r="E6" s="155" t="s">
        <v>143</v>
      </c>
      <c r="F6" s="120" t="s">
        <v>9</v>
      </c>
      <c r="G6" s="120" t="s">
        <v>10</v>
      </c>
      <c r="H6" s="145"/>
    </row>
    <row r="7" spans="1:16" ht="15">
      <c r="A7" s="156">
        <v>1</v>
      </c>
      <c r="B7" s="157">
        <v>2</v>
      </c>
      <c r="C7" s="158">
        <v>3</v>
      </c>
      <c r="D7" s="159">
        <v>4</v>
      </c>
      <c r="E7" s="156">
        <v>5</v>
      </c>
      <c r="F7" s="160">
        <v>6</v>
      </c>
      <c r="G7" s="160">
        <v>7</v>
      </c>
      <c r="H7" s="145"/>
    </row>
    <row r="8" spans="1:16" ht="33" customHeight="1">
      <c r="A8" s="156">
        <v>1</v>
      </c>
      <c r="B8" s="1685" t="s">
        <v>189</v>
      </c>
      <c r="C8" s="1686">
        <v>7130601965</v>
      </c>
      <c r="D8" s="156" t="s">
        <v>26</v>
      </c>
      <c r="E8" s="1717">
        <v>13467.3</v>
      </c>
      <c r="F8" s="734">
        <f>63913.52/1000</f>
        <v>63.913519999999998</v>
      </c>
      <c r="G8" s="1687">
        <f t="shared" ref="G8:G18" si="0">E8*F8</f>
        <v>860742.54789599997</v>
      </c>
      <c r="L8" s="220"/>
      <c r="O8" s="165"/>
      <c r="P8" s="165"/>
    </row>
    <row r="9" spans="1:16" ht="33" customHeight="1">
      <c r="A9" s="156">
        <v>2</v>
      </c>
      <c r="B9" s="1688" t="s">
        <v>1368</v>
      </c>
      <c r="C9" s="1686">
        <v>7130310060</v>
      </c>
      <c r="D9" s="156" t="s">
        <v>190</v>
      </c>
      <c r="E9" s="156">
        <v>1060</v>
      </c>
      <c r="F9" s="734">
        <f>VLOOKUP(C9,'SOR RATE'!A:D,4,0)/1000</f>
        <v>945.7287</v>
      </c>
      <c r="G9" s="1687">
        <f t="shared" si="0"/>
        <v>1002472.422</v>
      </c>
      <c r="H9" s="338"/>
    </row>
    <row r="10" spans="1:16" ht="28.5">
      <c r="A10" s="156">
        <v>3</v>
      </c>
      <c r="B10" s="1688" t="s">
        <v>191</v>
      </c>
      <c r="C10" s="1686">
        <v>7130352040</v>
      </c>
      <c r="D10" s="156" t="s">
        <v>40</v>
      </c>
      <c r="E10" s="156">
        <v>3</v>
      </c>
      <c r="F10" s="734">
        <f>VLOOKUP(C10,'SOR RATE'!A:D,4,0)</f>
        <v>23367.49</v>
      </c>
      <c r="G10" s="1687">
        <f t="shared" si="0"/>
        <v>70102.47</v>
      </c>
      <c r="H10" s="145"/>
    </row>
    <row r="11" spans="1:16" ht="17.25" customHeight="1">
      <c r="A11" s="156">
        <v>4</v>
      </c>
      <c r="B11" s="1200" t="s">
        <v>192</v>
      </c>
      <c r="C11" s="1686">
        <v>7130310062</v>
      </c>
      <c r="D11" s="1181" t="s">
        <v>40</v>
      </c>
      <c r="E11" s="156">
        <v>2</v>
      </c>
      <c r="F11" s="734">
        <f>VLOOKUP(C11,'SOR RATE'!A:D,4,0)</f>
        <v>5253.9</v>
      </c>
      <c r="G11" s="1687">
        <f t="shared" si="0"/>
        <v>10507.8</v>
      </c>
      <c r="H11" s="145"/>
    </row>
    <row r="12" spans="1:16" ht="17.25" customHeight="1">
      <c r="A12" s="156">
        <v>5</v>
      </c>
      <c r="B12" s="1200" t="s">
        <v>156</v>
      </c>
      <c r="C12" s="156">
        <v>7130870010</v>
      </c>
      <c r="D12" s="1181" t="s">
        <v>68</v>
      </c>
      <c r="E12" s="1692">
        <v>6</v>
      </c>
      <c r="F12" s="734">
        <f>VLOOKUP(C12,'SOR RATE'!A:D,4,0)</f>
        <v>952.74</v>
      </c>
      <c r="G12" s="1687">
        <f t="shared" si="0"/>
        <v>5716.4400000000005</v>
      </c>
      <c r="H12" s="145"/>
    </row>
    <row r="13" spans="1:16" ht="15">
      <c r="A13" s="156">
        <v>6</v>
      </c>
      <c r="B13" s="1300" t="s">
        <v>193</v>
      </c>
      <c r="C13" s="156">
        <v>7130810684</v>
      </c>
      <c r="D13" s="156" t="s">
        <v>40</v>
      </c>
      <c r="E13" s="156">
        <v>0</v>
      </c>
      <c r="F13" s="734">
        <f>VLOOKUP(C13,'SOR RATE'!A:D,4,0)</f>
        <v>11136.81</v>
      </c>
      <c r="G13" s="1687">
        <f t="shared" si="0"/>
        <v>0</v>
      </c>
      <c r="H13" s="145"/>
    </row>
    <row r="14" spans="1:16" ht="16.5" customHeight="1">
      <c r="A14" s="156">
        <v>7</v>
      </c>
      <c r="B14" s="1688" t="s">
        <v>151</v>
      </c>
      <c r="C14" s="1183">
        <v>7130877681</v>
      </c>
      <c r="D14" s="160" t="s">
        <v>68</v>
      </c>
      <c r="E14" s="156">
        <v>16</v>
      </c>
      <c r="F14" s="734">
        <f>VLOOKUP(C14,'SOR RATE'!A:D,4,0)</f>
        <v>2995.56</v>
      </c>
      <c r="G14" s="1687">
        <f t="shared" si="0"/>
        <v>47928.959999999999</v>
      </c>
      <c r="H14" s="221"/>
      <c r="I14" s="222"/>
      <c r="J14" s="223"/>
    </row>
    <row r="15" spans="1:16" ht="33" customHeight="1">
      <c r="A15" s="156">
        <v>8</v>
      </c>
      <c r="B15" s="1688" t="s">
        <v>152</v>
      </c>
      <c r="C15" s="156">
        <v>7130877683</v>
      </c>
      <c r="D15" s="160" t="s">
        <v>68</v>
      </c>
      <c r="E15" s="156">
        <v>25</v>
      </c>
      <c r="F15" s="734">
        <f>VLOOKUP(C15,'SOR RATE'!A:D,4,0)</f>
        <v>2662.71</v>
      </c>
      <c r="G15" s="1687">
        <f t="shared" si="0"/>
        <v>66567.75</v>
      </c>
      <c r="H15" s="221"/>
      <c r="I15" s="222"/>
      <c r="J15" s="223"/>
    </row>
    <row r="16" spans="1:16" ht="17.25" customHeight="1">
      <c r="A16" s="156">
        <v>9</v>
      </c>
      <c r="B16" s="1690" t="s">
        <v>153</v>
      </c>
      <c r="C16" s="156">
        <v>7130893004</v>
      </c>
      <c r="D16" s="160" t="s">
        <v>68</v>
      </c>
      <c r="E16" s="160">
        <v>41</v>
      </c>
      <c r="F16" s="734">
        <f>VLOOKUP(C16,'SOR RATE'!A:D,4,0)</f>
        <v>226.84</v>
      </c>
      <c r="G16" s="1687">
        <f t="shared" si="0"/>
        <v>9300.44</v>
      </c>
      <c r="H16" s="145"/>
    </row>
    <row r="17" spans="1:15" ht="16.5" customHeight="1">
      <c r="A17" s="156">
        <v>10</v>
      </c>
      <c r="B17" s="1688" t="s">
        <v>194</v>
      </c>
      <c r="C17" s="156">
        <v>7130860033</v>
      </c>
      <c r="D17" s="160" t="s">
        <v>68</v>
      </c>
      <c r="E17" s="156">
        <v>12</v>
      </c>
      <c r="F17" s="734">
        <f>VLOOKUP(C17,'SOR RATE'!A:D,4,0)</f>
        <v>1031.6600000000001</v>
      </c>
      <c r="G17" s="1687">
        <f t="shared" si="0"/>
        <v>12379.920000000002</v>
      </c>
      <c r="H17" s="145"/>
    </row>
    <row r="18" spans="1:15" ht="16.5" customHeight="1">
      <c r="A18" s="156">
        <v>11</v>
      </c>
      <c r="B18" s="1688" t="s">
        <v>195</v>
      </c>
      <c r="C18" s="156">
        <v>7130860076</v>
      </c>
      <c r="D18" s="160" t="s">
        <v>26</v>
      </c>
      <c r="E18" s="156">
        <v>120</v>
      </c>
      <c r="F18" s="734">
        <f>VLOOKUP(C18,'SOR RATE'!A:D,4,0)/1000</f>
        <v>92.856940000000009</v>
      </c>
      <c r="G18" s="1687">
        <f t="shared" si="0"/>
        <v>11142.8328</v>
      </c>
      <c r="H18" s="145"/>
    </row>
    <row r="19" spans="1:15" ht="16.5" customHeight="1">
      <c r="A19" s="156">
        <v>12</v>
      </c>
      <c r="B19" s="1688" t="s">
        <v>196</v>
      </c>
      <c r="C19" s="156">
        <v>7130810692</v>
      </c>
      <c r="D19" s="1187" t="s">
        <v>15</v>
      </c>
      <c r="E19" s="160">
        <v>24</v>
      </c>
      <c r="F19" s="734">
        <f>VLOOKUP(C19,'SOR RATE'!A:D,4,0)</f>
        <v>410.25</v>
      </c>
      <c r="G19" s="1687">
        <f t="shared" ref="G19" si="1">E19*F19</f>
        <v>9846</v>
      </c>
      <c r="H19" s="145"/>
    </row>
    <row r="20" spans="1:15" ht="16.5" customHeight="1">
      <c r="A20" s="156">
        <v>13</v>
      </c>
      <c r="B20" s="1688" t="s">
        <v>197</v>
      </c>
      <c r="C20" s="156">
        <v>7130810692</v>
      </c>
      <c r="D20" s="1187" t="s">
        <v>15</v>
      </c>
      <c r="E20" s="160">
        <v>33</v>
      </c>
      <c r="F20" s="734">
        <f>VLOOKUP(C20,'SOR RATE'!A:D,4,0)</f>
        <v>410.25</v>
      </c>
      <c r="G20" s="1687">
        <f>E20*F20</f>
        <v>13538.25</v>
      </c>
      <c r="H20" s="145"/>
    </row>
    <row r="21" spans="1:15" ht="16.5" customHeight="1">
      <c r="A21" s="156">
        <v>14</v>
      </c>
      <c r="B21" s="1688" t="s">
        <v>198</v>
      </c>
      <c r="C21" s="1718">
        <v>7130600032</v>
      </c>
      <c r="D21" s="160" t="s">
        <v>26</v>
      </c>
      <c r="E21" s="160">
        <v>330</v>
      </c>
      <c r="F21" s="734">
        <f>VLOOKUP(C21,'SOR RATE'!A:D,4,0)/1000</f>
        <v>54.512970000000003</v>
      </c>
      <c r="G21" s="1687">
        <f>E21*F21</f>
        <v>17989.2801</v>
      </c>
      <c r="H21" s="145"/>
    </row>
    <row r="22" spans="1:15" ht="16.5" customHeight="1">
      <c r="A22" s="1181">
        <v>15</v>
      </c>
      <c r="B22" s="1470" t="s">
        <v>28</v>
      </c>
      <c r="C22" s="1258">
        <v>7130211158</v>
      </c>
      <c r="D22" s="1181" t="s">
        <v>29</v>
      </c>
      <c r="E22" s="1181">
        <v>33</v>
      </c>
      <c r="F22" s="734">
        <f>VLOOKUP(C22,'SOR RATE'!A:D,4,0)</f>
        <v>193.62</v>
      </c>
      <c r="G22" s="734">
        <f>F22*E22</f>
        <v>6389.46</v>
      </c>
      <c r="H22" s="145"/>
      <c r="I22" s="224"/>
    </row>
    <row r="23" spans="1:15" ht="16.5" customHeight="1">
      <c r="A23" s="1181">
        <v>16</v>
      </c>
      <c r="B23" s="1470" t="s">
        <v>30</v>
      </c>
      <c r="C23" s="1258">
        <v>7130210809</v>
      </c>
      <c r="D23" s="1181" t="s">
        <v>29</v>
      </c>
      <c r="E23" s="1181">
        <v>33</v>
      </c>
      <c r="F23" s="734">
        <f>VLOOKUP(C23,'SOR RATE'!A:D,4,0)</f>
        <v>432.63</v>
      </c>
      <c r="G23" s="734">
        <f>F23*E23</f>
        <v>14276.789999999999</v>
      </c>
      <c r="H23" s="145"/>
      <c r="I23" s="224"/>
    </row>
    <row r="24" spans="1:15" ht="16.5" customHeight="1">
      <c r="A24" s="156">
        <v>17</v>
      </c>
      <c r="B24" s="1688" t="s">
        <v>199</v>
      </c>
      <c r="C24" s="1718">
        <v>7130870013</v>
      </c>
      <c r="D24" s="160" t="s">
        <v>68</v>
      </c>
      <c r="E24" s="156">
        <v>33</v>
      </c>
      <c r="F24" s="734">
        <f>VLOOKUP(C24,'SOR RATE'!A:D,4,0)</f>
        <v>152.88999999999999</v>
      </c>
      <c r="G24" s="1687">
        <f>E24*F24</f>
        <v>5045.37</v>
      </c>
      <c r="H24" s="145"/>
    </row>
    <row r="25" spans="1:15" ht="18" customHeight="1">
      <c r="A25" s="156">
        <v>18</v>
      </c>
      <c r="B25" s="1185" t="s">
        <v>31</v>
      </c>
      <c r="C25" s="1186">
        <v>7130610206</v>
      </c>
      <c r="D25" s="1181" t="s">
        <v>26</v>
      </c>
      <c r="E25" s="156">
        <v>66</v>
      </c>
      <c r="F25" s="734">
        <f>VLOOKUP(C25,'SOR RATE'!A:D,4,0)/1000</f>
        <v>97.233429999999998</v>
      </c>
      <c r="G25" s="1687">
        <f>E25*F25</f>
        <v>6417.4063800000004</v>
      </c>
      <c r="H25" s="56"/>
      <c r="I25" s="16"/>
      <c r="N25" s="17"/>
      <c r="O25" s="17"/>
    </row>
    <row r="26" spans="1:15" ht="15">
      <c r="A26" s="156">
        <v>19</v>
      </c>
      <c r="B26" s="1690" t="s">
        <v>128</v>
      </c>
      <c r="C26" s="160">
        <v>7130880041</v>
      </c>
      <c r="D26" s="160" t="s">
        <v>68</v>
      </c>
      <c r="E26" s="160">
        <v>33</v>
      </c>
      <c r="F26" s="734">
        <f>VLOOKUP(C26,'SOR RATE'!A:D,4,0)</f>
        <v>113.77</v>
      </c>
      <c r="G26" s="1687">
        <f>E26*F26</f>
        <v>3754.41</v>
      </c>
      <c r="H26" s="145"/>
    </row>
    <row r="27" spans="1:15" ht="30" customHeight="1">
      <c r="A27" s="156">
        <v>20</v>
      </c>
      <c r="B27" s="1688" t="s">
        <v>200</v>
      </c>
      <c r="C27" s="1691">
        <v>7130200202</v>
      </c>
      <c r="D27" s="156" t="s">
        <v>76</v>
      </c>
      <c r="E27" s="156">
        <f>(33*0.65)+(12*0.3)</f>
        <v>25.049999999999997</v>
      </c>
      <c r="F27" s="734">
        <f>VLOOKUP(C27,'SOR RATE'!A:D,4,0)</f>
        <v>2970</v>
      </c>
      <c r="G27" s="1687">
        <f>E27*F27</f>
        <v>74398.499999999985</v>
      </c>
      <c r="H27" s="225" t="s">
        <v>47</v>
      </c>
      <c r="I27" s="168"/>
    </row>
    <row r="28" spans="1:15" ht="15.75">
      <c r="A28" s="3294">
        <v>21</v>
      </c>
      <c r="B28" s="1212" t="s">
        <v>163</v>
      </c>
      <c r="C28" s="921"/>
      <c r="D28" s="1183" t="s">
        <v>26</v>
      </c>
      <c r="E28" s="1477">
        <v>40</v>
      </c>
      <c r="F28" s="735"/>
      <c r="G28" s="734"/>
      <c r="H28" s="145"/>
    </row>
    <row r="29" spans="1:15" ht="15">
      <c r="A29" s="3295"/>
      <c r="B29" s="1693" t="s">
        <v>111</v>
      </c>
      <c r="C29" s="1186">
        <v>7130620614</v>
      </c>
      <c r="D29" s="1183" t="s">
        <v>26</v>
      </c>
      <c r="E29" s="1477">
        <v>26</v>
      </c>
      <c r="F29" s="734">
        <f>VLOOKUP(C29,'SOR RATE'!A:D,4,0)</f>
        <v>85.77</v>
      </c>
      <c r="G29" s="734">
        <f>E29*F29</f>
        <v>2230.02</v>
      </c>
      <c r="H29" s="145"/>
    </row>
    <row r="30" spans="1:15" ht="15">
      <c r="A30" s="3296"/>
      <c r="B30" s="1693" t="s">
        <v>80</v>
      </c>
      <c r="C30" s="1186">
        <v>7130620631</v>
      </c>
      <c r="D30" s="1183" t="s">
        <v>26</v>
      </c>
      <c r="E30" s="1477">
        <v>14</v>
      </c>
      <c r="F30" s="734">
        <f>VLOOKUP(C30,'SOR RATE'!A:D,4,0)</f>
        <v>84.32</v>
      </c>
      <c r="G30" s="734">
        <f>E30*F30</f>
        <v>1180.48</v>
      </c>
      <c r="H30" s="145"/>
    </row>
    <row r="31" spans="1:15" ht="16.5" customHeight="1">
      <c r="A31" s="949">
        <v>22</v>
      </c>
      <c r="B31" s="1719" t="s">
        <v>48</v>
      </c>
      <c r="C31" s="1696"/>
      <c r="D31" s="1696"/>
      <c r="E31" s="1696"/>
      <c r="F31" s="1720"/>
      <c r="G31" s="1698">
        <f>SUM(G8:G30)</f>
        <v>2251927.5491760001</v>
      </c>
      <c r="H31" s="226"/>
      <c r="I31" s="175"/>
    </row>
    <row r="32" spans="1:15" ht="16.5" customHeight="1">
      <c r="A32" s="950">
        <v>23</v>
      </c>
      <c r="B32" s="1191" t="s">
        <v>49</v>
      </c>
      <c r="C32" s="1696"/>
      <c r="D32" s="1696"/>
      <c r="E32" s="1696"/>
      <c r="F32" s="1720"/>
      <c r="G32" s="1698">
        <f>G31/1.18</f>
        <v>1908413.1772677968</v>
      </c>
      <c r="H32" s="226"/>
      <c r="I32" s="175"/>
    </row>
    <row r="33" spans="1:12" ht="16.5" customHeight="1">
      <c r="A33" s="1196">
        <v>24</v>
      </c>
      <c r="B33" s="1185" t="s">
        <v>50</v>
      </c>
      <c r="C33" s="1699"/>
      <c r="D33" s="1699"/>
      <c r="E33" s="1699"/>
      <c r="F33" s="1721">
        <v>7.4999999999999997E-2</v>
      </c>
      <c r="G33" s="1687">
        <f>G31*F33</f>
        <v>168894.5661882</v>
      </c>
      <c r="H33" s="226"/>
      <c r="I33" s="175"/>
    </row>
    <row r="34" spans="1:12" ht="16.5" customHeight="1">
      <c r="A34" s="1181">
        <v>25</v>
      </c>
      <c r="B34" s="1203" t="s">
        <v>1417</v>
      </c>
      <c r="C34" s="1470"/>
      <c r="D34" s="1470"/>
      <c r="E34" s="1470"/>
      <c r="F34" s="1722"/>
      <c r="G34" s="734">
        <v>258326.35</v>
      </c>
      <c r="H34" s="200"/>
    </row>
    <row r="35" spans="1:12" ht="16.5" customHeight="1">
      <c r="A35" s="1181">
        <v>26</v>
      </c>
      <c r="B35" s="1706" t="s">
        <v>82</v>
      </c>
      <c r="C35" s="1723"/>
      <c r="D35" s="1181" t="s">
        <v>76</v>
      </c>
      <c r="E35" s="1724">
        <v>25.05</v>
      </c>
      <c r="F35" s="1202">
        <f>665.173187113158*1.043</f>
        <v>693.77563415902364</v>
      </c>
      <c r="G35" s="734">
        <f>E35*F35</f>
        <v>17379.079635683542</v>
      </c>
      <c r="H35" s="59"/>
    </row>
    <row r="36" spans="1:12" ht="17.25" customHeight="1">
      <c r="A36" s="1181">
        <v>27</v>
      </c>
      <c r="B36" s="1182" t="s">
        <v>1418</v>
      </c>
      <c r="C36" s="1185"/>
      <c r="D36" s="1185"/>
      <c r="E36" s="1185"/>
      <c r="F36" s="1695"/>
      <c r="G36" s="1210">
        <f>G32*0.04</f>
        <v>76336.527090711868</v>
      </c>
      <c r="H36" s="737" t="s">
        <v>1827</v>
      </c>
      <c r="I36" s="26"/>
      <c r="L36" s="12"/>
    </row>
    <row r="37" spans="1:12" ht="17.25" customHeight="1">
      <c r="A37" s="1181">
        <v>28</v>
      </c>
      <c r="B37" s="1200" t="s">
        <v>201</v>
      </c>
      <c r="C37" s="1187"/>
      <c r="D37" s="1187" t="s">
        <v>68</v>
      </c>
      <c r="E37" s="1260">
        <v>33</v>
      </c>
      <c r="F37" s="734">
        <f>3020.136673395*1.043</f>
        <v>3150.0025503509846</v>
      </c>
      <c r="G37" s="734">
        <f>E37*F37</f>
        <v>103950.08416158249</v>
      </c>
      <c r="H37" s="202"/>
      <c r="I37" s="180"/>
      <c r="L37" s="418"/>
    </row>
    <row r="38" spans="1:12" ht="44.25" customHeight="1">
      <c r="A38" s="1181">
        <v>29</v>
      </c>
      <c r="B38" s="1233" t="s">
        <v>202</v>
      </c>
      <c r="C38" s="1187"/>
      <c r="D38" s="1187"/>
      <c r="E38" s="1260"/>
      <c r="F38" s="734"/>
      <c r="G38" s="734">
        <f>(G31+G33+G34+G35+G36+G37)*0.125</f>
        <v>359601.76953152224</v>
      </c>
      <c r="H38" s="202"/>
      <c r="I38" s="179"/>
      <c r="J38" s="12"/>
      <c r="L38" s="28"/>
    </row>
    <row r="39" spans="1:12" ht="30">
      <c r="A39" s="931">
        <v>30</v>
      </c>
      <c r="B39" s="1214" t="s">
        <v>203</v>
      </c>
      <c r="C39" s="1187"/>
      <c r="D39" s="1187"/>
      <c r="E39" s="1260"/>
      <c r="F39" s="734"/>
      <c r="G39" s="1193">
        <f>SUM(G32:G38)</f>
        <v>2892901.5538754971</v>
      </c>
      <c r="H39" s="202"/>
      <c r="I39" s="180"/>
    </row>
    <row r="40" spans="1:12" ht="17.25" customHeight="1">
      <c r="A40" s="1181">
        <v>31</v>
      </c>
      <c r="B40" s="1185" t="s">
        <v>204</v>
      </c>
      <c r="C40" s="1187"/>
      <c r="D40" s="1187"/>
      <c r="E40" s="1260"/>
      <c r="F40" s="734">
        <v>0.09</v>
      </c>
      <c r="G40" s="734">
        <f>G39*F40</f>
        <v>260361.13984879473</v>
      </c>
      <c r="H40" s="202"/>
      <c r="I40" s="180"/>
    </row>
    <row r="41" spans="1:12" ht="17.25" customHeight="1">
      <c r="A41" s="1181">
        <v>32</v>
      </c>
      <c r="B41" s="1185" t="s">
        <v>205</v>
      </c>
      <c r="C41" s="1187"/>
      <c r="D41" s="1187"/>
      <c r="E41" s="1260"/>
      <c r="F41" s="734">
        <v>0.09</v>
      </c>
      <c r="G41" s="734">
        <f>G39*F41</f>
        <v>260361.13984879473</v>
      </c>
      <c r="H41" s="60"/>
      <c r="I41" s="180"/>
    </row>
    <row r="42" spans="1:12" ht="30.75" customHeight="1">
      <c r="A42" s="1181">
        <v>33</v>
      </c>
      <c r="B42" s="1185" t="s">
        <v>206</v>
      </c>
      <c r="C42" s="1182"/>
      <c r="D42" s="1182"/>
      <c r="E42" s="1182"/>
      <c r="F42" s="1182"/>
      <c r="G42" s="734">
        <f>G39+G40+G41</f>
        <v>3413623.8335730867</v>
      </c>
      <c r="H42" s="145"/>
      <c r="I42" s="227"/>
    </row>
    <row r="43" spans="1:12" ht="18" customHeight="1">
      <c r="A43" s="931">
        <v>34</v>
      </c>
      <c r="B43" s="1214" t="s">
        <v>59</v>
      </c>
      <c r="C43" s="1295"/>
      <c r="D43" s="1295"/>
      <c r="E43" s="1295"/>
      <c r="F43" s="1295"/>
      <c r="G43" s="1193">
        <f>ROUND(G42,0)</f>
        <v>3413624</v>
      </c>
      <c r="H43" s="145"/>
    </row>
    <row r="44" spans="1:12" ht="15">
      <c r="A44" s="144"/>
      <c r="B44" s="182"/>
      <c r="C44" s="182"/>
      <c r="D44" s="183"/>
      <c r="E44" s="184"/>
      <c r="F44" s="184"/>
    </row>
    <row r="45" spans="1:12" ht="15">
      <c r="A45" s="144"/>
      <c r="B45" s="145"/>
      <c r="C45" s="145"/>
      <c r="D45" s="145"/>
      <c r="E45" s="145"/>
      <c r="F45" s="145"/>
    </row>
  </sheetData>
  <mergeCells count="4">
    <mergeCell ref="B1:F1"/>
    <mergeCell ref="F2:G2"/>
    <mergeCell ref="A3:G3"/>
    <mergeCell ref="A28:A30"/>
  </mergeCells>
  <conditionalFormatting sqref="B31">
    <cfRule type="cellIs" dxfId="100" priority="2" stopIfTrue="1" operator="equal">
      <formula>"?"</formula>
    </cfRule>
  </conditionalFormatting>
  <conditionalFormatting sqref="B32">
    <cfRule type="cellIs" dxfId="99" priority="1" stopIfTrue="1" operator="equal">
      <formula>"?"</formula>
    </cfRule>
  </conditionalFormatting>
  <pageMargins left="1.02" right="0.15" top="0.78" bottom="0.35" header="0.5" footer="0.19"/>
  <pageSetup paperSize="9" scale="125"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T47"/>
  <sheetViews>
    <sheetView zoomScaleSheetLayoutView="55" workbookViewId="0">
      <pane xSplit="3" ySplit="8" topLeftCell="D41" activePane="bottomRight" state="frozen"/>
      <selection pane="topRight" activeCell="D1" sqref="D1"/>
      <selection pane="bottomLeft" activeCell="A9" sqref="A9"/>
      <selection pane="bottomRight" activeCell="L41" sqref="L41"/>
    </sheetView>
  </sheetViews>
  <sheetFormatPr defaultRowHeight="14.25"/>
  <cols>
    <col min="1" max="1" width="6.42578125" style="185" customWidth="1"/>
    <col min="2" max="2" width="54.5703125" style="186" customWidth="1"/>
    <col min="3" max="3" width="13.28515625" style="240" customWidth="1"/>
    <col min="4" max="4" width="6" style="186" customWidth="1"/>
    <col min="5" max="5" width="7" style="186" bestFit="1" customWidth="1"/>
    <col min="6" max="6" width="9.140625" style="186" customWidth="1"/>
    <col min="7" max="7" width="10.85546875" style="186" customWidth="1"/>
    <col min="8" max="8" width="5.7109375" style="186" customWidth="1"/>
    <col min="9" max="9" width="9.28515625" style="186" customWidth="1"/>
    <col min="10" max="10" width="10.42578125" style="186" customWidth="1"/>
    <col min="11" max="11" width="18.7109375" style="186" customWidth="1"/>
    <col min="12" max="12" width="17.85546875" style="186" customWidth="1"/>
    <col min="13" max="13" width="13.42578125" style="186" customWidth="1"/>
    <col min="14" max="14" width="11.7109375" style="186" customWidth="1"/>
    <col min="15" max="15" width="12.140625" style="186" customWidth="1"/>
    <col min="16" max="16" width="14.140625" style="186" customWidth="1"/>
    <col min="17" max="256" width="9.140625" style="186"/>
    <col min="257" max="257" width="6.42578125" style="186" customWidth="1"/>
    <col min="258" max="258" width="54.5703125" style="186" customWidth="1"/>
    <col min="259" max="259" width="13.28515625" style="186" customWidth="1"/>
    <col min="260" max="260" width="6" style="186" customWidth="1"/>
    <col min="261" max="261" width="7" style="186" bestFit="1" customWidth="1"/>
    <col min="262" max="262" width="10" style="186" bestFit="1" customWidth="1"/>
    <col min="263" max="263" width="13.5703125" style="186" bestFit="1" customWidth="1"/>
    <col min="264" max="264" width="5.7109375" style="186" customWidth="1"/>
    <col min="265" max="265" width="10" style="186" bestFit="1" customWidth="1"/>
    <col min="266" max="266" width="10.42578125" style="186" customWidth="1"/>
    <col min="267" max="267" width="18.7109375" style="186" customWidth="1"/>
    <col min="268" max="268" width="17.85546875" style="186" customWidth="1"/>
    <col min="269" max="269" width="13.42578125" style="186" customWidth="1"/>
    <col min="270" max="270" width="11.7109375" style="186" customWidth="1"/>
    <col min="271" max="271" width="12.140625" style="186" customWidth="1"/>
    <col min="272" max="272" width="14.140625" style="186" customWidth="1"/>
    <col min="273" max="512" width="9.140625" style="186"/>
    <col min="513" max="513" width="6.42578125" style="186" customWidth="1"/>
    <col min="514" max="514" width="54.5703125" style="186" customWidth="1"/>
    <col min="515" max="515" width="13.28515625" style="186" customWidth="1"/>
    <col min="516" max="516" width="6" style="186" customWidth="1"/>
    <col min="517" max="517" width="7" style="186" bestFit="1" customWidth="1"/>
    <col min="518" max="518" width="10" style="186" bestFit="1" customWidth="1"/>
    <col min="519" max="519" width="13.5703125" style="186" bestFit="1" customWidth="1"/>
    <col min="520" max="520" width="5.7109375" style="186" customWidth="1"/>
    <col min="521" max="521" width="10" style="186" bestFit="1" customWidth="1"/>
    <col min="522" max="522" width="10.42578125" style="186" customWidth="1"/>
    <col min="523" max="523" width="18.7109375" style="186" customWidth="1"/>
    <col min="524" max="524" width="17.85546875" style="186" customWidth="1"/>
    <col min="525" max="525" width="13.42578125" style="186" customWidth="1"/>
    <col min="526" max="526" width="11.7109375" style="186" customWidth="1"/>
    <col min="527" max="527" width="12.140625" style="186" customWidth="1"/>
    <col min="528" max="528" width="14.140625" style="186" customWidth="1"/>
    <col min="529" max="768" width="9.140625" style="186"/>
    <col min="769" max="769" width="6.42578125" style="186" customWidth="1"/>
    <col min="770" max="770" width="54.5703125" style="186" customWidth="1"/>
    <col min="771" max="771" width="13.28515625" style="186" customWidth="1"/>
    <col min="772" max="772" width="6" style="186" customWidth="1"/>
    <col min="773" max="773" width="7" style="186" bestFit="1" customWidth="1"/>
    <col min="774" max="774" width="10" style="186" bestFit="1" customWidth="1"/>
    <col min="775" max="775" width="13.5703125" style="186" bestFit="1" customWidth="1"/>
    <col min="776" max="776" width="5.7109375" style="186" customWidth="1"/>
    <col min="777" max="777" width="10" style="186" bestFit="1" customWidth="1"/>
    <col min="778" max="778" width="10.42578125" style="186" customWidth="1"/>
    <col min="779" max="779" width="18.7109375" style="186" customWidth="1"/>
    <col min="780" max="780" width="17.85546875" style="186" customWidth="1"/>
    <col min="781" max="781" width="13.42578125" style="186" customWidth="1"/>
    <col min="782" max="782" width="11.7109375" style="186" customWidth="1"/>
    <col min="783" max="783" width="12.140625" style="186" customWidth="1"/>
    <col min="784" max="784" width="14.140625" style="186" customWidth="1"/>
    <col min="785" max="1024" width="9.140625" style="186"/>
    <col min="1025" max="1025" width="6.42578125" style="186" customWidth="1"/>
    <col min="1026" max="1026" width="54.5703125" style="186" customWidth="1"/>
    <col min="1027" max="1027" width="13.28515625" style="186" customWidth="1"/>
    <col min="1028" max="1028" width="6" style="186" customWidth="1"/>
    <col min="1029" max="1029" width="7" style="186" bestFit="1" customWidth="1"/>
    <col min="1030" max="1030" width="10" style="186" bestFit="1" customWidth="1"/>
    <col min="1031" max="1031" width="13.5703125" style="186" bestFit="1" customWidth="1"/>
    <col min="1032" max="1032" width="5.7109375" style="186" customWidth="1"/>
    <col min="1033" max="1033" width="10" style="186" bestFit="1" customWidth="1"/>
    <col min="1034" max="1034" width="10.42578125" style="186" customWidth="1"/>
    <col min="1035" max="1035" width="18.7109375" style="186" customWidth="1"/>
    <col min="1036" max="1036" width="17.85546875" style="186" customWidth="1"/>
    <col min="1037" max="1037" width="13.42578125" style="186" customWidth="1"/>
    <col min="1038" max="1038" width="11.7109375" style="186" customWidth="1"/>
    <col min="1039" max="1039" width="12.140625" style="186" customWidth="1"/>
    <col min="1040" max="1040" width="14.140625" style="186" customWidth="1"/>
    <col min="1041" max="1280" width="9.140625" style="186"/>
    <col min="1281" max="1281" width="6.42578125" style="186" customWidth="1"/>
    <col min="1282" max="1282" width="54.5703125" style="186" customWidth="1"/>
    <col min="1283" max="1283" width="13.28515625" style="186" customWidth="1"/>
    <col min="1284" max="1284" width="6" style="186" customWidth="1"/>
    <col min="1285" max="1285" width="7" style="186" bestFit="1" customWidth="1"/>
    <col min="1286" max="1286" width="10" style="186" bestFit="1" customWidth="1"/>
    <col min="1287" max="1287" width="13.5703125" style="186" bestFit="1" customWidth="1"/>
    <col min="1288" max="1288" width="5.7109375" style="186" customWidth="1"/>
    <col min="1289" max="1289" width="10" style="186" bestFit="1" customWidth="1"/>
    <col min="1290" max="1290" width="10.42578125" style="186" customWidth="1"/>
    <col min="1291" max="1291" width="18.7109375" style="186" customWidth="1"/>
    <col min="1292" max="1292" width="17.85546875" style="186" customWidth="1"/>
    <col min="1293" max="1293" width="13.42578125" style="186" customWidth="1"/>
    <col min="1294" max="1294" width="11.7109375" style="186" customWidth="1"/>
    <col min="1295" max="1295" width="12.140625" style="186" customWidth="1"/>
    <col min="1296" max="1296" width="14.140625" style="186" customWidth="1"/>
    <col min="1297" max="1536" width="9.140625" style="186"/>
    <col min="1537" max="1537" width="6.42578125" style="186" customWidth="1"/>
    <col min="1538" max="1538" width="54.5703125" style="186" customWidth="1"/>
    <col min="1539" max="1539" width="13.28515625" style="186" customWidth="1"/>
    <col min="1540" max="1540" width="6" style="186" customWidth="1"/>
    <col min="1541" max="1541" width="7" style="186" bestFit="1" customWidth="1"/>
    <col min="1542" max="1542" width="10" style="186" bestFit="1" customWidth="1"/>
    <col min="1543" max="1543" width="13.5703125" style="186" bestFit="1" customWidth="1"/>
    <col min="1544" max="1544" width="5.7109375" style="186" customWidth="1"/>
    <col min="1545" max="1545" width="10" style="186" bestFit="1" customWidth="1"/>
    <col min="1546" max="1546" width="10.42578125" style="186" customWidth="1"/>
    <col min="1547" max="1547" width="18.7109375" style="186" customWidth="1"/>
    <col min="1548" max="1548" width="17.85546875" style="186" customWidth="1"/>
    <col min="1549" max="1549" width="13.42578125" style="186" customWidth="1"/>
    <col min="1550" max="1550" width="11.7109375" style="186" customWidth="1"/>
    <col min="1551" max="1551" width="12.140625" style="186" customWidth="1"/>
    <col min="1552" max="1552" width="14.140625" style="186" customWidth="1"/>
    <col min="1553" max="1792" width="9.140625" style="186"/>
    <col min="1793" max="1793" width="6.42578125" style="186" customWidth="1"/>
    <col min="1794" max="1794" width="54.5703125" style="186" customWidth="1"/>
    <col min="1795" max="1795" width="13.28515625" style="186" customWidth="1"/>
    <col min="1796" max="1796" width="6" style="186" customWidth="1"/>
    <col min="1797" max="1797" width="7" style="186" bestFit="1" customWidth="1"/>
    <col min="1798" max="1798" width="10" style="186" bestFit="1" customWidth="1"/>
    <col min="1799" max="1799" width="13.5703125" style="186" bestFit="1" customWidth="1"/>
    <col min="1800" max="1800" width="5.7109375" style="186" customWidth="1"/>
    <col min="1801" max="1801" width="10" style="186" bestFit="1" customWidth="1"/>
    <col min="1802" max="1802" width="10.42578125" style="186" customWidth="1"/>
    <col min="1803" max="1803" width="18.7109375" style="186" customWidth="1"/>
    <col min="1804" max="1804" width="17.85546875" style="186" customWidth="1"/>
    <col min="1805" max="1805" width="13.42578125" style="186" customWidth="1"/>
    <col min="1806" max="1806" width="11.7109375" style="186" customWidth="1"/>
    <col min="1807" max="1807" width="12.140625" style="186" customWidth="1"/>
    <col min="1808" max="1808" width="14.140625" style="186" customWidth="1"/>
    <col min="1809" max="2048" width="9.140625" style="186"/>
    <col min="2049" max="2049" width="6.42578125" style="186" customWidth="1"/>
    <col min="2050" max="2050" width="54.5703125" style="186" customWidth="1"/>
    <col min="2051" max="2051" width="13.28515625" style="186" customWidth="1"/>
    <col min="2052" max="2052" width="6" style="186" customWidth="1"/>
    <col min="2053" max="2053" width="7" style="186" bestFit="1" customWidth="1"/>
    <col min="2054" max="2054" width="10" style="186" bestFit="1" customWidth="1"/>
    <col min="2055" max="2055" width="13.5703125" style="186" bestFit="1" customWidth="1"/>
    <col min="2056" max="2056" width="5.7109375" style="186" customWidth="1"/>
    <col min="2057" max="2057" width="10" style="186" bestFit="1" customWidth="1"/>
    <col min="2058" max="2058" width="10.42578125" style="186" customWidth="1"/>
    <col min="2059" max="2059" width="18.7109375" style="186" customWidth="1"/>
    <col min="2060" max="2060" width="17.85546875" style="186" customWidth="1"/>
    <col min="2061" max="2061" width="13.42578125" style="186" customWidth="1"/>
    <col min="2062" max="2062" width="11.7109375" style="186" customWidth="1"/>
    <col min="2063" max="2063" width="12.140625" style="186" customWidth="1"/>
    <col min="2064" max="2064" width="14.140625" style="186" customWidth="1"/>
    <col min="2065" max="2304" width="9.140625" style="186"/>
    <col min="2305" max="2305" width="6.42578125" style="186" customWidth="1"/>
    <col min="2306" max="2306" width="54.5703125" style="186" customWidth="1"/>
    <col min="2307" max="2307" width="13.28515625" style="186" customWidth="1"/>
    <col min="2308" max="2308" width="6" style="186" customWidth="1"/>
    <col min="2309" max="2309" width="7" style="186" bestFit="1" customWidth="1"/>
    <col min="2310" max="2310" width="10" style="186" bestFit="1" customWidth="1"/>
    <col min="2311" max="2311" width="13.5703125" style="186" bestFit="1" customWidth="1"/>
    <col min="2312" max="2312" width="5.7109375" style="186" customWidth="1"/>
    <col min="2313" max="2313" width="10" style="186" bestFit="1" customWidth="1"/>
    <col min="2314" max="2314" width="10.42578125" style="186" customWidth="1"/>
    <col min="2315" max="2315" width="18.7109375" style="186" customWidth="1"/>
    <col min="2316" max="2316" width="17.85546875" style="186" customWidth="1"/>
    <col min="2317" max="2317" width="13.42578125" style="186" customWidth="1"/>
    <col min="2318" max="2318" width="11.7109375" style="186" customWidth="1"/>
    <col min="2319" max="2319" width="12.140625" style="186" customWidth="1"/>
    <col min="2320" max="2320" width="14.140625" style="186" customWidth="1"/>
    <col min="2321" max="2560" width="9.140625" style="186"/>
    <col min="2561" max="2561" width="6.42578125" style="186" customWidth="1"/>
    <col min="2562" max="2562" width="54.5703125" style="186" customWidth="1"/>
    <col min="2563" max="2563" width="13.28515625" style="186" customWidth="1"/>
    <col min="2564" max="2564" width="6" style="186" customWidth="1"/>
    <col min="2565" max="2565" width="7" style="186" bestFit="1" customWidth="1"/>
    <col min="2566" max="2566" width="10" style="186" bestFit="1" customWidth="1"/>
    <col min="2567" max="2567" width="13.5703125" style="186" bestFit="1" customWidth="1"/>
    <col min="2568" max="2568" width="5.7109375" style="186" customWidth="1"/>
    <col min="2569" max="2569" width="10" style="186" bestFit="1" customWidth="1"/>
    <col min="2570" max="2570" width="10.42578125" style="186" customWidth="1"/>
    <col min="2571" max="2571" width="18.7109375" style="186" customWidth="1"/>
    <col min="2572" max="2572" width="17.85546875" style="186" customWidth="1"/>
    <col min="2573" max="2573" width="13.42578125" style="186" customWidth="1"/>
    <col min="2574" max="2574" width="11.7109375" style="186" customWidth="1"/>
    <col min="2575" max="2575" width="12.140625" style="186" customWidth="1"/>
    <col min="2576" max="2576" width="14.140625" style="186" customWidth="1"/>
    <col min="2577" max="2816" width="9.140625" style="186"/>
    <col min="2817" max="2817" width="6.42578125" style="186" customWidth="1"/>
    <col min="2818" max="2818" width="54.5703125" style="186" customWidth="1"/>
    <col min="2819" max="2819" width="13.28515625" style="186" customWidth="1"/>
    <col min="2820" max="2820" width="6" style="186" customWidth="1"/>
    <col min="2821" max="2821" width="7" style="186" bestFit="1" customWidth="1"/>
    <col min="2822" max="2822" width="10" style="186" bestFit="1" customWidth="1"/>
    <col min="2823" max="2823" width="13.5703125" style="186" bestFit="1" customWidth="1"/>
    <col min="2824" max="2824" width="5.7109375" style="186" customWidth="1"/>
    <col min="2825" max="2825" width="10" style="186" bestFit="1" customWidth="1"/>
    <col min="2826" max="2826" width="10.42578125" style="186" customWidth="1"/>
    <col min="2827" max="2827" width="18.7109375" style="186" customWidth="1"/>
    <col min="2828" max="2828" width="17.85546875" style="186" customWidth="1"/>
    <col min="2829" max="2829" width="13.42578125" style="186" customWidth="1"/>
    <col min="2830" max="2830" width="11.7109375" style="186" customWidth="1"/>
    <col min="2831" max="2831" width="12.140625" style="186" customWidth="1"/>
    <col min="2832" max="2832" width="14.140625" style="186" customWidth="1"/>
    <col min="2833" max="3072" width="9.140625" style="186"/>
    <col min="3073" max="3073" width="6.42578125" style="186" customWidth="1"/>
    <col min="3074" max="3074" width="54.5703125" style="186" customWidth="1"/>
    <col min="3075" max="3075" width="13.28515625" style="186" customWidth="1"/>
    <col min="3076" max="3076" width="6" style="186" customWidth="1"/>
    <col min="3077" max="3077" width="7" style="186" bestFit="1" customWidth="1"/>
    <col min="3078" max="3078" width="10" style="186" bestFit="1" customWidth="1"/>
    <col min="3079" max="3079" width="13.5703125" style="186" bestFit="1" customWidth="1"/>
    <col min="3080" max="3080" width="5.7109375" style="186" customWidth="1"/>
    <col min="3081" max="3081" width="10" style="186" bestFit="1" customWidth="1"/>
    <col min="3082" max="3082" width="10.42578125" style="186" customWidth="1"/>
    <col min="3083" max="3083" width="18.7109375" style="186" customWidth="1"/>
    <col min="3084" max="3084" width="17.85546875" style="186" customWidth="1"/>
    <col min="3085" max="3085" width="13.42578125" style="186" customWidth="1"/>
    <col min="3086" max="3086" width="11.7109375" style="186" customWidth="1"/>
    <col min="3087" max="3087" width="12.140625" style="186" customWidth="1"/>
    <col min="3088" max="3088" width="14.140625" style="186" customWidth="1"/>
    <col min="3089" max="3328" width="9.140625" style="186"/>
    <col min="3329" max="3329" width="6.42578125" style="186" customWidth="1"/>
    <col min="3330" max="3330" width="54.5703125" style="186" customWidth="1"/>
    <col min="3331" max="3331" width="13.28515625" style="186" customWidth="1"/>
    <col min="3332" max="3332" width="6" style="186" customWidth="1"/>
    <col min="3333" max="3333" width="7" style="186" bestFit="1" customWidth="1"/>
    <col min="3334" max="3334" width="10" style="186" bestFit="1" customWidth="1"/>
    <col min="3335" max="3335" width="13.5703125" style="186" bestFit="1" customWidth="1"/>
    <col min="3336" max="3336" width="5.7109375" style="186" customWidth="1"/>
    <col min="3337" max="3337" width="10" style="186" bestFit="1" customWidth="1"/>
    <col min="3338" max="3338" width="10.42578125" style="186" customWidth="1"/>
    <col min="3339" max="3339" width="18.7109375" style="186" customWidth="1"/>
    <col min="3340" max="3340" width="17.85546875" style="186" customWidth="1"/>
    <col min="3341" max="3341" width="13.42578125" style="186" customWidth="1"/>
    <col min="3342" max="3342" width="11.7109375" style="186" customWidth="1"/>
    <col min="3343" max="3343" width="12.140625" style="186" customWidth="1"/>
    <col min="3344" max="3344" width="14.140625" style="186" customWidth="1"/>
    <col min="3345" max="3584" width="9.140625" style="186"/>
    <col min="3585" max="3585" width="6.42578125" style="186" customWidth="1"/>
    <col min="3586" max="3586" width="54.5703125" style="186" customWidth="1"/>
    <col min="3587" max="3587" width="13.28515625" style="186" customWidth="1"/>
    <col min="3588" max="3588" width="6" style="186" customWidth="1"/>
    <col min="3589" max="3589" width="7" style="186" bestFit="1" customWidth="1"/>
    <col min="3590" max="3590" width="10" style="186" bestFit="1" customWidth="1"/>
    <col min="3591" max="3591" width="13.5703125" style="186" bestFit="1" customWidth="1"/>
    <col min="3592" max="3592" width="5.7109375" style="186" customWidth="1"/>
    <col min="3593" max="3593" width="10" style="186" bestFit="1" customWidth="1"/>
    <col min="3594" max="3594" width="10.42578125" style="186" customWidth="1"/>
    <col min="3595" max="3595" width="18.7109375" style="186" customWidth="1"/>
    <col min="3596" max="3596" width="17.85546875" style="186" customWidth="1"/>
    <col min="3597" max="3597" width="13.42578125" style="186" customWidth="1"/>
    <col min="3598" max="3598" width="11.7109375" style="186" customWidth="1"/>
    <col min="3599" max="3599" width="12.140625" style="186" customWidth="1"/>
    <col min="3600" max="3600" width="14.140625" style="186" customWidth="1"/>
    <col min="3601" max="3840" width="9.140625" style="186"/>
    <col min="3841" max="3841" width="6.42578125" style="186" customWidth="1"/>
    <col min="3842" max="3842" width="54.5703125" style="186" customWidth="1"/>
    <col min="3843" max="3843" width="13.28515625" style="186" customWidth="1"/>
    <col min="3844" max="3844" width="6" style="186" customWidth="1"/>
    <col min="3845" max="3845" width="7" style="186" bestFit="1" customWidth="1"/>
    <col min="3846" max="3846" width="10" style="186" bestFit="1" customWidth="1"/>
    <col min="3847" max="3847" width="13.5703125" style="186" bestFit="1" customWidth="1"/>
    <col min="3848" max="3848" width="5.7109375" style="186" customWidth="1"/>
    <col min="3849" max="3849" width="10" style="186" bestFit="1" customWidth="1"/>
    <col min="3850" max="3850" width="10.42578125" style="186" customWidth="1"/>
    <col min="3851" max="3851" width="18.7109375" style="186" customWidth="1"/>
    <col min="3852" max="3852" width="17.85546875" style="186" customWidth="1"/>
    <col min="3853" max="3853" width="13.42578125" style="186" customWidth="1"/>
    <col min="3854" max="3854" width="11.7109375" style="186" customWidth="1"/>
    <col min="3855" max="3855" width="12.140625" style="186" customWidth="1"/>
    <col min="3856" max="3856" width="14.140625" style="186" customWidth="1"/>
    <col min="3857" max="4096" width="9.140625" style="186"/>
    <col min="4097" max="4097" width="6.42578125" style="186" customWidth="1"/>
    <col min="4098" max="4098" width="54.5703125" style="186" customWidth="1"/>
    <col min="4099" max="4099" width="13.28515625" style="186" customWidth="1"/>
    <col min="4100" max="4100" width="6" style="186" customWidth="1"/>
    <col min="4101" max="4101" width="7" style="186" bestFit="1" customWidth="1"/>
    <col min="4102" max="4102" width="10" style="186" bestFit="1" customWidth="1"/>
    <col min="4103" max="4103" width="13.5703125" style="186" bestFit="1" customWidth="1"/>
    <col min="4104" max="4104" width="5.7109375" style="186" customWidth="1"/>
    <col min="4105" max="4105" width="10" style="186" bestFit="1" customWidth="1"/>
    <col min="4106" max="4106" width="10.42578125" style="186" customWidth="1"/>
    <col min="4107" max="4107" width="18.7109375" style="186" customWidth="1"/>
    <col min="4108" max="4108" width="17.85546875" style="186" customWidth="1"/>
    <col min="4109" max="4109" width="13.42578125" style="186" customWidth="1"/>
    <col min="4110" max="4110" width="11.7109375" style="186" customWidth="1"/>
    <col min="4111" max="4111" width="12.140625" style="186" customWidth="1"/>
    <col min="4112" max="4112" width="14.140625" style="186" customWidth="1"/>
    <col min="4113" max="4352" width="9.140625" style="186"/>
    <col min="4353" max="4353" width="6.42578125" style="186" customWidth="1"/>
    <col min="4354" max="4354" width="54.5703125" style="186" customWidth="1"/>
    <col min="4355" max="4355" width="13.28515625" style="186" customWidth="1"/>
    <col min="4356" max="4356" width="6" style="186" customWidth="1"/>
    <col min="4357" max="4357" width="7" style="186" bestFit="1" customWidth="1"/>
    <col min="4358" max="4358" width="10" style="186" bestFit="1" customWidth="1"/>
    <col min="4359" max="4359" width="13.5703125" style="186" bestFit="1" customWidth="1"/>
    <col min="4360" max="4360" width="5.7109375" style="186" customWidth="1"/>
    <col min="4361" max="4361" width="10" style="186" bestFit="1" customWidth="1"/>
    <col min="4362" max="4362" width="10.42578125" style="186" customWidth="1"/>
    <col min="4363" max="4363" width="18.7109375" style="186" customWidth="1"/>
    <col min="4364" max="4364" width="17.85546875" style="186" customWidth="1"/>
    <col min="4365" max="4365" width="13.42578125" style="186" customWidth="1"/>
    <col min="4366" max="4366" width="11.7109375" style="186" customWidth="1"/>
    <col min="4367" max="4367" width="12.140625" style="186" customWidth="1"/>
    <col min="4368" max="4368" width="14.140625" style="186" customWidth="1"/>
    <col min="4369" max="4608" width="9.140625" style="186"/>
    <col min="4609" max="4609" width="6.42578125" style="186" customWidth="1"/>
    <col min="4610" max="4610" width="54.5703125" style="186" customWidth="1"/>
    <col min="4611" max="4611" width="13.28515625" style="186" customWidth="1"/>
    <col min="4612" max="4612" width="6" style="186" customWidth="1"/>
    <col min="4613" max="4613" width="7" style="186" bestFit="1" customWidth="1"/>
    <col min="4614" max="4614" width="10" style="186" bestFit="1" customWidth="1"/>
    <col min="4615" max="4615" width="13.5703125" style="186" bestFit="1" customWidth="1"/>
    <col min="4616" max="4616" width="5.7109375" style="186" customWidth="1"/>
    <col min="4617" max="4617" width="10" style="186" bestFit="1" customWidth="1"/>
    <col min="4618" max="4618" width="10.42578125" style="186" customWidth="1"/>
    <col min="4619" max="4619" width="18.7109375" style="186" customWidth="1"/>
    <col min="4620" max="4620" width="17.85546875" style="186" customWidth="1"/>
    <col min="4621" max="4621" width="13.42578125" style="186" customWidth="1"/>
    <col min="4622" max="4622" width="11.7109375" style="186" customWidth="1"/>
    <col min="4623" max="4623" width="12.140625" style="186" customWidth="1"/>
    <col min="4624" max="4624" width="14.140625" style="186" customWidth="1"/>
    <col min="4625" max="4864" width="9.140625" style="186"/>
    <col min="4865" max="4865" width="6.42578125" style="186" customWidth="1"/>
    <col min="4866" max="4866" width="54.5703125" style="186" customWidth="1"/>
    <col min="4867" max="4867" width="13.28515625" style="186" customWidth="1"/>
    <col min="4868" max="4868" width="6" style="186" customWidth="1"/>
    <col min="4869" max="4869" width="7" style="186" bestFit="1" customWidth="1"/>
    <col min="4870" max="4870" width="10" style="186" bestFit="1" customWidth="1"/>
    <col min="4871" max="4871" width="13.5703125" style="186" bestFit="1" customWidth="1"/>
    <col min="4872" max="4872" width="5.7109375" style="186" customWidth="1"/>
    <col min="4873" max="4873" width="10" style="186" bestFit="1" customWidth="1"/>
    <col min="4874" max="4874" width="10.42578125" style="186" customWidth="1"/>
    <col min="4875" max="4875" width="18.7109375" style="186" customWidth="1"/>
    <col min="4876" max="4876" width="17.85546875" style="186" customWidth="1"/>
    <col min="4877" max="4877" width="13.42578125" style="186" customWidth="1"/>
    <col min="4878" max="4878" width="11.7109375" style="186" customWidth="1"/>
    <col min="4879" max="4879" width="12.140625" style="186" customWidth="1"/>
    <col min="4880" max="4880" width="14.140625" style="186" customWidth="1"/>
    <col min="4881" max="5120" width="9.140625" style="186"/>
    <col min="5121" max="5121" width="6.42578125" style="186" customWidth="1"/>
    <col min="5122" max="5122" width="54.5703125" style="186" customWidth="1"/>
    <col min="5123" max="5123" width="13.28515625" style="186" customWidth="1"/>
    <col min="5124" max="5124" width="6" style="186" customWidth="1"/>
    <col min="5125" max="5125" width="7" style="186" bestFit="1" customWidth="1"/>
    <col min="5126" max="5126" width="10" style="186" bestFit="1" customWidth="1"/>
    <col min="5127" max="5127" width="13.5703125" style="186" bestFit="1" customWidth="1"/>
    <col min="5128" max="5128" width="5.7109375" style="186" customWidth="1"/>
    <col min="5129" max="5129" width="10" style="186" bestFit="1" customWidth="1"/>
    <col min="5130" max="5130" width="10.42578125" style="186" customWidth="1"/>
    <col min="5131" max="5131" width="18.7109375" style="186" customWidth="1"/>
    <col min="5132" max="5132" width="17.85546875" style="186" customWidth="1"/>
    <col min="5133" max="5133" width="13.42578125" style="186" customWidth="1"/>
    <col min="5134" max="5134" width="11.7109375" style="186" customWidth="1"/>
    <col min="5135" max="5135" width="12.140625" style="186" customWidth="1"/>
    <col min="5136" max="5136" width="14.140625" style="186" customWidth="1"/>
    <col min="5137" max="5376" width="9.140625" style="186"/>
    <col min="5377" max="5377" width="6.42578125" style="186" customWidth="1"/>
    <col min="5378" max="5378" width="54.5703125" style="186" customWidth="1"/>
    <col min="5379" max="5379" width="13.28515625" style="186" customWidth="1"/>
    <col min="5380" max="5380" width="6" style="186" customWidth="1"/>
    <col min="5381" max="5381" width="7" style="186" bestFit="1" customWidth="1"/>
    <col min="5382" max="5382" width="10" style="186" bestFit="1" customWidth="1"/>
    <col min="5383" max="5383" width="13.5703125" style="186" bestFit="1" customWidth="1"/>
    <col min="5384" max="5384" width="5.7109375" style="186" customWidth="1"/>
    <col min="5385" max="5385" width="10" style="186" bestFit="1" customWidth="1"/>
    <col min="5386" max="5386" width="10.42578125" style="186" customWidth="1"/>
    <col min="5387" max="5387" width="18.7109375" style="186" customWidth="1"/>
    <col min="5388" max="5388" width="17.85546875" style="186" customWidth="1"/>
    <col min="5389" max="5389" width="13.42578125" style="186" customWidth="1"/>
    <col min="5390" max="5390" width="11.7109375" style="186" customWidth="1"/>
    <col min="5391" max="5391" width="12.140625" style="186" customWidth="1"/>
    <col min="5392" max="5392" width="14.140625" style="186" customWidth="1"/>
    <col min="5393" max="5632" width="9.140625" style="186"/>
    <col min="5633" max="5633" width="6.42578125" style="186" customWidth="1"/>
    <col min="5634" max="5634" width="54.5703125" style="186" customWidth="1"/>
    <col min="5635" max="5635" width="13.28515625" style="186" customWidth="1"/>
    <col min="5636" max="5636" width="6" style="186" customWidth="1"/>
    <col min="5637" max="5637" width="7" style="186" bestFit="1" customWidth="1"/>
    <col min="5638" max="5638" width="10" style="186" bestFit="1" customWidth="1"/>
    <col min="5639" max="5639" width="13.5703125" style="186" bestFit="1" customWidth="1"/>
    <col min="5640" max="5640" width="5.7109375" style="186" customWidth="1"/>
    <col min="5641" max="5641" width="10" style="186" bestFit="1" customWidth="1"/>
    <col min="5642" max="5642" width="10.42578125" style="186" customWidth="1"/>
    <col min="5643" max="5643" width="18.7109375" style="186" customWidth="1"/>
    <col min="5644" max="5644" width="17.85546875" style="186" customWidth="1"/>
    <col min="5645" max="5645" width="13.42578125" style="186" customWidth="1"/>
    <col min="5646" max="5646" width="11.7109375" style="186" customWidth="1"/>
    <col min="5647" max="5647" width="12.140625" style="186" customWidth="1"/>
    <col min="5648" max="5648" width="14.140625" style="186" customWidth="1"/>
    <col min="5649" max="5888" width="9.140625" style="186"/>
    <col min="5889" max="5889" width="6.42578125" style="186" customWidth="1"/>
    <col min="5890" max="5890" width="54.5703125" style="186" customWidth="1"/>
    <col min="5891" max="5891" width="13.28515625" style="186" customWidth="1"/>
    <col min="5892" max="5892" width="6" style="186" customWidth="1"/>
    <col min="5893" max="5893" width="7" style="186" bestFit="1" customWidth="1"/>
    <col min="5894" max="5894" width="10" style="186" bestFit="1" customWidth="1"/>
    <col min="5895" max="5895" width="13.5703125" style="186" bestFit="1" customWidth="1"/>
    <col min="5896" max="5896" width="5.7109375" style="186" customWidth="1"/>
    <col min="5897" max="5897" width="10" style="186" bestFit="1" customWidth="1"/>
    <col min="5898" max="5898" width="10.42578125" style="186" customWidth="1"/>
    <col min="5899" max="5899" width="18.7109375" style="186" customWidth="1"/>
    <col min="5900" max="5900" width="17.85546875" style="186" customWidth="1"/>
    <col min="5901" max="5901" width="13.42578125" style="186" customWidth="1"/>
    <col min="5902" max="5902" width="11.7109375" style="186" customWidth="1"/>
    <col min="5903" max="5903" width="12.140625" style="186" customWidth="1"/>
    <col min="5904" max="5904" width="14.140625" style="186" customWidth="1"/>
    <col min="5905" max="6144" width="9.140625" style="186"/>
    <col min="6145" max="6145" width="6.42578125" style="186" customWidth="1"/>
    <col min="6146" max="6146" width="54.5703125" style="186" customWidth="1"/>
    <col min="6147" max="6147" width="13.28515625" style="186" customWidth="1"/>
    <col min="6148" max="6148" width="6" style="186" customWidth="1"/>
    <col min="6149" max="6149" width="7" style="186" bestFit="1" customWidth="1"/>
    <col min="6150" max="6150" width="10" style="186" bestFit="1" customWidth="1"/>
    <col min="6151" max="6151" width="13.5703125" style="186" bestFit="1" customWidth="1"/>
    <col min="6152" max="6152" width="5.7109375" style="186" customWidth="1"/>
    <col min="6153" max="6153" width="10" style="186" bestFit="1" customWidth="1"/>
    <col min="6154" max="6154" width="10.42578125" style="186" customWidth="1"/>
    <col min="6155" max="6155" width="18.7109375" style="186" customWidth="1"/>
    <col min="6156" max="6156" width="17.85546875" style="186" customWidth="1"/>
    <col min="6157" max="6157" width="13.42578125" style="186" customWidth="1"/>
    <col min="6158" max="6158" width="11.7109375" style="186" customWidth="1"/>
    <col min="6159" max="6159" width="12.140625" style="186" customWidth="1"/>
    <col min="6160" max="6160" width="14.140625" style="186" customWidth="1"/>
    <col min="6161" max="6400" width="9.140625" style="186"/>
    <col min="6401" max="6401" width="6.42578125" style="186" customWidth="1"/>
    <col min="6402" max="6402" width="54.5703125" style="186" customWidth="1"/>
    <col min="6403" max="6403" width="13.28515625" style="186" customWidth="1"/>
    <col min="6404" max="6404" width="6" style="186" customWidth="1"/>
    <col min="6405" max="6405" width="7" style="186" bestFit="1" customWidth="1"/>
    <col min="6406" max="6406" width="10" style="186" bestFit="1" customWidth="1"/>
    <col min="6407" max="6407" width="13.5703125" style="186" bestFit="1" customWidth="1"/>
    <col min="6408" max="6408" width="5.7109375" style="186" customWidth="1"/>
    <col min="6409" max="6409" width="10" style="186" bestFit="1" customWidth="1"/>
    <col min="6410" max="6410" width="10.42578125" style="186" customWidth="1"/>
    <col min="6411" max="6411" width="18.7109375" style="186" customWidth="1"/>
    <col min="6412" max="6412" width="17.85546875" style="186" customWidth="1"/>
    <col min="6413" max="6413" width="13.42578125" style="186" customWidth="1"/>
    <col min="6414" max="6414" width="11.7109375" style="186" customWidth="1"/>
    <col min="6415" max="6415" width="12.140625" style="186" customWidth="1"/>
    <col min="6416" max="6416" width="14.140625" style="186" customWidth="1"/>
    <col min="6417" max="6656" width="9.140625" style="186"/>
    <col min="6657" max="6657" width="6.42578125" style="186" customWidth="1"/>
    <col min="6658" max="6658" width="54.5703125" style="186" customWidth="1"/>
    <col min="6659" max="6659" width="13.28515625" style="186" customWidth="1"/>
    <col min="6660" max="6660" width="6" style="186" customWidth="1"/>
    <col min="6661" max="6661" width="7" style="186" bestFit="1" customWidth="1"/>
    <col min="6662" max="6662" width="10" style="186" bestFit="1" customWidth="1"/>
    <col min="6663" max="6663" width="13.5703125" style="186" bestFit="1" customWidth="1"/>
    <col min="6664" max="6664" width="5.7109375" style="186" customWidth="1"/>
    <col min="6665" max="6665" width="10" style="186" bestFit="1" customWidth="1"/>
    <col min="6666" max="6666" width="10.42578125" style="186" customWidth="1"/>
    <col min="6667" max="6667" width="18.7109375" style="186" customWidth="1"/>
    <col min="6668" max="6668" width="17.85546875" style="186" customWidth="1"/>
    <col min="6669" max="6669" width="13.42578125" style="186" customWidth="1"/>
    <col min="6670" max="6670" width="11.7109375" style="186" customWidth="1"/>
    <col min="6671" max="6671" width="12.140625" style="186" customWidth="1"/>
    <col min="6672" max="6672" width="14.140625" style="186" customWidth="1"/>
    <col min="6673" max="6912" width="9.140625" style="186"/>
    <col min="6913" max="6913" width="6.42578125" style="186" customWidth="1"/>
    <col min="6914" max="6914" width="54.5703125" style="186" customWidth="1"/>
    <col min="6915" max="6915" width="13.28515625" style="186" customWidth="1"/>
    <col min="6916" max="6916" width="6" style="186" customWidth="1"/>
    <col min="6917" max="6917" width="7" style="186" bestFit="1" customWidth="1"/>
    <col min="6918" max="6918" width="10" style="186" bestFit="1" customWidth="1"/>
    <col min="6919" max="6919" width="13.5703125" style="186" bestFit="1" customWidth="1"/>
    <col min="6920" max="6920" width="5.7109375" style="186" customWidth="1"/>
    <col min="6921" max="6921" width="10" style="186" bestFit="1" customWidth="1"/>
    <col min="6922" max="6922" width="10.42578125" style="186" customWidth="1"/>
    <col min="6923" max="6923" width="18.7109375" style="186" customWidth="1"/>
    <col min="6924" max="6924" width="17.85546875" style="186" customWidth="1"/>
    <col min="6925" max="6925" width="13.42578125" style="186" customWidth="1"/>
    <col min="6926" max="6926" width="11.7109375" style="186" customWidth="1"/>
    <col min="6927" max="6927" width="12.140625" style="186" customWidth="1"/>
    <col min="6928" max="6928" width="14.140625" style="186" customWidth="1"/>
    <col min="6929" max="7168" width="9.140625" style="186"/>
    <col min="7169" max="7169" width="6.42578125" style="186" customWidth="1"/>
    <col min="7170" max="7170" width="54.5703125" style="186" customWidth="1"/>
    <col min="7171" max="7171" width="13.28515625" style="186" customWidth="1"/>
    <col min="7172" max="7172" width="6" style="186" customWidth="1"/>
    <col min="7173" max="7173" width="7" style="186" bestFit="1" customWidth="1"/>
    <col min="7174" max="7174" width="10" style="186" bestFit="1" customWidth="1"/>
    <col min="7175" max="7175" width="13.5703125" style="186" bestFit="1" customWidth="1"/>
    <col min="7176" max="7176" width="5.7109375" style="186" customWidth="1"/>
    <col min="7177" max="7177" width="10" style="186" bestFit="1" customWidth="1"/>
    <col min="7178" max="7178" width="10.42578125" style="186" customWidth="1"/>
    <col min="7179" max="7179" width="18.7109375" style="186" customWidth="1"/>
    <col min="7180" max="7180" width="17.85546875" style="186" customWidth="1"/>
    <col min="7181" max="7181" width="13.42578125" style="186" customWidth="1"/>
    <col min="7182" max="7182" width="11.7109375" style="186" customWidth="1"/>
    <col min="7183" max="7183" width="12.140625" style="186" customWidth="1"/>
    <col min="7184" max="7184" width="14.140625" style="186" customWidth="1"/>
    <col min="7185" max="7424" width="9.140625" style="186"/>
    <col min="7425" max="7425" width="6.42578125" style="186" customWidth="1"/>
    <col min="7426" max="7426" width="54.5703125" style="186" customWidth="1"/>
    <col min="7427" max="7427" width="13.28515625" style="186" customWidth="1"/>
    <col min="7428" max="7428" width="6" style="186" customWidth="1"/>
    <col min="7429" max="7429" width="7" style="186" bestFit="1" customWidth="1"/>
    <col min="7430" max="7430" width="10" style="186" bestFit="1" customWidth="1"/>
    <col min="7431" max="7431" width="13.5703125" style="186" bestFit="1" customWidth="1"/>
    <col min="7432" max="7432" width="5.7109375" style="186" customWidth="1"/>
    <col min="7433" max="7433" width="10" style="186" bestFit="1" customWidth="1"/>
    <col min="7434" max="7434" width="10.42578125" style="186" customWidth="1"/>
    <col min="7435" max="7435" width="18.7109375" style="186" customWidth="1"/>
    <col min="7436" max="7436" width="17.85546875" style="186" customWidth="1"/>
    <col min="7437" max="7437" width="13.42578125" style="186" customWidth="1"/>
    <col min="7438" max="7438" width="11.7109375" style="186" customWidth="1"/>
    <col min="7439" max="7439" width="12.140625" style="186" customWidth="1"/>
    <col min="7440" max="7440" width="14.140625" style="186" customWidth="1"/>
    <col min="7441" max="7680" width="9.140625" style="186"/>
    <col min="7681" max="7681" width="6.42578125" style="186" customWidth="1"/>
    <col min="7682" max="7682" width="54.5703125" style="186" customWidth="1"/>
    <col min="7683" max="7683" width="13.28515625" style="186" customWidth="1"/>
    <col min="7684" max="7684" width="6" style="186" customWidth="1"/>
    <col min="7685" max="7685" width="7" style="186" bestFit="1" customWidth="1"/>
    <col min="7686" max="7686" width="10" style="186" bestFit="1" customWidth="1"/>
    <col min="7687" max="7687" width="13.5703125" style="186" bestFit="1" customWidth="1"/>
    <col min="7688" max="7688" width="5.7109375" style="186" customWidth="1"/>
    <col min="7689" max="7689" width="10" style="186" bestFit="1" customWidth="1"/>
    <col min="7690" max="7690" width="10.42578125" style="186" customWidth="1"/>
    <col min="7691" max="7691" width="18.7109375" style="186" customWidth="1"/>
    <col min="7692" max="7692" width="17.85546875" style="186" customWidth="1"/>
    <col min="7693" max="7693" width="13.42578125" style="186" customWidth="1"/>
    <col min="7694" max="7694" width="11.7109375" style="186" customWidth="1"/>
    <col min="7695" max="7695" width="12.140625" style="186" customWidth="1"/>
    <col min="7696" max="7696" width="14.140625" style="186" customWidth="1"/>
    <col min="7697" max="7936" width="9.140625" style="186"/>
    <col min="7937" max="7937" width="6.42578125" style="186" customWidth="1"/>
    <col min="7938" max="7938" width="54.5703125" style="186" customWidth="1"/>
    <col min="7939" max="7939" width="13.28515625" style="186" customWidth="1"/>
    <col min="7940" max="7940" width="6" style="186" customWidth="1"/>
    <col min="7941" max="7941" width="7" style="186" bestFit="1" customWidth="1"/>
    <col min="7942" max="7942" width="10" style="186" bestFit="1" customWidth="1"/>
    <col min="7943" max="7943" width="13.5703125" style="186" bestFit="1" customWidth="1"/>
    <col min="7944" max="7944" width="5.7109375" style="186" customWidth="1"/>
    <col min="7945" max="7945" width="10" style="186" bestFit="1" customWidth="1"/>
    <col min="7946" max="7946" width="10.42578125" style="186" customWidth="1"/>
    <col min="7947" max="7947" width="18.7109375" style="186" customWidth="1"/>
    <col min="7948" max="7948" width="17.85546875" style="186" customWidth="1"/>
    <col min="7949" max="7949" width="13.42578125" style="186" customWidth="1"/>
    <col min="7950" max="7950" width="11.7109375" style="186" customWidth="1"/>
    <col min="7951" max="7951" width="12.140625" style="186" customWidth="1"/>
    <col min="7952" max="7952" width="14.140625" style="186" customWidth="1"/>
    <col min="7953" max="8192" width="9.140625" style="186"/>
    <col min="8193" max="8193" width="6.42578125" style="186" customWidth="1"/>
    <col min="8194" max="8194" width="54.5703125" style="186" customWidth="1"/>
    <col min="8195" max="8195" width="13.28515625" style="186" customWidth="1"/>
    <col min="8196" max="8196" width="6" style="186" customWidth="1"/>
    <col min="8197" max="8197" width="7" style="186" bestFit="1" customWidth="1"/>
    <col min="8198" max="8198" width="10" style="186" bestFit="1" customWidth="1"/>
    <col min="8199" max="8199" width="13.5703125" style="186" bestFit="1" customWidth="1"/>
    <col min="8200" max="8200" width="5.7109375" style="186" customWidth="1"/>
    <col min="8201" max="8201" width="10" style="186" bestFit="1" customWidth="1"/>
    <col min="8202" max="8202" width="10.42578125" style="186" customWidth="1"/>
    <col min="8203" max="8203" width="18.7109375" style="186" customWidth="1"/>
    <col min="8204" max="8204" width="17.85546875" style="186" customWidth="1"/>
    <col min="8205" max="8205" width="13.42578125" style="186" customWidth="1"/>
    <col min="8206" max="8206" width="11.7109375" style="186" customWidth="1"/>
    <col min="8207" max="8207" width="12.140625" style="186" customWidth="1"/>
    <col min="8208" max="8208" width="14.140625" style="186" customWidth="1"/>
    <col min="8209" max="8448" width="9.140625" style="186"/>
    <col min="8449" max="8449" width="6.42578125" style="186" customWidth="1"/>
    <col min="8450" max="8450" width="54.5703125" style="186" customWidth="1"/>
    <col min="8451" max="8451" width="13.28515625" style="186" customWidth="1"/>
    <col min="8452" max="8452" width="6" style="186" customWidth="1"/>
    <col min="8453" max="8453" width="7" style="186" bestFit="1" customWidth="1"/>
    <col min="8454" max="8454" width="10" style="186" bestFit="1" customWidth="1"/>
    <col min="8455" max="8455" width="13.5703125" style="186" bestFit="1" customWidth="1"/>
    <col min="8456" max="8456" width="5.7109375" style="186" customWidth="1"/>
    <col min="8457" max="8457" width="10" style="186" bestFit="1" customWidth="1"/>
    <col min="8458" max="8458" width="10.42578125" style="186" customWidth="1"/>
    <col min="8459" max="8459" width="18.7109375" style="186" customWidth="1"/>
    <col min="8460" max="8460" width="17.85546875" style="186" customWidth="1"/>
    <col min="8461" max="8461" width="13.42578125" style="186" customWidth="1"/>
    <col min="8462" max="8462" width="11.7109375" style="186" customWidth="1"/>
    <col min="8463" max="8463" width="12.140625" style="186" customWidth="1"/>
    <col min="8464" max="8464" width="14.140625" style="186" customWidth="1"/>
    <col min="8465" max="8704" width="9.140625" style="186"/>
    <col min="8705" max="8705" width="6.42578125" style="186" customWidth="1"/>
    <col min="8706" max="8706" width="54.5703125" style="186" customWidth="1"/>
    <col min="8707" max="8707" width="13.28515625" style="186" customWidth="1"/>
    <col min="8708" max="8708" width="6" style="186" customWidth="1"/>
    <col min="8709" max="8709" width="7" style="186" bestFit="1" customWidth="1"/>
    <col min="8710" max="8710" width="10" style="186" bestFit="1" customWidth="1"/>
    <col min="8711" max="8711" width="13.5703125" style="186" bestFit="1" customWidth="1"/>
    <col min="8712" max="8712" width="5.7109375" style="186" customWidth="1"/>
    <col min="8713" max="8713" width="10" style="186" bestFit="1" customWidth="1"/>
    <col min="8714" max="8714" width="10.42578125" style="186" customWidth="1"/>
    <col min="8715" max="8715" width="18.7109375" style="186" customWidth="1"/>
    <col min="8716" max="8716" width="17.85546875" style="186" customWidth="1"/>
    <col min="8717" max="8717" width="13.42578125" style="186" customWidth="1"/>
    <col min="8718" max="8718" width="11.7109375" style="186" customWidth="1"/>
    <col min="8719" max="8719" width="12.140625" style="186" customWidth="1"/>
    <col min="8720" max="8720" width="14.140625" style="186" customWidth="1"/>
    <col min="8721" max="8960" width="9.140625" style="186"/>
    <col min="8961" max="8961" width="6.42578125" style="186" customWidth="1"/>
    <col min="8962" max="8962" width="54.5703125" style="186" customWidth="1"/>
    <col min="8963" max="8963" width="13.28515625" style="186" customWidth="1"/>
    <col min="8964" max="8964" width="6" style="186" customWidth="1"/>
    <col min="8965" max="8965" width="7" style="186" bestFit="1" customWidth="1"/>
    <col min="8966" max="8966" width="10" style="186" bestFit="1" customWidth="1"/>
    <col min="8967" max="8967" width="13.5703125" style="186" bestFit="1" customWidth="1"/>
    <col min="8968" max="8968" width="5.7109375" style="186" customWidth="1"/>
    <col min="8969" max="8969" width="10" style="186" bestFit="1" customWidth="1"/>
    <col min="8970" max="8970" width="10.42578125" style="186" customWidth="1"/>
    <col min="8971" max="8971" width="18.7109375" style="186" customWidth="1"/>
    <col min="8972" max="8972" width="17.85546875" style="186" customWidth="1"/>
    <col min="8973" max="8973" width="13.42578125" style="186" customWidth="1"/>
    <col min="8974" max="8974" width="11.7109375" style="186" customWidth="1"/>
    <col min="8975" max="8975" width="12.140625" style="186" customWidth="1"/>
    <col min="8976" max="8976" width="14.140625" style="186" customWidth="1"/>
    <col min="8977" max="9216" width="9.140625" style="186"/>
    <col min="9217" max="9217" width="6.42578125" style="186" customWidth="1"/>
    <col min="9218" max="9218" width="54.5703125" style="186" customWidth="1"/>
    <col min="9219" max="9219" width="13.28515625" style="186" customWidth="1"/>
    <col min="9220" max="9220" width="6" style="186" customWidth="1"/>
    <col min="9221" max="9221" width="7" style="186" bestFit="1" customWidth="1"/>
    <col min="9222" max="9222" width="10" style="186" bestFit="1" customWidth="1"/>
    <col min="9223" max="9223" width="13.5703125" style="186" bestFit="1" customWidth="1"/>
    <col min="9224" max="9224" width="5.7109375" style="186" customWidth="1"/>
    <col min="9225" max="9225" width="10" style="186" bestFit="1" customWidth="1"/>
    <col min="9226" max="9226" width="10.42578125" style="186" customWidth="1"/>
    <col min="9227" max="9227" width="18.7109375" style="186" customWidth="1"/>
    <col min="9228" max="9228" width="17.85546875" style="186" customWidth="1"/>
    <col min="9229" max="9229" width="13.42578125" style="186" customWidth="1"/>
    <col min="9230" max="9230" width="11.7109375" style="186" customWidth="1"/>
    <col min="9231" max="9231" width="12.140625" style="186" customWidth="1"/>
    <col min="9232" max="9232" width="14.140625" style="186" customWidth="1"/>
    <col min="9233" max="9472" width="9.140625" style="186"/>
    <col min="9473" max="9473" width="6.42578125" style="186" customWidth="1"/>
    <col min="9474" max="9474" width="54.5703125" style="186" customWidth="1"/>
    <col min="9475" max="9475" width="13.28515625" style="186" customWidth="1"/>
    <col min="9476" max="9476" width="6" style="186" customWidth="1"/>
    <col min="9477" max="9477" width="7" style="186" bestFit="1" customWidth="1"/>
    <col min="9478" max="9478" width="10" style="186" bestFit="1" customWidth="1"/>
    <col min="9479" max="9479" width="13.5703125" style="186" bestFit="1" customWidth="1"/>
    <col min="9480" max="9480" width="5.7109375" style="186" customWidth="1"/>
    <col min="9481" max="9481" width="10" style="186" bestFit="1" customWidth="1"/>
    <col min="9482" max="9482" width="10.42578125" style="186" customWidth="1"/>
    <col min="9483" max="9483" width="18.7109375" style="186" customWidth="1"/>
    <col min="9484" max="9484" width="17.85546875" style="186" customWidth="1"/>
    <col min="9485" max="9485" width="13.42578125" style="186" customWidth="1"/>
    <col min="9486" max="9486" width="11.7109375" style="186" customWidth="1"/>
    <col min="9487" max="9487" width="12.140625" style="186" customWidth="1"/>
    <col min="9488" max="9488" width="14.140625" style="186" customWidth="1"/>
    <col min="9489" max="9728" width="9.140625" style="186"/>
    <col min="9729" max="9729" width="6.42578125" style="186" customWidth="1"/>
    <col min="9730" max="9730" width="54.5703125" style="186" customWidth="1"/>
    <col min="9731" max="9731" width="13.28515625" style="186" customWidth="1"/>
    <col min="9732" max="9732" width="6" style="186" customWidth="1"/>
    <col min="9733" max="9733" width="7" style="186" bestFit="1" customWidth="1"/>
    <col min="9734" max="9734" width="10" style="186" bestFit="1" customWidth="1"/>
    <col min="9735" max="9735" width="13.5703125" style="186" bestFit="1" customWidth="1"/>
    <col min="9736" max="9736" width="5.7109375" style="186" customWidth="1"/>
    <col min="9737" max="9737" width="10" style="186" bestFit="1" customWidth="1"/>
    <col min="9738" max="9738" width="10.42578125" style="186" customWidth="1"/>
    <col min="9739" max="9739" width="18.7109375" style="186" customWidth="1"/>
    <col min="9740" max="9740" width="17.85546875" style="186" customWidth="1"/>
    <col min="9741" max="9741" width="13.42578125" style="186" customWidth="1"/>
    <col min="9742" max="9742" width="11.7109375" style="186" customWidth="1"/>
    <col min="9743" max="9743" width="12.140625" style="186" customWidth="1"/>
    <col min="9744" max="9744" width="14.140625" style="186" customWidth="1"/>
    <col min="9745" max="9984" width="9.140625" style="186"/>
    <col min="9985" max="9985" width="6.42578125" style="186" customWidth="1"/>
    <col min="9986" max="9986" width="54.5703125" style="186" customWidth="1"/>
    <col min="9987" max="9987" width="13.28515625" style="186" customWidth="1"/>
    <col min="9988" max="9988" width="6" style="186" customWidth="1"/>
    <col min="9989" max="9989" width="7" style="186" bestFit="1" customWidth="1"/>
    <col min="9990" max="9990" width="10" style="186" bestFit="1" customWidth="1"/>
    <col min="9991" max="9991" width="13.5703125" style="186" bestFit="1" customWidth="1"/>
    <col min="9992" max="9992" width="5.7109375" style="186" customWidth="1"/>
    <col min="9993" max="9993" width="10" style="186" bestFit="1" customWidth="1"/>
    <col min="9994" max="9994" width="10.42578125" style="186" customWidth="1"/>
    <col min="9995" max="9995" width="18.7109375" style="186" customWidth="1"/>
    <col min="9996" max="9996" width="17.85546875" style="186" customWidth="1"/>
    <col min="9997" max="9997" width="13.42578125" style="186" customWidth="1"/>
    <col min="9998" max="9998" width="11.7109375" style="186" customWidth="1"/>
    <col min="9999" max="9999" width="12.140625" style="186" customWidth="1"/>
    <col min="10000" max="10000" width="14.140625" style="186" customWidth="1"/>
    <col min="10001" max="10240" width="9.140625" style="186"/>
    <col min="10241" max="10241" width="6.42578125" style="186" customWidth="1"/>
    <col min="10242" max="10242" width="54.5703125" style="186" customWidth="1"/>
    <col min="10243" max="10243" width="13.28515625" style="186" customWidth="1"/>
    <col min="10244" max="10244" width="6" style="186" customWidth="1"/>
    <col min="10245" max="10245" width="7" style="186" bestFit="1" customWidth="1"/>
    <col min="10246" max="10246" width="10" style="186" bestFit="1" customWidth="1"/>
    <col min="10247" max="10247" width="13.5703125" style="186" bestFit="1" customWidth="1"/>
    <col min="10248" max="10248" width="5.7109375" style="186" customWidth="1"/>
    <col min="10249" max="10249" width="10" style="186" bestFit="1" customWidth="1"/>
    <col min="10250" max="10250" width="10.42578125" style="186" customWidth="1"/>
    <col min="10251" max="10251" width="18.7109375" style="186" customWidth="1"/>
    <col min="10252" max="10252" width="17.85546875" style="186" customWidth="1"/>
    <col min="10253" max="10253" width="13.42578125" style="186" customWidth="1"/>
    <col min="10254" max="10254" width="11.7109375" style="186" customWidth="1"/>
    <col min="10255" max="10255" width="12.140625" style="186" customWidth="1"/>
    <col min="10256" max="10256" width="14.140625" style="186" customWidth="1"/>
    <col min="10257" max="10496" width="9.140625" style="186"/>
    <col min="10497" max="10497" width="6.42578125" style="186" customWidth="1"/>
    <col min="10498" max="10498" width="54.5703125" style="186" customWidth="1"/>
    <col min="10499" max="10499" width="13.28515625" style="186" customWidth="1"/>
    <col min="10500" max="10500" width="6" style="186" customWidth="1"/>
    <col min="10501" max="10501" width="7" style="186" bestFit="1" customWidth="1"/>
    <col min="10502" max="10502" width="10" style="186" bestFit="1" customWidth="1"/>
    <col min="10503" max="10503" width="13.5703125" style="186" bestFit="1" customWidth="1"/>
    <col min="10504" max="10504" width="5.7109375" style="186" customWidth="1"/>
    <col min="10505" max="10505" width="10" style="186" bestFit="1" customWidth="1"/>
    <col min="10506" max="10506" width="10.42578125" style="186" customWidth="1"/>
    <col min="10507" max="10507" width="18.7109375" style="186" customWidth="1"/>
    <col min="10508" max="10508" width="17.85546875" style="186" customWidth="1"/>
    <col min="10509" max="10509" width="13.42578125" style="186" customWidth="1"/>
    <col min="10510" max="10510" width="11.7109375" style="186" customWidth="1"/>
    <col min="10511" max="10511" width="12.140625" style="186" customWidth="1"/>
    <col min="10512" max="10512" width="14.140625" style="186" customWidth="1"/>
    <col min="10513" max="10752" width="9.140625" style="186"/>
    <col min="10753" max="10753" width="6.42578125" style="186" customWidth="1"/>
    <col min="10754" max="10754" width="54.5703125" style="186" customWidth="1"/>
    <col min="10755" max="10755" width="13.28515625" style="186" customWidth="1"/>
    <col min="10756" max="10756" width="6" style="186" customWidth="1"/>
    <col min="10757" max="10757" width="7" style="186" bestFit="1" customWidth="1"/>
    <col min="10758" max="10758" width="10" style="186" bestFit="1" customWidth="1"/>
    <col min="10759" max="10759" width="13.5703125" style="186" bestFit="1" customWidth="1"/>
    <col min="10760" max="10760" width="5.7109375" style="186" customWidth="1"/>
    <col min="10761" max="10761" width="10" style="186" bestFit="1" customWidth="1"/>
    <col min="10762" max="10762" width="10.42578125" style="186" customWidth="1"/>
    <col min="10763" max="10763" width="18.7109375" style="186" customWidth="1"/>
    <col min="10764" max="10764" width="17.85546875" style="186" customWidth="1"/>
    <col min="10765" max="10765" width="13.42578125" style="186" customWidth="1"/>
    <col min="10766" max="10766" width="11.7109375" style="186" customWidth="1"/>
    <col min="10767" max="10767" width="12.140625" style="186" customWidth="1"/>
    <col min="10768" max="10768" width="14.140625" style="186" customWidth="1"/>
    <col min="10769" max="11008" width="9.140625" style="186"/>
    <col min="11009" max="11009" width="6.42578125" style="186" customWidth="1"/>
    <col min="11010" max="11010" width="54.5703125" style="186" customWidth="1"/>
    <col min="11011" max="11011" width="13.28515625" style="186" customWidth="1"/>
    <col min="11012" max="11012" width="6" style="186" customWidth="1"/>
    <col min="11013" max="11013" width="7" style="186" bestFit="1" customWidth="1"/>
    <col min="11014" max="11014" width="10" style="186" bestFit="1" customWidth="1"/>
    <col min="11015" max="11015" width="13.5703125" style="186" bestFit="1" customWidth="1"/>
    <col min="11016" max="11016" width="5.7109375" style="186" customWidth="1"/>
    <col min="11017" max="11017" width="10" style="186" bestFit="1" customWidth="1"/>
    <col min="11018" max="11018" width="10.42578125" style="186" customWidth="1"/>
    <col min="11019" max="11019" width="18.7109375" style="186" customWidth="1"/>
    <col min="11020" max="11020" width="17.85546875" style="186" customWidth="1"/>
    <col min="11021" max="11021" width="13.42578125" style="186" customWidth="1"/>
    <col min="11022" max="11022" width="11.7109375" style="186" customWidth="1"/>
    <col min="11023" max="11023" width="12.140625" style="186" customWidth="1"/>
    <col min="11024" max="11024" width="14.140625" style="186" customWidth="1"/>
    <col min="11025" max="11264" width="9.140625" style="186"/>
    <col min="11265" max="11265" width="6.42578125" style="186" customWidth="1"/>
    <col min="11266" max="11266" width="54.5703125" style="186" customWidth="1"/>
    <col min="11267" max="11267" width="13.28515625" style="186" customWidth="1"/>
    <col min="11268" max="11268" width="6" style="186" customWidth="1"/>
    <col min="11269" max="11269" width="7" style="186" bestFit="1" customWidth="1"/>
    <col min="11270" max="11270" width="10" style="186" bestFit="1" customWidth="1"/>
    <col min="11271" max="11271" width="13.5703125" style="186" bestFit="1" customWidth="1"/>
    <col min="11272" max="11272" width="5.7109375" style="186" customWidth="1"/>
    <col min="11273" max="11273" width="10" style="186" bestFit="1" customWidth="1"/>
    <col min="11274" max="11274" width="10.42578125" style="186" customWidth="1"/>
    <col min="11275" max="11275" width="18.7109375" style="186" customWidth="1"/>
    <col min="11276" max="11276" width="17.85546875" style="186" customWidth="1"/>
    <col min="11277" max="11277" width="13.42578125" style="186" customWidth="1"/>
    <col min="11278" max="11278" width="11.7109375" style="186" customWidth="1"/>
    <col min="11279" max="11279" width="12.140625" style="186" customWidth="1"/>
    <col min="11280" max="11280" width="14.140625" style="186" customWidth="1"/>
    <col min="11281" max="11520" width="9.140625" style="186"/>
    <col min="11521" max="11521" width="6.42578125" style="186" customWidth="1"/>
    <col min="11522" max="11522" width="54.5703125" style="186" customWidth="1"/>
    <col min="11523" max="11523" width="13.28515625" style="186" customWidth="1"/>
    <col min="11524" max="11524" width="6" style="186" customWidth="1"/>
    <col min="11525" max="11525" width="7" style="186" bestFit="1" customWidth="1"/>
    <col min="11526" max="11526" width="10" style="186" bestFit="1" customWidth="1"/>
    <col min="11527" max="11527" width="13.5703125" style="186" bestFit="1" customWidth="1"/>
    <col min="11528" max="11528" width="5.7109375" style="186" customWidth="1"/>
    <col min="11529" max="11529" width="10" style="186" bestFit="1" customWidth="1"/>
    <col min="11530" max="11530" width="10.42578125" style="186" customWidth="1"/>
    <col min="11531" max="11531" width="18.7109375" style="186" customWidth="1"/>
    <col min="11532" max="11532" width="17.85546875" style="186" customWidth="1"/>
    <col min="11533" max="11533" width="13.42578125" style="186" customWidth="1"/>
    <col min="11534" max="11534" width="11.7109375" style="186" customWidth="1"/>
    <col min="11535" max="11535" width="12.140625" style="186" customWidth="1"/>
    <col min="11536" max="11536" width="14.140625" style="186" customWidth="1"/>
    <col min="11537" max="11776" width="9.140625" style="186"/>
    <col min="11777" max="11777" width="6.42578125" style="186" customWidth="1"/>
    <col min="11778" max="11778" width="54.5703125" style="186" customWidth="1"/>
    <col min="11779" max="11779" width="13.28515625" style="186" customWidth="1"/>
    <col min="11780" max="11780" width="6" style="186" customWidth="1"/>
    <col min="11781" max="11781" width="7" style="186" bestFit="1" customWidth="1"/>
    <col min="11782" max="11782" width="10" style="186" bestFit="1" customWidth="1"/>
    <col min="11783" max="11783" width="13.5703125" style="186" bestFit="1" customWidth="1"/>
    <col min="11784" max="11784" width="5.7109375" style="186" customWidth="1"/>
    <col min="11785" max="11785" width="10" style="186" bestFit="1" customWidth="1"/>
    <col min="11786" max="11786" width="10.42578125" style="186" customWidth="1"/>
    <col min="11787" max="11787" width="18.7109375" style="186" customWidth="1"/>
    <col min="11788" max="11788" width="17.85546875" style="186" customWidth="1"/>
    <col min="11789" max="11789" width="13.42578125" style="186" customWidth="1"/>
    <col min="11790" max="11790" width="11.7109375" style="186" customWidth="1"/>
    <col min="11791" max="11791" width="12.140625" style="186" customWidth="1"/>
    <col min="11792" max="11792" width="14.140625" style="186" customWidth="1"/>
    <col min="11793" max="12032" width="9.140625" style="186"/>
    <col min="12033" max="12033" width="6.42578125" style="186" customWidth="1"/>
    <col min="12034" max="12034" width="54.5703125" style="186" customWidth="1"/>
    <col min="12035" max="12035" width="13.28515625" style="186" customWidth="1"/>
    <col min="12036" max="12036" width="6" style="186" customWidth="1"/>
    <col min="12037" max="12037" width="7" style="186" bestFit="1" customWidth="1"/>
    <col min="12038" max="12038" width="10" style="186" bestFit="1" customWidth="1"/>
    <col min="12039" max="12039" width="13.5703125" style="186" bestFit="1" customWidth="1"/>
    <col min="12040" max="12040" width="5.7109375" style="186" customWidth="1"/>
    <col min="12041" max="12041" width="10" style="186" bestFit="1" customWidth="1"/>
    <col min="12042" max="12042" width="10.42578125" style="186" customWidth="1"/>
    <col min="12043" max="12043" width="18.7109375" style="186" customWidth="1"/>
    <col min="12044" max="12044" width="17.85546875" style="186" customWidth="1"/>
    <col min="12045" max="12045" width="13.42578125" style="186" customWidth="1"/>
    <col min="12046" max="12046" width="11.7109375" style="186" customWidth="1"/>
    <col min="12047" max="12047" width="12.140625" style="186" customWidth="1"/>
    <col min="12048" max="12048" width="14.140625" style="186" customWidth="1"/>
    <col min="12049" max="12288" width="9.140625" style="186"/>
    <col min="12289" max="12289" width="6.42578125" style="186" customWidth="1"/>
    <col min="12290" max="12290" width="54.5703125" style="186" customWidth="1"/>
    <col min="12291" max="12291" width="13.28515625" style="186" customWidth="1"/>
    <col min="12292" max="12292" width="6" style="186" customWidth="1"/>
    <col min="12293" max="12293" width="7" style="186" bestFit="1" customWidth="1"/>
    <col min="12294" max="12294" width="10" style="186" bestFit="1" customWidth="1"/>
    <col min="12295" max="12295" width="13.5703125" style="186" bestFit="1" customWidth="1"/>
    <col min="12296" max="12296" width="5.7109375" style="186" customWidth="1"/>
    <col min="12297" max="12297" width="10" style="186" bestFit="1" customWidth="1"/>
    <col min="12298" max="12298" width="10.42578125" style="186" customWidth="1"/>
    <col min="12299" max="12299" width="18.7109375" style="186" customWidth="1"/>
    <col min="12300" max="12300" width="17.85546875" style="186" customWidth="1"/>
    <col min="12301" max="12301" width="13.42578125" style="186" customWidth="1"/>
    <col min="12302" max="12302" width="11.7109375" style="186" customWidth="1"/>
    <col min="12303" max="12303" width="12.140625" style="186" customWidth="1"/>
    <col min="12304" max="12304" width="14.140625" style="186" customWidth="1"/>
    <col min="12305" max="12544" width="9.140625" style="186"/>
    <col min="12545" max="12545" width="6.42578125" style="186" customWidth="1"/>
    <col min="12546" max="12546" width="54.5703125" style="186" customWidth="1"/>
    <col min="12547" max="12547" width="13.28515625" style="186" customWidth="1"/>
    <col min="12548" max="12548" width="6" style="186" customWidth="1"/>
    <col min="12549" max="12549" width="7" style="186" bestFit="1" customWidth="1"/>
    <col min="12550" max="12550" width="10" style="186" bestFit="1" customWidth="1"/>
    <col min="12551" max="12551" width="13.5703125" style="186" bestFit="1" customWidth="1"/>
    <col min="12552" max="12552" width="5.7109375" style="186" customWidth="1"/>
    <col min="12553" max="12553" width="10" style="186" bestFit="1" customWidth="1"/>
    <col min="12554" max="12554" width="10.42578125" style="186" customWidth="1"/>
    <col min="12555" max="12555" width="18.7109375" style="186" customWidth="1"/>
    <col min="12556" max="12556" width="17.85546875" style="186" customWidth="1"/>
    <col min="12557" max="12557" width="13.42578125" style="186" customWidth="1"/>
    <col min="12558" max="12558" width="11.7109375" style="186" customWidth="1"/>
    <col min="12559" max="12559" width="12.140625" style="186" customWidth="1"/>
    <col min="12560" max="12560" width="14.140625" style="186" customWidth="1"/>
    <col min="12561" max="12800" width="9.140625" style="186"/>
    <col min="12801" max="12801" width="6.42578125" style="186" customWidth="1"/>
    <col min="12802" max="12802" width="54.5703125" style="186" customWidth="1"/>
    <col min="12803" max="12803" width="13.28515625" style="186" customWidth="1"/>
    <col min="12804" max="12804" width="6" style="186" customWidth="1"/>
    <col min="12805" max="12805" width="7" style="186" bestFit="1" customWidth="1"/>
    <col min="12806" max="12806" width="10" style="186" bestFit="1" customWidth="1"/>
    <col min="12807" max="12807" width="13.5703125" style="186" bestFit="1" customWidth="1"/>
    <col min="12808" max="12808" width="5.7109375" style="186" customWidth="1"/>
    <col min="12809" max="12809" width="10" style="186" bestFit="1" customWidth="1"/>
    <col min="12810" max="12810" width="10.42578125" style="186" customWidth="1"/>
    <col min="12811" max="12811" width="18.7109375" style="186" customWidth="1"/>
    <col min="12812" max="12812" width="17.85546875" style="186" customWidth="1"/>
    <col min="12813" max="12813" width="13.42578125" style="186" customWidth="1"/>
    <col min="12814" max="12814" width="11.7109375" style="186" customWidth="1"/>
    <col min="12815" max="12815" width="12.140625" style="186" customWidth="1"/>
    <col min="12816" max="12816" width="14.140625" style="186" customWidth="1"/>
    <col min="12817" max="13056" width="9.140625" style="186"/>
    <col min="13057" max="13057" width="6.42578125" style="186" customWidth="1"/>
    <col min="13058" max="13058" width="54.5703125" style="186" customWidth="1"/>
    <col min="13059" max="13059" width="13.28515625" style="186" customWidth="1"/>
    <col min="13060" max="13060" width="6" style="186" customWidth="1"/>
    <col min="13061" max="13061" width="7" style="186" bestFit="1" customWidth="1"/>
    <col min="13062" max="13062" width="10" style="186" bestFit="1" customWidth="1"/>
    <col min="13063" max="13063" width="13.5703125" style="186" bestFit="1" customWidth="1"/>
    <col min="13064" max="13064" width="5.7109375" style="186" customWidth="1"/>
    <col min="13065" max="13065" width="10" style="186" bestFit="1" customWidth="1"/>
    <col min="13066" max="13066" width="10.42578125" style="186" customWidth="1"/>
    <col min="13067" max="13067" width="18.7109375" style="186" customWidth="1"/>
    <col min="13068" max="13068" width="17.85546875" style="186" customWidth="1"/>
    <col min="13069" max="13069" width="13.42578125" style="186" customWidth="1"/>
    <col min="13070" max="13070" width="11.7109375" style="186" customWidth="1"/>
    <col min="13071" max="13071" width="12.140625" style="186" customWidth="1"/>
    <col min="13072" max="13072" width="14.140625" style="186" customWidth="1"/>
    <col min="13073" max="13312" width="9.140625" style="186"/>
    <col min="13313" max="13313" width="6.42578125" style="186" customWidth="1"/>
    <col min="13314" max="13314" width="54.5703125" style="186" customWidth="1"/>
    <col min="13315" max="13315" width="13.28515625" style="186" customWidth="1"/>
    <col min="13316" max="13316" width="6" style="186" customWidth="1"/>
    <col min="13317" max="13317" width="7" style="186" bestFit="1" customWidth="1"/>
    <col min="13318" max="13318" width="10" style="186" bestFit="1" customWidth="1"/>
    <col min="13319" max="13319" width="13.5703125" style="186" bestFit="1" customWidth="1"/>
    <col min="13320" max="13320" width="5.7109375" style="186" customWidth="1"/>
    <col min="13321" max="13321" width="10" style="186" bestFit="1" customWidth="1"/>
    <col min="13322" max="13322" width="10.42578125" style="186" customWidth="1"/>
    <col min="13323" max="13323" width="18.7109375" style="186" customWidth="1"/>
    <col min="13324" max="13324" width="17.85546875" style="186" customWidth="1"/>
    <col min="13325" max="13325" width="13.42578125" style="186" customWidth="1"/>
    <col min="13326" max="13326" width="11.7109375" style="186" customWidth="1"/>
    <col min="13327" max="13327" width="12.140625" style="186" customWidth="1"/>
    <col min="13328" max="13328" width="14.140625" style="186" customWidth="1"/>
    <col min="13329" max="13568" width="9.140625" style="186"/>
    <col min="13569" max="13569" width="6.42578125" style="186" customWidth="1"/>
    <col min="13570" max="13570" width="54.5703125" style="186" customWidth="1"/>
    <col min="13571" max="13571" width="13.28515625" style="186" customWidth="1"/>
    <col min="13572" max="13572" width="6" style="186" customWidth="1"/>
    <col min="13573" max="13573" width="7" style="186" bestFit="1" customWidth="1"/>
    <col min="13574" max="13574" width="10" style="186" bestFit="1" customWidth="1"/>
    <col min="13575" max="13575" width="13.5703125" style="186" bestFit="1" customWidth="1"/>
    <col min="13576" max="13576" width="5.7109375" style="186" customWidth="1"/>
    <col min="13577" max="13577" width="10" style="186" bestFit="1" customWidth="1"/>
    <col min="13578" max="13578" width="10.42578125" style="186" customWidth="1"/>
    <col min="13579" max="13579" width="18.7109375" style="186" customWidth="1"/>
    <col min="13580" max="13580" width="17.85546875" style="186" customWidth="1"/>
    <col min="13581" max="13581" width="13.42578125" style="186" customWidth="1"/>
    <col min="13582" max="13582" width="11.7109375" style="186" customWidth="1"/>
    <col min="13583" max="13583" width="12.140625" style="186" customWidth="1"/>
    <col min="13584" max="13584" width="14.140625" style="186" customWidth="1"/>
    <col min="13585" max="13824" width="9.140625" style="186"/>
    <col min="13825" max="13825" width="6.42578125" style="186" customWidth="1"/>
    <col min="13826" max="13826" width="54.5703125" style="186" customWidth="1"/>
    <col min="13827" max="13827" width="13.28515625" style="186" customWidth="1"/>
    <col min="13828" max="13828" width="6" style="186" customWidth="1"/>
    <col min="13829" max="13829" width="7" style="186" bestFit="1" customWidth="1"/>
    <col min="13830" max="13830" width="10" style="186" bestFit="1" customWidth="1"/>
    <col min="13831" max="13831" width="13.5703125" style="186" bestFit="1" customWidth="1"/>
    <col min="13832" max="13832" width="5.7109375" style="186" customWidth="1"/>
    <col min="13833" max="13833" width="10" style="186" bestFit="1" customWidth="1"/>
    <col min="13834" max="13834" width="10.42578125" style="186" customWidth="1"/>
    <col min="13835" max="13835" width="18.7109375" style="186" customWidth="1"/>
    <col min="13836" max="13836" width="17.85546875" style="186" customWidth="1"/>
    <col min="13837" max="13837" width="13.42578125" style="186" customWidth="1"/>
    <col min="13838" max="13838" width="11.7109375" style="186" customWidth="1"/>
    <col min="13839" max="13839" width="12.140625" style="186" customWidth="1"/>
    <col min="13840" max="13840" width="14.140625" style="186" customWidth="1"/>
    <col min="13841" max="14080" width="9.140625" style="186"/>
    <col min="14081" max="14081" width="6.42578125" style="186" customWidth="1"/>
    <col min="14082" max="14082" width="54.5703125" style="186" customWidth="1"/>
    <col min="14083" max="14083" width="13.28515625" style="186" customWidth="1"/>
    <col min="14084" max="14084" width="6" style="186" customWidth="1"/>
    <col min="14085" max="14085" width="7" style="186" bestFit="1" customWidth="1"/>
    <col min="14086" max="14086" width="10" style="186" bestFit="1" customWidth="1"/>
    <col min="14087" max="14087" width="13.5703125" style="186" bestFit="1" customWidth="1"/>
    <col min="14088" max="14088" width="5.7109375" style="186" customWidth="1"/>
    <col min="14089" max="14089" width="10" style="186" bestFit="1" customWidth="1"/>
    <col min="14090" max="14090" width="10.42578125" style="186" customWidth="1"/>
    <col min="14091" max="14091" width="18.7109375" style="186" customWidth="1"/>
    <col min="14092" max="14092" width="17.85546875" style="186" customWidth="1"/>
    <col min="14093" max="14093" width="13.42578125" style="186" customWidth="1"/>
    <col min="14094" max="14094" width="11.7109375" style="186" customWidth="1"/>
    <col min="14095" max="14095" width="12.140625" style="186" customWidth="1"/>
    <col min="14096" max="14096" width="14.140625" style="186" customWidth="1"/>
    <col min="14097" max="14336" width="9.140625" style="186"/>
    <col min="14337" max="14337" width="6.42578125" style="186" customWidth="1"/>
    <col min="14338" max="14338" width="54.5703125" style="186" customWidth="1"/>
    <col min="14339" max="14339" width="13.28515625" style="186" customWidth="1"/>
    <col min="14340" max="14340" width="6" style="186" customWidth="1"/>
    <col min="14341" max="14341" width="7" style="186" bestFit="1" customWidth="1"/>
    <col min="14342" max="14342" width="10" style="186" bestFit="1" customWidth="1"/>
    <col min="14343" max="14343" width="13.5703125" style="186" bestFit="1" customWidth="1"/>
    <col min="14344" max="14344" width="5.7109375" style="186" customWidth="1"/>
    <col min="14345" max="14345" width="10" style="186" bestFit="1" customWidth="1"/>
    <col min="14346" max="14346" width="10.42578125" style="186" customWidth="1"/>
    <col min="14347" max="14347" width="18.7109375" style="186" customWidth="1"/>
    <col min="14348" max="14348" width="17.85546875" style="186" customWidth="1"/>
    <col min="14349" max="14349" width="13.42578125" style="186" customWidth="1"/>
    <col min="14350" max="14350" width="11.7109375" style="186" customWidth="1"/>
    <col min="14351" max="14351" width="12.140625" style="186" customWidth="1"/>
    <col min="14352" max="14352" width="14.140625" style="186" customWidth="1"/>
    <col min="14353" max="14592" width="9.140625" style="186"/>
    <col min="14593" max="14593" width="6.42578125" style="186" customWidth="1"/>
    <col min="14594" max="14594" width="54.5703125" style="186" customWidth="1"/>
    <col min="14595" max="14595" width="13.28515625" style="186" customWidth="1"/>
    <col min="14596" max="14596" width="6" style="186" customWidth="1"/>
    <col min="14597" max="14597" width="7" style="186" bestFit="1" customWidth="1"/>
    <col min="14598" max="14598" width="10" style="186" bestFit="1" customWidth="1"/>
    <col min="14599" max="14599" width="13.5703125" style="186" bestFit="1" customWidth="1"/>
    <col min="14600" max="14600" width="5.7109375" style="186" customWidth="1"/>
    <col min="14601" max="14601" width="10" style="186" bestFit="1" customWidth="1"/>
    <col min="14602" max="14602" width="10.42578125" style="186" customWidth="1"/>
    <col min="14603" max="14603" width="18.7109375" style="186" customWidth="1"/>
    <col min="14604" max="14604" width="17.85546875" style="186" customWidth="1"/>
    <col min="14605" max="14605" width="13.42578125" style="186" customWidth="1"/>
    <col min="14606" max="14606" width="11.7109375" style="186" customWidth="1"/>
    <col min="14607" max="14607" width="12.140625" style="186" customWidth="1"/>
    <col min="14608" max="14608" width="14.140625" style="186" customWidth="1"/>
    <col min="14609" max="14848" width="9.140625" style="186"/>
    <col min="14849" max="14849" width="6.42578125" style="186" customWidth="1"/>
    <col min="14850" max="14850" width="54.5703125" style="186" customWidth="1"/>
    <col min="14851" max="14851" width="13.28515625" style="186" customWidth="1"/>
    <col min="14852" max="14852" width="6" style="186" customWidth="1"/>
    <col min="14853" max="14853" width="7" style="186" bestFit="1" customWidth="1"/>
    <col min="14854" max="14854" width="10" style="186" bestFit="1" customWidth="1"/>
    <col min="14855" max="14855" width="13.5703125" style="186" bestFit="1" customWidth="1"/>
    <col min="14856" max="14856" width="5.7109375" style="186" customWidth="1"/>
    <col min="14857" max="14857" width="10" style="186" bestFit="1" customWidth="1"/>
    <col min="14858" max="14858" width="10.42578125" style="186" customWidth="1"/>
    <col min="14859" max="14859" width="18.7109375" style="186" customWidth="1"/>
    <col min="14860" max="14860" width="17.85546875" style="186" customWidth="1"/>
    <col min="14861" max="14861" width="13.42578125" style="186" customWidth="1"/>
    <col min="14862" max="14862" width="11.7109375" style="186" customWidth="1"/>
    <col min="14863" max="14863" width="12.140625" style="186" customWidth="1"/>
    <col min="14864" max="14864" width="14.140625" style="186" customWidth="1"/>
    <col min="14865" max="15104" width="9.140625" style="186"/>
    <col min="15105" max="15105" width="6.42578125" style="186" customWidth="1"/>
    <col min="15106" max="15106" width="54.5703125" style="186" customWidth="1"/>
    <col min="15107" max="15107" width="13.28515625" style="186" customWidth="1"/>
    <col min="15108" max="15108" width="6" style="186" customWidth="1"/>
    <col min="15109" max="15109" width="7" style="186" bestFit="1" customWidth="1"/>
    <col min="15110" max="15110" width="10" style="186" bestFit="1" customWidth="1"/>
    <col min="15111" max="15111" width="13.5703125" style="186" bestFit="1" customWidth="1"/>
    <col min="15112" max="15112" width="5.7109375" style="186" customWidth="1"/>
    <col min="15113" max="15113" width="10" style="186" bestFit="1" customWidth="1"/>
    <col min="15114" max="15114" width="10.42578125" style="186" customWidth="1"/>
    <col min="15115" max="15115" width="18.7109375" style="186" customWidth="1"/>
    <col min="15116" max="15116" width="17.85546875" style="186" customWidth="1"/>
    <col min="15117" max="15117" width="13.42578125" style="186" customWidth="1"/>
    <col min="15118" max="15118" width="11.7109375" style="186" customWidth="1"/>
    <col min="15119" max="15119" width="12.140625" style="186" customWidth="1"/>
    <col min="15120" max="15120" width="14.140625" style="186" customWidth="1"/>
    <col min="15121" max="15360" width="9.140625" style="186"/>
    <col min="15361" max="15361" width="6.42578125" style="186" customWidth="1"/>
    <col min="15362" max="15362" width="54.5703125" style="186" customWidth="1"/>
    <col min="15363" max="15363" width="13.28515625" style="186" customWidth="1"/>
    <col min="15364" max="15364" width="6" style="186" customWidth="1"/>
    <col min="15365" max="15365" width="7" style="186" bestFit="1" customWidth="1"/>
    <col min="15366" max="15366" width="10" style="186" bestFit="1" customWidth="1"/>
    <col min="15367" max="15367" width="13.5703125" style="186" bestFit="1" customWidth="1"/>
    <col min="15368" max="15368" width="5.7109375" style="186" customWidth="1"/>
    <col min="15369" max="15369" width="10" style="186" bestFit="1" customWidth="1"/>
    <col min="15370" max="15370" width="10.42578125" style="186" customWidth="1"/>
    <col min="15371" max="15371" width="18.7109375" style="186" customWidth="1"/>
    <col min="15372" max="15372" width="17.85546875" style="186" customWidth="1"/>
    <col min="15373" max="15373" width="13.42578125" style="186" customWidth="1"/>
    <col min="15374" max="15374" width="11.7109375" style="186" customWidth="1"/>
    <col min="15375" max="15375" width="12.140625" style="186" customWidth="1"/>
    <col min="15376" max="15376" width="14.140625" style="186" customWidth="1"/>
    <col min="15377" max="15616" width="9.140625" style="186"/>
    <col min="15617" max="15617" width="6.42578125" style="186" customWidth="1"/>
    <col min="15618" max="15618" width="54.5703125" style="186" customWidth="1"/>
    <col min="15619" max="15619" width="13.28515625" style="186" customWidth="1"/>
    <col min="15620" max="15620" width="6" style="186" customWidth="1"/>
    <col min="15621" max="15621" width="7" style="186" bestFit="1" customWidth="1"/>
    <col min="15622" max="15622" width="10" style="186" bestFit="1" customWidth="1"/>
    <col min="15623" max="15623" width="13.5703125" style="186" bestFit="1" customWidth="1"/>
    <col min="15624" max="15624" width="5.7109375" style="186" customWidth="1"/>
    <col min="15625" max="15625" width="10" style="186" bestFit="1" customWidth="1"/>
    <col min="15626" max="15626" width="10.42578125" style="186" customWidth="1"/>
    <col min="15627" max="15627" width="18.7109375" style="186" customWidth="1"/>
    <col min="15628" max="15628" width="17.85546875" style="186" customWidth="1"/>
    <col min="15629" max="15629" width="13.42578125" style="186" customWidth="1"/>
    <col min="15630" max="15630" width="11.7109375" style="186" customWidth="1"/>
    <col min="15631" max="15631" width="12.140625" style="186" customWidth="1"/>
    <col min="15632" max="15632" width="14.140625" style="186" customWidth="1"/>
    <col min="15633" max="15872" width="9.140625" style="186"/>
    <col min="15873" max="15873" width="6.42578125" style="186" customWidth="1"/>
    <col min="15874" max="15874" width="54.5703125" style="186" customWidth="1"/>
    <col min="15875" max="15875" width="13.28515625" style="186" customWidth="1"/>
    <col min="15876" max="15876" width="6" style="186" customWidth="1"/>
    <col min="15877" max="15877" width="7" style="186" bestFit="1" customWidth="1"/>
    <col min="15878" max="15878" width="10" style="186" bestFit="1" customWidth="1"/>
    <col min="15879" max="15879" width="13.5703125" style="186" bestFit="1" customWidth="1"/>
    <col min="15880" max="15880" width="5.7109375" style="186" customWidth="1"/>
    <col min="15881" max="15881" width="10" style="186" bestFit="1" customWidth="1"/>
    <col min="15882" max="15882" width="10.42578125" style="186" customWidth="1"/>
    <col min="15883" max="15883" width="18.7109375" style="186" customWidth="1"/>
    <col min="15884" max="15884" width="17.85546875" style="186" customWidth="1"/>
    <col min="15885" max="15885" width="13.42578125" style="186" customWidth="1"/>
    <col min="15886" max="15886" width="11.7109375" style="186" customWidth="1"/>
    <col min="15887" max="15887" width="12.140625" style="186" customWidth="1"/>
    <col min="15888" max="15888" width="14.140625" style="186" customWidth="1"/>
    <col min="15889" max="16128" width="9.140625" style="186"/>
    <col min="16129" max="16129" width="6.42578125" style="186" customWidth="1"/>
    <col min="16130" max="16130" width="54.5703125" style="186" customWidth="1"/>
    <col min="16131" max="16131" width="13.28515625" style="186" customWidth="1"/>
    <col min="16132" max="16132" width="6" style="186" customWidth="1"/>
    <col min="16133" max="16133" width="7" style="186" bestFit="1" customWidth="1"/>
    <col min="16134" max="16134" width="10" style="186" bestFit="1" customWidth="1"/>
    <col min="16135" max="16135" width="13.5703125" style="186" bestFit="1" customWidth="1"/>
    <col min="16136" max="16136" width="5.7109375" style="186" customWidth="1"/>
    <col min="16137" max="16137" width="10" style="186" bestFit="1" customWidth="1"/>
    <col min="16138" max="16138" width="10.42578125" style="186" customWidth="1"/>
    <col min="16139" max="16139" width="18.7109375" style="186" customWidth="1"/>
    <col min="16140" max="16140" width="17.85546875" style="186" customWidth="1"/>
    <col min="16141" max="16141" width="13.42578125" style="186" customWidth="1"/>
    <col min="16142" max="16142" width="11.7109375" style="186" customWidth="1"/>
    <col min="16143" max="16143" width="12.140625" style="186" customWidth="1"/>
    <col min="16144" max="16144" width="14.140625" style="186" customWidth="1"/>
    <col min="16145" max="16384" width="9.140625" style="186"/>
  </cols>
  <sheetData>
    <row r="1" spans="1:20" ht="18">
      <c r="B1" s="3047" t="s">
        <v>207</v>
      </c>
      <c r="C1" s="3047"/>
      <c r="D1" s="3047"/>
      <c r="E1" s="3047"/>
      <c r="F1" s="2"/>
      <c r="G1" s="2"/>
      <c r="H1" s="3"/>
      <c r="I1" s="3"/>
      <c r="J1" s="3"/>
    </row>
    <row r="2" spans="1:20" ht="11.25" customHeight="1">
      <c r="A2" s="228"/>
      <c r="B2" s="228"/>
      <c r="C2" s="229"/>
      <c r="D2" s="228"/>
      <c r="E2" s="228"/>
      <c r="F2" s="228"/>
      <c r="G2" s="228"/>
    </row>
    <row r="3" spans="1:20" ht="34.5" customHeight="1">
      <c r="B3" s="3061" t="s">
        <v>208</v>
      </c>
      <c r="C3" s="3061"/>
      <c r="D3" s="3061"/>
      <c r="E3" s="3061"/>
      <c r="F3" s="3061"/>
      <c r="G3" s="3061"/>
    </row>
    <row r="4" spans="1:20" ht="15">
      <c r="C4" s="230"/>
      <c r="D4" s="230"/>
      <c r="E4" s="230"/>
      <c r="F4" s="230"/>
      <c r="I4" s="726" t="s">
        <v>89</v>
      </c>
    </row>
    <row r="5" spans="1:20" ht="12" customHeight="1">
      <c r="A5" s="231"/>
      <c r="B5" s="232"/>
      <c r="C5" s="233"/>
      <c r="D5" s="231"/>
      <c r="E5" s="231"/>
      <c r="F5" s="231"/>
      <c r="H5" s="234"/>
      <c r="I5" s="234"/>
      <c r="J5" s="234"/>
    </row>
    <row r="6" spans="1:20" ht="34.5" customHeight="1">
      <c r="A6" s="3213" t="s">
        <v>2</v>
      </c>
      <c r="B6" s="3312" t="s">
        <v>3</v>
      </c>
      <c r="C6" s="3313" t="s">
        <v>4</v>
      </c>
      <c r="D6" s="3312" t="s">
        <v>5</v>
      </c>
      <c r="E6" s="3315" t="s">
        <v>93</v>
      </c>
      <c r="F6" s="3316"/>
      <c r="G6" s="3317"/>
      <c r="H6" s="3318" t="s">
        <v>94</v>
      </c>
      <c r="I6" s="3318"/>
      <c r="J6" s="3318"/>
      <c r="L6" s="187"/>
      <c r="M6" s="187"/>
      <c r="N6" s="187"/>
    </row>
    <row r="7" spans="1:20" ht="15">
      <c r="A7" s="3214"/>
      <c r="B7" s="3312"/>
      <c r="C7" s="3314"/>
      <c r="D7" s="3312"/>
      <c r="E7" s="235" t="s">
        <v>95</v>
      </c>
      <c r="F7" s="235" t="s">
        <v>9</v>
      </c>
      <c r="G7" s="235" t="s">
        <v>10</v>
      </c>
      <c r="H7" s="236" t="s">
        <v>95</v>
      </c>
      <c r="I7" s="236" t="s">
        <v>96</v>
      </c>
      <c r="J7" s="236" t="s">
        <v>10</v>
      </c>
    </row>
    <row r="8" spans="1:20" ht="15">
      <c r="A8" s="237">
        <v>1</v>
      </c>
      <c r="B8" s="237">
        <v>2</v>
      </c>
      <c r="C8" s="237">
        <v>3</v>
      </c>
      <c r="D8" s="237">
        <v>4</v>
      </c>
      <c r="E8" s="237">
        <v>5</v>
      </c>
      <c r="F8" s="237">
        <v>6</v>
      </c>
      <c r="G8" s="237">
        <v>7</v>
      </c>
      <c r="H8" s="237">
        <v>8</v>
      </c>
      <c r="I8" s="237">
        <v>9</v>
      </c>
      <c r="J8" s="237">
        <v>10</v>
      </c>
    </row>
    <row r="9" spans="1:20" ht="32.25" customHeight="1">
      <c r="A9" s="1181">
        <v>1</v>
      </c>
      <c r="B9" s="1182" t="s">
        <v>209</v>
      </c>
      <c r="C9" s="1186">
        <v>7130601965</v>
      </c>
      <c r="D9" s="1183" t="s">
        <v>26</v>
      </c>
      <c r="E9" s="1181">
        <f>37.1*11*2</f>
        <v>816.2</v>
      </c>
      <c r="F9" s="734">
        <f>VLOOKUP(C9,'SOR RATE'!A:D,4,0)/1000</f>
        <v>63.913519999999998</v>
      </c>
      <c r="G9" s="1725">
        <f t="shared" ref="G9:G11" si="0">F9*E9</f>
        <v>52166.215024000005</v>
      </c>
      <c r="H9" s="1300"/>
      <c r="I9" s="1300"/>
      <c r="J9" s="1300"/>
      <c r="M9" s="165"/>
      <c r="N9" s="165"/>
      <c r="O9" s="165"/>
    </row>
    <row r="10" spans="1:20" ht="16.5" customHeight="1">
      <c r="A10" s="1181">
        <v>2</v>
      </c>
      <c r="B10" s="1185" t="s">
        <v>98</v>
      </c>
      <c r="C10" s="1258">
        <v>7130800002</v>
      </c>
      <c r="D10" s="1187" t="s">
        <v>12</v>
      </c>
      <c r="E10" s="1181"/>
      <c r="F10" s="734"/>
      <c r="G10" s="1725"/>
      <c r="H10" s="1260">
        <v>2</v>
      </c>
      <c r="I10" s="734">
        <f>VLOOKUP(C10,'SOR RATE'!A:D,4,0)</f>
        <v>7656.89</v>
      </c>
      <c r="J10" s="734">
        <f>H10*I10</f>
        <v>15313.78</v>
      </c>
      <c r="L10" s="175"/>
      <c r="M10" s="175"/>
      <c r="N10" s="165"/>
      <c r="O10" s="165"/>
    </row>
    <row r="11" spans="1:20" ht="17.25" customHeight="1">
      <c r="A11" s="1181">
        <v>3</v>
      </c>
      <c r="B11" s="1182" t="s">
        <v>210</v>
      </c>
      <c r="C11" s="1186">
        <v>7130810512</v>
      </c>
      <c r="D11" s="1183" t="s">
        <v>40</v>
      </c>
      <c r="E11" s="1183">
        <v>1</v>
      </c>
      <c r="F11" s="734">
        <f>VLOOKUP(C11,'SOR RATE'!A218:D218,4,0)</f>
        <v>5188.4799999999996</v>
      </c>
      <c r="G11" s="1726">
        <f t="shared" si="0"/>
        <v>5188.4799999999996</v>
      </c>
      <c r="H11" s="1260">
        <v>1</v>
      </c>
      <c r="I11" s="734">
        <f>VLOOKUP(C11,'SOR RATE'!A218:D218,4,0)</f>
        <v>5188.4799999999996</v>
      </c>
      <c r="J11" s="734">
        <f t="shared" ref="J11:J30" si="1">H11*I11</f>
        <v>5188.4799999999996</v>
      </c>
    </row>
    <row r="12" spans="1:20" ht="14.25" customHeight="1">
      <c r="A12" s="1181">
        <v>4</v>
      </c>
      <c r="B12" s="1475" t="s">
        <v>67</v>
      </c>
      <c r="C12" s="1258">
        <v>7130820010</v>
      </c>
      <c r="D12" s="1181" t="s">
        <v>12</v>
      </c>
      <c r="E12" s="1181">
        <v>6</v>
      </c>
      <c r="F12" s="734">
        <f>VLOOKUP(C12,'SOR RATE'!A232:D232,4,0)</f>
        <v>118.97</v>
      </c>
      <c r="G12" s="1725">
        <f>F12*E12</f>
        <v>713.81999999999994</v>
      </c>
      <c r="H12" s="1260">
        <v>6</v>
      </c>
      <c r="I12" s="734">
        <f>VLOOKUP(C12,'SOR RATE'!A232:D232,4,0)</f>
        <v>118.97</v>
      </c>
      <c r="J12" s="734">
        <f t="shared" si="1"/>
        <v>713.81999999999994</v>
      </c>
      <c r="L12" s="212"/>
      <c r="M12" s="212"/>
    </row>
    <row r="13" spans="1:20" ht="13.5" customHeight="1">
      <c r="A13" s="1181">
        <v>5</v>
      </c>
      <c r="B13" s="1475" t="s">
        <v>69</v>
      </c>
      <c r="C13" s="1258">
        <v>7130820241</v>
      </c>
      <c r="D13" s="1181" t="s">
        <v>12</v>
      </c>
      <c r="E13" s="1181">
        <v>6</v>
      </c>
      <c r="F13" s="734">
        <f>VLOOKUP(C13,'SOR RATE'!A:D,4,0)</f>
        <v>153.49</v>
      </c>
      <c r="G13" s="1725">
        <f>F13*E13</f>
        <v>920.94</v>
      </c>
      <c r="H13" s="1260">
        <v>6</v>
      </c>
      <c r="I13" s="734">
        <f>VLOOKUP(C13,'SOR RATE'!A:D,4,0)</f>
        <v>153.49</v>
      </c>
      <c r="J13" s="734">
        <f>H13*I13</f>
        <v>920.94</v>
      </c>
    </row>
    <row r="14" spans="1:20" ht="14.25" customHeight="1">
      <c r="A14" s="1181">
        <v>6</v>
      </c>
      <c r="B14" s="1185" t="s">
        <v>102</v>
      </c>
      <c r="C14" s="1186">
        <v>7130820008</v>
      </c>
      <c r="D14" s="1181" t="s">
        <v>12</v>
      </c>
      <c r="E14" s="1181">
        <v>3</v>
      </c>
      <c r="F14" s="734">
        <f>VLOOKUP(C14,'SOR RATE'!A:D,4,0)</f>
        <v>157.08000000000001</v>
      </c>
      <c r="G14" s="1725">
        <f>F14*E14</f>
        <v>471.24</v>
      </c>
      <c r="H14" s="1260">
        <v>3</v>
      </c>
      <c r="I14" s="734">
        <f>VLOOKUP(C14,'SOR RATE'!A:D,4,0)</f>
        <v>157.08000000000001</v>
      </c>
      <c r="J14" s="734">
        <f>H14*I14</f>
        <v>471.24</v>
      </c>
      <c r="L14" s="174"/>
      <c r="M14" s="174"/>
    </row>
    <row r="15" spans="1:20" ht="30">
      <c r="A15" s="3154">
        <v>7</v>
      </c>
      <c r="B15" s="1484" t="s">
        <v>211</v>
      </c>
      <c r="C15" s="1258"/>
      <c r="D15" s="1181" t="s">
        <v>40</v>
      </c>
      <c r="E15" s="1181"/>
      <c r="F15" s="734"/>
      <c r="G15" s="1725"/>
      <c r="H15" s="734"/>
      <c r="I15" s="734"/>
      <c r="J15" s="734"/>
      <c r="K15" s="238"/>
      <c r="L15" s="238"/>
      <c r="M15" s="238"/>
      <c r="N15" s="238"/>
      <c r="O15" s="238"/>
      <c r="P15" s="238"/>
      <c r="Q15" s="238"/>
      <c r="R15" s="238"/>
      <c r="S15" s="238"/>
      <c r="T15" s="238"/>
    </row>
    <row r="16" spans="1:20" ht="15.75" customHeight="1">
      <c r="A16" s="3155"/>
      <c r="B16" s="1200" t="s">
        <v>71</v>
      </c>
      <c r="C16" s="1258">
        <v>7130600032</v>
      </c>
      <c r="D16" s="1181" t="s">
        <v>26</v>
      </c>
      <c r="E16" s="1181">
        <v>52</v>
      </c>
      <c r="F16" s="734">
        <f>VLOOKUP(C16,'SOR RATE'!A:D,4,0)/1000</f>
        <v>54.512970000000003</v>
      </c>
      <c r="G16" s="1725">
        <f>F16*E16</f>
        <v>2834.6744400000002</v>
      </c>
      <c r="H16" s="1260">
        <v>52</v>
      </c>
      <c r="I16" s="734">
        <f>VLOOKUP(C16,'SOR RATE'!A:D,4,0)/1000</f>
        <v>54.512970000000003</v>
      </c>
      <c r="J16" s="734">
        <f>H16*I16</f>
        <v>2834.6744400000002</v>
      </c>
      <c r="K16" s="238"/>
      <c r="L16" s="238"/>
      <c r="M16" s="238"/>
      <c r="N16" s="238"/>
      <c r="O16" s="238"/>
      <c r="P16" s="238"/>
      <c r="Q16" s="238"/>
      <c r="R16" s="238"/>
      <c r="S16" s="238"/>
      <c r="T16" s="238"/>
    </row>
    <row r="17" spans="1:20" ht="15.75" customHeight="1">
      <c r="A17" s="3155"/>
      <c r="B17" s="1484" t="s">
        <v>212</v>
      </c>
      <c r="C17" s="1277"/>
      <c r="D17" s="1278"/>
      <c r="E17" s="1278"/>
      <c r="F17" s="1278"/>
      <c r="G17" s="1278"/>
      <c r="H17" s="734"/>
      <c r="I17" s="734"/>
      <c r="J17" s="734"/>
      <c r="K17" s="238"/>
      <c r="L17" s="238"/>
      <c r="M17" s="238"/>
      <c r="N17" s="238"/>
      <c r="O17" s="238"/>
      <c r="P17" s="238"/>
      <c r="Q17" s="238"/>
      <c r="R17" s="238"/>
      <c r="S17" s="238"/>
      <c r="T17" s="238"/>
    </row>
    <row r="18" spans="1:20" ht="16.5" customHeight="1">
      <c r="A18" s="3155"/>
      <c r="B18" s="1185" t="s">
        <v>100</v>
      </c>
      <c r="C18" s="1186">
        <v>7130810692</v>
      </c>
      <c r="D18" s="1187" t="s">
        <v>15</v>
      </c>
      <c r="E18" s="1181">
        <v>4</v>
      </c>
      <c r="F18" s="734">
        <f>VLOOKUP(C18,'SOR RATE'!A:D,4,0)</f>
        <v>410.25</v>
      </c>
      <c r="G18" s="1725">
        <f>F18*E18</f>
        <v>1641</v>
      </c>
      <c r="H18" s="734"/>
      <c r="I18" s="734"/>
      <c r="J18" s="734"/>
      <c r="K18" s="238"/>
      <c r="L18" s="238"/>
      <c r="M18" s="238"/>
      <c r="N18" s="238"/>
      <c r="O18" s="238"/>
      <c r="P18" s="238"/>
      <c r="Q18" s="238"/>
      <c r="R18" s="238"/>
      <c r="S18" s="238"/>
      <c r="T18" s="238"/>
    </row>
    <row r="19" spans="1:20" ht="16.5" customHeight="1">
      <c r="A19" s="3156"/>
      <c r="B19" s="1233" t="s">
        <v>101</v>
      </c>
      <c r="C19" s="1289">
        <v>7130810193</v>
      </c>
      <c r="D19" s="1727" t="s">
        <v>15</v>
      </c>
      <c r="E19" s="1184"/>
      <c r="F19" s="1494"/>
      <c r="G19" s="1728"/>
      <c r="H19" s="1729">
        <v>4</v>
      </c>
      <c r="I19" s="1494">
        <f>VLOOKUP(C19,'SOR RATE'!A:D,4,0)</f>
        <v>369.79</v>
      </c>
      <c r="J19" s="1494">
        <f>H19*I19</f>
        <v>1479.16</v>
      </c>
      <c r="K19" s="238"/>
      <c r="L19" s="238"/>
      <c r="M19" s="238"/>
      <c r="N19" s="238"/>
      <c r="O19" s="238"/>
      <c r="P19" s="238"/>
      <c r="Q19" s="238"/>
      <c r="R19" s="238"/>
      <c r="S19" s="238"/>
      <c r="T19" s="238"/>
    </row>
    <row r="20" spans="1:20" ht="17.25" customHeight="1">
      <c r="A20" s="3154">
        <v>8</v>
      </c>
      <c r="B20" s="1470" t="s">
        <v>213</v>
      </c>
      <c r="C20" s="1258">
        <v>7130860032</v>
      </c>
      <c r="D20" s="1181" t="s">
        <v>12</v>
      </c>
      <c r="E20" s="1181">
        <v>6</v>
      </c>
      <c r="F20" s="734">
        <f>VLOOKUP(C20,'SOR RATE'!A:D,4,0)</f>
        <v>566.19000000000005</v>
      </c>
      <c r="G20" s="1725">
        <f>F20*E20</f>
        <v>3397.1400000000003</v>
      </c>
      <c r="H20" s="1260">
        <v>6</v>
      </c>
      <c r="I20" s="734">
        <f>VLOOKUP(C20,'SOR RATE'!A:D,4,0)</f>
        <v>566.19000000000005</v>
      </c>
      <c r="J20" s="734">
        <f>H20*I20</f>
        <v>3397.1400000000003</v>
      </c>
      <c r="K20" s="238"/>
      <c r="L20" s="238"/>
      <c r="M20" s="238"/>
      <c r="N20" s="238"/>
      <c r="O20" s="238"/>
      <c r="P20" s="238"/>
      <c r="Q20" s="238"/>
      <c r="R20" s="238"/>
      <c r="S20" s="238"/>
      <c r="T20" s="238"/>
    </row>
    <row r="21" spans="1:20" ht="15.75" customHeight="1">
      <c r="A21" s="3155"/>
      <c r="B21" s="1470" t="s">
        <v>214</v>
      </c>
      <c r="C21" s="1258">
        <v>7130860077</v>
      </c>
      <c r="D21" s="1181" t="s">
        <v>26</v>
      </c>
      <c r="E21" s="1181">
        <v>51</v>
      </c>
      <c r="F21" s="734">
        <f>VLOOKUP(C21,'SOR RATE'!A:D,4,0)/1000</f>
        <v>93.76643</v>
      </c>
      <c r="G21" s="1725">
        <f>F21*E21</f>
        <v>4782.0879299999997</v>
      </c>
      <c r="H21" s="1260">
        <v>51</v>
      </c>
      <c r="I21" s="734">
        <f>VLOOKUP(C21,'SOR RATE'!A:D,4,0)/1000</f>
        <v>93.76643</v>
      </c>
      <c r="J21" s="734">
        <f t="shared" si="1"/>
        <v>4782.0879299999997</v>
      </c>
    </row>
    <row r="22" spans="1:20" ht="16.5" customHeight="1">
      <c r="A22" s="3155"/>
      <c r="B22" s="1470" t="s">
        <v>215</v>
      </c>
      <c r="C22" s="1730"/>
      <c r="D22" s="1731"/>
      <c r="E22" s="1731"/>
      <c r="F22" s="1731"/>
      <c r="G22" s="1731"/>
      <c r="H22" s="734"/>
      <c r="I22" s="734"/>
      <c r="J22" s="734"/>
    </row>
    <row r="23" spans="1:20" ht="16.5" customHeight="1">
      <c r="A23" s="3155"/>
      <c r="B23" s="1695" t="s">
        <v>100</v>
      </c>
      <c r="C23" s="1186">
        <v>7130810692</v>
      </c>
      <c r="D23" s="1187" t="s">
        <v>15</v>
      </c>
      <c r="E23" s="1181">
        <v>6</v>
      </c>
      <c r="F23" s="734">
        <f>VLOOKUP(C23,'SOR RATE'!A:D,4,0)</f>
        <v>410.25</v>
      </c>
      <c r="G23" s="1725">
        <f>F23*E23</f>
        <v>2461.5</v>
      </c>
      <c r="H23" s="734"/>
      <c r="I23" s="734"/>
      <c r="J23" s="734"/>
    </row>
    <row r="24" spans="1:20" ht="16.5" customHeight="1">
      <c r="A24" s="3156"/>
      <c r="B24" s="1233" t="s">
        <v>101</v>
      </c>
      <c r="C24" s="1289">
        <v>7130810193</v>
      </c>
      <c r="D24" s="1727" t="s">
        <v>15</v>
      </c>
      <c r="E24" s="1184"/>
      <c r="F24" s="1494"/>
      <c r="G24" s="1728"/>
      <c r="H24" s="1729">
        <v>6</v>
      </c>
      <c r="I24" s="1494">
        <f>VLOOKUP(C24,'SOR RATE'!A:D,4,0)</f>
        <v>369.79</v>
      </c>
      <c r="J24" s="1494">
        <f t="shared" ref="J24:J29" si="2">H24*I24</f>
        <v>2218.7400000000002</v>
      </c>
    </row>
    <row r="25" spans="1:20" ht="48" customHeight="1">
      <c r="A25" s="1196">
        <v>9</v>
      </c>
      <c r="B25" s="1484" t="s">
        <v>216</v>
      </c>
      <c r="C25" s="1258">
        <v>7130200202</v>
      </c>
      <c r="D25" s="1181" t="s">
        <v>76</v>
      </c>
      <c r="E25" s="1181">
        <f>(2*0.65)+(6*0.2)</f>
        <v>2.5</v>
      </c>
      <c r="F25" s="734">
        <f>VLOOKUP(C25,'SOR RATE'!A:D,4,0)</f>
        <v>2970</v>
      </c>
      <c r="G25" s="1725">
        <f>F25*E25</f>
        <v>7425</v>
      </c>
      <c r="H25" s="1181">
        <f>(2*0.55)+(6*0.2)</f>
        <v>2.3000000000000003</v>
      </c>
      <c r="I25" s="734">
        <f>VLOOKUP(C25,'SOR RATE'!A:D,4,0)</f>
        <v>2970</v>
      </c>
      <c r="J25" s="734">
        <f t="shared" si="2"/>
        <v>6831.0000000000009</v>
      </c>
      <c r="K25" s="225" t="s">
        <v>47</v>
      </c>
      <c r="L25" s="239"/>
      <c r="M25" s="239"/>
      <c r="N25" s="239"/>
      <c r="O25" s="239"/>
      <c r="P25" s="239"/>
    </row>
    <row r="26" spans="1:20" ht="17.25" customHeight="1">
      <c r="A26" s="1181">
        <v>10</v>
      </c>
      <c r="B26" s="1475" t="s">
        <v>77</v>
      </c>
      <c r="C26" s="1258">
        <v>7130870013</v>
      </c>
      <c r="D26" s="1181" t="s">
        <v>12</v>
      </c>
      <c r="E26" s="1181">
        <v>2</v>
      </c>
      <c r="F26" s="734">
        <f>VLOOKUP(C26,'SOR RATE'!A:D,4,0)</f>
        <v>152.88999999999999</v>
      </c>
      <c r="G26" s="1725">
        <f>F26*E26</f>
        <v>305.77999999999997</v>
      </c>
      <c r="H26" s="1260">
        <v>2</v>
      </c>
      <c r="I26" s="734">
        <f>VLOOKUP(C26,'SOR RATE'!A:D,4,0)</f>
        <v>152.88999999999999</v>
      </c>
      <c r="J26" s="734">
        <f t="shared" si="2"/>
        <v>305.77999999999997</v>
      </c>
    </row>
    <row r="27" spans="1:20">
      <c r="A27" s="1209">
        <v>11</v>
      </c>
      <c r="B27" s="1470" t="s">
        <v>28</v>
      </c>
      <c r="C27" s="1258">
        <v>7130211158</v>
      </c>
      <c r="D27" s="1181" t="s">
        <v>29</v>
      </c>
      <c r="E27" s="1732">
        <v>0.5</v>
      </c>
      <c r="F27" s="734">
        <f>VLOOKUP(C27,'SOR RATE'!A:D,4,0)</f>
        <v>193.62</v>
      </c>
      <c r="G27" s="1725">
        <f>F27*E27</f>
        <v>96.81</v>
      </c>
      <c r="H27" s="1499">
        <v>0.5</v>
      </c>
      <c r="I27" s="734">
        <f>VLOOKUP(C27,'SOR RATE'!A:D,4,0)</f>
        <v>193.62</v>
      </c>
      <c r="J27" s="734">
        <f t="shared" si="2"/>
        <v>96.81</v>
      </c>
    </row>
    <row r="28" spans="1:20">
      <c r="A28" s="1209">
        <v>12</v>
      </c>
      <c r="B28" s="1470" t="s">
        <v>30</v>
      </c>
      <c r="C28" s="1258">
        <v>7130210809</v>
      </c>
      <c r="D28" s="1181" t="s">
        <v>29</v>
      </c>
      <c r="E28" s="1732">
        <v>0.5</v>
      </c>
      <c r="F28" s="734">
        <f>VLOOKUP(C28,'SOR RATE'!A:D,4,0)</f>
        <v>432.63</v>
      </c>
      <c r="G28" s="1725">
        <f>F28*E28</f>
        <v>216.315</v>
      </c>
      <c r="H28" s="1499">
        <v>0.5</v>
      </c>
      <c r="I28" s="734">
        <f>VLOOKUP(C28,'SOR RATE'!A:D,4,0)</f>
        <v>432.63</v>
      </c>
      <c r="J28" s="734">
        <f t="shared" si="2"/>
        <v>216.315</v>
      </c>
    </row>
    <row r="29" spans="1:20" ht="16.5" customHeight="1">
      <c r="A29" s="1209">
        <v>13</v>
      </c>
      <c r="B29" s="1185" t="s">
        <v>31</v>
      </c>
      <c r="C29" s="1186">
        <v>7130610206</v>
      </c>
      <c r="D29" s="1181" t="s">
        <v>26</v>
      </c>
      <c r="E29" s="1732">
        <v>4</v>
      </c>
      <c r="F29" s="734">
        <f>VLOOKUP(C29,'SOR RATE'!A:D,4,0)/1000</f>
        <v>97.233429999999998</v>
      </c>
      <c r="G29" s="1725">
        <f>F29*E29</f>
        <v>388.93371999999999</v>
      </c>
      <c r="H29" s="1260">
        <v>4</v>
      </c>
      <c r="I29" s="734">
        <f>VLOOKUP(C29,'SOR RATE'!A:D,4,0)/1000</f>
        <v>97.233429999999998</v>
      </c>
      <c r="J29" s="734">
        <f t="shared" si="2"/>
        <v>388.93371999999999</v>
      </c>
      <c r="K29" s="56"/>
      <c r="L29" s="16"/>
      <c r="M29" s="17"/>
    </row>
    <row r="30" spans="1:20" ht="15.75" customHeight="1">
      <c r="A30" s="1209">
        <v>14</v>
      </c>
      <c r="B30" s="1475" t="s">
        <v>32</v>
      </c>
      <c r="C30" s="1258">
        <v>7130880041</v>
      </c>
      <c r="D30" s="1181" t="s">
        <v>33</v>
      </c>
      <c r="E30" s="1732">
        <v>1</v>
      </c>
      <c r="F30" s="734">
        <f>VLOOKUP(C30,'SOR RATE'!A:D,4,0)</f>
        <v>113.77</v>
      </c>
      <c r="G30" s="1725">
        <f t="shared" ref="G30" si="3">F30*E30</f>
        <v>113.77</v>
      </c>
      <c r="H30" s="1260">
        <v>1</v>
      </c>
      <c r="I30" s="734">
        <f>VLOOKUP(C30,'SOR RATE'!A:D,4,0)</f>
        <v>113.77</v>
      </c>
      <c r="J30" s="734">
        <f t="shared" si="1"/>
        <v>113.77</v>
      </c>
    </row>
    <row r="31" spans="1:20" ht="15">
      <c r="A31" s="3157">
        <v>15</v>
      </c>
      <c r="B31" s="1733" t="s">
        <v>35</v>
      </c>
      <c r="C31" s="1258"/>
      <c r="D31" s="1181" t="s">
        <v>26</v>
      </c>
      <c r="E31" s="931">
        <v>6</v>
      </c>
      <c r="F31" s="734"/>
      <c r="G31" s="1725"/>
      <c r="H31" s="1734">
        <v>6</v>
      </c>
      <c r="I31" s="734"/>
      <c r="J31" s="734"/>
    </row>
    <row r="32" spans="1:20">
      <c r="A32" s="3158"/>
      <c r="B32" s="1735" t="s">
        <v>79</v>
      </c>
      <c r="C32" s="1736">
        <v>7130620609</v>
      </c>
      <c r="D32" s="1181" t="s">
        <v>26</v>
      </c>
      <c r="E32" s="201">
        <v>0.5</v>
      </c>
      <c r="F32" s="734">
        <f>VLOOKUP(C32,'SOR RATE'!A:D,4,0)</f>
        <v>87.23</v>
      </c>
      <c r="G32" s="1737">
        <f>F32*E32</f>
        <v>43.615000000000002</v>
      </c>
      <c r="H32" s="1738">
        <v>0.5</v>
      </c>
      <c r="I32" s="734">
        <f>VLOOKUP(C32,'SOR RATE'!A:D,4,0)</f>
        <v>87.23</v>
      </c>
      <c r="J32" s="734">
        <f>H32*I32</f>
        <v>43.615000000000002</v>
      </c>
    </row>
    <row r="33" spans="1:12">
      <c r="A33" s="3159"/>
      <c r="B33" s="1695" t="s">
        <v>80</v>
      </c>
      <c r="C33" s="1258">
        <v>7130620631</v>
      </c>
      <c r="D33" s="1181" t="s">
        <v>26</v>
      </c>
      <c r="E33" s="1181">
        <v>5.5</v>
      </c>
      <c r="F33" s="734">
        <f>VLOOKUP(C33,'SOR RATE'!A:D,4,0)</f>
        <v>84.32</v>
      </c>
      <c r="G33" s="1725">
        <f>F33*E33</f>
        <v>463.76</v>
      </c>
      <c r="H33" s="1738">
        <v>5.5</v>
      </c>
      <c r="I33" s="734">
        <f>VLOOKUP(C33,'SOR RATE'!A:D,4,0)</f>
        <v>84.32</v>
      </c>
      <c r="J33" s="734">
        <f>H33*I33</f>
        <v>463.76</v>
      </c>
    </row>
    <row r="34" spans="1:12" ht="16.5" customHeight="1">
      <c r="A34" s="938">
        <v>16</v>
      </c>
      <c r="B34" s="1191" t="s">
        <v>48</v>
      </c>
      <c r="C34" s="1258"/>
      <c r="D34" s="931"/>
      <c r="E34" s="1739"/>
      <c r="F34" s="1193"/>
      <c r="G34" s="1740">
        <f>SUM(G9:G33)</f>
        <v>83631.081114000001</v>
      </c>
      <c r="H34" s="1193"/>
      <c r="I34" s="1193"/>
      <c r="J34" s="1193">
        <f>SUM(J9:J33)</f>
        <v>45780.046089999996</v>
      </c>
    </row>
    <row r="35" spans="1:12" ht="17.25" customHeight="1">
      <c r="A35" s="931">
        <v>17</v>
      </c>
      <c r="B35" s="1191" t="s">
        <v>49</v>
      </c>
      <c r="C35" s="1258"/>
      <c r="D35" s="931"/>
      <c r="E35" s="1739"/>
      <c r="F35" s="1193"/>
      <c r="G35" s="1740">
        <f>G34/1.18</f>
        <v>70873.797554237288</v>
      </c>
      <c r="H35" s="1193"/>
      <c r="I35" s="1193"/>
      <c r="J35" s="1193">
        <f>J34/1.18</f>
        <v>38796.649228813556</v>
      </c>
      <c r="K35" s="17"/>
    </row>
    <row r="36" spans="1:12" ht="20.25" customHeight="1">
      <c r="A36" s="1181">
        <v>18</v>
      </c>
      <c r="B36" s="1185" t="s">
        <v>50</v>
      </c>
      <c r="C36" s="1741"/>
      <c r="D36" s="1741"/>
      <c r="E36" s="1741"/>
      <c r="F36" s="1258">
        <v>7.4999999999999997E-2</v>
      </c>
      <c r="G36" s="1725">
        <f>G34*F36</f>
        <v>6272.3310835499997</v>
      </c>
      <c r="H36" s="734"/>
      <c r="I36" s="1711">
        <v>7.4999999999999997E-2</v>
      </c>
      <c r="J36" s="734">
        <f>J34*I36</f>
        <v>3433.5034567499997</v>
      </c>
      <c r="K36" s="16"/>
    </row>
    <row r="37" spans="1:12" ht="16.5" customHeight="1">
      <c r="A37" s="201">
        <v>19</v>
      </c>
      <c r="B37" s="1706" t="s">
        <v>82</v>
      </c>
      <c r="D37" s="1181" t="s">
        <v>76</v>
      </c>
      <c r="E37" s="201">
        <v>2.5</v>
      </c>
      <c r="F37" s="1202">
        <f>665.173187113158*1.043</f>
        <v>693.77563415902364</v>
      </c>
      <c r="G37" s="734">
        <f>E37*F37</f>
        <v>1734.4390853975592</v>
      </c>
      <c r="H37" s="1181">
        <v>2.2999999999999998</v>
      </c>
      <c r="I37" s="1202">
        <f>665.173187113158*1.043</f>
        <v>693.77563415902364</v>
      </c>
      <c r="J37" s="734">
        <f>H37*I37</f>
        <v>1595.6839585657542</v>
      </c>
      <c r="K37" s="59"/>
    </row>
    <row r="38" spans="1:12" ht="16.5" customHeight="1">
      <c r="A38" s="1181">
        <v>20</v>
      </c>
      <c r="B38" s="1470" t="s">
        <v>217</v>
      </c>
      <c r="C38" s="1258"/>
      <c r="D38" s="1181"/>
      <c r="E38" s="1181"/>
      <c r="F38" s="1181"/>
      <c r="G38" s="1725">
        <v>9534.1200000000008</v>
      </c>
      <c r="H38" s="1300"/>
      <c r="I38" s="1300"/>
      <c r="J38" s="734">
        <v>9577.2999999999993</v>
      </c>
    </row>
    <row r="39" spans="1:12" ht="18.75" customHeight="1">
      <c r="A39" s="1183">
        <v>21</v>
      </c>
      <c r="B39" s="1182" t="s">
        <v>1615</v>
      </c>
      <c r="C39" s="1186"/>
      <c r="D39" s="1183"/>
      <c r="E39" s="1183"/>
      <c r="F39" s="735"/>
      <c r="G39" s="1210">
        <f>G35*0.04</f>
        <v>2834.9519021694914</v>
      </c>
      <c r="H39" s="1300"/>
      <c r="I39" s="1300"/>
      <c r="J39" s="1210">
        <f>J35*0.04</f>
        <v>1551.8659691525422</v>
      </c>
      <c r="K39" s="737" t="s">
        <v>1827</v>
      </c>
      <c r="L39" s="26"/>
    </row>
    <row r="40" spans="1:12" ht="30.75" customHeight="1">
      <c r="A40" s="1276">
        <v>22</v>
      </c>
      <c r="B40" s="1233" t="s">
        <v>218</v>
      </c>
      <c r="C40" s="1186"/>
      <c r="D40" s="1183"/>
      <c r="E40" s="1183"/>
      <c r="F40" s="735"/>
      <c r="G40" s="1505">
        <f>(G34+G36+G37+G38+G39)*0.125</f>
        <v>13000.865398139631</v>
      </c>
      <c r="H40" s="1300"/>
      <c r="I40" s="1300"/>
      <c r="J40" s="1210">
        <f>(J34+J36+J37+J38+J39)*0.125</f>
        <v>7742.2999343085357</v>
      </c>
      <c r="K40" s="201"/>
      <c r="L40" s="26"/>
    </row>
    <row r="41" spans="1:12" ht="33" customHeight="1">
      <c r="A41" s="953">
        <v>23</v>
      </c>
      <c r="B41" s="1214" t="s">
        <v>219</v>
      </c>
      <c r="C41" s="1186"/>
      <c r="D41" s="1183"/>
      <c r="E41" s="1183"/>
      <c r="F41" s="735"/>
      <c r="G41" s="1742">
        <f>SUM(G35:G40)</f>
        <v>104250.50502349397</v>
      </c>
      <c r="H41" s="951"/>
      <c r="I41" s="951"/>
      <c r="J41" s="951">
        <f>SUM(J35:J40)</f>
        <v>62697.302547590385</v>
      </c>
    </row>
    <row r="42" spans="1:12" ht="18" customHeight="1">
      <c r="A42" s="1183">
        <v>24</v>
      </c>
      <c r="B42" s="1185" t="s">
        <v>85</v>
      </c>
      <c r="C42" s="1186"/>
      <c r="D42" s="1183"/>
      <c r="E42" s="1183"/>
      <c r="F42" s="735">
        <v>0.09</v>
      </c>
      <c r="G42" s="1726">
        <f>G41*F42</f>
        <v>9382.5454521144566</v>
      </c>
      <c r="H42" s="951"/>
      <c r="I42" s="735">
        <v>0.09</v>
      </c>
      <c r="J42" s="735">
        <f>J41*I42</f>
        <v>5642.7572292831346</v>
      </c>
    </row>
    <row r="43" spans="1:12" ht="18" customHeight="1">
      <c r="A43" s="1183">
        <v>25</v>
      </c>
      <c r="B43" s="1185" t="s">
        <v>86</v>
      </c>
      <c r="C43" s="1186"/>
      <c r="D43" s="1183"/>
      <c r="E43" s="1183"/>
      <c r="F43" s="735">
        <v>0.09</v>
      </c>
      <c r="G43" s="1726">
        <f>G41*F43</f>
        <v>9382.5454521144566</v>
      </c>
      <c r="H43" s="735"/>
      <c r="I43" s="735">
        <v>0.09</v>
      </c>
      <c r="J43" s="735">
        <f>J41*I43</f>
        <v>5642.7572292831346</v>
      </c>
      <c r="K43" s="60"/>
    </row>
    <row r="44" spans="1:12" ht="17.25" customHeight="1">
      <c r="A44" s="1183">
        <v>26</v>
      </c>
      <c r="B44" s="1185" t="s">
        <v>87</v>
      </c>
      <c r="C44" s="1186"/>
      <c r="D44" s="1183"/>
      <c r="E44" s="1183"/>
      <c r="F44" s="735"/>
      <c r="G44" s="1726">
        <f>G41+G42+G43</f>
        <v>123015.59592772288</v>
      </c>
      <c r="H44" s="735"/>
      <c r="I44" s="735"/>
      <c r="J44" s="735">
        <f>J41+J42+J43</f>
        <v>73982.817006156649</v>
      </c>
    </row>
    <row r="45" spans="1:12" ht="19.5" customHeight="1">
      <c r="A45" s="190">
        <v>27</v>
      </c>
      <c r="B45" s="1214" t="s">
        <v>59</v>
      </c>
      <c r="C45" s="930"/>
      <c r="D45" s="190"/>
      <c r="E45" s="190"/>
      <c r="F45" s="951"/>
      <c r="G45" s="1742">
        <f>ROUND(G44,0)</f>
        <v>123016</v>
      </c>
      <c r="H45" s="951"/>
      <c r="I45" s="951"/>
      <c r="J45" s="951">
        <f>ROUND(J44,0)</f>
        <v>73983</v>
      </c>
    </row>
    <row r="47" spans="1:12" ht="15">
      <c r="A47" s="241" t="s">
        <v>88</v>
      </c>
      <c r="B47" s="3319" t="s">
        <v>61</v>
      </c>
      <c r="C47" s="3319"/>
      <c r="D47" s="242"/>
      <c r="E47" s="242"/>
      <c r="F47" s="242"/>
      <c r="G47" s="243"/>
    </row>
  </sheetData>
  <mergeCells count="12">
    <mergeCell ref="H6:J6"/>
    <mergeCell ref="A15:A19"/>
    <mergeCell ref="A20:A24"/>
    <mergeCell ref="A31:A33"/>
    <mergeCell ref="B47:C47"/>
    <mergeCell ref="B1:E1"/>
    <mergeCell ref="B3:G3"/>
    <mergeCell ref="A6:A7"/>
    <mergeCell ref="B6:B7"/>
    <mergeCell ref="C6:C7"/>
    <mergeCell ref="D6:D7"/>
    <mergeCell ref="E6:G6"/>
  </mergeCells>
  <conditionalFormatting sqref="B34">
    <cfRule type="cellIs" dxfId="98" priority="2" stopIfTrue="1" operator="equal">
      <formula>"?"</formula>
    </cfRule>
  </conditionalFormatting>
  <conditionalFormatting sqref="B35">
    <cfRule type="cellIs" dxfId="97" priority="1" stopIfTrue="1" operator="equal">
      <formula>"?"</formula>
    </cfRule>
  </conditionalFormatting>
  <printOptions horizontalCentered="1" gridLines="1"/>
  <pageMargins left="0.86" right="0.17" top="0.77" bottom="0.28000000000000003" header="0.66" footer="0.16"/>
  <pageSetup paperSize="9" fitToHeight="2" orientation="landscape" horizontalDpi="4294967295" r:id="rId1"/>
  <headerFooter alignWithMargins="0"/>
  <rowBreaks count="2" manualBreakCount="2">
    <brk id="26" max="11" man="1"/>
    <brk id="49" max="12"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6"/>
  <sheetViews>
    <sheetView zoomScaleNormal="100" zoomScaleSheetLayoutView="85" workbookViewId="0">
      <pane xSplit="2" ySplit="9" topLeftCell="C44" activePane="bottomRight" state="frozen"/>
      <selection pane="topRight" activeCell="C1" sqref="C1"/>
      <selection pane="bottomLeft" activeCell="A10" sqref="A10"/>
      <selection pane="bottomRight" activeCell="K10" sqref="K10"/>
    </sheetView>
  </sheetViews>
  <sheetFormatPr defaultRowHeight="12.75"/>
  <cols>
    <col min="1" max="1" width="4.140625" style="138" customWidth="1"/>
    <col min="2" max="2" width="47.7109375" style="4" customWidth="1"/>
    <col min="3" max="3" width="12.5703125" style="45" customWidth="1"/>
    <col min="4" max="4" width="5.28515625" style="4" customWidth="1"/>
    <col min="5" max="5" width="5.5703125" style="4" customWidth="1"/>
    <col min="6" max="6" width="8.28515625" style="4" customWidth="1"/>
    <col min="7" max="7" width="10.7109375" style="4" customWidth="1"/>
    <col min="8" max="8" width="5.42578125" style="4" customWidth="1"/>
    <col min="9" max="9" width="8" style="4" customWidth="1"/>
    <col min="10" max="10" width="11.28515625" style="4" customWidth="1"/>
    <col min="11" max="11" width="19.85546875" style="4" customWidth="1"/>
    <col min="12" max="12" width="17.85546875" style="4" customWidth="1"/>
    <col min="13" max="13" width="7.5703125" style="4" customWidth="1"/>
    <col min="14" max="14" width="9.140625" style="4"/>
    <col min="15" max="15" width="5.42578125" style="4" customWidth="1"/>
    <col min="16" max="256" width="9.140625" style="4"/>
    <col min="257" max="257" width="4.140625" style="4" customWidth="1"/>
    <col min="258" max="258" width="47.7109375" style="4" customWidth="1"/>
    <col min="259" max="259" width="12.5703125" style="4" customWidth="1"/>
    <col min="260" max="260" width="5.28515625" style="4" customWidth="1"/>
    <col min="261" max="261" width="5.5703125" style="4" customWidth="1"/>
    <col min="262" max="262" width="8.28515625" style="4" customWidth="1"/>
    <col min="263" max="263" width="10.7109375" style="4" customWidth="1"/>
    <col min="264" max="264" width="5.42578125" style="4" customWidth="1"/>
    <col min="265" max="265" width="8" style="4" customWidth="1"/>
    <col min="266" max="266" width="11.28515625" style="4" customWidth="1"/>
    <col min="267" max="267" width="19.85546875" style="4" customWidth="1"/>
    <col min="268" max="268" width="17.85546875" style="4" customWidth="1"/>
    <col min="269" max="269" width="7.5703125" style="4" customWidth="1"/>
    <col min="270" max="270" width="9.140625" style="4"/>
    <col min="271" max="271" width="5.42578125" style="4" customWidth="1"/>
    <col min="272" max="512" width="9.140625" style="4"/>
    <col min="513" max="513" width="4.140625" style="4" customWidth="1"/>
    <col min="514" max="514" width="47.7109375" style="4" customWidth="1"/>
    <col min="515" max="515" width="12.5703125" style="4" customWidth="1"/>
    <col min="516" max="516" width="5.28515625" style="4" customWidth="1"/>
    <col min="517" max="517" width="5.5703125" style="4" customWidth="1"/>
    <col min="518" max="518" width="8.28515625" style="4" customWidth="1"/>
    <col min="519" max="519" width="10.7109375" style="4" customWidth="1"/>
    <col min="520" max="520" width="5.42578125" style="4" customWidth="1"/>
    <col min="521" max="521" width="8" style="4" customWidth="1"/>
    <col min="522" max="522" width="11.28515625" style="4" customWidth="1"/>
    <col min="523" max="523" width="19.85546875" style="4" customWidth="1"/>
    <col min="524" max="524" width="17.85546875" style="4" customWidth="1"/>
    <col min="525" max="525" width="7.5703125" style="4" customWidth="1"/>
    <col min="526" max="526" width="9.140625" style="4"/>
    <col min="527" max="527" width="5.42578125" style="4" customWidth="1"/>
    <col min="528" max="768" width="9.140625" style="4"/>
    <col min="769" max="769" width="4.140625" style="4" customWidth="1"/>
    <col min="770" max="770" width="47.7109375" style="4" customWidth="1"/>
    <col min="771" max="771" width="12.5703125" style="4" customWidth="1"/>
    <col min="772" max="772" width="5.28515625" style="4" customWidth="1"/>
    <col min="773" max="773" width="5.5703125" style="4" customWidth="1"/>
    <col min="774" max="774" width="8.28515625" style="4" customWidth="1"/>
    <col min="775" max="775" width="10.7109375" style="4" customWidth="1"/>
    <col min="776" max="776" width="5.42578125" style="4" customWidth="1"/>
    <col min="777" max="777" width="8" style="4" customWidth="1"/>
    <col min="778" max="778" width="11.28515625" style="4" customWidth="1"/>
    <col min="779" max="779" width="19.85546875" style="4" customWidth="1"/>
    <col min="780" max="780" width="17.85546875" style="4" customWidth="1"/>
    <col min="781" max="781" width="7.5703125" style="4" customWidth="1"/>
    <col min="782" max="782" width="9.140625" style="4"/>
    <col min="783" max="783" width="5.42578125" style="4" customWidth="1"/>
    <col min="784" max="1024" width="9.140625" style="4"/>
    <col min="1025" max="1025" width="4.140625" style="4" customWidth="1"/>
    <col min="1026" max="1026" width="47.7109375" style="4" customWidth="1"/>
    <col min="1027" max="1027" width="12.5703125" style="4" customWidth="1"/>
    <col min="1028" max="1028" width="5.28515625" style="4" customWidth="1"/>
    <col min="1029" max="1029" width="5.5703125" style="4" customWidth="1"/>
    <col min="1030" max="1030" width="8.28515625" style="4" customWidth="1"/>
    <col min="1031" max="1031" width="10.7109375" style="4" customWidth="1"/>
    <col min="1032" max="1032" width="5.42578125" style="4" customWidth="1"/>
    <col min="1033" max="1033" width="8" style="4" customWidth="1"/>
    <col min="1034" max="1034" width="11.28515625" style="4" customWidth="1"/>
    <col min="1035" max="1035" width="19.85546875" style="4" customWidth="1"/>
    <col min="1036" max="1036" width="17.85546875" style="4" customWidth="1"/>
    <col min="1037" max="1037" width="7.5703125" style="4" customWidth="1"/>
    <col min="1038" max="1038" width="9.140625" style="4"/>
    <col min="1039" max="1039" width="5.42578125" style="4" customWidth="1"/>
    <col min="1040" max="1280" width="9.140625" style="4"/>
    <col min="1281" max="1281" width="4.140625" style="4" customWidth="1"/>
    <col min="1282" max="1282" width="47.7109375" style="4" customWidth="1"/>
    <col min="1283" max="1283" width="12.5703125" style="4" customWidth="1"/>
    <col min="1284" max="1284" width="5.28515625" style="4" customWidth="1"/>
    <col min="1285" max="1285" width="5.5703125" style="4" customWidth="1"/>
    <col min="1286" max="1286" width="8.28515625" style="4" customWidth="1"/>
    <col min="1287" max="1287" width="10.7109375" style="4" customWidth="1"/>
    <col min="1288" max="1288" width="5.42578125" style="4" customWidth="1"/>
    <col min="1289" max="1289" width="8" style="4" customWidth="1"/>
    <col min="1290" max="1290" width="11.28515625" style="4" customWidth="1"/>
    <col min="1291" max="1291" width="19.85546875" style="4" customWidth="1"/>
    <col min="1292" max="1292" width="17.85546875" style="4" customWidth="1"/>
    <col min="1293" max="1293" width="7.5703125" style="4" customWidth="1"/>
    <col min="1294" max="1294" width="9.140625" style="4"/>
    <col min="1295" max="1295" width="5.42578125" style="4" customWidth="1"/>
    <col min="1296" max="1536" width="9.140625" style="4"/>
    <col min="1537" max="1537" width="4.140625" style="4" customWidth="1"/>
    <col min="1538" max="1538" width="47.7109375" style="4" customWidth="1"/>
    <col min="1539" max="1539" width="12.5703125" style="4" customWidth="1"/>
    <col min="1540" max="1540" width="5.28515625" style="4" customWidth="1"/>
    <col min="1541" max="1541" width="5.5703125" style="4" customWidth="1"/>
    <col min="1542" max="1542" width="8.28515625" style="4" customWidth="1"/>
    <col min="1543" max="1543" width="10.7109375" style="4" customWidth="1"/>
    <col min="1544" max="1544" width="5.42578125" style="4" customWidth="1"/>
    <col min="1545" max="1545" width="8" style="4" customWidth="1"/>
    <col min="1546" max="1546" width="11.28515625" style="4" customWidth="1"/>
    <col min="1547" max="1547" width="19.85546875" style="4" customWidth="1"/>
    <col min="1548" max="1548" width="17.85546875" style="4" customWidth="1"/>
    <col min="1549" max="1549" width="7.5703125" style="4" customWidth="1"/>
    <col min="1550" max="1550" width="9.140625" style="4"/>
    <col min="1551" max="1551" width="5.42578125" style="4" customWidth="1"/>
    <col min="1552" max="1792" width="9.140625" style="4"/>
    <col min="1793" max="1793" width="4.140625" style="4" customWidth="1"/>
    <col min="1794" max="1794" width="47.7109375" style="4" customWidth="1"/>
    <col min="1795" max="1795" width="12.5703125" style="4" customWidth="1"/>
    <col min="1796" max="1796" width="5.28515625" style="4" customWidth="1"/>
    <col min="1797" max="1797" width="5.5703125" style="4" customWidth="1"/>
    <col min="1798" max="1798" width="8.28515625" style="4" customWidth="1"/>
    <col min="1799" max="1799" width="10.7109375" style="4" customWidth="1"/>
    <col min="1800" max="1800" width="5.42578125" style="4" customWidth="1"/>
    <col min="1801" max="1801" width="8" style="4" customWidth="1"/>
    <col min="1802" max="1802" width="11.28515625" style="4" customWidth="1"/>
    <col min="1803" max="1803" width="19.85546875" style="4" customWidth="1"/>
    <col min="1804" max="1804" width="17.85546875" style="4" customWidth="1"/>
    <col min="1805" max="1805" width="7.5703125" style="4" customWidth="1"/>
    <col min="1806" max="1806" width="9.140625" style="4"/>
    <col min="1807" max="1807" width="5.42578125" style="4" customWidth="1"/>
    <col min="1808" max="2048" width="9.140625" style="4"/>
    <col min="2049" max="2049" width="4.140625" style="4" customWidth="1"/>
    <col min="2050" max="2050" width="47.7109375" style="4" customWidth="1"/>
    <col min="2051" max="2051" width="12.5703125" style="4" customWidth="1"/>
    <col min="2052" max="2052" width="5.28515625" style="4" customWidth="1"/>
    <col min="2053" max="2053" width="5.5703125" style="4" customWidth="1"/>
    <col min="2054" max="2054" width="8.28515625" style="4" customWidth="1"/>
    <col min="2055" max="2055" width="10.7109375" style="4" customWidth="1"/>
    <col min="2056" max="2056" width="5.42578125" style="4" customWidth="1"/>
    <col min="2057" max="2057" width="8" style="4" customWidth="1"/>
    <col min="2058" max="2058" width="11.28515625" style="4" customWidth="1"/>
    <col min="2059" max="2059" width="19.85546875" style="4" customWidth="1"/>
    <col min="2060" max="2060" width="17.85546875" style="4" customWidth="1"/>
    <col min="2061" max="2061" width="7.5703125" style="4" customWidth="1"/>
    <col min="2062" max="2062" width="9.140625" style="4"/>
    <col min="2063" max="2063" width="5.42578125" style="4" customWidth="1"/>
    <col min="2064" max="2304" width="9.140625" style="4"/>
    <col min="2305" max="2305" width="4.140625" style="4" customWidth="1"/>
    <col min="2306" max="2306" width="47.7109375" style="4" customWidth="1"/>
    <col min="2307" max="2307" width="12.5703125" style="4" customWidth="1"/>
    <col min="2308" max="2308" width="5.28515625" style="4" customWidth="1"/>
    <col min="2309" max="2309" width="5.5703125" style="4" customWidth="1"/>
    <col min="2310" max="2310" width="8.28515625" style="4" customWidth="1"/>
    <col min="2311" max="2311" width="10.7109375" style="4" customWidth="1"/>
    <col min="2312" max="2312" width="5.42578125" style="4" customWidth="1"/>
    <col min="2313" max="2313" width="8" style="4" customWidth="1"/>
    <col min="2314" max="2314" width="11.28515625" style="4" customWidth="1"/>
    <col min="2315" max="2315" width="19.85546875" style="4" customWidth="1"/>
    <col min="2316" max="2316" width="17.85546875" style="4" customWidth="1"/>
    <col min="2317" max="2317" width="7.5703125" style="4" customWidth="1"/>
    <col min="2318" max="2318" width="9.140625" style="4"/>
    <col min="2319" max="2319" width="5.42578125" style="4" customWidth="1"/>
    <col min="2320" max="2560" width="9.140625" style="4"/>
    <col min="2561" max="2561" width="4.140625" style="4" customWidth="1"/>
    <col min="2562" max="2562" width="47.7109375" style="4" customWidth="1"/>
    <col min="2563" max="2563" width="12.5703125" style="4" customWidth="1"/>
    <col min="2564" max="2564" width="5.28515625" style="4" customWidth="1"/>
    <col min="2565" max="2565" width="5.5703125" style="4" customWidth="1"/>
    <col min="2566" max="2566" width="8.28515625" style="4" customWidth="1"/>
    <col min="2567" max="2567" width="10.7109375" style="4" customWidth="1"/>
    <col min="2568" max="2568" width="5.42578125" style="4" customWidth="1"/>
    <col min="2569" max="2569" width="8" style="4" customWidth="1"/>
    <col min="2570" max="2570" width="11.28515625" style="4" customWidth="1"/>
    <col min="2571" max="2571" width="19.85546875" style="4" customWidth="1"/>
    <col min="2572" max="2572" width="17.85546875" style="4" customWidth="1"/>
    <col min="2573" max="2573" width="7.5703125" style="4" customWidth="1"/>
    <col min="2574" max="2574" width="9.140625" style="4"/>
    <col min="2575" max="2575" width="5.42578125" style="4" customWidth="1"/>
    <col min="2576" max="2816" width="9.140625" style="4"/>
    <col min="2817" max="2817" width="4.140625" style="4" customWidth="1"/>
    <col min="2818" max="2818" width="47.7109375" style="4" customWidth="1"/>
    <col min="2819" max="2819" width="12.5703125" style="4" customWidth="1"/>
    <col min="2820" max="2820" width="5.28515625" style="4" customWidth="1"/>
    <col min="2821" max="2821" width="5.5703125" style="4" customWidth="1"/>
    <col min="2822" max="2822" width="8.28515625" style="4" customWidth="1"/>
    <col min="2823" max="2823" width="10.7109375" style="4" customWidth="1"/>
    <col min="2824" max="2824" width="5.42578125" style="4" customWidth="1"/>
    <col min="2825" max="2825" width="8" style="4" customWidth="1"/>
    <col min="2826" max="2826" width="11.28515625" style="4" customWidth="1"/>
    <col min="2827" max="2827" width="19.85546875" style="4" customWidth="1"/>
    <col min="2828" max="2828" width="17.85546875" style="4" customWidth="1"/>
    <col min="2829" max="2829" width="7.5703125" style="4" customWidth="1"/>
    <col min="2830" max="2830" width="9.140625" style="4"/>
    <col min="2831" max="2831" width="5.42578125" style="4" customWidth="1"/>
    <col min="2832" max="3072" width="9.140625" style="4"/>
    <col min="3073" max="3073" width="4.140625" style="4" customWidth="1"/>
    <col min="3074" max="3074" width="47.7109375" style="4" customWidth="1"/>
    <col min="3075" max="3075" width="12.5703125" style="4" customWidth="1"/>
    <col min="3076" max="3076" width="5.28515625" style="4" customWidth="1"/>
    <col min="3077" max="3077" width="5.5703125" style="4" customWidth="1"/>
    <col min="3078" max="3078" width="8.28515625" style="4" customWidth="1"/>
    <col min="3079" max="3079" width="10.7109375" style="4" customWidth="1"/>
    <col min="3080" max="3080" width="5.42578125" style="4" customWidth="1"/>
    <col min="3081" max="3081" width="8" style="4" customWidth="1"/>
    <col min="3082" max="3082" width="11.28515625" style="4" customWidth="1"/>
    <col min="3083" max="3083" width="19.85546875" style="4" customWidth="1"/>
    <col min="3084" max="3084" width="17.85546875" style="4" customWidth="1"/>
    <col min="3085" max="3085" width="7.5703125" style="4" customWidth="1"/>
    <col min="3086" max="3086" width="9.140625" style="4"/>
    <col min="3087" max="3087" width="5.42578125" style="4" customWidth="1"/>
    <col min="3088" max="3328" width="9.140625" style="4"/>
    <col min="3329" max="3329" width="4.140625" style="4" customWidth="1"/>
    <col min="3330" max="3330" width="47.7109375" style="4" customWidth="1"/>
    <col min="3331" max="3331" width="12.5703125" style="4" customWidth="1"/>
    <col min="3332" max="3332" width="5.28515625" style="4" customWidth="1"/>
    <col min="3333" max="3333" width="5.5703125" style="4" customWidth="1"/>
    <col min="3334" max="3334" width="8.28515625" style="4" customWidth="1"/>
    <col min="3335" max="3335" width="10.7109375" style="4" customWidth="1"/>
    <col min="3336" max="3336" width="5.42578125" style="4" customWidth="1"/>
    <col min="3337" max="3337" width="8" style="4" customWidth="1"/>
    <col min="3338" max="3338" width="11.28515625" style="4" customWidth="1"/>
    <col min="3339" max="3339" width="19.85546875" style="4" customWidth="1"/>
    <col min="3340" max="3340" width="17.85546875" style="4" customWidth="1"/>
    <col min="3341" max="3341" width="7.5703125" style="4" customWidth="1"/>
    <col min="3342" max="3342" width="9.140625" style="4"/>
    <col min="3343" max="3343" width="5.42578125" style="4" customWidth="1"/>
    <col min="3344" max="3584" width="9.140625" style="4"/>
    <col min="3585" max="3585" width="4.140625" style="4" customWidth="1"/>
    <col min="3586" max="3586" width="47.7109375" style="4" customWidth="1"/>
    <col min="3587" max="3587" width="12.5703125" style="4" customWidth="1"/>
    <col min="3588" max="3588" width="5.28515625" style="4" customWidth="1"/>
    <col min="3589" max="3589" width="5.5703125" style="4" customWidth="1"/>
    <col min="3590" max="3590" width="8.28515625" style="4" customWidth="1"/>
    <col min="3591" max="3591" width="10.7109375" style="4" customWidth="1"/>
    <col min="3592" max="3592" width="5.42578125" style="4" customWidth="1"/>
    <col min="3593" max="3593" width="8" style="4" customWidth="1"/>
    <col min="3594" max="3594" width="11.28515625" style="4" customWidth="1"/>
    <col min="3595" max="3595" width="19.85546875" style="4" customWidth="1"/>
    <col min="3596" max="3596" width="17.85546875" style="4" customWidth="1"/>
    <col min="3597" max="3597" width="7.5703125" style="4" customWidth="1"/>
    <col min="3598" max="3598" width="9.140625" style="4"/>
    <col min="3599" max="3599" width="5.42578125" style="4" customWidth="1"/>
    <col min="3600" max="3840" width="9.140625" style="4"/>
    <col min="3841" max="3841" width="4.140625" style="4" customWidth="1"/>
    <col min="3842" max="3842" width="47.7109375" style="4" customWidth="1"/>
    <col min="3843" max="3843" width="12.5703125" style="4" customWidth="1"/>
    <col min="3844" max="3844" width="5.28515625" style="4" customWidth="1"/>
    <col min="3845" max="3845" width="5.5703125" style="4" customWidth="1"/>
    <col min="3846" max="3846" width="8.28515625" style="4" customWidth="1"/>
    <col min="3847" max="3847" width="10.7109375" style="4" customWidth="1"/>
    <col min="3848" max="3848" width="5.42578125" style="4" customWidth="1"/>
    <col min="3849" max="3849" width="8" style="4" customWidth="1"/>
    <col min="3850" max="3850" width="11.28515625" style="4" customWidth="1"/>
    <col min="3851" max="3851" width="19.85546875" style="4" customWidth="1"/>
    <col min="3852" max="3852" width="17.85546875" style="4" customWidth="1"/>
    <col min="3853" max="3853" width="7.5703125" style="4" customWidth="1"/>
    <col min="3854" max="3854" width="9.140625" style="4"/>
    <col min="3855" max="3855" width="5.42578125" style="4" customWidth="1"/>
    <col min="3856" max="4096" width="9.140625" style="4"/>
    <col min="4097" max="4097" width="4.140625" style="4" customWidth="1"/>
    <col min="4098" max="4098" width="47.7109375" style="4" customWidth="1"/>
    <col min="4099" max="4099" width="12.5703125" style="4" customWidth="1"/>
    <col min="4100" max="4100" width="5.28515625" style="4" customWidth="1"/>
    <col min="4101" max="4101" width="5.5703125" style="4" customWidth="1"/>
    <col min="4102" max="4102" width="8.28515625" style="4" customWidth="1"/>
    <col min="4103" max="4103" width="10.7109375" style="4" customWidth="1"/>
    <col min="4104" max="4104" width="5.42578125" style="4" customWidth="1"/>
    <col min="4105" max="4105" width="8" style="4" customWidth="1"/>
    <col min="4106" max="4106" width="11.28515625" style="4" customWidth="1"/>
    <col min="4107" max="4107" width="19.85546875" style="4" customWidth="1"/>
    <col min="4108" max="4108" width="17.85546875" style="4" customWidth="1"/>
    <col min="4109" max="4109" width="7.5703125" style="4" customWidth="1"/>
    <col min="4110" max="4110" width="9.140625" style="4"/>
    <col min="4111" max="4111" width="5.42578125" style="4" customWidth="1"/>
    <col min="4112" max="4352" width="9.140625" style="4"/>
    <col min="4353" max="4353" width="4.140625" style="4" customWidth="1"/>
    <col min="4354" max="4354" width="47.7109375" style="4" customWidth="1"/>
    <col min="4355" max="4355" width="12.5703125" style="4" customWidth="1"/>
    <col min="4356" max="4356" width="5.28515625" style="4" customWidth="1"/>
    <col min="4357" max="4357" width="5.5703125" style="4" customWidth="1"/>
    <col min="4358" max="4358" width="8.28515625" style="4" customWidth="1"/>
    <col min="4359" max="4359" width="10.7109375" style="4" customWidth="1"/>
    <col min="4360" max="4360" width="5.42578125" style="4" customWidth="1"/>
    <col min="4361" max="4361" width="8" style="4" customWidth="1"/>
    <col min="4362" max="4362" width="11.28515625" style="4" customWidth="1"/>
    <col min="4363" max="4363" width="19.85546875" style="4" customWidth="1"/>
    <col min="4364" max="4364" width="17.85546875" style="4" customWidth="1"/>
    <col min="4365" max="4365" width="7.5703125" style="4" customWidth="1"/>
    <col min="4366" max="4366" width="9.140625" style="4"/>
    <col min="4367" max="4367" width="5.42578125" style="4" customWidth="1"/>
    <col min="4368" max="4608" width="9.140625" style="4"/>
    <col min="4609" max="4609" width="4.140625" style="4" customWidth="1"/>
    <col min="4610" max="4610" width="47.7109375" style="4" customWidth="1"/>
    <col min="4611" max="4611" width="12.5703125" style="4" customWidth="1"/>
    <col min="4612" max="4612" width="5.28515625" style="4" customWidth="1"/>
    <col min="4613" max="4613" width="5.5703125" style="4" customWidth="1"/>
    <col min="4614" max="4614" width="8.28515625" style="4" customWidth="1"/>
    <col min="4615" max="4615" width="10.7109375" style="4" customWidth="1"/>
    <col min="4616" max="4616" width="5.42578125" style="4" customWidth="1"/>
    <col min="4617" max="4617" width="8" style="4" customWidth="1"/>
    <col min="4618" max="4618" width="11.28515625" style="4" customWidth="1"/>
    <col min="4619" max="4619" width="19.85546875" style="4" customWidth="1"/>
    <col min="4620" max="4620" width="17.85546875" style="4" customWidth="1"/>
    <col min="4621" max="4621" width="7.5703125" style="4" customWidth="1"/>
    <col min="4622" max="4622" width="9.140625" style="4"/>
    <col min="4623" max="4623" width="5.42578125" style="4" customWidth="1"/>
    <col min="4624" max="4864" width="9.140625" style="4"/>
    <col min="4865" max="4865" width="4.140625" style="4" customWidth="1"/>
    <col min="4866" max="4866" width="47.7109375" style="4" customWidth="1"/>
    <col min="4867" max="4867" width="12.5703125" style="4" customWidth="1"/>
    <col min="4868" max="4868" width="5.28515625" style="4" customWidth="1"/>
    <col min="4869" max="4869" width="5.5703125" style="4" customWidth="1"/>
    <col min="4870" max="4870" width="8.28515625" style="4" customWidth="1"/>
    <col min="4871" max="4871" width="10.7109375" style="4" customWidth="1"/>
    <col min="4872" max="4872" width="5.42578125" style="4" customWidth="1"/>
    <col min="4873" max="4873" width="8" style="4" customWidth="1"/>
    <col min="4874" max="4874" width="11.28515625" style="4" customWidth="1"/>
    <col min="4875" max="4875" width="19.85546875" style="4" customWidth="1"/>
    <col min="4876" max="4876" width="17.85546875" style="4" customWidth="1"/>
    <col min="4877" max="4877" width="7.5703125" style="4" customWidth="1"/>
    <col min="4878" max="4878" width="9.140625" style="4"/>
    <col min="4879" max="4879" width="5.42578125" style="4" customWidth="1"/>
    <col min="4880" max="5120" width="9.140625" style="4"/>
    <col min="5121" max="5121" width="4.140625" style="4" customWidth="1"/>
    <col min="5122" max="5122" width="47.7109375" style="4" customWidth="1"/>
    <col min="5123" max="5123" width="12.5703125" style="4" customWidth="1"/>
    <col min="5124" max="5124" width="5.28515625" style="4" customWidth="1"/>
    <col min="5125" max="5125" width="5.5703125" style="4" customWidth="1"/>
    <col min="5126" max="5126" width="8.28515625" style="4" customWidth="1"/>
    <col min="5127" max="5127" width="10.7109375" style="4" customWidth="1"/>
    <col min="5128" max="5128" width="5.42578125" style="4" customWidth="1"/>
    <col min="5129" max="5129" width="8" style="4" customWidth="1"/>
    <col min="5130" max="5130" width="11.28515625" style="4" customWidth="1"/>
    <col min="5131" max="5131" width="19.85546875" style="4" customWidth="1"/>
    <col min="5132" max="5132" width="17.85546875" style="4" customWidth="1"/>
    <col min="5133" max="5133" width="7.5703125" style="4" customWidth="1"/>
    <col min="5134" max="5134" width="9.140625" style="4"/>
    <col min="5135" max="5135" width="5.42578125" style="4" customWidth="1"/>
    <col min="5136" max="5376" width="9.140625" style="4"/>
    <col min="5377" max="5377" width="4.140625" style="4" customWidth="1"/>
    <col min="5378" max="5378" width="47.7109375" style="4" customWidth="1"/>
    <col min="5379" max="5379" width="12.5703125" style="4" customWidth="1"/>
    <col min="5380" max="5380" width="5.28515625" style="4" customWidth="1"/>
    <col min="5381" max="5381" width="5.5703125" style="4" customWidth="1"/>
    <col min="5382" max="5382" width="8.28515625" style="4" customWidth="1"/>
    <col min="5383" max="5383" width="10.7109375" style="4" customWidth="1"/>
    <col min="5384" max="5384" width="5.42578125" style="4" customWidth="1"/>
    <col min="5385" max="5385" width="8" style="4" customWidth="1"/>
    <col min="5386" max="5386" width="11.28515625" style="4" customWidth="1"/>
    <col min="5387" max="5387" width="19.85546875" style="4" customWidth="1"/>
    <col min="5388" max="5388" width="17.85546875" style="4" customWidth="1"/>
    <col min="5389" max="5389" width="7.5703125" style="4" customWidth="1"/>
    <col min="5390" max="5390" width="9.140625" style="4"/>
    <col min="5391" max="5391" width="5.42578125" style="4" customWidth="1"/>
    <col min="5392" max="5632" width="9.140625" style="4"/>
    <col min="5633" max="5633" width="4.140625" style="4" customWidth="1"/>
    <col min="5634" max="5634" width="47.7109375" style="4" customWidth="1"/>
    <col min="5635" max="5635" width="12.5703125" style="4" customWidth="1"/>
    <col min="5636" max="5636" width="5.28515625" style="4" customWidth="1"/>
    <col min="5637" max="5637" width="5.5703125" style="4" customWidth="1"/>
    <col min="5638" max="5638" width="8.28515625" style="4" customWidth="1"/>
    <col min="5639" max="5639" width="10.7109375" style="4" customWidth="1"/>
    <col min="5640" max="5640" width="5.42578125" style="4" customWidth="1"/>
    <col min="5641" max="5641" width="8" style="4" customWidth="1"/>
    <col min="5642" max="5642" width="11.28515625" style="4" customWidth="1"/>
    <col min="5643" max="5643" width="19.85546875" style="4" customWidth="1"/>
    <col min="5644" max="5644" width="17.85546875" style="4" customWidth="1"/>
    <col min="5645" max="5645" width="7.5703125" style="4" customWidth="1"/>
    <col min="5646" max="5646" width="9.140625" style="4"/>
    <col min="5647" max="5647" width="5.42578125" style="4" customWidth="1"/>
    <col min="5648" max="5888" width="9.140625" style="4"/>
    <col min="5889" max="5889" width="4.140625" style="4" customWidth="1"/>
    <col min="5890" max="5890" width="47.7109375" style="4" customWidth="1"/>
    <col min="5891" max="5891" width="12.5703125" style="4" customWidth="1"/>
    <col min="5892" max="5892" width="5.28515625" style="4" customWidth="1"/>
    <col min="5893" max="5893" width="5.5703125" style="4" customWidth="1"/>
    <col min="5894" max="5894" width="8.28515625" style="4" customWidth="1"/>
    <col min="5895" max="5895" width="10.7109375" style="4" customWidth="1"/>
    <col min="5896" max="5896" width="5.42578125" style="4" customWidth="1"/>
    <col min="5897" max="5897" width="8" style="4" customWidth="1"/>
    <col min="5898" max="5898" width="11.28515625" style="4" customWidth="1"/>
    <col min="5899" max="5899" width="19.85546875" style="4" customWidth="1"/>
    <col min="5900" max="5900" width="17.85546875" style="4" customWidth="1"/>
    <col min="5901" max="5901" width="7.5703125" style="4" customWidth="1"/>
    <col min="5902" max="5902" width="9.140625" style="4"/>
    <col min="5903" max="5903" width="5.42578125" style="4" customWidth="1"/>
    <col min="5904" max="6144" width="9.140625" style="4"/>
    <col min="6145" max="6145" width="4.140625" style="4" customWidth="1"/>
    <col min="6146" max="6146" width="47.7109375" style="4" customWidth="1"/>
    <col min="6147" max="6147" width="12.5703125" style="4" customWidth="1"/>
    <col min="6148" max="6148" width="5.28515625" style="4" customWidth="1"/>
    <col min="6149" max="6149" width="5.5703125" style="4" customWidth="1"/>
    <col min="6150" max="6150" width="8.28515625" style="4" customWidth="1"/>
    <col min="6151" max="6151" width="10.7109375" style="4" customWidth="1"/>
    <col min="6152" max="6152" width="5.42578125" style="4" customWidth="1"/>
    <col min="6153" max="6153" width="8" style="4" customWidth="1"/>
    <col min="6154" max="6154" width="11.28515625" style="4" customWidth="1"/>
    <col min="6155" max="6155" width="19.85546875" style="4" customWidth="1"/>
    <col min="6156" max="6156" width="17.85546875" style="4" customWidth="1"/>
    <col min="6157" max="6157" width="7.5703125" style="4" customWidth="1"/>
    <col min="6158" max="6158" width="9.140625" style="4"/>
    <col min="6159" max="6159" width="5.42578125" style="4" customWidth="1"/>
    <col min="6160" max="6400" width="9.140625" style="4"/>
    <col min="6401" max="6401" width="4.140625" style="4" customWidth="1"/>
    <col min="6402" max="6402" width="47.7109375" style="4" customWidth="1"/>
    <col min="6403" max="6403" width="12.5703125" style="4" customWidth="1"/>
    <col min="6404" max="6404" width="5.28515625" style="4" customWidth="1"/>
    <col min="6405" max="6405" width="5.5703125" style="4" customWidth="1"/>
    <col min="6406" max="6406" width="8.28515625" style="4" customWidth="1"/>
    <col min="6407" max="6407" width="10.7109375" style="4" customWidth="1"/>
    <col min="6408" max="6408" width="5.42578125" style="4" customWidth="1"/>
    <col min="6409" max="6409" width="8" style="4" customWidth="1"/>
    <col min="6410" max="6410" width="11.28515625" style="4" customWidth="1"/>
    <col min="6411" max="6411" width="19.85546875" style="4" customWidth="1"/>
    <col min="6412" max="6412" width="17.85546875" style="4" customWidth="1"/>
    <col min="6413" max="6413" width="7.5703125" style="4" customWidth="1"/>
    <col min="6414" max="6414" width="9.140625" style="4"/>
    <col min="6415" max="6415" width="5.42578125" style="4" customWidth="1"/>
    <col min="6416" max="6656" width="9.140625" style="4"/>
    <col min="6657" max="6657" width="4.140625" style="4" customWidth="1"/>
    <col min="6658" max="6658" width="47.7109375" style="4" customWidth="1"/>
    <col min="6659" max="6659" width="12.5703125" style="4" customWidth="1"/>
    <col min="6660" max="6660" width="5.28515625" style="4" customWidth="1"/>
    <col min="6661" max="6661" width="5.5703125" style="4" customWidth="1"/>
    <col min="6662" max="6662" width="8.28515625" style="4" customWidth="1"/>
    <col min="6663" max="6663" width="10.7109375" style="4" customWidth="1"/>
    <col min="6664" max="6664" width="5.42578125" style="4" customWidth="1"/>
    <col min="6665" max="6665" width="8" style="4" customWidth="1"/>
    <col min="6666" max="6666" width="11.28515625" style="4" customWidth="1"/>
    <col min="6667" max="6667" width="19.85546875" style="4" customWidth="1"/>
    <col min="6668" max="6668" width="17.85546875" style="4" customWidth="1"/>
    <col min="6669" max="6669" width="7.5703125" style="4" customWidth="1"/>
    <col min="6670" max="6670" width="9.140625" style="4"/>
    <col min="6671" max="6671" width="5.42578125" style="4" customWidth="1"/>
    <col min="6672" max="6912" width="9.140625" style="4"/>
    <col min="6913" max="6913" width="4.140625" style="4" customWidth="1"/>
    <col min="6914" max="6914" width="47.7109375" style="4" customWidth="1"/>
    <col min="6915" max="6915" width="12.5703125" style="4" customWidth="1"/>
    <col min="6916" max="6916" width="5.28515625" style="4" customWidth="1"/>
    <col min="6917" max="6917" width="5.5703125" style="4" customWidth="1"/>
    <col min="6918" max="6918" width="8.28515625" style="4" customWidth="1"/>
    <col min="6919" max="6919" width="10.7109375" style="4" customWidth="1"/>
    <col min="6920" max="6920" width="5.42578125" style="4" customWidth="1"/>
    <col min="6921" max="6921" width="8" style="4" customWidth="1"/>
    <col min="6922" max="6922" width="11.28515625" style="4" customWidth="1"/>
    <col min="6923" max="6923" width="19.85546875" style="4" customWidth="1"/>
    <col min="6924" max="6924" width="17.85546875" style="4" customWidth="1"/>
    <col min="6925" max="6925" width="7.5703125" style="4" customWidth="1"/>
    <col min="6926" max="6926" width="9.140625" style="4"/>
    <col min="6927" max="6927" width="5.42578125" style="4" customWidth="1"/>
    <col min="6928" max="7168" width="9.140625" style="4"/>
    <col min="7169" max="7169" width="4.140625" style="4" customWidth="1"/>
    <col min="7170" max="7170" width="47.7109375" style="4" customWidth="1"/>
    <col min="7171" max="7171" width="12.5703125" style="4" customWidth="1"/>
    <col min="7172" max="7172" width="5.28515625" style="4" customWidth="1"/>
    <col min="7173" max="7173" width="5.5703125" style="4" customWidth="1"/>
    <col min="7174" max="7174" width="8.28515625" style="4" customWidth="1"/>
    <col min="7175" max="7175" width="10.7109375" style="4" customWidth="1"/>
    <col min="7176" max="7176" width="5.42578125" style="4" customWidth="1"/>
    <col min="7177" max="7177" width="8" style="4" customWidth="1"/>
    <col min="7178" max="7178" width="11.28515625" style="4" customWidth="1"/>
    <col min="7179" max="7179" width="19.85546875" style="4" customWidth="1"/>
    <col min="7180" max="7180" width="17.85546875" style="4" customWidth="1"/>
    <col min="7181" max="7181" width="7.5703125" style="4" customWidth="1"/>
    <col min="7182" max="7182" width="9.140625" style="4"/>
    <col min="7183" max="7183" width="5.42578125" style="4" customWidth="1"/>
    <col min="7184" max="7424" width="9.140625" style="4"/>
    <col min="7425" max="7425" width="4.140625" style="4" customWidth="1"/>
    <col min="7426" max="7426" width="47.7109375" style="4" customWidth="1"/>
    <col min="7427" max="7427" width="12.5703125" style="4" customWidth="1"/>
    <col min="7428" max="7428" width="5.28515625" style="4" customWidth="1"/>
    <col min="7429" max="7429" width="5.5703125" style="4" customWidth="1"/>
    <col min="7430" max="7430" width="8.28515625" style="4" customWidth="1"/>
    <col min="7431" max="7431" width="10.7109375" style="4" customWidth="1"/>
    <col min="7432" max="7432" width="5.42578125" style="4" customWidth="1"/>
    <col min="7433" max="7433" width="8" style="4" customWidth="1"/>
    <col min="7434" max="7434" width="11.28515625" style="4" customWidth="1"/>
    <col min="7435" max="7435" width="19.85546875" style="4" customWidth="1"/>
    <col min="7436" max="7436" width="17.85546875" style="4" customWidth="1"/>
    <col min="7437" max="7437" width="7.5703125" style="4" customWidth="1"/>
    <col min="7438" max="7438" width="9.140625" style="4"/>
    <col min="7439" max="7439" width="5.42578125" style="4" customWidth="1"/>
    <col min="7440" max="7680" width="9.140625" style="4"/>
    <col min="7681" max="7681" width="4.140625" style="4" customWidth="1"/>
    <col min="7682" max="7682" width="47.7109375" style="4" customWidth="1"/>
    <col min="7683" max="7683" width="12.5703125" style="4" customWidth="1"/>
    <col min="7684" max="7684" width="5.28515625" style="4" customWidth="1"/>
    <col min="7685" max="7685" width="5.5703125" style="4" customWidth="1"/>
    <col min="7686" max="7686" width="8.28515625" style="4" customWidth="1"/>
    <col min="7687" max="7687" width="10.7109375" style="4" customWidth="1"/>
    <col min="7688" max="7688" width="5.42578125" style="4" customWidth="1"/>
    <col min="7689" max="7689" width="8" style="4" customWidth="1"/>
    <col min="7690" max="7690" width="11.28515625" style="4" customWidth="1"/>
    <col min="7691" max="7691" width="19.85546875" style="4" customWidth="1"/>
    <col min="7692" max="7692" width="17.85546875" style="4" customWidth="1"/>
    <col min="7693" max="7693" width="7.5703125" style="4" customWidth="1"/>
    <col min="7694" max="7694" width="9.140625" style="4"/>
    <col min="7695" max="7695" width="5.42578125" style="4" customWidth="1"/>
    <col min="7696" max="7936" width="9.140625" style="4"/>
    <col min="7937" max="7937" width="4.140625" style="4" customWidth="1"/>
    <col min="7938" max="7938" width="47.7109375" style="4" customWidth="1"/>
    <col min="7939" max="7939" width="12.5703125" style="4" customWidth="1"/>
    <col min="7940" max="7940" width="5.28515625" style="4" customWidth="1"/>
    <col min="7941" max="7941" width="5.5703125" style="4" customWidth="1"/>
    <col min="7942" max="7942" width="8.28515625" style="4" customWidth="1"/>
    <col min="7943" max="7943" width="10.7109375" style="4" customWidth="1"/>
    <col min="7944" max="7944" width="5.42578125" style="4" customWidth="1"/>
    <col min="7945" max="7945" width="8" style="4" customWidth="1"/>
    <col min="7946" max="7946" width="11.28515625" style="4" customWidth="1"/>
    <col min="7947" max="7947" width="19.85546875" style="4" customWidth="1"/>
    <col min="7948" max="7948" width="17.85546875" style="4" customWidth="1"/>
    <col min="7949" max="7949" width="7.5703125" style="4" customWidth="1"/>
    <col min="7950" max="7950" width="9.140625" style="4"/>
    <col min="7951" max="7951" width="5.42578125" style="4" customWidth="1"/>
    <col min="7952" max="8192" width="9.140625" style="4"/>
    <col min="8193" max="8193" width="4.140625" style="4" customWidth="1"/>
    <col min="8194" max="8194" width="47.7109375" style="4" customWidth="1"/>
    <col min="8195" max="8195" width="12.5703125" style="4" customWidth="1"/>
    <col min="8196" max="8196" width="5.28515625" style="4" customWidth="1"/>
    <col min="8197" max="8197" width="5.5703125" style="4" customWidth="1"/>
    <col min="8198" max="8198" width="8.28515625" style="4" customWidth="1"/>
    <col min="8199" max="8199" width="10.7109375" style="4" customWidth="1"/>
    <col min="8200" max="8200" width="5.42578125" style="4" customWidth="1"/>
    <col min="8201" max="8201" width="8" style="4" customWidth="1"/>
    <col min="8202" max="8202" width="11.28515625" style="4" customWidth="1"/>
    <col min="8203" max="8203" width="19.85546875" style="4" customWidth="1"/>
    <col min="8204" max="8204" width="17.85546875" style="4" customWidth="1"/>
    <col min="8205" max="8205" width="7.5703125" style="4" customWidth="1"/>
    <col min="8206" max="8206" width="9.140625" style="4"/>
    <col min="8207" max="8207" width="5.42578125" style="4" customWidth="1"/>
    <col min="8208" max="8448" width="9.140625" style="4"/>
    <col min="8449" max="8449" width="4.140625" style="4" customWidth="1"/>
    <col min="8450" max="8450" width="47.7109375" style="4" customWidth="1"/>
    <col min="8451" max="8451" width="12.5703125" style="4" customWidth="1"/>
    <col min="8452" max="8452" width="5.28515625" style="4" customWidth="1"/>
    <col min="8453" max="8453" width="5.5703125" style="4" customWidth="1"/>
    <col min="8454" max="8454" width="8.28515625" style="4" customWidth="1"/>
    <col min="8455" max="8455" width="10.7109375" style="4" customWidth="1"/>
    <col min="8456" max="8456" width="5.42578125" style="4" customWidth="1"/>
    <col min="8457" max="8457" width="8" style="4" customWidth="1"/>
    <col min="8458" max="8458" width="11.28515625" style="4" customWidth="1"/>
    <col min="8459" max="8459" width="19.85546875" style="4" customWidth="1"/>
    <col min="8460" max="8460" width="17.85546875" style="4" customWidth="1"/>
    <col min="8461" max="8461" width="7.5703125" style="4" customWidth="1"/>
    <col min="8462" max="8462" width="9.140625" style="4"/>
    <col min="8463" max="8463" width="5.42578125" style="4" customWidth="1"/>
    <col min="8464" max="8704" width="9.140625" style="4"/>
    <col min="8705" max="8705" width="4.140625" style="4" customWidth="1"/>
    <col min="8706" max="8706" width="47.7109375" style="4" customWidth="1"/>
    <col min="8707" max="8707" width="12.5703125" style="4" customWidth="1"/>
    <col min="8708" max="8708" width="5.28515625" style="4" customWidth="1"/>
    <col min="8709" max="8709" width="5.5703125" style="4" customWidth="1"/>
    <col min="8710" max="8710" width="8.28515625" style="4" customWidth="1"/>
    <col min="8711" max="8711" width="10.7109375" style="4" customWidth="1"/>
    <col min="8712" max="8712" width="5.42578125" style="4" customWidth="1"/>
    <col min="8713" max="8713" width="8" style="4" customWidth="1"/>
    <col min="8714" max="8714" width="11.28515625" style="4" customWidth="1"/>
    <col min="8715" max="8715" width="19.85546875" style="4" customWidth="1"/>
    <col min="8716" max="8716" width="17.85546875" style="4" customWidth="1"/>
    <col min="8717" max="8717" width="7.5703125" style="4" customWidth="1"/>
    <col min="8718" max="8718" width="9.140625" style="4"/>
    <col min="8719" max="8719" width="5.42578125" style="4" customWidth="1"/>
    <col min="8720" max="8960" width="9.140625" style="4"/>
    <col min="8961" max="8961" width="4.140625" style="4" customWidth="1"/>
    <col min="8962" max="8962" width="47.7109375" style="4" customWidth="1"/>
    <col min="8963" max="8963" width="12.5703125" style="4" customWidth="1"/>
    <col min="8964" max="8964" width="5.28515625" style="4" customWidth="1"/>
    <col min="8965" max="8965" width="5.5703125" style="4" customWidth="1"/>
    <col min="8966" max="8966" width="8.28515625" style="4" customWidth="1"/>
    <col min="8967" max="8967" width="10.7109375" style="4" customWidth="1"/>
    <col min="8968" max="8968" width="5.42578125" style="4" customWidth="1"/>
    <col min="8969" max="8969" width="8" style="4" customWidth="1"/>
    <col min="8970" max="8970" width="11.28515625" style="4" customWidth="1"/>
    <col min="8971" max="8971" width="19.85546875" style="4" customWidth="1"/>
    <col min="8972" max="8972" width="17.85546875" style="4" customWidth="1"/>
    <col min="8973" max="8973" width="7.5703125" style="4" customWidth="1"/>
    <col min="8974" max="8974" width="9.140625" style="4"/>
    <col min="8975" max="8975" width="5.42578125" style="4" customWidth="1"/>
    <col min="8976" max="9216" width="9.140625" style="4"/>
    <col min="9217" max="9217" width="4.140625" style="4" customWidth="1"/>
    <col min="9218" max="9218" width="47.7109375" style="4" customWidth="1"/>
    <col min="9219" max="9219" width="12.5703125" style="4" customWidth="1"/>
    <col min="9220" max="9220" width="5.28515625" style="4" customWidth="1"/>
    <col min="9221" max="9221" width="5.5703125" style="4" customWidth="1"/>
    <col min="9222" max="9222" width="8.28515625" style="4" customWidth="1"/>
    <col min="9223" max="9223" width="10.7109375" style="4" customWidth="1"/>
    <col min="9224" max="9224" width="5.42578125" style="4" customWidth="1"/>
    <col min="9225" max="9225" width="8" style="4" customWidth="1"/>
    <col min="9226" max="9226" width="11.28515625" style="4" customWidth="1"/>
    <col min="9227" max="9227" width="19.85546875" style="4" customWidth="1"/>
    <col min="9228" max="9228" width="17.85546875" style="4" customWidth="1"/>
    <col min="9229" max="9229" width="7.5703125" style="4" customWidth="1"/>
    <col min="9230" max="9230" width="9.140625" style="4"/>
    <col min="9231" max="9231" width="5.42578125" style="4" customWidth="1"/>
    <col min="9232" max="9472" width="9.140625" style="4"/>
    <col min="9473" max="9473" width="4.140625" style="4" customWidth="1"/>
    <col min="9474" max="9474" width="47.7109375" style="4" customWidth="1"/>
    <col min="9475" max="9475" width="12.5703125" style="4" customWidth="1"/>
    <col min="9476" max="9476" width="5.28515625" style="4" customWidth="1"/>
    <col min="9477" max="9477" width="5.5703125" style="4" customWidth="1"/>
    <col min="9478" max="9478" width="8.28515625" style="4" customWidth="1"/>
    <col min="9479" max="9479" width="10.7109375" style="4" customWidth="1"/>
    <col min="9480" max="9480" width="5.42578125" style="4" customWidth="1"/>
    <col min="9481" max="9481" width="8" style="4" customWidth="1"/>
    <col min="9482" max="9482" width="11.28515625" style="4" customWidth="1"/>
    <col min="9483" max="9483" width="19.85546875" style="4" customWidth="1"/>
    <col min="9484" max="9484" width="17.85546875" style="4" customWidth="1"/>
    <col min="9485" max="9485" width="7.5703125" style="4" customWidth="1"/>
    <col min="9486" max="9486" width="9.140625" style="4"/>
    <col min="9487" max="9487" width="5.42578125" style="4" customWidth="1"/>
    <col min="9488" max="9728" width="9.140625" style="4"/>
    <col min="9729" max="9729" width="4.140625" style="4" customWidth="1"/>
    <col min="9730" max="9730" width="47.7109375" style="4" customWidth="1"/>
    <col min="9731" max="9731" width="12.5703125" style="4" customWidth="1"/>
    <col min="9732" max="9732" width="5.28515625" style="4" customWidth="1"/>
    <col min="9733" max="9733" width="5.5703125" style="4" customWidth="1"/>
    <col min="9734" max="9734" width="8.28515625" style="4" customWidth="1"/>
    <col min="9735" max="9735" width="10.7109375" style="4" customWidth="1"/>
    <col min="9736" max="9736" width="5.42578125" style="4" customWidth="1"/>
    <col min="9737" max="9737" width="8" style="4" customWidth="1"/>
    <col min="9738" max="9738" width="11.28515625" style="4" customWidth="1"/>
    <col min="9739" max="9739" width="19.85546875" style="4" customWidth="1"/>
    <col min="9740" max="9740" width="17.85546875" style="4" customWidth="1"/>
    <col min="9741" max="9741" width="7.5703125" style="4" customWidth="1"/>
    <col min="9742" max="9742" width="9.140625" style="4"/>
    <col min="9743" max="9743" width="5.42578125" style="4" customWidth="1"/>
    <col min="9744" max="9984" width="9.140625" style="4"/>
    <col min="9985" max="9985" width="4.140625" style="4" customWidth="1"/>
    <col min="9986" max="9986" width="47.7109375" style="4" customWidth="1"/>
    <col min="9987" max="9987" width="12.5703125" style="4" customWidth="1"/>
    <col min="9988" max="9988" width="5.28515625" style="4" customWidth="1"/>
    <col min="9989" max="9989" width="5.5703125" style="4" customWidth="1"/>
    <col min="9990" max="9990" width="8.28515625" style="4" customWidth="1"/>
    <col min="9991" max="9991" width="10.7109375" style="4" customWidth="1"/>
    <col min="9992" max="9992" width="5.42578125" style="4" customWidth="1"/>
    <col min="9993" max="9993" width="8" style="4" customWidth="1"/>
    <col min="9994" max="9994" width="11.28515625" style="4" customWidth="1"/>
    <col min="9995" max="9995" width="19.85546875" style="4" customWidth="1"/>
    <col min="9996" max="9996" width="17.85546875" style="4" customWidth="1"/>
    <col min="9997" max="9997" width="7.5703125" style="4" customWidth="1"/>
    <col min="9998" max="9998" width="9.140625" style="4"/>
    <col min="9999" max="9999" width="5.42578125" style="4" customWidth="1"/>
    <col min="10000" max="10240" width="9.140625" style="4"/>
    <col min="10241" max="10241" width="4.140625" style="4" customWidth="1"/>
    <col min="10242" max="10242" width="47.7109375" style="4" customWidth="1"/>
    <col min="10243" max="10243" width="12.5703125" style="4" customWidth="1"/>
    <col min="10244" max="10244" width="5.28515625" style="4" customWidth="1"/>
    <col min="10245" max="10245" width="5.5703125" style="4" customWidth="1"/>
    <col min="10246" max="10246" width="8.28515625" style="4" customWidth="1"/>
    <col min="10247" max="10247" width="10.7109375" style="4" customWidth="1"/>
    <col min="10248" max="10248" width="5.42578125" style="4" customWidth="1"/>
    <col min="10249" max="10249" width="8" style="4" customWidth="1"/>
    <col min="10250" max="10250" width="11.28515625" style="4" customWidth="1"/>
    <col min="10251" max="10251" width="19.85546875" style="4" customWidth="1"/>
    <col min="10252" max="10252" width="17.85546875" style="4" customWidth="1"/>
    <col min="10253" max="10253" width="7.5703125" style="4" customWidth="1"/>
    <col min="10254" max="10254" width="9.140625" style="4"/>
    <col min="10255" max="10255" width="5.42578125" style="4" customWidth="1"/>
    <col min="10256" max="10496" width="9.140625" style="4"/>
    <col min="10497" max="10497" width="4.140625" style="4" customWidth="1"/>
    <col min="10498" max="10498" width="47.7109375" style="4" customWidth="1"/>
    <col min="10499" max="10499" width="12.5703125" style="4" customWidth="1"/>
    <col min="10500" max="10500" width="5.28515625" style="4" customWidth="1"/>
    <col min="10501" max="10501" width="5.5703125" style="4" customWidth="1"/>
    <col min="10502" max="10502" width="8.28515625" style="4" customWidth="1"/>
    <col min="10503" max="10503" width="10.7109375" style="4" customWidth="1"/>
    <col min="10504" max="10504" width="5.42578125" style="4" customWidth="1"/>
    <col min="10505" max="10505" width="8" style="4" customWidth="1"/>
    <col min="10506" max="10506" width="11.28515625" style="4" customWidth="1"/>
    <col min="10507" max="10507" width="19.85546875" style="4" customWidth="1"/>
    <col min="10508" max="10508" width="17.85546875" style="4" customWidth="1"/>
    <col min="10509" max="10509" width="7.5703125" style="4" customWidth="1"/>
    <col min="10510" max="10510" width="9.140625" style="4"/>
    <col min="10511" max="10511" width="5.42578125" style="4" customWidth="1"/>
    <col min="10512" max="10752" width="9.140625" style="4"/>
    <col min="10753" max="10753" width="4.140625" style="4" customWidth="1"/>
    <col min="10754" max="10754" width="47.7109375" style="4" customWidth="1"/>
    <col min="10755" max="10755" width="12.5703125" style="4" customWidth="1"/>
    <col min="10756" max="10756" width="5.28515625" style="4" customWidth="1"/>
    <col min="10757" max="10757" width="5.5703125" style="4" customWidth="1"/>
    <col min="10758" max="10758" width="8.28515625" style="4" customWidth="1"/>
    <col min="10759" max="10759" width="10.7109375" style="4" customWidth="1"/>
    <col min="10760" max="10760" width="5.42578125" style="4" customWidth="1"/>
    <col min="10761" max="10761" width="8" style="4" customWidth="1"/>
    <col min="10762" max="10762" width="11.28515625" style="4" customWidth="1"/>
    <col min="10763" max="10763" width="19.85546875" style="4" customWidth="1"/>
    <col min="10764" max="10764" width="17.85546875" style="4" customWidth="1"/>
    <col min="10765" max="10765" width="7.5703125" style="4" customWidth="1"/>
    <col min="10766" max="10766" width="9.140625" style="4"/>
    <col min="10767" max="10767" width="5.42578125" style="4" customWidth="1"/>
    <col min="10768" max="11008" width="9.140625" style="4"/>
    <col min="11009" max="11009" width="4.140625" style="4" customWidth="1"/>
    <col min="11010" max="11010" width="47.7109375" style="4" customWidth="1"/>
    <col min="11011" max="11011" width="12.5703125" style="4" customWidth="1"/>
    <col min="11012" max="11012" width="5.28515625" style="4" customWidth="1"/>
    <col min="11013" max="11013" width="5.5703125" style="4" customWidth="1"/>
    <col min="11014" max="11014" width="8.28515625" style="4" customWidth="1"/>
    <col min="11015" max="11015" width="10.7109375" style="4" customWidth="1"/>
    <col min="11016" max="11016" width="5.42578125" style="4" customWidth="1"/>
    <col min="11017" max="11017" width="8" style="4" customWidth="1"/>
    <col min="11018" max="11018" width="11.28515625" style="4" customWidth="1"/>
    <col min="11019" max="11019" width="19.85546875" style="4" customWidth="1"/>
    <col min="11020" max="11020" width="17.85546875" style="4" customWidth="1"/>
    <col min="11021" max="11021" width="7.5703125" style="4" customWidth="1"/>
    <col min="11022" max="11022" width="9.140625" style="4"/>
    <col min="11023" max="11023" width="5.42578125" style="4" customWidth="1"/>
    <col min="11024" max="11264" width="9.140625" style="4"/>
    <col min="11265" max="11265" width="4.140625" style="4" customWidth="1"/>
    <col min="11266" max="11266" width="47.7109375" style="4" customWidth="1"/>
    <col min="11267" max="11267" width="12.5703125" style="4" customWidth="1"/>
    <col min="11268" max="11268" width="5.28515625" style="4" customWidth="1"/>
    <col min="11269" max="11269" width="5.5703125" style="4" customWidth="1"/>
    <col min="11270" max="11270" width="8.28515625" style="4" customWidth="1"/>
    <col min="11271" max="11271" width="10.7109375" style="4" customWidth="1"/>
    <col min="11272" max="11272" width="5.42578125" style="4" customWidth="1"/>
    <col min="11273" max="11273" width="8" style="4" customWidth="1"/>
    <col min="11274" max="11274" width="11.28515625" style="4" customWidth="1"/>
    <col min="11275" max="11275" width="19.85546875" style="4" customWidth="1"/>
    <col min="11276" max="11276" width="17.85546875" style="4" customWidth="1"/>
    <col min="11277" max="11277" width="7.5703125" style="4" customWidth="1"/>
    <col min="11278" max="11278" width="9.140625" style="4"/>
    <col min="11279" max="11279" width="5.42578125" style="4" customWidth="1"/>
    <col min="11280" max="11520" width="9.140625" style="4"/>
    <col min="11521" max="11521" width="4.140625" style="4" customWidth="1"/>
    <col min="11522" max="11522" width="47.7109375" style="4" customWidth="1"/>
    <col min="11523" max="11523" width="12.5703125" style="4" customWidth="1"/>
    <col min="11524" max="11524" width="5.28515625" style="4" customWidth="1"/>
    <col min="11525" max="11525" width="5.5703125" style="4" customWidth="1"/>
    <col min="11526" max="11526" width="8.28515625" style="4" customWidth="1"/>
    <col min="11527" max="11527" width="10.7109375" style="4" customWidth="1"/>
    <col min="11528" max="11528" width="5.42578125" style="4" customWidth="1"/>
    <col min="11529" max="11529" width="8" style="4" customWidth="1"/>
    <col min="11530" max="11530" width="11.28515625" style="4" customWidth="1"/>
    <col min="11531" max="11531" width="19.85546875" style="4" customWidth="1"/>
    <col min="11532" max="11532" width="17.85546875" style="4" customWidth="1"/>
    <col min="11533" max="11533" width="7.5703125" style="4" customWidth="1"/>
    <col min="11534" max="11534" width="9.140625" style="4"/>
    <col min="11535" max="11535" width="5.42578125" style="4" customWidth="1"/>
    <col min="11536" max="11776" width="9.140625" style="4"/>
    <col min="11777" max="11777" width="4.140625" style="4" customWidth="1"/>
    <col min="11778" max="11778" width="47.7109375" style="4" customWidth="1"/>
    <col min="11779" max="11779" width="12.5703125" style="4" customWidth="1"/>
    <col min="11780" max="11780" width="5.28515625" style="4" customWidth="1"/>
    <col min="11781" max="11781" width="5.5703125" style="4" customWidth="1"/>
    <col min="11782" max="11782" width="8.28515625" style="4" customWidth="1"/>
    <col min="11783" max="11783" width="10.7109375" style="4" customWidth="1"/>
    <col min="11784" max="11784" width="5.42578125" style="4" customWidth="1"/>
    <col min="11785" max="11785" width="8" style="4" customWidth="1"/>
    <col min="11786" max="11786" width="11.28515625" style="4" customWidth="1"/>
    <col min="11787" max="11787" width="19.85546875" style="4" customWidth="1"/>
    <col min="11788" max="11788" width="17.85546875" style="4" customWidth="1"/>
    <col min="11789" max="11789" width="7.5703125" style="4" customWidth="1"/>
    <col min="11790" max="11790" width="9.140625" style="4"/>
    <col min="11791" max="11791" width="5.42578125" style="4" customWidth="1"/>
    <col min="11792" max="12032" width="9.140625" style="4"/>
    <col min="12033" max="12033" width="4.140625" style="4" customWidth="1"/>
    <col min="12034" max="12034" width="47.7109375" style="4" customWidth="1"/>
    <col min="12035" max="12035" width="12.5703125" style="4" customWidth="1"/>
    <col min="12036" max="12036" width="5.28515625" style="4" customWidth="1"/>
    <col min="12037" max="12037" width="5.5703125" style="4" customWidth="1"/>
    <col min="12038" max="12038" width="8.28515625" style="4" customWidth="1"/>
    <col min="12039" max="12039" width="10.7109375" style="4" customWidth="1"/>
    <col min="12040" max="12040" width="5.42578125" style="4" customWidth="1"/>
    <col min="12041" max="12041" width="8" style="4" customWidth="1"/>
    <col min="12042" max="12042" width="11.28515625" style="4" customWidth="1"/>
    <col min="12043" max="12043" width="19.85546875" style="4" customWidth="1"/>
    <col min="12044" max="12044" width="17.85546875" style="4" customWidth="1"/>
    <col min="12045" max="12045" width="7.5703125" style="4" customWidth="1"/>
    <col min="12046" max="12046" width="9.140625" style="4"/>
    <col min="12047" max="12047" width="5.42578125" style="4" customWidth="1"/>
    <col min="12048" max="12288" width="9.140625" style="4"/>
    <col min="12289" max="12289" width="4.140625" style="4" customWidth="1"/>
    <col min="12290" max="12290" width="47.7109375" style="4" customWidth="1"/>
    <col min="12291" max="12291" width="12.5703125" style="4" customWidth="1"/>
    <col min="12292" max="12292" width="5.28515625" style="4" customWidth="1"/>
    <col min="12293" max="12293" width="5.5703125" style="4" customWidth="1"/>
    <col min="12294" max="12294" width="8.28515625" style="4" customWidth="1"/>
    <col min="12295" max="12295" width="10.7109375" style="4" customWidth="1"/>
    <col min="12296" max="12296" width="5.42578125" style="4" customWidth="1"/>
    <col min="12297" max="12297" width="8" style="4" customWidth="1"/>
    <col min="12298" max="12298" width="11.28515625" style="4" customWidth="1"/>
    <col min="12299" max="12299" width="19.85546875" style="4" customWidth="1"/>
    <col min="12300" max="12300" width="17.85546875" style="4" customWidth="1"/>
    <col min="12301" max="12301" width="7.5703125" style="4" customWidth="1"/>
    <col min="12302" max="12302" width="9.140625" style="4"/>
    <col min="12303" max="12303" width="5.42578125" style="4" customWidth="1"/>
    <col min="12304" max="12544" width="9.140625" style="4"/>
    <col min="12545" max="12545" width="4.140625" style="4" customWidth="1"/>
    <col min="12546" max="12546" width="47.7109375" style="4" customWidth="1"/>
    <col min="12547" max="12547" width="12.5703125" style="4" customWidth="1"/>
    <col min="12548" max="12548" width="5.28515625" style="4" customWidth="1"/>
    <col min="12549" max="12549" width="5.5703125" style="4" customWidth="1"/>
    <col min="12550" max="12550" width="8.28515625" style="4" customWidth="1"/>
    <col min="12551" max="12551" width="10.7109375" style="4" customWidth="1"/>
    <col min="12552" max="12552" width="5.42578125" style="4" customWidth="1"/>
    <col min="12553" max="12553" width="8" style="4" customWidth="1"/>
    <col min="12554" max="12554" width="11.28515625" style="4" customWidth="1"/>
    <col min="12555" max="12555" width="19.85546875" style="4" customWidth="1"/>
    <col min="12556" max="12556" width="17.85546875" style="4" customWidth="1"/>
    <col min="12557" max="12557" width="7.5703125" style="4" customWidth="1"/>
    <col min="12558" max="12558" width="9.140625" style="4"/>
    <col min="12559" max="12559" width="5.42578125" style="4" customWidth="1"/>
    <col min="12560" max="12800" width="9.140625" style="4"/>
    <col min="12801" max="12801" width="4.140625" style="4" customWidth="1"/>
    <col min="12802" max="12802" width="47.7109375" style="4" customWidth="1"/>
    <col min="12803" max="12803" width="12.5703125" style="4" customWidth="1"/>
    <col min="12804" max="12804" width="5.28515625" style="4" customWidth="1"/>
    <col min="12805" max="12805" width="5.5703125" style="4" customWidth="1"/>
    <col min="12806" max="12806" width="8.28515625" style="4" customWidth="1"/>
    <col min="12807" max="12807" width="10.7109375" style="4" customWidth="1"/>
    <col min="12808" max="12808" width="5.42578125" style="4" customWidth="1"/>
    <col min="12809" max="12809" width="8" style="4" customWidth="1"/>
    <col min="12810" max="12810" width="11.28515625" style="4" customWidth="1"/>
    <col min="12811" max="12811" width="19.85546875" style="4" customWidth="1"/>
    <col min="12812" max="12812" width="17.85546875" style="4" customWidth="1"/>
    <col min="12813" max="12813" width="7.5703125" style="4" customWidth="1"/>
    <col min="12814" max="12814" width="9.140625" style="4"/>
    <col min="12815" max="12815" width="5.42578125" style="4" customWidth="1"/>
    <col min="12816" max="13056" width="9.140625" style="4"/>
    <col min="13057" max="13057" width="4.140625" style="4" customWidth="1"/>
    <col min="13058" max="13058" width="47.7109375" style="4" customWidth="1"/>
    <col min="13059" max="13059" width="12.5703125" style="4" customWidth="1"/>
    <col min="13060" max="13060" width="5.28515625" style="4" customWidth="1"/>
    <col min="13061" max="13061" width="5.5703125" style="4" customWidth="1"/>
    <col min="13062" max="13062" width="8.28515625" style="4" customWidth="1"/>
    <col min="13063" max="13063" width="10.7109375" style="4" customWidth="1"/>
    <col min="13064" max="13064" width="5.42578125" style="4" customWidth="1"/>
    <col min="13065" max="13065" width="8" style="4" customWidth="1"/>
    <col min="13066" max="13066" width="11.28515625" style="4" customWidth="1"/>
    <col min="13067" max="13067" width="19.85546875" style="4" customWidth="1"/>
    <col min="13068" max="13068" width="17.85546875" style="4" customWidth="1"/>
    <col min="13069" max="13069" width="7.5703125" style="4" customWidth="1"/>
    <col min="13070" max="13070" width="9.140625" style="4"/>
    <col min="13071" max="13071" width="5.42578125" style="4" customWidth="1"/>
    <col min="13072" max="13312" width="9.140625" style="4"/>
    <col min="13313" max="13313" width="4.140625" style="4" customWidth="1"/>
    <col min="13314" max="13314" width="47.7109375" style="4" customWidth="1"/>
    <col min="13315" max="13315" width="12.5703125" style="4" customWidth="1"/>
    <col min="13316" max="13316" width="5.28515625" style="4" customWidth="1"/>
    <col min="13317" max="13317" width="5.5703125" style="4" customWidth="1"/>
    <col min="13318" max="13318" width="8.28515625" style="4" customWidth="1"/>
    <col min="13319" max="13319" width="10.7109375" style="4" customWidth="1"/>
    <col min="13320" max="13320" width="5.42578125" style="4" customWidth="1"/>
    <col min="13321" max="13321" width="8" style="4" customWidth="1"/>
    <col min="13322" max="13322" width="11.28515625" style="4" customWidth="1"/>
    <col min="13323" max="13323" width="19.85546875" style="4" customWidth="1"/>
    <col min="13324" max="13324" width="17.85546875" style="4" customWidth="1"/>
    <col min="13325" max="13325" width="7.5703125" style="4" customWidth="1"/>
    <col min="13326" max="13326" width="9.140625" style="4"/>
    <col min="13327" max="13327" width="5.42578125" style="4" customWidth="1"/>
    <col min="13328" max="13568" width="9.140625" style="4"/>
    <col min="13569" max="13569" width="4.140625" style="4" customWidth="1"/>
    <col min="13570" max="13570" width="47.7109375" style="4" customWidth="1"/>
    <col min="13571" max="13571" width="12.5703125" style="4" customWidth="1"/>
    <col min="13572" max="13572" width="5.28515625" style="4" customWidth="1"/>
    <col min="13573" max="13573" width="5.5703125" style="4" customWidth="1"/>
    <col min="13574" max="13574" width="8.28515625" style="4" customWidth="1"/>
    <col min="13575" max="13575" width="10.7109375" style="4" customWidth="1"/>
    <col min="13576" max="13576" width="5.42578125" style="4" customWidth="1"/>
    <col min="13577" max="13577" width="8" style="4" customWidth="1"/>
    <col min="13578" max="13578" width="11.28515625" style="4" customWidth="1"/>
    <col min="13579" max="13579" width="19.85546875" style="4" customWidth="1"/>
    <col min="13580" max="13580" width="17.85546875" style="4" customWidth="1"/>
    <col min="13581" max="13581" width="7.5703125" style="4" customWidth="1"/>
    <col min="13582" max="13582" width="9.140625" style="4"/>
    <col min="13583" max="13583" width="5.42578125" style="4" customWidth="1"/>
    <col min="13584" max="13824" width="9.140625" style="4"/>
    <col min="13825" max="13825" width="4.140625" style="4" customWidth="1"/>
    <col min="13826" max="13826" width="47.7109375" style="4" customWidth="1"/>
    <col min="13827" max="13827" width="12.5703125" style="4" customWidth="1"/>
    <col min="13828" max="13828" width="5.28515625" style="4" customWidth="1"/>
    <col min="13829" max="13829" width="5.5703125" style="4" customWidth="1"/>
    <col min="13830" max="13830" width="8.28515625" style="4" customWidth="1"/>
    <col min="13831" max="13831" width="10.7109375" style="4" customWidth="1"/>
    <col min="13832" max="13832" width="5.42578125" style="4" customWidth="1"/>
    <col min="13833" max="13833" width="8" style="4" customWidth="1"/>
    <col min="13834" max="13834" width="11.28515625" style="4" customWidth="1"/>
    <col min="13835" max="13835" width="19.85546875" style="4" customWidth="1"/>
    <col min="13836" max="13836" width="17.85546875" style="4" customWidth="1"/>
    <col min="13837" max="13837" width="7.5703125" style="4" customWidth="1"/>
    <col min="13838" max="13838" width="9.140625" style="4"/>
    <col min="13839" max="13839" width="5.42578125" style="4" customWidth="1"/>
    <col min="13840" max="14080" width="9.140625" style="4"/>
    <col min="14081" max="14081" width="4.140625" style="4" customWidth="1"/>
    <col min="14082" max="14082" width="47.7109375" style="4" customWidth="1"/>
    <col min="14083" max="14083" width="12.5703125" style="4" customWidth="1"/>
    <col min="14084" max="14084" width="5.28515625" style="4" customWidth="1"/>
    <col min="14085" max="14085" width="5.5703125" style="4" customWidth="1"/>
    <col min="14086" max="14086" width="8.28515625" style="4" customWidth="1"/>
    <col min="14087" max="14087" width="10.7109375" style="4" customWidth="1"/>
    <col min="14088" max="14088" width="5.42578125" style="4" customWidth="1"/>
    <col min="14089" max="14089" width="8" style="4" customWidth="1"/>
    <col min="14090" max="14090" width="11.28515625" style="4" customWidth="1"/>
    <col min="14091" max="14091" width="19.85546875" style="4" customWidth="1"/>
    <col min="14092" max="14092" width="17.85546875" style="4" customWidth="1"/>
    <col min="14093" max="14093" width="7.5703125" style="4" customWidth="1"/>
    <col min="14094" max="14094" width="9.140625" style="4"/>
    <col min="14095" max="14095" width="5.42578125" style="4" customWidth="1"/>
    <col min="14096" max="14336" width="9.140625" style="4"/>
    <col min="14337" max="14337" width="4.140625" style="4" customWidth="1"/>
    <col min="14338" max="14338" width="47.7109375" style="4" customWidth="1"/>
    <col min="14339" max="14339" width="12.5703125" style="4" customWidth="1"/>
    <col min="14340" max="14340" width="5.28515625" style="4" customWidth="1"/>
    <col min="14341" max="14341" width="5.5703125" style="4" customWidth="1"/>
    <col min="14342" max="14342" width="8.28515625" style="4" customWidth="1"/>
    <col min="14343" max="14343" width="10.7109375" style="4" customWidth="1"/>
    <col min="14344" max="14344" width="5.42578125" style="4" customWidth="1"/>
    <col min="14345" max="14345" width="8" style="4" customWidth="1"/>
    <col min="14346" max="14346" width="11.28515625" style="4" customWidth="1"/>
    <col min="14347" max="14347" width="19.85546875" style="4" customWidth="1"/>
    <col min="14348" max="14348" width="17.85546875" style="4" customWidth="1"/>
    <col min="14349" max="14349" width="7.5703125" style="4" customWidth="1"/>
    <col min="14350" max="14350" width="9.140625" style="4"/>
    <col min="14351" max="14351" width="5.42578125" style="4" customWidth="1"/>
    <col min="14352" max="14592" width="9.140625" style="4"/>
    <col min="14593" max="14593" width="4.140625" style="4" customWidth="1"/>
    <col min="14594" max="14594" width="47.7109375" style="4" customWidth="1"/>
    <col min="14595" max="14595" width="12.5703125" style="4" customWidth="1"/>
    <col min="14596" max="14596" width="5.28515625" style="4" customWidth="1"/>
    <col min="14597" max="14597" width="5.5703125" style="4" customWidth="1"/>
    <col min="14598" max="14598" width="8.28515625" style="4" customWidth="1"/>
    <col min="14599" max="14599" width="10.7109375" style="4" customWidth="1"/>
    <col min="14600" max="14600" width="5.42578125" style="4" customWidth="1"/>
    <col min="14601" max="14601" width="8" style="4" customWidth="1"/>
    <col min="14602" max="14602" width="11.28515625" style="4" customWidth="1"/>
    <col min="14603" max="14603" width="19.85546875" style="4" customWidth="1"/>
    <col min="14604" max="14604" width="17.85546875" style="4" customWidth="1"/>
    <col min="14605" max="14605" width="7.5703125" style="4" customWidth="1"/>
    <col min="14606" max="14606" width="9.140625" style="4"/>
    <col min="14607" max="14607" width="5.42578125" style="4" customWidth="1"/>
    <col min="14608" max="14848" width="9.140625" style="4"/>
    <col min="14849" max="14849" width="4.140625" style="4" customWidth="1"/>
    <col min="14850" max="14850" width="47.7109375" style="4" customWidth="1"/>
    <col min="14851" max="14851" width="12.5703125" style="4" customWidth="1"/>
    <col min="14852" max="14852" width="5.28515625" style="4" customWidth="1"/>
    <col min="14853" max="14853" width="5.5703125" style="4" customWidth="1"/>
    <col min="14854" max="14854" width="8.28515625" style="4" customWidth="1"/>
    <col min="14855" max="14855" width="10.7109375" style="4" customWidth="1"/>
    <col min="14856" max="14856" width="5.42578125" style="4" customWidth="1"/>
    <col min="14857" max="14857" width="8" style="4" customWidth="1"/>
    <col min="14858" max="14858" width="11.28515625" style="4" customWidth="1"/>
    <col min="14859" max="14859" width="19.85546875" style="4" customWidth="1"/>
    <col min="14860" max="14860" width="17.85546875" style="4" customWidth="1"/>
    <col min="14861" max="14861" width="7.5703125" style="4" customWidth="1"/>
    <col min="14862" max="14862" width="9.140625" style="4"/>
    <col min="14863" max="14863" width="5.42578125" style="4" customWidth="1"/>
    <col min="14864" max="15104" width="9.140625" style="4"/>
    <col min="15105" max="15105" width="4.140625" style="4" customWidth="1"/>
    <col min="15106" max="15106" width="47.7109375" style="4" customWidth="1"/>
    <col min="15107" max="15107" width="12.5703125" style="4" customWidth="1"/>
    <col min="15108" max="15108" width="5.28515625" style="4" customWidth="1"/>
    <col min="15109" max="15109" width="5.5703125" style="4" customWidth="1"/>
    <col min="15110" max="15110" width="8.28515625" style="4" customWidth="1"/>
    <col min="15111" max="15111" width="10.7109375" style="4" customWidth="1"/>
    <col min="15112" max="15112" width="5.42578125" style="4" customWidth="1"/>
    <col min="15113" max="15113" width="8" style="4" customWidth="1"/>
    <col min="15114" max="15114" width="11.28515625" style="4" customWidth="1"/>
    <col min="15115" max="15115" width="19.85546875" style="4" customWidth="1"/>
    <col min="15116" max="15116" width="17.85546875" style="4" customWidth="1"/>
    <col min="15117" max="15117" width="7.5703125" style="4" customWidth="1"/>
    <col min="15118" max="15118" width="9.140625" style="4"/>
    <col min="15119" max="15119" width="5.42578125" style="4" customWidth="1"/>
    <col min="15120" max="15360" width="9.140625" style="4"/>
    <col min="15361" max="15361" width="4.140625" style="4" customWidth="1"/>
    <col min="15362" max="15362" width="47.7109375" style="4" customWidth="1"/>
    <col min="15363" max="15363" width="12.5703125" style="4" customWidth="1"/>
    <col min="15364" max="15364" width="5.28515625" style="4" customWidth="1"/>
    <col min="15365" max="15365" width="5.5703125" style="4" customWidth="1"/>
    <col min="15366" max="15366" width="8.28515625" style="4" customWidth="1"/>
    <col min="15367" max="15367" width="10.7109375" style="4" customWidth="1"/>
    <col min="15368" max="15368" width="5.42578125" style="4" customWidth="1"/>
    <col min="15369" max="15369" width="8" style="4" customWidth="1"/>
    <col min="15370" max="15370" width="11.28515625" style="4" customWidth="1"/>
    <col min="15371" max="15371" width="19.85546875" style="4" customWidth="1"/>
    <col min="15372" max="15372" width="17.85546875" style="4" customWidth="1"/>
    <col min="15373" max="15373" width="7.5703125" style="4" customWidth="1"/>
    <col min="15374" max="15374" width="9.140625" style="4"/>
    <col min="15375" max="15375" width="5.42578125" style="4" customWidth="1"/>
    <col min="15376" max="15616" width="9.140625" style="4"/>
    <col min="15617" max="15617" width="4.140625" style="4" customWidth="1"/>
    <col min="15618" max="15618" width="47.7109375" style="4" customWidth="1"/>
    <col min="15619" max="15619" width="12.5703125" style="4" customWidth="1"/>
    <col min="15620" max="15620" width="5.28515625" style="4" customWidth="1"/>
    <col min="15621" max="15621" width="5.5703125" style="4" customWidth="1"/>
    <col min="15622" max="15622" width="8.28515625" style="4" customWidth="1"/>
    <col min="15623" max="15623" width="10.7109375" style="4" customWidth="1"/>
    <col min="15624" max="15624" width="5.42578125" style="4" customWidth="1"/>
    <col min="15625" max="15625" width="8" style="4" customWidth="1"/>
    <col min="15626" max="15626" width="11.28515625" style="4" customWidth="1"/>
    <col min="15627" max="15627" width="19.85546875" style="4" customWidth="1"/>
    <col min="15628" max="15628" width="17.85546875" style="4" customWidth="1"/>
    <col min="15629" max="15629" width="7.5703125" style="4" customWidth="1"/>
    <col min="15630" max="15630" width="9.140625" style="4"/>
    <col min="15631" max="15631" width="5.42578125" style="4" customWidth="1"/>
    <col min="15632" max="15872" width="9.140625" style="4"/>
    <col min="15873" max="15873" width="4.140625" style="4" customWidth="1"/>
    <col min="15874" max="15874" width="47.7109375" style="4" customWidth="1"/>
    <col min="15875" max="15875" width="12.5703125" style="4" customWidth="1"/>
    <col min="15876" max="15876" width="5.28515625" style="4" customWidth="1"/>
    <col min="15877" max="15877" width="5.5703125" style="4" customWidth="1"/>
    <col min="15878" max="15878" width="8.28515625" style="4" customWidth="1"/>
    <col min="15879" max="15879" width="10.7109375" style="4" customWidth="1"/>
    <col min="15880" max="15880" width="5.42578125" style="4" customWidth="1"/>
    <col min="15881" max="15881" width="8" style="4" customWidth="1"/>
    <col min="15882" max="15882" width="11.28515625" style="4" customWidth="1"/>
    <col min="15883" max="15883" width="19.85546875" style="4" customWidth="1"/>
    <col min="15884" max="15884" width="17.85546875" style="4" customWidth="1"/>
    <col min="15885" max="15885" width="7.5703125" style="4" customWidth="1"/>
    <col min="15886" max="15886" width="9.140625" style="4"/>
    <col min="15887" max="15887" width="5.42578125" style="4" customWidth="1"/>
    <col min="15888" max="16128" width="9.140625" style="4"/>
    <col min="16129" max="16129" width="4.140625" style="4" customWidth="1"/>
    <col min="16130" max="16130" width="47.7109375" style="4" customWidth="1"/>
    <col min="16131" max="16131" width="12.5703125" style="4" customWidth="1"/>
    <col min="16132" max="16132" width="5.28515625" style="4" customWidth="1"/>
    <col min="16133" max="16133" width="5.5703125" style="4" customWidth="1"/>
    <col min="16134" max="16134" width="8.28515625" style="4" customWidth="1"/>
    <col min="16135" max="16135" width="10.7109375" style="4" customWidth="1"/>
    <col min="16136" max="16136" width="5.42578125" style="4" customWidth="1"/>
    <col min="16137" max="16137" width="8" style="4" customWidth="1"/>
    <col min="16138" max="16138" width="11.28515625" style="4" customWidth="1"/>
    <col min="16139" max="16139" width="19.85546875" style="4" customWidth="1"/>
    <col min="16140" max="16140" width="17.85546875" style="4" customWidth="1"/>
    <col min="16141" max="16141" width="7.5703125" style="4" customWidth="1"/>
    <col min="16142" max="16142" width="9.140625" style="4"/>
    <col min="16143" max="16143" width="5.42578125" style="4" customWidth="1"/>
    <col min="16144" max="16384" width="9.140625" style="4"/>
  </cols>
  <sheetData>
    <row r="1" spans="1:16" ht="18">
      <c r="B1" s="3047" t="s">
        <v>220</v>
      </c>
      <c r="C1" s="3047"/>
      <c r="D1" s="3047"/>
      <c r="E1" s="3047"/>
      <c r="F1" s="3"/>
      <c r="G1" s="3"/>
      <c r="H1" s="3"/>
      <c r="I1" s="3"/>
      <c r="J1" s="3"/>
    </row>
    <row r="2" spans="1:16" ht="13.5" customHeight="1">
      <c r="B2" s="47"/>
      <c r="C2" s="47"/>
      <c r="D2" s="47"/>
      <c r="E2" s="47"/>
      <c r="F2" s="3"/>
      <c r="G2" s="3"/>
      <c r="H2" s="3"/>
      <c r="I2" s="3"/>
      <c r="J2" s="3"/>
    </row>
    <row r="3" spans="1:16" ht="30" customHeight="1">
      <c r="B3" s="3075" t="s">
        <v>221</v>
      </c>
      <c r="C3" s="3075"/>
      <c r="D3" s="3075"/>
      <c r="E3" s="3075"/>
      <c r="F3" s="3075"/>
      <c r="G3" s="3075"/>
      <c r="H3" s="3075"/>
      <c r="I3" s="244"/>
      <c r="J3" s="244"/>
      <c r="K3" s="244"/>
      <c r="M3" s="9"/>
      <c r="N3" s="9"/>
      <c r="O3" s="9"/>
      <c r="P3" s="9"/>
    </row>
    <row r="4" spans="1:16" ht="12.75" customHeight="1">
      <c r="A4" s="232"/>
      <c r="B4" s="8"/>
      <c r="C4" s="8"/>
      <c r="D4" s="8"/>
      <c r="E4" s="8"/>
      <c r="F4" s="8"/>
      <c r="G4" s="8"/>
      <c r="H4" s="8"/>
      <c r="I4" s="8"/>
      <c r="J4" s="8"/>
      <c r="M4" s="9"/>
      <c r="N4" s="9"/>
      <c r="O4" s="9"/>
      <c r="P4" s="9"/>
    </row>
    <row r="5" spans="1:16" ht="14.25" customHeight="1">
      <c r="A5" s="139"/>
      <c r="B5" s="12"/>
      <c r="C5" s="203"/>
      <c r="D5" s="204"/>
      <c r="E5" s="245"/>
      <c r="F5" s="245"/>
      <c r="G5" s="12"/>
      <c r="H5" s="12"/>
      <c r="I5" s="51"/>
      <c r="J5" s="726" t="s">
        <v>89</v>
      </c>
      <c r="M5" s="246"/>
      <c r="N5" s="246"/>
      <c r="O5" s="246"/>
    </row>
    <row r="6" spans="1:16" ht="8.25" customHeight="1">
      <c r="A6" s="139"/>
      <c r="B6" s="12"/>
      <c r="C6" s="203"/>
      <c r="D6" s="204"/>
      <c r="E6" s="245"/>
      <c r="F6" s="245"/>
      <c r="G6" s="12"/>
      <c r="H6" s="12"/>
      <c r="I6" s="51"/>
      <c r="J6" s="247"/>
    </row>
    <row r="7" spans="1:16" ht="21" customHeight="1">
      <c r="A7" s="3320" t="s">
        <v>2</v>
      </c>
      <c r="B7" s="3320" t="s">
        <v>3</v>
      </c>
      <c r="C7" s="3320" t="s">
        <v>4</v>
      </c>
      <c r="D7" s="3320" t="s">
        <v>5</v>
      </c>
      <c r="E7" s="3180" t="s">
        <v>6</v>
      </c>
      <c r="F7" s="3180"/>
      <c r="G7" s="3180"/>
      <c r="H7" s="3180" t="s">
        <v>7</v>
      </c>
      <c r="I7" s="3180"/>
      <c r="J7" s="3180"/>
    </row>
    <row r="8" spans="1:16" ht="18.75" customHeight="1">
      <c r="A8" s="3320"/>
      <c r="B8" s="3320"/>
      <c r="C8" s="3320"/>
      <c r="D8" s="3320"/>
      <c r="E8" s="141" t="s">
        <v>8</v>
      </c>
      <c r="F8" s="141" t="s">
        <v>9</v>
      </c>
      <c r="G8" s="141" t="s">
        <v>10</v>
      </c>
      <c r="H8" s="141" t="s">
        <v>8</v>
      </c>
      <c r="I8" s="141" t="s">
        <v>9</v>
      </c>
      <c r="J8" s="141" t="s">
        <v>10</v>
      </c>
    </row>
    <row r="9" spans="1:16" ht="15" customHeight="1">
      <c r="A9" s="14">
        <v>1</v>
      </c>
      <c r="B9" s="14">
        <v>2</v>
      </c>
      <c r="C9" s="14">
        <v>3</v>
      </c>
      <c r="D9" s="14">
        <v>4</v>
      </c>
      <c r="E9" s="14">
        <v>5</v>
      </c>
      <c r="F9" s="14">
        <v>6</v>
      </c>
      <c r="G9" s="14">
        <v>7</v>
      </c>
      <c r="H9" s="14">
        <v>8</v>
      </c>
      <c r="I9" s="14">
        <v>9</v>
      </c>
      <c r="J9" s="14">
        <v>10</v>
      </c>
    </row>
    <row r="10" spans="1:16" ht="30.75" customHeight="1">
      <c r="A10" s="935">
        <v>1</v>
      </c>
      <c r="B10" s="1601" t="s">
        <v>222</v>
      </c>
      <c r="C10" s="1339">
        <v>7130600675</v>
      </c>
      <c r="D10" s="1340" t="s">
        <v>26</v>
      </c>
      <c r="E10" s="1340">
        <v>2573</v>
      </c>
      <c r="F10" s="1341">
        <f>VLOOKUP(C10,'SOR RATE'!A:D,4,0)/1000</f>
        <v>68.748589999999993</v>
      </c>
      <c r="G10" s="1341">
        <f>F10*E10</f>
        <v>176890.12206999998</v>
      </c>
      <c r="H10" s="1340">
        <f>+E10</f>
        <v>2573</v>
      </c>
      <c r="I10" s="1341">
        <f>+F10</f>
        <v>68.748589999999993</v>
      </c>
      <c r="J10" s="1341">
        <f>I10*H10</f>
        <v>176890.12206999998</v>
      </c>
    </row>
    <row r="11" spans="1:16" ht="30" customHeight="1">
      <c r="A11" s="1340">
        <v>2</v>
      </c>
      <c r="B11" s="1338" t="s">
        <v>13</v>
      </c>
      <c r="C11" s="1339">
        <v>7130810495</v>
      </c>
      <c r="D11" s="1340" t="s">
        <v>12</v>
      </c>
      <c r="E11" s="1340">
        <v>12</v>
      </c>
      <c r="F11" s="1341">
        <f>VLOOKUP(C11,'SOR RATE'!A:D,4,0)</f>
        <v>1380.08</v>
      </c>
      <c r="G11" s="1341">
        <f t="shared" ref="G11:G16" si="0">F11*E11</f>
        <v>16560.96</v>
      </c>
      <c r="H11" s="1340">
        <v>12</v>
      </c>
      <c r="I11" s="1341">
        <f t="shared" ref="I11:I38" si="1">+F11</f>
        <v>1380.08</v>
      </c>
      <c r="J11" s="1341">
        <f t="shared" ref="J11" si="2">I11*H11</f>
        <v>16560.96</v>
      </c>
    </row>
    <row r="12" spans="1:16" ht="17.25" customHeight="1">
      <c r="A12" s="1340">
        <v>3</v>
      </c>
      <c r="B12" s="1338" t="s">
        <v>99</v>
      </c>
      <c r="C12" s="1339">
        <v>7130810361</v>
      </c>
      <c r="D12" s="1340" t="s">
        <v>15</v>
      </c>
      <c r="E12" s="1340">
        <v>12</v>
      </c>
      <c r="F12" s="1341">
        <f>VLOOKUP(C12,'SOR RATE'!A:D,4,0)</f>
        <v>393.51</v>
      </c>
      <c r="G12" s="1341">
        <f>F12*E12</f>
        <v>4722.12</v>
      </c>
      <c r="H12" s="1340">
        <v>12</v>
      </c>
      <c r="I12" s="1341">
        <f t="shared" si="1"/>
        <v>393.51</v>
      </c>
      <c r="J12" s="1341">
        <f>I12*H12</f>
        <v>4722.12</v>
      </c>
    </row>
    <row r="13" spans="1:16" ht="17.25" customHeight="1">
      <c r="A13" s="1340">
        <v>4</v>
      </c>
      <c r="B13" s="1517" t="s">
        <v>223</v>
      </c>
      <c r="C13" s="1339">
        <v>7130810679</v>
      </c>
      <c r="D13" s="1340" t="s">
        <v>12</v>
      </c>
      <c r="E13" s="1340">
        <v>12</v>
      </c>
      <c r="F13" s="1341">
        <f>VLOOKUP(C13,'SOR RATE'!A:D,4,0)</f>
        <v>387.16</v>
      </c>
      <c r="G13" s="1341">
        <f>F13*E13</f>
        <v>4645.92</v>
      </c>
      <c r="H13" s="1340">
        <v>12</v>
      </c>
      <c r="I13" s="1341">
        <f>+F13</f>
        <v>387.16</v>
      </c>
      <c r="J13" s="1341">
        <f>I13*H13</f>
        <v>4645.92</v>
      </c>
    </row>
    <row r="14" spans="1:16" ht="17.25" customHeight="1">
      <c r="A14" s="1340">
        <v>5</v>
      </c>
      <c r="B14" s="1338" t="s">
        <v>136</v>
      </c>
      <c r="C14" s="1591">
        <v>7130870013</v>
      </c>
      <c r="D14" s="935" t="s">
        <v>12</v>
      </c>
      <c r="E14" s="935">
        <v>12</v>
      </c>
      <c r="F14" s="1341">
        <f>VLOOKUP(C14,'SOR RATE'!A:D,4,0)</f>
        <v>152.88999999999999</v>
      </c>
      <c r="G14" s="1592">
        <f>F14*E14</f>
        <v>1834.6799999999998</v>
      </c>
      <c r="H14" s="935">
        <v>12</v>
      </c>
      <c r="I14" s="1592">
        <f t="shared" si="1"/>
        <v>152.88999999999999</v>
      </c>
      <c r="J14" s="1592">
        <f>I14*H14</f>
        <v>1834.6799999999998</v>
      </c>
      <c r="K14" s="248"/>
    </row>
    <row r="15" spans="1:16" ht="17.25" customHeight="1">
      <c r="A15" s="1340">
        <v>6</v>
      </c>
      <c r="B15" s="1517" t="s">
        <v>19</v>
      </c>
      <c r="C15" s="1339">
        <v>7130820008</v>
      </c>
      <c r="D15" s="1340" t="s">
        <v>12</v>
      </c>
      <c r="E15" s="1340">
        <v>36</v>
      </c>
      <c r="F15" s="1341">
        <f>VLOOKUP(C15,'SOR RATE'!A:D,4,0)</f>
        <v>157.08000000000001</v>
      </c>
      <c r="G15" s="1341">
        <f>F15*E15</f>
        <v>5654.88</v>
      </c>
      <c r="H15" s="1340">
        <v>36</v>
      </c>
      <c r="I15" s="1341">
        <f>+F15</f>
        <v>157.08000000000001</v>
      </c>
      <c r="J15" s="1341">
        <f>I15*H15</f>
        <v>5654.88</v>
      </c>
    </row>
    <row r="16" spans="1:16" ht="17.25" customHeight="1">
      <c r="A16" s="1340">
        <v>7</v>
      </c>
      <c r="B16" s="1517" t="s">
        <v>20</v>
      </c>
      <c r="C16" s="1339">
        <v>7130830057</v>
      </c>
      <c r="D16" s="1340" t="s">
        <v>21</v>
      </c>
      <c r="E16" s="1340">
        <v>3100</v>
      </c>
      <c r="F16" s="1341">
        <f>VLOOKUP(C16,'SOR RATE'!A:D,4,0)/1000</f>
        <v>46.676089999999995</v>
      </c>
      <c r="G16" s="1341">
        <f t="shared" si="0"/>
        <v>144695.87899999999</v>
      </c>
      <c r="H16" s="1340"/>
      <c r="I16" s="1341"/>
      <c r="J16" s="1341"/>
    </row>
    <row r="17" spans="1:14" ht="17.25" customHeight="1">
      <c r="A17" s="1386">
        <v>8</v>
      </c>
      <c r="B17" s="1743" t="s">
        <v>22</v>
      </c>
      <c r="C17" s="1744">
        <v>7130830055</v>
      </c>
      <c r="D17" s="1745" t="s">
        <v>21</v>
      </c>
      <c r="E17" s="1745"/>
      <c r="F17" s="1407"/>
      <c r="G17" s="1407"/>
      <c r="H17" s="1745">
        <v>3100</v>
      </c>
      <c r="I17" s="1341">
        <f>VLOOKUP(C17,'SOR RATE'!A:D,4,0)/1000</f>
        <v>28.020759999999999</v>
      </c>
      <c r="J17" s="1407">
        <f>I17*H17</f>
        <v>86864.356</v>
      </c>
    </row>
    <row r="18" spans="1:14" ht="28.5" customHeight="1">
      <c r="A18" s="935">
        <v>9</v>
      </c>
      <c r="B18" s="1338" t="s">
        <v>224</v>
      </c>
      <c r="C18" s="1744">
        <v>7130830050</v>
      </c>
      <c r="D18" s="1340" t="s">
        <v>12</v>
      </c>
      <c r="E18" s="1340">
        <v>6</v>
      </c>
      <c r="F18" s="1341">
        <f>VLOOKUP(C18,'SOR RATE'!A:D,4,0)</f>
        <v>46.85</v>
      </c>
      <c r="G18" s="1341">
        <f>F18*E18</f>
        <v>281.10000000000002</v>
      </c>
      <c r="H18" s="1340">
        <v>6</v>
      </c>
      <c r="I18" s="1341">
        <f t="shared" si="1"/>
        <v>46.85</v>
      </c>
      <c r="J18" s="1341">
        <f>I18*H18</f>
        <v>281.10000000000002</v>
      </c>
    </row>
    <row r="19" spans="1:14" ht="17.25" customHeight="1">
      <c r="A19" s="3227">
        <v>10</v>
      </c>
      <c r="B19" s="1220" t="s">
        <v>24</v>
      </c>
      <c r="C19" s="1339">
        <v>7130860032</v>
      </c>
      <c r="D19" s="1340" t="s">
        <v>12</v>
      </c>
      <c r="E19" s="1409">
        <v>4</v>
      </c>
      <c r="F19" s="1341">
        <f>VLOOKUP(C19,'SOR RATE'!A:D,4,0)</f>
        <v>566.19000000000005</v>
      </c>
      <c r="G19" s="1341">
        <f>F19*E19</f>
        <v>2264.7600000000002</v>
      </c>
      <c r="H19" s="1409">
        <v>4</v>
      </c>
      <c r="I19" s="1341">
        <f t="shared" si="1"/>
        <v>566.19000000000005</v>
      </c>
      <c r="J19" s="1341">
        <f>I19*H19</f>
        <v>2264.7600000000002</v>
      </c>
    </row>
    <row r="20" spans="1:14" ht="17.25" customHeight="1">
      <c r="A20" s="3228"/>
      <c r="B20" s="1517" t="s">
        <v>225</v>
      </c>
      <c r="C20" s="1339">
        <v>7130860077</v>
      </c>
      <c r="D20" s="1340" t="s">
        <v>26</v>
      </c>
      <c r="E20" s="1340">
        <v>34</v>
      </c>
      <c r="F20" s="1341">
        <f>VLOOKUP(C20,'SOR RATE'!A:D,4,0)/1000</f>
        <v>93.76643</v>
      </c>
      <c r="G20" s="1341">
        <f>F20*E20</f>
        <v>3188.0586199999998</v>
      </c>
      <c r="H20" s="1340">
        <f>+E20</f>
        <v>34</v>
      </c>
      <c r="I20" s="1341">
        <f t="shared" si="1"/>
        <v>93.76643</v>
      </c>
      <c r="J20" s="1341">
        <f>I20*H20</f>
        <v>3188.0586199999998</v>
      </c>
    </row>
    <row r="21" spans="1:14" ht="17.25" customHeight="1">
      <c r="A21" s="3229"/>
      <c r="B21" s="1517" t="s">
        <v>226</v>
      </c>
      <c r="C21" s="1339">
        <v>7130810216</v>
      </c>
      <c r="D21" s="1340" t="s">
        <v>15</v>
      </c>
      <c r="E21" s="1340">
        <v>4</v>
      </c>
      <c r="F21" s="1341">
        <f>VLOOKUP(C21,'SOR RATE'!A:D,4,0)</f>
        <v>393.51</v>
      </c>
      <c r="G21" s="1341">
        <f>F21*E21</f>
        <v>1574.04</v>
      </c>
      <c r="H21" s="1340">
        <v>4</v>
      </c>
      <c r="I21" s="1341">
        <f t="shared" si="1"/>
        <v>393.51</v>
      </c>
      <c r="J21" s="1341">
        <f>I21*H21</f>
        <v>1574.04</v>
      </c>
    </row>
    <row r="22" spans="1:14" ht="33" customHeight="1">
      <c r="A22" s="1340">
        <v>11</v>
      </c>
      <c r="B22" s="1342" t="s">
        <v>227</v>
      </c>
      <c r="C22" s="1339">
        <v>7130200202</v>
      </c>
      <c r="D22" s="1340" t="s">
        <v>76</v>
      </c>
      <c r="E22" s="1451">
        <f>(0.35*12)+(0.2*6)</f>
        <v>5.3999999999999995</v>
      </c>
      <c r="F22" s="1341">
        <f>VLOOKUP(C22,'SOR RATE'!A:D,4,0)</f>
        <v>2970</v>
      </c>
      <c r="G22" s="1341">
        <f t="shared" ref="G22:G27" si="3">F22*E22</f>
        <v>16037.999999999998</v>
      </c>
      <c r="H22" s="1451">
        <f>(0.35*12)+(0.2*6)</f>
        <v>5.3999999999999995</v>
      </c>
      <c r="I22" s="1341">
        <f t="shared" si="1"/>
        <v>2970</v>
      </c>
      <c r="J22" s="1341">
        <f t="shared" ref="J22:J24" si="4">I22*H22</f>
        <v>16037.999999999998</v>
      </c>
      <c r="K22" s="249" t="s">
        <v>47</v>
      </c>
      <c r="L22" s="168"/>
    </row>
    <row r="23" spans="1:14" ht="17.25" customHeight="1">
      <c r="A23" s="1340">
        <v>12</v>
      </c>
      <c r="B23" s="1517" t="s">
        <v>28</v>
      </c>
      <c r="C23" s="1339">
        <v>7130211158</v>
      </c>
      <c r="D23" s="1340" t="s">
        <v>29</v>
      </c>
      <c r="E23" s="1340">
        <v>2.5</v>
      </c>
      <c r="F23" s="1341">
        <f>VLOOKUP(C23,'SOR RATE'!A:D,4,0)</f>
        <v>193.62</v>
      </c>
      <c r="G23" s="1341">
        <f t="shared" si="3"/>
        <v>484.05</v>
      </c>
      <c r="H23" s="1340">
        <v>2.5</v>
      </c>
      <c r="I23" s="1341">
        <f t="shared" si="1"/>
        <v>193.62</v>
      </c>
      <c r="J23" s="1341">
        <f t="shared" si="4"/>
        <v>484.05</v>
      </c>
    </row>
    <row r="24" spans="1:14" ht="17.25" customHeight="1">
      <c r="A24" s="1340">
        <v>13</v>
      </c>
      <c r="B24" s="1517" t="s">
        <v>162</v>
      </c>
      <c r="C24" s="1339">
        <v>7130210809</v>
      </c>
      <c r="D24" s="1340" t="s">
        <v>29</v>
      </c>
      <c r="E24" s="1340">
        <v>2.5</v>
      </c>
      <c r="F24" s="1341">
        <f>VLOOKUP(C24,'SOR RATE'!A:D,4,0)</f>
        <v>432.63</v>
      </c>
      <c r="G24" s="1341">
        <f t="shared" si="3"/>
        <v>1081.575</v>
      </c>
      <c r="H24" s="1340">
        <v>2.5</v>
      </c>
      <c r="I24" s="1341">
        <f t="shared" si="1"/>
        <v>432.63</v>
      </c>
      <c r="J24" s="1341">
        <f t="shared" si="4"/>
        <v>1081.575</v>
      </c>
    </row>
    <row r="25" spans="1:14" ht="17.25" customHeight="1">
      <c r="A25" s="1340">
        <v>14</v>
      </c>
      <c r="B25" s="1372" t="s">
        <v>31</v>
      </c>
      <c r="C25" s="1370">
        <v>7130610206</v>
      </c>
      <c r="D25" s="1409" t="s">
        <v>26</v>
      </c>
      <c r="E25" s="1340">
        <v>24</v>
      </c>
      <c r="F25" s="1341">
        <f>VLOOKUP(C25,'SOR RATE'!A:D,4,0)/1000</f>
        <v>97.233429999999998</v>
      </c>
      <c r="G25" s="1341">
        <f t="shared" si="3"/>
        <v>2333.60232</v>
      </c>
      <c r="H25" s="1340">
        <v>24</v>
      </c>
      <c r="I25" s="1341">
        <f t="shared" si="1"/>
        <v>97.233429999999998</v>
      </c>
      <c r="J25" s="1341">
        <f>I25*H25</f>
        <v>2333.60232</v>
      </c>
      <c r="K25" s="56"/>
      <c r="L25" s="16"/>
      <c r="M25" s="17"/>
      <c r="N25" s="17"/>
    </row>
    <row r="26" spans="1:14" ht="17.25" customHeight="1">
      <c r="A26" s="1340">
        <v>15</v>
      </c>
      <c r="B26" s="1517" t="s">
        <v>32</v>
      </c>
      <c r="C26" s="1339">
        <v>7130880041</v>
      </c>
      <c r="D26" s="1340" t="s">
        <v>33</v>
      </c>
      <c r="E26" s="1340">
        <v>12</v>
      </c>
      <c r="F26" s="1341">
        <f>VLOOKUP(C26,'SOR RATE'!A:D,4,0)</f>
        <v>113.77</v>
      </c>
      <c r="G26" s="1341">
        <f t="shared" si="3"/>
        <v>1365.24</v>
      </c>
      <c r="H26" s="1340">
        <v>12</v>
      </c>
      <c r="I26" s="1341">
        <f t="shared" si="1"/>
        <v>113.77</v>
      </c>
      <c r="J26" s="1341">
        <f>I26*H26</f>
        <v>1365.24</v>
      </c>
    </row>
    <row r="27" spans="1:14" ht="17.25" customHeight="1">
      <c r="A27" s="1340">
        <v>16</v>
      </c>
      <c r="B27" s="1517" t="s">
        <v>110</v>
      </c>
      <c r="C27" s="1339">
        <v>7130830006</v>
      </c>
      <c r="D27" s="1340" t="s">
        <v>26</v>
      </c>
      <c r="E27" s="1340">
        <v>3</v>
      </c>
      <c r="F27" s="1341">
        <f>VLOOKUP(C27,'SOR RATE'!A:D,4,0)</f>
        <v>201.5</v>
      </c>
      <c r="G27" s="1341">
        <f t="shared" si="3"/>
        <v>604.5</v>
      </c>
      <c r="H27" s="1340">
        <v>3</v>
      </c>
      <c r="I27" s="1341">
        <f t="shared" si="1"/>
        <v>201.5</v>
      </c>
      <c r="J27" s="1341">
        <f>I27*H27</f>
        <v>604.5</v>
      </c>
    </row>
    <row r="28" spans="1:14" ht="17.25" customHeight="1">
      <c r="A28" s="3227">
        <v>17</v>
      </c>
      <c r="B28" s="679" t="s">
        <v>35</v>
      </c>
      <c r="C28" s="1339"/>
      <c r="D28" s="1340" t="s">
        <v>26</v>
      </c>
      <c r="E28" s="932">
        <f>SUM(E29:E31)</f>
        <v>14</v>
      </c>
      <c r="F28" s="1341"/>
      <c r="G28" s="1341"/>
      <c r="H28" s="932">
        <f>SUM(H29:H31)</f>
        <v>14</v>
      </c>
      <c r="I28" s="1341"/>
      <c r="J28" s="1341"/>
    </row>
    <row r="29" spans="1:14" ht="17.25" customHeight="1">
      <c r="A29" s="3228"/>
      <c r="B29" s="1585" t="s">
        <v>79</v>
      </c>
      <c r="C29" s="1339">
        <v>7130620609</v>
      </c>
      <c r="D29" s="1340" t="s">
        <v>26</v>
      </c>
      <c r="E29" s="1340">
        <v>5</v>
      </c>
      <c r="F29" s="1341">
        <f>VLOOKUP(C29,'SOR RATE'!A:D,4,0)</f>
        <v>87.23</v>
      </c>
      <c r="G29" s="1341">
        <f>F29*E29</f>
        <v>436.15000000000003</v>
      </c>
      <c r="H29" s="1340">
        <v>5</v>
      </c>
      <c r="I29" s="1341">
        <f t="shared" si="1"/>
        <v>87.23</v>
      </c>
      <c r="J29" s="1341">
        <f>I29*H29</f>
        <v>436.15000000000003</v>
      </c>
    </row>
    <row r="30" spans="1:14" ht="17.25" customHeight="1">
      <c r="A30" s="3228"/>
      <c r="B30" s="1585" t="s">
        <v>111</v>
      </c>
      <c r="C30" s="1339">
        <v>7130620614</v>
      </c>
      <c r="D30" s="1340" t="s">
        <v>26</v>
      </c>
      <c r="E30" s="1340">
        <v>4</v>
      </c>
      <c r="F30" s="1341">
        <f>VLOOKUP(C30,'SOR RATE'!A:D,4,0)</f>
        <v>85.77</v>
      </c>
      <c r="G30" s="1341">
        <f>F30*E30</f>
        <v>343.08</v>
      </c>
      <c r="H30" s="1340">
        <v>4</v>
      </c>
      <c r="I30" s="1341">
        <f t="shared" si="1"/>
        <v>85.77</v>
      </c>
      <c r="J30" s="1341">
        <f>I30*H30</f>
        <v>343.08</v>
      </c>
    </row>
    <row r="31" spans="1:14" ht="17.25" customHeight="1">
      <c r="A31" s="3229"/>
      <c r="B31" s="1585" t="s">
        <v>36</v>
      </c>
      <c r="C31" s="1339">
        <v>7130620619</v>
      </c>
      <c r="D31" s="1340" t="s">
        <v>26</v>
      </c>
      <c r="E31" s="1340">
        <v>5</v>
      </c>
      <c r="F31" s="1341">
        <f>VLOOKUP(C31,'SOR RATE'!A:D,4,0)</f>
        <v>85.77</v>
      </c>
      <c r="G31" s="1341">
        <f>F31*E31</f>
        <v>428.84999999999997</v>
      </c>
      <c r="H31" s="1340">
        <v>5</v>
      </c>
      <c r="I31" s="1341">
        <f t="shared" si="1"/>
        <v>85.77</v>
      </c>
      <c r="J31" s="1341">
        <f>I31*H31</f>
        <v>428.84999999999997</v>
      </c>
    </row>
    <row r="32" spans="1:14" ht="17.25" customHeight="1">
      <c r="A32" s="3261">
        <v>18</v>
      </c>
      <c r="B32" s="679" t="s">
        <v>38</v>
      </c>
      <c r="C32" s="1513"/>
      <c r="D32" s="1514"/>
      <c r="E32" s="1514"/>
      <c r="F32" s="1514"/>
      <c r="G32" s="1514"/>
      <c r="H32" s="1514"/>
      <c r="I32" s="1514"/>
      <c r="J32" s="1515"/>
    </row>
    <row r="33" spans="1:15" ht="17.25" customHeight="1">
      <c r="A33" s="3321"/>
      <c r="B33" s="1517" t="s">
        <v>115</v>
      </c>
      <c r="C33" s="1339">
        <v>7130810511</v>
      </c>
      <c r="D33" s="1340" t="s">
        <v>12</v>
      </c>
      <c r="E33" s="1340">
        <v>1</v>
      </c>
      <c r="F33" s="1341">
        <f>VLOOKUP(C33,'SOR RATE'!A:D,4,0)</f>
        <v>3272.43</v>
      </c>
      <c r="G33" s="1341">
        <f t="shared" ref="G33" si="5">F33*E33</f>
        <v>3272.43</v>
      </c>
      <c r="H33" s="1340">
        <v>1</v>
      </c>
      <c r="I33" s="1341">
        <f t="shared" si="1"/>
        <v>3272.43</v>
      </c>
      <c r="J33" s="1341">
        <f t="shared" ref="J33" si="6">I33*H33</f>
        <v>3272.43</v>
      </c>
    </row>
    <row r="34" spans="1:15" ht="17.25" customHeight="1">
      <c r="A34" s="3321"/>
      <c r="B34" s="1517" t="s">
        <v>41</v>
      </c>
      <c r="C34" s="1339">
        <v>7130870043</v>
      </c>
      <c r="D34" s="1340" t="s">
        <v>26</v>
      </c>
      <c r="E34" s="1340">
        <v>35</v>
      </c>
      <c r="F34" s="1341">
        <f>VLOOKUP(C34,'SOR RATE'!A:D,4,0)/1000</f>
        <v>80.521839999999997</v>
      </c>
      <c r="G34" s="1341">
        <f>F34*E34</f>
        <v>2818.2644</v>
      </c>
      <c r="H34" s="1340">
        <v>35</v>
      </c>
      <c r="I34" s="1341">
        <f t="shared" si="1"/>
        <v>80.521839999999997</v>
      </c>
      <c r="J34" s="1341">
        <f>I34*H34</f>
        <v>2818.2644</v>
      </c>
    </row>
    <row r="35" spans="1:15" ht="17.25" customHeight="1">
      <c r="A35" s="3321"/>
      <c r="B35" s="1517" t="s">
        <v>27</v>
      </c>
      <c r="C35" s="1339">
        <v>7130810026</v>
      </c>
      <c r="D35" s="1409" t="s">
        <v>15</v>
      </c>
      <c r="E35" s="1340">
        <v>2</v>
      </c>
      <c r="F35" s="1341">
        <f>VLOOKUP(C35,'SOR RATE'!A201:D201,4,0)</f>
        <v>198.14</v>
      </c>
      <c r="G35" s="1341">
        <f>F35*E35</f>
        <v>396.28</v>
      </c>
      <c r="H35" s="1340">
        <v>2</v>
      </c>
      <c r="I35" s="1341">
        <f>+F35</f>
        <v>198.14</v>
      </c>
      <c r="J35" s="1341">
        <f>I35*H35</f>
        <v>396.28</v>
      </c>
    </row>
    <row r="36" spans="1:15" ht="17.25" customHeight="1">
      <c r="A36" s="3321"/>
      <c r="B36" s="1517" t="s">
        <v>116</v>
      </c>
      <c r="C36" s="1339">
        <v>7130860077</v>
      </c>
      <c r="D36" s="1386" t="s">
        <v>26</v>
      </c>
      <c r="E36" s="1386">
        <v>17</v>
      </c>
      <c r="F36" s="1341">
        <f>VLOOKUP(C36,'SOR RATE'!A:D,4,0)/1000</f>
        <v>93.76643</v>
      </c>
      <c r="G36" s="1341">
        <f>F36*E36</f>
        <v>1594.0293099999999</v>
      </c>
      <c r="H36" s="1386">
        <f>+E36</f>
        <v>17</v>
      </c>
      <c r="I36" s="1341">
        <f t="shared" si="1"/>
        <v>93.76643</v>
      </c>
      <c r="J36" s="1341">
        <f>I36*H36</f>
        <v>1594.0293099999999</v>
      </c>
    </row>
    <row r="37" spans="1:15" ht="17.25" customHeight="1">
      <c r="A37" s="3321"/>
      <c r="B37" s="1338" t="s">
        <v>117</v>
      </c>
      <c r="C37" s="1339">
        <v>7130860032</v>
      </c>
      <c r="D37" s="1340" t="s">
        <v>12</v>
      </c>
      <c r="E37" s="1340">
        <v>2</v>
      </c>
      <c r="F37" s="1341">
        <f>VLOOKUP(C37,'SOR RATE'!A:D,4,0)</f>
        <v>566.19000000000005</v>
      </c>
      <c r="G37" s="1341">
        <f>F37*E37</f>
        <v>1132.3800000000001</v>
      </c>
      <c r="H37" s="1340">
        <v>2</v>
      </c>
      <c r="I37" s="1341">
        <f t="shared" si="1"/>
        <v>566.19000000000005</v>
      </c>
      <c r="J37" s="1341">
        <f>I37*H37</f>
        <v>1132.3800000000001</v>
      </c>
    </row>
    <row r="38" spans="1:15" ht="17.25" customHeight="1">
      <c r="A38" s="3262"/>
      <c r="B38" s="1743" t="s">
        <v>44</v>
      </c>
      <c r="C38" s="1339">
        <v>7130620013</v>
      </c>
      <c r="D38" s="1383" t="s">
        <v>12</v>
      </c>
      <c r="E38" s="1340">
        <v>4</v>
      </c>
      <c r="F38" s="1341">
        <f>VLOOKUP(C38,'SOR RATE'!A:D,4,0)</f>
        <v>156.05000000000001</v>
      </c>
      <c r="G38" s="1341">
        <f>F38*E38</f>
        <v>624.20000000000005</v>
      </c>
      <c r="H38" s="1340">
        <v>4</v>
      </c>
      <c r="I38" s="1341">
        <f t="shared" si="1"/>
        <v>156.05000000000001</v>
      </c>
      <c r="J38" s="1341">
        <f>I38*H38</f>
        <v>624.20000000000005</v>
      </c>
    </row>
    <row r="39" spans="1:15" ht="17.25" customHeight="1">
      <c r="A39" s="932">
        <v>19</v>
      </c>
      <c r="B39" s="1426" t="s">
        <v>48</v>
      </c>
      <c r="C39" s="1589"/>
      <c r="D39" s="943"/>
      <c r="E39" s="932"/>
      <c r="F39" s="932"/>
      <c r="G39" s="1343">
        <f>SUM(G10:G38)</f>
        <v>395265.15071999998</v>
      </c>
      <c r="H39" s="1343"/>
      <c r="I39" s="1343"/>
      <c r="J39" s="1343">
        <f>SUM(J10:J38)</f>
        <v>337433.62772000005</v>
      </c>
      <c r="K39" s="20"/>
      <c r="L39" s="22"/>
    </row>
    <row r="40" spans="1:15" ht="17.25" customHeight="1">
      <c r="A40" s="932">
        <v>20</v>
      </c>
      <c r="B40" s="1426" t="s">
        <v>49</v>
      </c>
      <c r="C40" s="1531"/>
      <c r="D40" s="932"/>
      <c r="E40" s="932"/>
      <c r="F40" s="932"/>
      <c r="G40" s="1343">
        <f>G39/1.18</f>
        <v>334970.4667118644</v>
      </c>
      <c r="H40" s="1746"/>
      <c r="I40" s="1343"/>
      <c r="J40" s="1343">
        <f>J39/1.18</f>
        <v>285960.70145762718</v>
      </c>
      <c r="K40" s="17"/>
      <c r="L40" s="22"/>
    </row>
    <row r="41" spans="1:15" ht="17.25" customHeight="1">
      <c r="A41" s="1340">
        <v>21</v>
      </c>
      <c r="B41" s="1372" t="s">
        <v>50</v>
      </c>
      <c r="C41" s="1747"/>
      <c r="D41" s="1747"/>
      <c r="E41" s="1747"/>
      <c r="F41" s="1367">
        <v>7.4999999999999997E-2</v>
      </c>
      <c r="G41" s="1430">
        <f>G39*F41</f>
        <v>29644.886303999996</v>
      </c>
      <c r="H41" s="1748"/>
      <c r="I41" s="1367">
        <v>7.4999999999999997E-2</v>
      </c>
      <c r="J41" s="1430">
        <f>J39*I41</f>
        <v>25307.522079000002</v>
      </c>
      <c r="K41" s="16"/>
      <c r="L41" s="17"/>
    </row>
    <row r="42" spans="1:15" ht="17.25" customHeight="1">
      <c r="A42" s="1438">
        <v>22</v>
      </c>
      <c r="B42" s="1520" t="s">
        <v>82</v>
      </c>
      <c r="D42" s="1409" t="s">
        <v>76</v>
      </c>
      <c r="E42" s="1749">
        <v>5.4</v>
      </c>
      <c r="F42" s="1522">
        <f>665.173187113158*1.043</f>
        <v>693.77563415902364</v>
      </c>
      <c r="G42" s="1341">
        <f>E42*F42</f>
        <v>3746.388424458728</v>
      </c>
      <c r="H42" s="1340">
        <v>5.4</v>
      </c>
      <c r="I42" s="1522">
        <f>665.173187113158*1.043</f>
        <v>693.77563415902364</v>
      </c>
      <c r="J42" s="1341">
        <f>H42*I42</f>
        <v>3746.388424458728</v>
      </c>
      <c r="K42" s="59"/>
    </row>
    <row r="43" spans="1:15" ht="17.25" customHeight="1">
      <c r="A43" s="1340">
        <v>23</v>
      </c>
      <c r="B43" s="1517" t="s">
        <v>228</v>
      </c>
      <c r="C43" s="1339"/>
      <c r="D43" s="1340"/>
      <c r="E43" s="1340"/>
      <c r="F43" s="1340"/>
      <c r="G43" s="1341">
        <v>53816.46</v>
      </c>
      <c r="H43" s="1341"/>
      <c r="I43" s="1593"/>
      <c r="J43" s="1341">
        <v>52736.959999999999</v>
      </c>
      <c r="K43" s="250"/>
      <c r="L43" s="251"/>
      <c r="M43" s="5"/>
      <c r="N43" s="5"/>
      <c r="O43" s="5"/>
    </row>
    <row r="44" spans="1:15" ht="17.25" customHeight="1">
      <c r="A44" s="935">
        <v>24</v>
      </c>
      <c r="B44" s="1338" t="s">
        <v>1617</v>
      </c>
      <c r="C44" s="1591"/>
      <c r="D44" s="935"/>
      <c r="E44" s="935"/>
      <c r="F44" s="1592"/>
      <c r="G44" s="1750">
        <f>G40*0.04</f>
        <v>13398.818668474576</v>
      </c>
      <c r="H44" s="935"/>
      <c r="I44" s="1594"/>
      <c r="J44" s="1750">
        <f>J40*0.04</f>
        <v>11438.428058305088</v>
      </c>
      <c r="K44" s="737" t="s">
        <v>1827</v>
      </c>
      <c r="L44" s="26"/>
    </row>
    <row r="45" spans="1:15" ht="42" customHeight="1">
      <c r="A45" s="935">
        <v>25</v>
      </c>
      <c r="B45" s="1596" t="s">
        <v>54</v>
      </c>
      <c r="C45" s="1591"/>
      <c r="D45" s="935"/>
      <c r="E45" s="935"/>
      <c r="F45" s="1592"/>
      <c r="G45" s="1750">
        <f>(G39+G41+G42+G43+G44)*0.125</f>
        <v>61983.96301461666</v>
      </c>
      <c r="H45" s="935"/>
      <c r="I45" s="1594"/>
      <c r="J45" s="1750">
        <f>(J39+J41+J42+J43+J44)*0.125</f>
        <v>53832.865785220492</v>
      </c>
      <c r="K45" s="252"/>
      <c r="L45" s="26"/>
    </row>
    <row r="46" spans="1:15" ht="30.75" customHeight="1">
      <c r="A46" s="933">
        <v>26</v>
      </c>
      <c r="B46" s="1457" t="s">
        <v>55</v>
      </c>
      <c r="C46" s="1591"/>
      <c r="D46" s="935"/>
      <c r="E46" s="935"/>
      <c r="F46" s="1592"/>
      <c r="G46" s="1364">
        <f>SUM(G40:G45)</f>
        <v>497560.98312341433</v>
      </c>
      <c r="H46" s="933"/>
      <c r="I46" s="1597"/>
      <c r="J46" s="1364">
        <f>SUM(J40:J45)</f>
        <v>433022.86580461159</v>
      </c>
      <c r="K46" s="27"/>
    </row>
    <row r="47" spans="1:15" ht="17.25" customHeight="1">
      <c r="A47" s="1363">
        <v>27</v>
      </c>
      <c r="B47" s="1372" t="s">
        <v>56</v>
      </c>
      <c r="C47" s="1591"/>
      <c r="D47" s="935"/>
      <c r="E47" s="935"/>
      <c r="F47" s="1592">
        <v>0.09</v>
      </c>
      <c r="G47" s="336">
        <f>G46*F47</f>
        <v>44780.488481107292</v>
      </c>
      <c r="H47" s="933"/>
      <c r="I47" s="336">
        <v>0.09</v>
      </c>
      <c r="J47" s="336">
        <f>J46*I47</f>
        <v>38972.057922415042</v>
      </c>
      <c r="K47" s="27"/>
    </row>
    <row r="48" spans="1:15" ht="17.25" customHeight="1">
      <c r="A48" s="935">
        <v>28</v>
      </c>
      <c r="B48" s="1372" t="s">
        <v>57</v>
      </c>
      <c r="C48" s="1591"/>
      <c r="D48" s="935"/>
      <c r="E48" s="935"/>
      <c r="F48" s="1592">
        <v>0.09</v>
      </c>
      <c r="G48" s="1592">
        <f>G46*F48</f>
        <v>44780.488481107292</v>
      </c>
      <c r="H48" s="935"/>
      <c r="I48" s="1592">
        <v>0.09</v>
      </c>
      <c r="J48" s="1592">
        <f>J46*I48</f>
        <v>38972.057922415042</v>
      </c>
      <c r="K48" s="60"/>
    </row>
    <row r="49" spans="1:12" ht="17.25" customHeight="1">
      <c r="A49" s="1340">
        <v>29</v>
      </c>
      <c r="B49" s="1372" t="s">
        <v>58</v>
      </c>
      <c r="C49" s="1339"/>
      <c r="D49" s="1340"/>
      <c r="E49" s="1340"/>
      <c r="F49" s="1340"/>
      <c r="G49" s="1341">
        <f>G46+G47+G48</f>
        <v>587121.9600856289</v>
      </c>
      <c r="H49" s="1341"/>
      <c r="I49" s="1341"/>
      <c r="J49" s="1341">
        <f>J46+J47+J48</f>
        <v>510966.98164944164</v>
      </c>
    </row>
    <row r="50" spans="1:12" ht="17.25" customHeight="1">
      <c r="A50" s="933">
        <v>30</v>
      </c>
      <c r="B50" s="1457" t="s">
        <v>59</v>
      </c>
      <c r="C50" s="934"/>
      <c r="D50" s="933"/>
      <c r="E50" s="933"/>
      <c r="F50" s="1364"/>
      <c r="G50" s="1364">
        <f>ROUND(G49,0)</f>
        <v>587122</v>
      </c>
      <c r="H50" s="1364"/>
      <c r="I50" s="1364"/>
      <c r="J50" s="1364">
        <f>ROUND(J49,0)</f>
        <v>510967</v>
      </c>
    </row>
    <row r="51" spans="1:12">
      <c r="A51" s="61"/>
      <c r="B51" s="64"/>
      <c r="C51" s="253"/>
      <c r="D51" s="64"/>
      <c r="E51" s="64"/>
      <c r="F51" s="64"/>
      <c r="G51" s="254"/>
      <c r="H51" s="64"/>
      <c r="I51" s="255"/>
      <c r="J51" s="254"/>
    </row>
    <row r="52" spans="1:12" ht="15.75" customHeight="1">
      <c r="A52" s="3322" t="s">
        <v>229</v>
      </c>
      <c r="B52" s="3322"/>
      <c r="C52" s="3322"/>
      <c r="D52" s="3322"/>
      <c r="G52" s="252"/>
      <c r="H52" s="252"/>
      <c r="I52" s="256"/>
      <c r="J52" s="252"/>
    </row>
    <row r="53" spans="1:12">
      <c r="A53" s="257"/>
      <c r="B53" s="3323" t="s">
        <v>230</v>
      </c>
      <c r="C53" s="3323"/>
      <c r="D53" s="3323"/>
      <c r="E53" s="43"/>
      <c r="F53" s="43"/>
      <c r="G53" s="43"/>
      <c r="I53" s="39"/>
    </row>
    <row r="55" spans="1:12" ht="16.5">
      <c r="B55" s="258"/>
      <c r="L55" s="259"/>
    </row>
    <row r="56" spans="1:12" ht="16.5">
      <c r="B56" s="258"/>
      <c r="L56" s="259"/>
    </row>
  </sheetData>
  <mergeCells count="13">
    <mergeCell ref="A19:A21"/>
    <mergeCell ref="A28:A31"/>
    <mergeCell ref="A32:A38"/>
    <mergeCell ref="A52:D52"/>
    <mergeCell ref="B53:D53"/>
    <mergeCell ref="B1:E1"/>
    <mergeCell ref="B3:H3"/>
    <mergeCell ref="A7:A8"/>
    <mergeCell ref="B7:B8"/>
    <mergeCell ref="C7:C8"/>
    <mergeCell ref="D7:D8"/>
    <mergeCell ref="E7:G7"/>
    <mergeCell ref="H7:J7"/>
  </mergeCells>
  <conditionalFormatting sqref="B39">
    <cfRule type="cellIs" dxfId="96" priority="2" stopIfTrue="1" operator="equal">
      <formula>"?"</formula>
    </cfRule>
  </conditionalFormatting>
  <conditionalFormatting sqref="B40">
    <cfRule type="cellIs" dxfId="95" priority="1" stopIfTrue="1" operator="equal">
      <formula>"?"</formula>
    </cfRule>
  </conditionalFormatting>
  <printOptions horizontalCentered="1" gridLines="1"/>
  <pageMargins left="0.75" right="0" top="0.97" bottom="0.35" header="0.62" footer="0"/>
  <pageSetup paperSize="9" scale="105" fitToHeight="2" orientation="landscape" horizontalDpi="4294967295" r:id="rId1"/>
  <headerFooter alignWithMargins="0"/>
  <rowBreaks count="3" manualBreakCount="3">
    <brk id="23" max="10" man="1"/>
    <brk id="45" max="16383" man="1"/>
    <brk id="59"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2"/>
  <sheetViews>
    <sheetView zoomScaleNormal="100" workbookViewId="0">
      <pane xSplit="3" ySplit="7" topLeftCell="D38" activePane="bottomRight" state="frozen"/>
      <selection pane="topRight" activeCell="D1" sqref="D1"/>
      <selection pane="bottomLeft" activeCell="A8" sqref="A8"/>
      <selection pane="bottomRight" activeCell="H8" sqref="H8"/>
    </sheetView>
  </sheetViews>
  <sheetFormatPr defaultRowHeight="12.75"/>
  <cols>
    <col min="1" max="1" width="5.42578125" style="138" customWidth="1"/>
    <col min="2" max="2" width="50.140625" style="4" customWidth="1"/>
    <col min="3" max="3" width="12.7109375" style="4" customWidth="1"/>
    <col min="4" max="4" width="5.28515625" style="4" bestFit="1" customWidth="1"/>
    <col min="5" max="5" width="7" style="4" bestFit="1" customWidth="1"/>
    <col min="6" max="6" width="8.85546875" style="4" customWidth="1"/>
    <col min="7" max="7" width="11" style="4" bestFit="1" customWidth="1"/>
    <col min="8" max="8" width="19.7109375" style="4" customWidth="1"/>
    <col min="9" max="9" width="17.85546875" style="4" customWidth="1"/>
    <col min="10" max="10" width="15" style="4" bestFit="1" customWidth="1"/>
    <col min="11" max="11" width="6" style="4" customWidth="1"/>
    <col min="12" max="12" width="5.42578125" style="4" customWidth="1"/>
    <col min="13" max="13" width="10.42578125" style="4" bestFit="1" customWidth="1"/>
    <col min="14" max="14" width="13.42578125" style="4" bestFit="1" customWidth="1"/>
    <col min="15" max="15" width="7" style="4" customWidth="1"/>
    <col min="16" max="16" width="10.5703125" style="4" customWidth="1"/>
    <col min="17" max="256" width="9.140625" style="4"/>
    <col min="257" max="257" width="5.42578125" style="4" customWidth="1"/>
    <col min="258" max="258" width="50.140625" style="4" customWidth="1"/>
    <col min="259" max="259" width="12.7109375" style="4" customWidth="1"/>
    <col min="260" max="260" width="5.28515625" style="4" bestFit="1" customWidth="1"/>
    <col min="261" max="261" width="7" style="4" bestFit="1" customWidth="1"/>
    <col min="262" max="262" width="8.85546875" style="4" customWidth="1"/>
    <col min="263" max="263" width="11" style="4" bestFit="1" customWidth="1"/>
    <col min="264" max="264" width="19.7109375" style="4" customWidth="1"/>
    <col min="265" max="265" width="17.85546875" style="4" customWidth="1"/>
    <col min="266" max="266" width="15" style="4" bestFit="1" customWidth="1"/>
    <col min="267" max="267" width="6" style="4" customWidth="1"/>
    <col min="268" max="268" width="5.42578125" style="4" customWidth="1"/>
    <col min="269" max="269" width="10.42578125" style="4" bestFit="1" customWidth="1"/>
    <col min="270" max="270" width="13.42578125" style="4" bestFit="1" customWidth="1"/>
    <col min="271" max="271" width="7" style="4" customWidth="1"/>
    <col min="272" max="272" width="10.5703125" style="4" customWidth="1"/>
    <col min="273" max="512" width="9.140625" style="4"/>
    <col min="513" max="513" width="5.42578125" style="4" customWidth="1"/>
    <col min="514" max="514" width="50.140625" style="4" customWidth="1"/>
    <col min="515" max="515" width="12.7109375" style="4" customWidth="1"/>
    <col min="516" max="516" width="5.28515625" style="4" bestFit="1" customWidth="1"/>
    <col min="517" max="517" width="7" style="4" bestFit="1" customWidth="1"/>
    <col min="518" max="518" width="8.85546875" style="4" customWidth="1"/>
    <col min="519" max="519" width="11" style="4" bestFit="1" customWidth="1"/>
    <col min="520" max="520" width="19.7109375" style="4" customWidth="1"/>
    <col min="521" max="521" width="17.85546875" style="4" customWidth="1"/>
    <col min="522" max="522" width="15" style="4" bestFit="1" customWidth="1"/>
    <col min="523" max="523" width="6" style="4" customWidth="1"/>
    <col min="524" max="524" width="5.42578125" style="4" customWidth="1"/>
    <col min="525" max="525" width="10.42578125" style="4" bestFit="1" customWidth="1"/>
    <col min="526" max="526" width="13.42578125" style="4" bestFit="1" customWidth="1"/>
    <col min="527" max="527" width="7" style="4" customWidth="1"/>
    <col min="528" max="528" width="10.5703125" style="4" customWidth="1"/>
    <col min="529" max="768" width="9.140625" style="4"/>
    <col min="769" max="769" width="5.42578125" style="4" customWidth="1"/>
    <col min="770" max="770" width="50.140625" style="4" customWidth="1"/>
    <col min="771" max="771" width="12.7109375" style="4" customWidth="1"/>
    <col min="772" max="772" width="5.28515625" style="4" bestFit="1" customWidth="1"/>
    <col min="773" max="773" width="7" style="4" bestFit="1" customWidth="1"/>
    <col min="774" max="774" width="8.85546875" style="4" customWidth="1"/>
    <col min="775" max="775" width="11" style="4" bestFit="1" customWidth="1"/>
    <col min="776" max="776" width="19.7109375" style="4" customWidth="1"/>
    <col min="777" max="777" width="17.85546875" style="4" customWidth="1"/>
    <col min="778" max="778" width="15" style="4" bestFit="1" customWidth="1"/>
    <col min="779" max="779" width="6" style="4" customWidth="1"/>
    <col min="780" max="780" width="5.42578125" style="4" customWidth="1"/>
    <col min="781" max="781" width="10.42578125" style="4" bestFit="1" customWidth="1"/>
    <col min="782" max="782" width="13.42578125" style="4" bestFit="1" customWidth="1"/>
    <col min="783" max="783" width="7" style="4" customWidth="1"/>
    <col min="784" max="784" width="10.5703125" style="4" customWidth="1"/>
    <col min="785" max="1024" width="9.140625" style="4"/>
    <col min="1025" max="1025" width="5.42578125" style="4" customWidth="1"/>
    <col min="1026" max="1026" width="50.140625" style="4" customWidth="1"/>
    <col min="1027" max="1027" width="12.7109375" style="4" customWidth="1"/>
    <col min="1028" max="1028" width="5.28515625" style="4" bestFit="1" customWidth="1"/>
    <col min="1029" max="1029" width="7" style="4" bestFit="1" customWidth="1"/>
    <col min="1030" max="1030" width="8.85546875" style="4" customWidth="1"/>
    <col min="1031" max="1031" width="11" style="4" bestFit="1" customWidth="1"/>
    <col min="1032" max="1032" width="19.7109375" style="4" customWidth="1"/>
    <col min="1033" max="1033" width="17.85546875" style="4" customWidth="1"/>
    <col min="1034" max="1034" width="15" style="4" bestFit="1" customWidth="1"/>
    <col min="1035" max="1035" width="6" style="4" customWidth="1"/>
    <col min="1036" max="1036" width="5.42578125" style="4" customWidth="1"/>
    <col min="1037" max="1037" width="10.42578125" style="4" bestFit="1" customWidth="1"/>
    <col min="1038" max="1038" width="13.42578125" style="4" bestFit="1" customWidth="1"/>
    <col min="1039" max="1039" width="7" style="4" customWidth="1"/>
    <col min="1040" max="1040" width="10.5703125" style="4" customWidth="1"/>
    <col min="1041" max="1280" width="9.140625" style="4"/>
    <col min="1281" max="1281" width="5.42578125" style="4" customWidth="1"/>
    <col min="1282" max="1282" width="50.140625" style="4" customWidth="1"/>
    <col min="1283" max="1283" width="12.7109375" style="4" customWidth="1"/>
    <col min="1284" max="1284" width="5.28515625" style="4" bestFit="1" customWidth="1"/>
    <col min="1285" max="1285" width="7" style="4" bestFit="1" customWidth="1"/>
    <col min="1286" max="1286" width="8.85546875" style="4" customWidth="1"/>
    <col min="1287" max="1287" width="11" style="4" bestFit="1" customWidth="1"/>
    <col min="1288" max="1288" width="19.7109375" style="4" customWidth="1"/>
    <col min="1289" max="1289" width="17.85546875" style="4" customWidth="1"/>
    <col min="1290" max="1290" width="15" style="4" bestFit="1" customWidth="1"/>
    <col min="1291" max="1291" width="6" style="4" customWidth="1"/>
    <col min="1292" max="1292" width="5.42578125" style="4" customWidth="1"/>
    <col min="1293" max="1293" width="10.42578125" style="4" bestFit="1" customWidth="1"/>
    <col min="1294" max="1294" width="13.42578125" style="4" bestFit="1" customWidth="1"/>
    <col min="1295" max="1295" width="7" style="4" customWidth="1"/>
    <col min="1296" max="1296" width="10.5703125" style="4" customWidth="1"/>
    <col min="1297" max="1536" width="9.140625" style="4"/>
    <col min="1537" max="1537" width="5.42578125" style="4" customWidth="1"/>
    <col min="1538" max="1538" width="50.140625" style="4" customWidth="1"/>
    <col min="1539" max="1539" width="12.7109375" style="4" customWidth="1"/>
    <col min="1540" max="1540" width="5.28515625" style="4" bestFit="1" customWidth="1"/>
    <col min="1541" max="1541" width="7" style="4" bestFit="1" customWidth="1"/>
    <col min="1542" max="1542" width="8.85546875" style="4" customWidth="1"/>
    <col min="1543" max="1543" width="11" style="4" bestFit="1" customWidth="1"/>
    <col min="1544" max="1544" width="19.7109375" style="4" customWidth="1"/>
    <col min="1545" max="1545" width="17.85546875" style="4" customWidth="1"/>
    <col min="1546" max="1546" width="15" style="4" bestFit="1" customWidth="1"/>
    <col min="1547" max="1547" width="6" style="4" customWidth="1"/>
    <col min="1548" max="1548" width="5.42578125" style="4" customWidth="1"/>
    <col min="1549" max="1549" width="10.42578125" style="4" bestFit="1" customWidth="1"/>
    <col min="1550" max="1550" width="13.42578125" style="4" bestFit="1" customWidth="1"/>
    <col min="1551" max="1551" width="7" style="4" customWidth="1"/>
    <col min="1552" max="1552" width="10.5703125" style="4" customWidth="1"/>
    <col min="1553" max="1792" width="9.140625" style="4"/>
    <col min="1793" max="1793" width="5.42578125" style="4" customWidth="1"/>
    <col min="1794" max="1794" width="50.140625" style="4" customWidth="1"/>
    <col min="1795" max="1795" width="12.7109375" style="4" customWidth="1"/>
    <col min="1796" max="1796" width="5.28515625" style="4" bestFit="1" customWidth="1"/>
    <col min="1797" max="1797" width="7" style="4" bestFit="1" customWidth="1"/>
    <col min="1798" max="1798" width="8.85546875" style="4" customWidth="1"/>
    <col min="1799" max="1799" width="11" style="4" bestFit="1" customWidth="1"/>
    <col min="1800" max="1800" width="19.7109375" style="4" customWidth="1"/>
    <col min="1801" max="1801" width="17.85546875" style="4" customWidth="1"/>
    <col min="1802" max="1802" width="15" style="4" bestFit="1" customWidth="1"/>
    <col min="1803" max="1803" width="6" style="4" customWidth="1"/>
    <col min="1804" max="1804" width="5.42578125" style="4" customWidth="1"/>
    <col min="1805" max="1805" width="10.42578125" style="4" bestFit="1" customWidth="1"/>
    <col min="1806" max="1806" width="13.42578125" style="4" bestFit="1" customWidth="1"/>
    <col min="1807" max="1807" width="7" style="4" customWidth="1"/>
    <col min="1808" max="1808" width="10.5703125" style="4" customWidth="1"/>
    <col min="1809" max="2048" width="9.140625" style="4"/>
    <col min="2049" max="2049" width="5.42578125" style="4" customWidth="1"/>
    <col min="2050" max="2050" width="50.140625" style="4" customWidth="1"/>
    <col min="2051" max="2051" width="12.7109375" style="4" customWidth="1"/>
    <col min="2052" max="2052" width="5.28515625" style="4" bestFit="1" customWidth="1"/>
    <col min="2053" max="2053" width="7" style="4" bestFit="1" customWidth="1"/>
    <col min="2054" max="2054" width="8.85546875" style="4" customWidth="1"/>
    <col min="2055" max="2055" width="11" style="4" bestFit="1" customWidth="1"/>
    <col min="2056" max="2056" width="19.7109375" style="4" customWidth="1"/>
    <col min="2057" max="2057" width="17.85546875" style="4" customWidth="1"/>
    <col min="2058" max="2058" width="15" style="4" bestFit="1" customWidth="1"/>
    <col min="2059" max="2059" width="6" style="4" customWidth="1"/>
    <col min="2060" max="2060" width="5.42578125" style="4" customWidth="1"/>
    <col min="2061" max="2061" width="10.42578125" style="4" bestFit="1" customWidth="1"/>
    <col min="2062" max="2062" width="13.42578125" style="4" bestFit="1" customWidth="1"/>
    <col min="2063" max="2063" width="7" style="4" customWidth="1"/>
    <col min="2064" max="2064" width="10.5703125" style="4" customWidth="1"/>
    <col min="2065" max="2304" width="9.140625" style="4"/>
    <col min="2305" max="2305" width="5.42578125" style="4" customWidth="1"/>
    <col min="2306" max="2306" width="50.140625" style="4" customWidth="1"/>
    <col min="2307" max="2307" width="12.7109375" style="4" customWidth="1"/>
    <col min="2308" max="2308" width="5.28515625" style="4" bestFit="1" customWidth="1"/>
    <col min="2309" max="2309" width="7" style="4" bestFit="1" customWidth="1"/>
    <col min="2310" max="2310" width="8.85546875" style="4" customWidth="1"/>
    <col min="2311" max="2311" width="11" style="4" bestFit="1" customWidth="1"/>
    <col min="2312" max="2312" width="19.7109375" style="4" customWidth="1"/>
    <col min="2313" max="2313" width="17.85546875" style="4" customWidth="1"/>
    <col min="2314" max="2314" width="15" style="4" bestFit="1" customWidth="1"/>
    <col min="2315" max="2315" width="6" style="4" customWidth="1"/>
    <col min="2316" max="2316" width="5.42578125" style="4" customWidth="1"/>
    <col min="2317" max="2317" width="10.42578125" style="4" bestFit="1" customWidth="1"/>
    <col min="2318" max="2318" width="13.42578125" style="4" bestFit="1" customWidth="1"/>
    <col min="2319" max="2319" width="7" style="4" customWidth="1"/>
    <col min="2320" max="2320" width="10.5703125" style="4" customWidth="1"/>
    <col min="2321" max="2560" width="9.140625" style="4"/>
    <col min="2561" max="2561" width="5.42578125" style="4" customWidth="1"/>
    <col min="2562" max="2562" width="50.140625" style="4" customWidth="1"/>
    <col min="2563" max="2563" width="12.7109375" style="4" customWidth="1"/>
    <col min="2564" max="2564" width="5.28515625" style="4" bestFit="1" customWidth="1"/>
    <col min="2565" max="2565" width="7" style="4" bestFit="1" customWidth="1"/>
    <col min="2566" max="2566" width="8.85546875" style="4" customWidth="1"/>
    <col min="2567" max="2567" width="11" style="4" bestFit="1" customWidth="1"/>
    <col min="2568" max="2568" width="19.7109375" style="4" customWidth="1"/>
    <col min="2569" max="2569" width="17.85546875" style="4" customWidth="1"/>
    <col min="2570" max="2570" width="15" style="4" bestFit="1" customWidth="1"/>
    <col min="2571" max="2571" width="6" style="4" customWidth="1"/>
    <col min="2572" max="2572" width="5.42578125" style="4" customWidth="1"/>
    <col min="2573" max="2573" width="10.42578125" style="4" bestFit="1" customWidth="1"/>
    <col min="2574" max="2574" width="13.42578125" style="4" bestFit="1" customWidth="1"/>
    <col min="2575" max="2575" width="7" style="4" customWidth="1"/>
    <col min="2576" max="2576" width="10.5703125" style="4" customWidth="1"/>
    <col min="2577" max="2816" width="9.140625" style="4"/>
    <col min="2817" max="2817" width="5.42578125" style="4" customWidth="1"/>
    <col min="2818" max="2818" width="50.140625" style="4" customWidth="1"/>
    <col min="2819" max="2819" width="12.7109375" style="4" customWidth="1"/>
    <col min="2820" max="2820" width="5.28515625" style="4" bestFit="1" customWidth="1"/>
    <col min="2821" max="2821" width="7" style="4" bestFit="1" customWidth="1"/>
    <col min="2822" max="2822" width="8.85546875" style="4" customWidth="1"/>
    <col min="2823" max="2823" width="11" style="4" bestFit="1" customWidth="1"/>
    <col min="2824" max="2824" width="19.7109375" style="4" customWidth="1"/>
    <col min="2825" max="2825" width="17.85546875" style="4" customWidth="1"/>
    <col min="2826" max="2826" width="15" style="4" bestFit="1" customWidth="1"/>
    <col min="2827" max="2827" width="6" style="4" customWidth="1"/>
    <col min="2828" max="2828" width="5.42578125" style="4" customWidth="1"/>
    <col min="2829" max="2829" width="10.42578125" style="4" bestFit="1" customWidth="1"/>
    <col min="2830" max="2830" width="13.42578125" style="4" bestFit="1" customWidth="1"/>
    <col min="2831" max="2831" width="7" style="4" customWidth="1"/>
    <col min="2832" max="2832" width="10.5703125" style="4" customWidth="1"/>
    <col min="2833" max="3072" width="9.140625" style="4"/>
    <col min="3073" max="3073" width="5.42578125" style="4" customWidth="1"/>
    <col min="3074" max="3074" width="50.140625" style="4" customWidth="1"/>
    <col min="3075" max="3075" width="12.7109375" style="4" customWidth="1"/>
    <col min="3076" max="3076" width="5.28515625" style="4" bestFit="1" customWidth="1"/>
    <col min="3077" max="3077" width="7" style="4" bestFit="1" customWidth="1"/>
    <col min="3078" max="3078" width="8.85546875" style="4" customWidth="1"/>
    <col min="3079" max="3079" width="11" style="4" bestFit="1" customWidth="1"/>
    <col min="3080" max="3080" width="19.7109375" style="4" customWidth="1"/>
    <col min="3081" max="3081" width="17.85546875" style="4" customWidth="1"/>
    <col min="3082" max="3082" width="15" style="4" bestFit="1" customWidth="1"/>
    <col min="3083" max="3083" width="6" style="4" customWidth="1"/>
    <col min="3084" max="3084" width="5.42578125" style="4" customWidth="1"/>
    <col min="3085" max="3085" width="10.42578125" style="4" bestFit="1" customWidth="1"/>
    <col min="3086" max="3086" width="13.42578125" style="4" bestFit="1" customWidth="1"/>
    <col min="3087" max="3087" width="7" style="4" customWidth="1"/>
    <col min="3088" max="3088" width="10.5703125" style="4" customWidth="1"/>
    <col min="3089" max="3328" width="9.140625" style="4"/>
    <col min="3329" max="3329" width="5.42578125" style="4" customWidth="1"/>
    <col min="3330" max="3330" width="50.140625" style="4" customWidth="1"/>
    <col min="3331" max="3331" width="12.7109375" style="4" customWidth="1"/>
    <col min="3332" max="3332" width="5.28515625" style="4" bestFit="1" customWidth="1"/>
    <col min="3333" max="3333" width="7" style="4" bestFit="1" customWidth="1"/>
    <col min="3334" max="3334" width="8.85546875" style="4" customWidth="1"/>
    <col min="3335" max="3335" width="11" style="4" bestFit="1" customWidth="1"/>
    <col min="3336" max="3336" width="19.7109375" style="4" customWidth="1"/>
    <col min="3337" max="3337" width="17.85546875" style="4" customWidth="1"/>
    <col min="3338" max="3338" width="15" style="4" bestFit="1" customWidth="1"/>
    <col min="3339" max="3339" width="6" style="4" customWidth="1"/>
    <col min="3340" max="3340" width="5.42578125" style="4" customWidth="1"/>
    <col min="3341" max="3341" width="10.42578125" style="4" bestFit="1" customWidth="1"/>
    <col min="3342" max="3342" width="13.42578125" style="4" bestFit="1" customWidth="1"/>
    <col min="3343" max="3343" width="7" style="4" customWidth="1"/>
    <col min="3344" max="3344" width="10.5703125" style="4" customWidth="1"/>
    <col min="3345" max="3584" width="9.140625" style="4"/>
    <col min="3585" max="3585" width="5.42578125" style="4" customWidth="1"/>
    <col min="3586" max="3586" width="50.140625" style="4" customWidth="1"/>
    <col min="3587" max="3587" width="12.7109375" style="4" customWidth="1"/>
    <col min="3588" max="3588" width="5.28515625" style="4" bestFit="1" customWidth="1"/>
    <col min="3589" max="3589" width="7" style="4" bestFit="1" customWidth="1"/>
    <col min="3590" max="3590" width="8.85546875" style="4" customWidth="1"/>
    <col min="3591" max="3591" width="11" style="4" bestFit="1" customWidth="1"/>
    <col min="3592" max="3592" width="19.7109375" style="4" customWidth="1"/>
    <col min="3593" max="3593" width="17.85546875" style="4" customWidth="1"/>
    <col min="3594" max="3594" width="15" style="4" bestFit="1" customWidth="1"/>
    <col min="3595" max="3595" width="6" style="4" customWidth="1"/>
    <col min="3596" max="3596" width="5.42578125" style="4" customWidth="1"/>
    <col min="3597" max="3597" width="10.42578125" style="4" bestFit="1" customWidth="1"/>
    <col min="3598" max="3598" width="13.42578125" style="4" bestFit="1" customWidth="1"/>
    <col min="3599" max="3599" width="7" style="4" customWidth="1"/>
    <col min="3600" max="3600" width="10.5703125" style="4" customWidth="1"/>
    <col min="3601" max="3840" width="9.140625" style="4"/>
    <col min="3841" max="3841" width="5.42578125" style="4" customWidth="1"/>
    <col min="3842" max="3842" width="50.140625" style="4" customWidth="1"/>
    <col min="3843" max="3843" width="12.7109375" style="4" customWidth="1"/>
    <col min="3844" max="3844" width="5.28515625" style="4" bestFit="1" customWidth="1"/>
    <col min="3845" max="3845" width="7" style="4" bestFit="1" customWidth="1"/>
    <col min="3846" max="3846" width="8.85546875" style="4" customWidth="1"/>
    <col min="3847" max="3847" width="11" style="4" bestFit="1" customWidth="1"/>
    <col min="3848" max="3848" width="19.7109375" style="4" customWidth="1"/>
    <col min="3849" max="3849" width="17.85546875" style="4" customWidth="1"/>
    <col min="3850" max="3850" width="15" style="4" bestFit="1" customWidth="1"/>
    <col min="3851" max="3851" width="6" style="4" customWidth="1"/>
    <col min="3852" max="3852" width="5.42578125" style="4" customWidth="1"/>
    <col min="3853" max="3853" width="10.42578125" style="4" bestFit="1" customWidth="1"/>
    <col min="3854" max="3854" width="13.42578125" style="4" bestFit="1" customWidth="1"/>
    <col min="3855" max="3855" width="7" style="4" customWidth="1"/>
    <col min="3856" max="3856" width="10.5703125" style="4" customWidth="1"/>
    <col min="3857" max="4096" width="9.140625" style="4"/>
    <col min="4097" max="4097" width="5.42578125" style="4" customWidth="1"/>
    <col min="4098" max="4098" width="50.140625" style="4" customWidth="1"/>
    <col min="4099" max="4099" width="12.7109375" style="4" customWidth="1"/>
    <col min="4100" max="4100" width="5.28515625" style="4" bestFit="1" customWidth="1"/>
    <col min="4101" max="4101" width="7" style="4" bestFit="1" customWidth="1"/>
    <col min="4102" max="4102" width="8.85546875" style="4" customWidth="1"/>
    <col min="4103" max="4103" width="11" style="4" bestFit="1" customWidth="1"/>
    <col min="4104" max="4104" width="19.7109375" style="4" customWidth="1"/>
    <col min="4105" max="4105" width="17.85546875" style="4" customWidth="1"/>
    <col min="4106" max="4106" width="15" style="4" bestFit="1" customWidth="1"/>
    <col min="4107" max="4107" width="6" style="4" customWidth="1"/>
    <col min="4108" max="4108" width="5.42578125" style="4" customWidth="1"/>
    <col min="4109" max="4109" width="10.42578125" style="4" bestFit="1" customWidth="1"/>
    <col min="4110" max="4110" width="13.42578125" style="4" bestFit="1" customWidth="1"/>
    <col min="4111" max="4111" width="7" style="4" customWidth="1"/>
    <col min="4112" max="4112" width="10.5703125" style="4" customWidth="1"/>
    <col min="4113" max="4352" width="9.140625" style="4"/>
    <col min="4353" max="4353" width="5.42578125" style="4" customWidth="1"/>
    <col min="4354" max="4354" width="50.140625" style="4" customWidth="1"/>
    <col min="4355" max="4355" width="12.7109375" style="4" customWidth="1"/>
    <col min="4356" max="4356" width="5.28515625" style="4" bestFit="1" customWidth="1"/>
    <col min="4357" max="4357" width="7" style="4" bestFit="1" customWidth="1"/>
    <col min="4358" max="4358" width="8.85546875" style="4" customWidth="1"/>
    <col min="4359" max="4359" width="11" style="4" bestFit="1" customWidth="1"/>
    <col min="4360" max="4360" width="19.7109375" style="4" customWidth="1"/>
    <col min="4361" max="4361" width="17.85546875" style="4" customWidth="1"/>
    <col min="4362" max="4362" width="15" style="4" bestFit="1" customWidth="1"/>
    <col min="4363" max="4363" width="6" style="4" customWidth="1"/>
    <col min="4364" max="4364" width="5.42578125" style="4" customWidth="1"/>
    <col min="4365" max="4365" width="10.42578125" style="4" bestFit="1" customWidth="1"/>
    <col min="4366" max="4366" width="13.42578125" style="4" bestFit="1" customWidth="1"/>
    <col min="4367" max="4367" width="7" style="4" customWidth="1"/>
    <col min="4368" max="4368" width="10.5703125" style="4" customWidth="1"/>
    <col min="4369" max="4608" width="9.140625" style="4"/>
    <col min="4609" max="4609" width="5.42578125" style="4" customWidth="1"/>
    <col min="4610" max="4610" width="50.140625" style="4" customWidth="1"/>
    <col min="4611" max="4611" width="12.7109375" style="4" customWidth="1"/>
    <col min="4612" max="4612" width="5.28515625" style="4" bestFit="1" customWidth="1"/>
    <col min="4613" max="4613" width="7" style="4" bestFit="1" customWidth="1"/>
    <col min="4614" max="4614" width="8.85546875" style="4" customWidth="1"/>
    <col min="4615" max="4615" width="11" style="4" bestFit="1" customWidth="1"/>
    <col min="4616" max="4616" width="19.7109375" style="4" customWidth="1"/>
    <col min="4617" max="4617" width="17.85546875" style="4" customWidth="1"/>
    <col min="4618" max="4618" width="15" style="4" bestFit="1" customWidth="1"/>
    <col min="4619" max="4619" width="6" style="4" customWidth="1"/>
    <col min="4620" max="4620" width="5.42578125" style="4" customWidth="1"/>
    <col min="4621" max="4621" width="10.42578125" style="4" bestFit="1" customWidth="1"/>
    <col min="4622" max="4622" width="13.42578125" style="4" bestFit="1" customWidth="1"/>
    <col min="4623" max="4623" width="7" style="4" customWidth="1"/>
    <col min="4624" max="4624" width="10.5703125" style="4" customWidth="1"/>
    <col min="4625" max="4864" width="9.140625" style="4"/>
    <col min="4865" max="4865" width="5.42578125" style="4" customWidth="1"/>
    <col min="4866" max="4866" width="50.140625" style="4" customWidth="1"/>
    <col min="4867" max="4867" width="12.7109375" style="4" customWidth="1"/>
    <col min="4868" max="4868" width="5.28515625" style="4" bestFit="1" customWidth="1"/>
    <col min="4869" max="4869" width="7" style="4" bestFit="1" customWidth="1"/>
    <col min="4870" max="4870" width="8.85546875" style="4" customWidth="1"/>
    <col min="4871" max="4871" width="11" style="4" bestFit="1" customWidth="1"/>
    <col min="4872" max="4872" width="19.7109375" style="4" customWidth="1"/>
    <col min="4873" max="4873" width="17.85546875" style="4" customWidth="1"/>
    <col min="4874" max="4874" width="15" style="4" bestFit="1" customWidth="1"/>
    <col min="4875" max="4875" width="6" style="4" customWidth="1"/>
    <col min="4876" max="4876" width="5.42578125" style="4" customWidth="1"/>
    <col min="4877" max="4877" width="10.42578125" style="4" bestFit="1" customWidth="1"/>
    <col min="4878" max="4878" width="13.42578125" style="4" bestFit="1" customWidth="1"/>
    <col min="4879" max="4879" width="7" style="4" customWidth="1"/>
    <col min="4880" max="4880" width="10.5703125" style="4" customWidth="1"/>
    <col min="4881" max="5120" width="9.140625" style="4"/>
    <col min="5121" max="5121" width="5.42578125" style="4" customWidth="1"/>
    <col min="5122" max="5122" width="50.140625" style="4" customWidth="1"/>
    <col min="5123" max="5123" width="12.7109375" style="4" customWidth="1"/>
    <col min="5124" max="5124" width="5.28515625" style="4" bestFit="1" customWidth="1"/>
    <col min="5125" max="5125" width="7" style="4" bestFit="1" customWidth="1"/>
    <col min="5126" max="5126" width="8.85546875" style="4" customWidth="1"/>
    <col min="5127" max="5127" width="11" style="4" bestFit="1" customWidth="1"/>
    <col min="5128" max="5128" width="19.7109375" style="4" customWidth="1"/>
    <col min="5129" max="5129" width="17.85546875" style="4" customWidth="1"/>
    <col min="5130" max="5130" width="15" style="4" bestFit="1" customWidth="1"/>
    <col min="5131" max="5131" width="6" style="4" customWidth="1"/>
    <col min="5132" max="5132" width="5.42578125" style="4" customWidth="1"/>
    <col min="5133" max="5133" width="10.42578125" style="4" bestFit="1" customWidth="1"/>
    <col min="5134" max="5134" width="13.42578125" style="4" bestFit="1" customWidth="1"/>
    <col min="5135" max="5135" width="7" style="4" customWidth="1"/>
    <col min="5136" max="5136" width="10.5703125" style="4" customWidth="1"/>
    <col min="5137" max="5376" width="9.140625" style="4"/>
    <col min="5377" max="5377" width="5.42578125" style="4" customWidth="1"/>
    <col min="5378" max="5378" width="50.140625" style="4" customWidth="1"/>
    <col min="5379" max="5379" width="12.7109375" style="4" customWidth="1"/>
    <col min="5380" max="5380" width="5.28515625" style="4" bestFit="1" customWidth="1"/>
    <col min="5381" max="5381" width="7" style="4" bestFit="1" customWidth="1"/>
    <col min="5382" max="5382" width="8.85546875" style="4" customWidth="1"/>
    <col min="5383" max="5383" width="11" style="4" bestFit="1" customWidth="1"/>
    <col min="5384" max="5384" width="19.7109375" style="4" customWidth="1"/>
    <col min="5385" max="5385" width="17.85546875" style="4" customWidth="1"/>
    <col min="5386" max="5386" width="15" style="4" bestFit="1" customWidth="1"/>
    <col min="5387" max="5387" width="6" style="4" customWidth="1"/>
    <col min="5388" max="5388" width="5.42578125" style="4" customWidth="1"/>
    <col min="5389" max="5389" width="10.42578125" style="4" bestFit="1" customWidth="1"/>
    <col min="5390" max="5390" width="13.42578125" style="4" bestFit="1" customWidth="1"/>
    <col min="5391" max="5391" width="7" style="4" customWidth="1"/>
    <col min="5392" max="5392" width="10.5703125" style="4" customWidth="1"/>
    <col min="5393" max="5632" width="9.140625" style="4"/>
    <col min="5633" max="5633" width="5.42578125" style="4" customWidth="1"/>
    <col min="5634" max="5634" width="50.140625" style="4" customWidth="1"/>
    <col min="5635" max="5635" width="12.7109375" style="4" customWidth="1"/>
    <col min="5636" max="5636" width="5.28515625" style="4" bestFit="1" customWidth="1"/>
    <col min="5637" max="5637" width="7" style="4" bestFit="1" customWidth="1"/>
    <col min="5638" max="5638" width="8.85546875" style="4" customWidth="1"/>
    <col min="5639" max="5639" width="11" style="4" bestFit="1" customWidth="1"/>
    <col min="5640" max="5640" width="19.7109375" style="4" customWidth="1"/>
    <col min="5641" max="5641" width="17.85546875" style="4" customWidth="1"/>
    <col min="5642" max="5642" width="15" style="4" bestFit="1" customWidth="1"/>
    <col min="5643" max="5643" width="6" style="4" customWidth="1"/>
    <col min="5644" max="5644" width="5.42578125" style="4" customWidth="1"/>
    <col min="5645" max="5645" width="10.42578125" style="4" bestFit="1" customWidth="1"/>
    <col min="5646" max="5646" width="13.42578125" style="4" bestFit="1" customWidth="1"/>
    <col min="5647" max="5647" width="7" style="4" customWidth="1"/>
    <col min="5648" max="5648" width="10.5703125" style="4" customWidth="1"/>
    <col min="5649" max="5888" width="9.140625" style="4"/>
    <col min="5889" max="5889" width="5.42578125" style="4" customWidth="1"/>
    <col min="5890" max="5890" width="50.140625" style="4" customWidth="1"/>
    <col min="5891" max="5891" width="12.7109375" style="4" customWidth="1"/>
    <col min="5892" max="5892" width="5.28515625" style="4" bestFit="1" customWidth="1"/>
    <col min="5893" max="5893" width="7" style="4" bestFit="1" customWidth="1"/>
    <col min="5894" max="5894" width="8.85546875" style="4" customWidth="1"/>
    <col min="5895" max="5895" width="11" style="4" bestFit="1" customWidth="1"/>
    <col min="5896" max="5896" width="19.7109375" style="4" customWidth="1"/>
    <col min="5897" max="5897" width="17.85546875" style="4" customWidth="1"/>
    <col min="5898" max="5898" width="15" style="4" bestFit="1" customWidth="1"/>
    <col min="5899" max="5899" width="6" style="4" customWidth="1"/>
    <col min="5900" max="5900" width="5.42578125" style="4" customWidth="1"/>
    <col min="5901" max="5901" width="10.42578125" style="4" bestFit="1" customWidth="1"/>
    <col min="5902" max="5902" width="13.42578125" style="4" bestFit="1" customWidth="1"/>
    <col min="5903" max="5903" width="7" style="4" customWidth="1"/>
    <col min="5904" max="5904" width="10.5703125" style="4" customWidth="1"/>
    <col min="5905" max="6144" width="9.140625" style="4"/>
    <col min="6145" max="6145" width="5.42578125" style="4" customWidth="1"/>
    <col min="6146" max="6146" width="50.140625" style="4" customWidth="1"/>
    <col min="6147" max="6147" width="12.7109375" style="4" customWidth="1"/>
    <col min="6148" max="6148" width="5.28515625" style="4" bestFit="1" customWidth="1"/>
    <col min="6149" max="6149" width="7" style="4" bestFit="1" customWidth="1"/>
    <col min="6150" max="6150" width="8.85546875" style="4" customWidth="1"/>
    <col min="6151" max="6151" width="11" style="4" bestFit="1" customWidth="1"/>
    <col min="6152" max="6152" width="19.7109375" style="4" customWidth="1"/>
    <col min="6153" max="6153" width="17.85546875" style="4" customWidth="1"/>
    <col min="6154" max="6154" width="15" style="4" bestFit="1" customWidth="1"/>
    <col min="6155" max="6155" width="6" style="4" customWidth="1"/>
    <col min="6156" max="6156" width="5.42578125" style="4" customWidth="1"/>
    <col min="6157" max="6157" width="10.42578125" style="4" bestFit="1" customWidth="1"/>
    <col min="6158" max="6158" width="13.42578125" style="4" bestFit="1" customWidth="1"/>
    <col min="6159" max="6159" width="7" style="4" customWidth="1"/>
    <col min="6160" max="6160" width="10.5703125" style="4" customWidth="1"/>
    <col min="6161" max="6400" width="9.140625" style="4"/>
    <col min="6401" max="6401" width="5.42578125" style="4" customWidth="1"/>
    <col min="6402" max="6402" width="50.140625" style="4" customWidth="1"/>
    <col min="6403" max="6403" width="12.7109375" style="4" customWidth="1"/>
    <col min="6404" max="6404" width="5.28515625" style="4" bestFit="1" customWidth="1"/>
    <col min="6405" max="6405" width="7" style="4" bestFit="1" customWidth="1"/>
    <col min="6406" max="6406" width="8.85546875" style="4" customWidth="1"/>
    <col min="6407" max="6407" width="11" style="4" bestFit="1" customWidth="1"/>
    <col min="6408" max="6408" width="19.7109375" style="4" customWidth="1"/>
    <col min="6409" max="6409" width="17.85546875" style="4" customWidth="1"/>
    <col min="6410" max="6410" width="15" style="4" bestFit="1" customWidth="1"/>
    <col min="6411" max="6411" width="6" style="4" customWidth="1"/>
    <col min="6412" max="6412" width="5.42578125" style="4" customWidth="1"/>
    <col min="6413" max="6413" width="10.42578125" style="4" bestFit="1" customWidth="1"/>
    <col min="6414" max="6414" width="13.42578125" style="4" bestFit="1" customWidth="1"/>
    <col min="6415" max="6415" width="7" style="4" customWidth="1"/>
    <col min="6416" max="6416" width="10.5703125" style="4" customWidth="1"/>
    <col min="6417" max="6656" width="9.140625" style="4"/>
    <col min="6657" max="6657" width="5.42578125" style="4" customWidth="1"/>
    <col min="6658" max="6658" width="50.140625" style="4" customWidth="1"/>
    <col min="6659" max="6659" width="12.7109375" style="4" customWidth="1"/>
    <col min="6660" max="6660" width="5.28515625" style="4" bestFit="1" customWidth="1"/>
    <col min="6661" max="6661" width="7" style="4" bestFit="1" customWidth="1"/>
    <col min="6662" max="6662" width="8.85546875" style="4" customWidth="1"/>
    <col min="6663" max="6663" width="11" style="4" bestFit="1" customWidth="1"/>
    <col min="6664" max="6664" width="19.7109375" style="4" customWidth="1"/>
    <col min="6665" max="6665" width="17.85546875" style="4" customWidth="1"/>
    <col min="6666" max="6666" width="15" style="4" bestFit="1" customWidth="1"/>
    <col min="6667" max="6667" width="6" style="4" customWidth="1"/>
    <col min="6668" max="6668" width="5.42578125" style="4" customWidth="1"/>
    <col min="6669" max="6669" width="10.42578125" style="4" bestFit="1" customWidth="1"/>
    <col min="6670" max="6670" width="13.42578125" style="4" bestFit="1" customWidth="1"/>
    <col min="6671" max="6671" width="7" style="4" customWidth="1"/>
    <col min="6672" max="6672" width="10.5703125" style="4" customWidth="1"/>
    <col min="6673" max="6912" width="9.140625" style="4"/>
    <col min="6913" max="6913" width="5.42578125" style="4" customWidth="1"/>
    <col min="6914" max="6914" width="50.140625" style="4" customWidth="1"/>
    <col min="6915" max="6915" width="12.7109375" style="4" customWidth="1"/>
    <col min="6916" max="6916" width="5.28515625" style="4" bestFit="1" customWidth="1"/>
    <col min="6917" max="6917" width="7" style="4" bestFit="1" customWidth="1"/>
    <col min="6918" max="6918" width="8.85546875" style="4" customWidth="1"/>
    <col min="6919" max="6919" width="11" style="4" bestFit="1" customWidth="1"/>
    <col min="6920" max="6920" width="19.7109375" style="4" customWidth="1"/>
    <col min="6921" max="6921" width="17.85546875" style="4" customWidth="1"/>
    <col min="6922" max="6922" width="15" style="4" bestFit="1" customWidth="1"/>
    <col min="6923" max="6923" width="6" style="4" customWidth="1"/>
    <col min="6924" max="6924" width="5.42578125" style="4" customWidth="1"/>
    <col min="6925" max="6925" width="10.42578125" style="4" bestFit="1" customWidth="1"/>
    <col min="6926" max="6926" width="13.42578125" style="4" bestFit="1" customWidth="1"/>
    <col min="6927" max="6927" width="7" style="4" customWidth="1"/>
    <col min="6928" max="6928" width="10.5703125" style="4" customWidth="1"/>
    <col min="6929" max="7168" width="9.140625" style="4"/>
    <col min="7169" max="7169" width="5.42578125" style="4" customWidth="1"/>
    <col min="7170" max="7170" width="50.140625" style="4" customWidth="1"/>
    <col min="7171" max="7171" width="12.7109375" style="4" customWidth="1"/>
    <col min="7172" max="7172" width="5.28515625" style="4" bestFit="1" customWidth="1"/>
    <col min="7173" max="7173" width="7" style="4" bestFit="1" customWidth="1"/>
    <col min="7174" max="7174" width="8.85546875" style="4" customWidth="1"/>
    <col min="7175" max="7175" width="11" style="4" bestFit="1" customWidth="1"/>
    <col min="7176" max="7176" width="19.7109375" style="4" customWidth="1"/>
    <col min="7177" max="7177" width="17.85546875" style="4" customWidth="1"/>
    <col min="7178" max="7178" width="15" style="4" bestFit="1" customWidth="1"/>
    <col min="7179" max="7179" width="6" style="4" customWidth="1"/>
    <col min="7180" max="7180" width="5.42578125" style="4" customWidth="1"/>
    <col min="7181" max="7181" width="10.42578125" style="4" bestFit="1" customWidth="1"/>
    <col min="7182" max="7182" width="13.42578125" style="4" bestFit="1" customWidth="1"/>
    <col min="7183" max="7183" width="7" style="4" customWidth="1"/>
    <col min="7184" max="7184" width="10.5703125" style="4" customWidth="1"/>
    <col min="7185" max="7424" width="9.140625" style="4"/>
    <col min="7425" max="7425" width="5.42578125" style="4" customWidth="1"/>
    <col min="7426" max="7426" width="50.140625" style="4" customWidth="1"/>
    <col min="7427" max="7427" width="12.7109375" style="4" customWidth="1"/>
    <col min="7428" max="7428" width="5.28515625" style="4" bestFit="1" customWidth="1"/>
    <col min="7429" max="7429" width="7" style="4" bestFit="1" customWidth="1"/>
    <col min="7430" max="7430" width="8.85546875" style="4" customWidth="1"/>
    <col min="7431" max="7431" width="11" style="4" bestFit="1" customWidth="1"/>
    <col min="7432" max="7432" width="19.7109375" style="4" customWidth="1"/>
    <col min="7433" max="7433" width="17.85546875" style="4" customWidth="1"/>
    <col min="7434" max="7434" width="15" style="4" bestFit="1" customWidth="1"/>
    <col min="7435" max="7435" width="6" style="4" customWidth="1"/>
    <col min="7436" max="7436" width="5.42578125" style="4" customWidth="1"/>
    <col min="7437" max="7437" width="10.42578125" style="4" bestFit="1" customWidth="1"/>
    <col min="7438" max="7438" width="13.42578125" style="4" bestFit="1" customWidth="1"/>
    <col min="7439" max="7439" width="7" style="4" customWidth="1"/>
    <col min="7440" max="7440" width="10.5703125" style="4" customWidth="1"/>
    <col min="7441" max="7680" width="9.140625" style="4"/>
    <col min="7681" max="7681" width="5.42578125" style="4" customWidth="1"/>
    <col min="7682" max="7682" width="50.140625" style="4" customWidth="1"/>
    <col min="7683" max="7683" width="12.7109375" style="4" customWidth="1"/>
    <col min="7684" max="7684" width="5.28515625" style="4" bestFit="1" customWidth="1"/>
    <col min="7685" max="7685" width="7" style="4" bestFit="1" customWidth="1"/>
    <col min="7686" max="7686" width="8.85546875" style="4" customWidth="1"/>
    <col min="7687" max="7687" width="11" style="4" bestFit="1" customWidth="1"/>
    <col min="7688" max="7688" width="19.7109375" style="4" customWidth="1"/>
    <col min="7689" max="7689" width="17.85546875" style="4" customWidth="1"/>
    <col min="7690" max="7690" width="15" style="4" bestFit="1" customWidth="1"/>
    <col min="7691" max="7691" width="6" style="4" customWidth="1"/>
    <col min="7692" max="7692" width="5.42578125" style="4" customWidth="1"/>
    <col min="7693" max="7693" width="10.42578125" style="4" bestFit="1" customWidth="1"/>
    <col min="7694" max="7694" width="13.42578125" style="4" bestFit="1" customWidth="1"/>
    <col min="7695" max="7695" width="7" style="4" customWidth="1"/>
    <col min="7696" max="7696" width="10.5703125" style="4" customWidth="1"/>
    <col min="7697" max="7936" width="9.140625" style="4"/>
    <col min="7937" max="7937" width="5.42578125" style="4" customWidth="1"/>
    <col min="7938" max="7938" width="50.140625" style="4" customWidth="1"/>
    <col min="7939" max="7939" width="12.7109375" style="4" customWidth="1"/>
    <col min="7940" max="7940" width="5.28515625" style="4" bestFit="1" customWidth="1"/>
    <col min="7941" max="7941" width="7" style="4" bestFit="1" customWidth="1"/>
    <col min="7942" max="7942" width="8.85546875" style="4" customWidth="1"/>
    <col min="7943" max="7943" width="11" style="4" bestFit="1" customWidth="1"/>
    <col min="7944" max="7944" width="19.7109375" style="4" customWidth="1"/>
    <col min="7945" max="7945" width="17.85546875" style="4" customWidth="1"/>
    <col min="7946" max="7946" width="15" style="4" bestFit="1" customWidth="1"/>
    <col min="7947" max="7947" width="6" style="4" customWidth="1"/>
    <col min="7948" max="7948" width="5.42578125" style="4" customWidth="1"/>
    <col min="7949" max="7949" width="10.42578125" style="4" bestFit="1" customWidth="1"/>
    <col min="7950" max="7950" width="13.42578125" style="4" bestFit="1" customWidth="1"/>
    <col min="7951" max="7951" width="7" style="4" customWidth="1"/>
    <col min="7952" max="7952" width="10.5703125" style="4" customWidth="1"/>
    <col min="7953" max="8192" width="9.140625" style="4"/>
    <col min="8193" max="8193" width="5.42578125" style="4" customWidth="1"/>
    <col min="8194" max="8194" width="50.140625" style="4" customWidth="1"/>
    <col min="8195" max="8195" width="12.7109375" style="4" customWidth="1"/>
    <col min="8196" max="8196" width="5.28515625" style="4" bestFit="1" customWidth="1"/>
    <col min="8197" max="8197" width="7" style="4" bestFit="1" customWidth="1"/>
    <col min="8198" max="8198" width="8.85546875" style="4" customWidth="1"/>
    <col min="8199" max="8199" width="11" style="4" bestFit="1" customWidth="1"/>
    <col min="8200" max="8200" width="19.7109375" style="4" customWidth="1"/>
    <col min="8201" max="8201" width="17.85546875" style="4" customWidth="1"/>
    <col min="8202" max="8202" width="15" style="4" bestFit="1" customWidth="1"/>
    <col min="8203" max="8203" width="6" style="4" customWidth="1"/>
    <col min="8204" max="8204" width="5.42578125" style="4" customWidth="1"/>
    <col min="8205" max="8205" width="10.42578125" style="4" bestFit="1" customWidth="1"/>
    <col min="8206" max="8206" width="13.42578125" style="4" bestFit="1" customWidth="1"/>
    <col min="8207" max="8207" width="7" style="4" customWidth="1"/>
    <col min="8208" max="8208" width="10.5703125" style="4" customWidth="1"/>
    <col min="8209" max="8448" width="9.140625" style="4"/>
    <col min="8449" max="8449" width="5.42578125" style="4" customWidth="1"/>
    <col min="8450" max="8450" width="50.140625" style="4" customWidth="1"/>
    <col min="8451" max="8451" width="12.7109375" style="4" customWidth="1"/>
    <col min="8452" max="8452" width="5.28515625" style="4" bestFit="1" customWidth="1"/>
    <col min="8453" max="8453" width="7" style="4" bestFit="1" customWidth="1"/>
    <col min="8454" max="8454" width="8.85546875" style="4" customWidth="1"/>
    <col min="8455" max="8455" width="11" style="4" bestFit="1" customWidth="1"/>
    <col min="8456" max="8456" width="19.7109375" style="4" customWidth="1"/>
    <col min="8457" max="8457" width="17.85546875" style="4" customWidth="1"/>
    <col min="8458" max="8458" width="15" style="4" bestFit="1" customWidth="1"/>
    <col min="8459" max="8459" width="6" style="4" customWidth="1"/>
    <col min="8460" max="8460" width="5.42578125" style="4" customWidth="1"/>
    <col min="8461" max="8461" width="10.42578125" style="4" bestFit="1" customWidth="1"/>
    <col min="8462" max="8462" width="13.42578125" style="4" bestFit="1" customWidth="1"/>
    <col min="8463" max="8463" width="7" style="4" customWidth="1"/>
    <col min="8464" max="8464" width="10.5703125" style="4" customWidth="1"/>
    <col min="8465" max="8704" width="9.140625" style="4"/>
    <col min="8705" max="8705" width="5.42578125" style="4" customWidth="1"/>
    <col min="8706" max="8706" width="50.140625" style="4" customWidth="1"/>
    <col min="8707" max="8707" width="12.7109375" style="4" customWidth="1"/>
    <col min="8708" max="8708" width="5.28515625" style="4" bestFit="1" customWidth="1"/>
    <col min="8709" max="8709" width="7" style="4" bestFit="1" customWidth="1"/>
    <col min="8710" max="8710" width="8.85546875" style="4" customWidth="1"/>
    <col min="8711" max="8711" width="11" style="4" bestFit="1" customWidth="1"/>
    <col min="8712" max="8712" width="19.7109375" style="4" customWidth="1"/>
    <col min="8713" max="8713" width="17.85546875" style="4" customWidth="1"/>
    <col min="8714" max="8714" width="15" style="4" bestFit="1" customWidth="1"/>
    <col min="8715" max="8715" width="6" style="4" customWidth="1"/>
    <col min="8716" max="8716" width="5.42578125" style="4" customWidth="1"/>
    <col min="8717" max="8717" width="10.42578125" style="4" bestFit="1" customWidth="1"/>
    <col min="8718" max="8718" width="13.42578125" style="4" bestFit="1" customWidth="1"/>
    <col min="8719" max="8719" width="7" style="4" customWidth="1"/>
    <col min="8720" max="8720" width="10.5703125" style="4" customWidth="1"/>
    <col min="8721" max="8960" width="9.140625" style="4"/>
    <col min="8961" max="8961" width="5.42578125" style="4" customWidth="1"/>
    <col min="8962" max="8962" width="50.140625" style="4" customWidth="1"/>
    <col min="8963" max="8963" width="12.7109375" style="4" customWidth="1"/>
    <col min="8964" max="8964" width="5.28515625" style="4" bestFit="1" customWidth="1"/>
    <col min="8965" max="8965" width="7" style="4" bestFit="1" customWidth="1"/>
    <col min="8966" max="8966" width="8.85546875" style="4" customWidth="1"/>
    <col min="8967" max="8967" width="11" style="4" bestFit="1" customWidth="1"/>
    <col min="8968" max="8968" width="19.7109375" style="4" customWidth="1"/>
    <col min="8969" max="8969" width="17.85546875" style="4" customWidth="1"/>
    <col min="8970" max="8970" width="15" style="4" bestFit="1" customWidth="1"/>
    <col min="8971" max="8971" width="6" style="4" customWidth="1"/>
    <col min="8972" max="8972" width="5.42578125" style="4" customWidth="1"/>
    <col min="8973" max="8973" width="10.42578125" style="4" bestFit="1" customWidth="1"/>
    <col min="8974" max="8974" width="13.42578125" style="4" bestFit="1" customWidth="1"/>
    <col min="8975" max="8975" width="7" style="4" customWidth="1"/>
    <col min="8976" max="8976" width="10.5703125" style="4" customWidth="1"/>
    <col min="8977" max="9216" width="9.140625" style="4"/>
    <col min="9217" max="9217" width="5.42578125" style="4" customWidth="1"/>
    <col min="9218" max="9218" width="50.140625" style="4" customWidth="1"/>
    <col min="9219" max="9219" width="12.7109375" style="4" customWidth="1"/>
    <col min="9220" max="9220" width="5.28515625" style="4" bestFit="1" customWidth="1"/>
    <col min="9221" max="9221" width="7" style="4" bestFit="1" customWidth="1"/>
    <col min="9222" max="9222" width="8.85546875" style="4" customWidth="1"/>
    <col min="9223" max="9223" width="11" style="4" bestFit="1" customWidth="1"/>
    <col min="9224" max="9224" width="19.7109375" style="4" customWidth="1"/>
    <col min="9225" max="9225" width="17.85546875" style="4" customWidth="1"/>
    <col min="9226" max="9226" width="15" style="4" bestFit="1" customWidth="1"/>
    <col min="9227" max="9227" width="6" style="4" customWidth="1"/>
    <col min="9228" max="9228" width="5.42578125" style="4" customWidth="1"/>
    <col min="9229" max="9229" width="10.42578125" style="4" bestFit="1" customWidth="1"/>
    <col min="9230" max="9230" width="13.42578125" style="4" bestFit="1" customWidth="1"/>
    <col min="9231" max="9231" width="7" style="4" customWidth="1"/>
    <col min="9232" max="9232" width="10.5703125" style="4" customWidth="1"/>
    <col min="9233" max="9472" width="9.140625" style="4"/>
    <col min="9473" max="9473" width="5.42578125" style="4" customWidth="1"/>
    <col min="9474" max="9474" width="50.140625" style="4" customWidth="1"/>
    <col min="9475" max="9475" width="12.7109375" style="4" customWidth="1"/>
    <col min="9476" max="9476" width="5.28515625" style="4" bestFit="1" customWidth="1"/>
    <col min="9477" max="9477" width="7" style="4" bestFit="1" customWidth="1"/>
    <col min="9478" max="9478" width="8.85546875" style="4" customWidth="1"/>
    <col min="9479" max="9479" width="11" style="4" bestFit="1" customWidth="1"/>
    <col min="9480" max="9480" width="19.7109375" style="4" customWidth="1"/>
    <col min="9481" max="9481" width="17.85546875" style="4" customWidth="1"/>
    <col min="9482" max="9482" width="15" style="4" bestFit="1" customWidth="1"/>
    <col min="9483" max="9483" width="6" style="4" customWidth="1"/>
    <col min="9484" max="9484" width="5.42578125" style="4" customWidth="1"/>
    <col min="9485" max="9485" width="10.42578125" style="4" bestFit="1" customWidth="1"/>
    <col min="9486" max="9486" width="13.42578125" style="4" bestFit="1" customWidth="1"/>
    <col min="9487" max="9487" width="7" style="4" customWidth="1"/>
    <col min="9488" max="9488" width="10.5703125" style="4" customWidth="1"/>
    <col min="9489" max="9728" width="9.140625" style="4"/>
    <col min="9729" max="9729" width="5.42578125" style="4" customWidth="1"/>
    <col min="9730" max="9730" width="50.140625" style="4" customWidth="1"/>
    <col min="9731" max="9731" width="12.7109375" style="4" customWidth="1"/>
    <col min="9732" max="9732" width="5.28515625" style="4" bestFit="1" customWidth="1"/>
    <col min="9733" max="9733" width="7" style="4" bestFit="1" customWidth="1"/>
    <col min="9734" max="9734" width="8.85546875" style="4" customWidth="1"/>
    <col min="9735" max="9735" width="11" style="4" bestFit="1" customWidth="1"/>
    <col min="9736" max="9736" width="19.7109375" style="4" customWidth="1"/>
    <col min="9737" max="9737" width="17.85546875" style="4" customWidth="1"/>
    <col min="9738" max="9738" width="15" style="4" bestFit="1" customWidth="1"/>
    <col min="9739" max="9739" width="6" style="4" customWidth="1"/>
    <col min="9740" max="9740" width="5.42578125" style="4" customWidth="1"/>
    <col min="9741" max="9741" width="10.42578125" style="4" bestFit="1" customWidth="1"/>
    <col min="9742" max="9742" width="13.42578125" style="4" bestFit="1" customWidth="1"/>
    <col min="9743" max="9743" width="7" style="4" customWidth="1"/>
    <col min="9744" max="9744" width="10.5703125" style="4" customWidth="1"/>
    <col min="9745" max="9984" width="9.140625" style="4"/>
    <col min="9985" max="9985" width="5.42578125" style="4" customWidth="1"/>
    <col min="9986" max="9986" width="50.140625" style="4" customWidth="1"/>
    <col min="9987" max="9987" width="12.7109375" style="4" customWidth="1"/>
    <col min="9988" max="9988" width="5.28515625" style="4" bestFit="1" customWidth="1"/>
    <col min="9989" max="9989" width="7" style="4" bestFit="1" customWidth="1"/>
    <col min="9990" max="9990" width="8.85546875" style="4" customWidth="1"/>
    <col min="9991" max="9991" width="11" style="4" bestFit="1" customWidth="1"/>
    <col min="9992" max="9992" width="19.7109375" style="4" customWidth="1"/>
    <col min="9993" max="9993" width="17.85546875" style="4" customWidth="1"/>
    <col min="9994" max="9994" width="15" style="4" bestFit="1" customWidth="1"/>
    <col min="9995" max="9995" width="6" style="4" customWidth="1"/>
    <col min="9996" max="9996" width="5.42578125" style="4" customWidth="1"/>
    <col min="9997" max="9997" width="10.42578125" style="4" bestFit="1" customWidth="1"/>
    <col min="9998" max="9998" width="13.42578125" style="4" bestFit="1" customWidth="1"/>
    <col min="9999" max="9999" width="7" style="4" customWidth="1"/>
    <col min="10000" max="10000" width="10.5703125" style="4" customWidth="1"/>
    <col min="10001" max="10240" width="9.140625" style="4"/>
    <col min="10241" max="10241" width="5.42578125" style="4" customWidth="1"/>
    <col min="10242" max="10242" width="50.140625" style="4" customWidth="1"/>
    <col min="10243" max="10243" width="12.7109375" style="4" customWidth="1"/>
    <col min="10244" max="10244" width="5.28515625" style="4" bestFit="1" customWidth="1"/>
    <col min="10245" max="10245" width="7" style="4" bestFit="1" customWidth="1"/>
    <col min="10246" max="10246" width="8.85546875" style="4" customWidth="1"/>
    <col min="10247" max="10247" width="11" style="4" bestFit="1" customWidth="1"/>
    <col min="10248" max="10248" width="19.7109375" style="4" customWidth="1"/>
    <col min="10249" max="10249" width="17.85546875" style="4" customWidth="1"/>
    <col min="10250" max="10250" width="15" style="4" bestFit="1" customWidth="1"/>
    <col min="10251" max="10251" width="6" style="4" customWidth="1"/>
    <col min="10252" max="10252" width="5.42578125" style="4" customWidth="1"/>
    <col min="10253" max="10253" width="10.42578125" style="4" bestFit="1" customWidth="1"/>
    <col min="10254" max="10254" width="13.42578125" style="4" bestFit="1" customWidth="1"/>
    <col min="10255" max="10255" width="7" style="4" customWidth="1"/>
    <col min="10256" max="10256" width="10.5703125" style="4" customWidth="1"/>
    <col min="10257" max="10496" width="9.140625" style="4"/>
    <col min="10497" max="10497" width="5.42578125" style="4" customWidth="1"/>
    <col min="10498" max="10498" width="50.140625" style="4" customWidth="1"/>
    <col min="10499" max="10499" width="12.7109375" style="4" customWidth="1"/>
    <col min="10500" max="10500" width="5.28515625" style="4" bestFit="1" customWidth="1"/>
    <col min="10501" max="10501" width="7" style="4" bestFit="1" customWidth="1"/>
    <col min="10502" max="10502" width="8.85546875" style="4" customWidth="1"/>
    <col min="10503" max="10503" width="11" style="4" bestFit="1" customWidth="1"/>
    <col min="10504" max="10504" width="19.7109375" style="4" customWidth="1"/>
    <col min="10505" max="10505" width="17.85546875" style="4" customWidth="1"/>
    <col min="10506" max="10506" width="15" style="4" bestFit="1" customWidth="1"/>
    <col min="10507" max="10507" width="6" style="4" customWidth="1"/>
    <col min="10508" max="10508" width="5.42578125" style="4" customWidth="1"/>
    <col min="10509" max="10509" width="10.42578125" style="4" bestFit="1" customWidth="1"/>
    <col min="10510" max="10510" width="13.42578125" style="4" bestFit="1" customWidth="1"/>
    <col min="10511" max="10511" width="7" style="4" customWidth="1"/>
    <col min="10512" max="10512" width="10.5703125" style="4" customWidth="1"/>
    <col min="10513" max="10752" width="9.140625" style="4"/>
    <col min="10753" max="10753" width="5.42578125" style="4" customWidth="1"/>
    <col min="10754" max="10754" width="50.140625" style="4" customWidth="1"/>
    <col min="10755" max="10755" width="12.7109375" style="4" customWidth="1"/>
    <col min="10756" max="10756" width="5.28515625" style="4" bestFit="1" customWidth="1"/>
    <col min="10757" max="10757" width="7" style="4" bestFit="1" customWidth="1"/>
    <col min="10758" max="10758" width="8.85546875" style="4" customWidth="1"/>
    <col min="10759" max="10759" width="11" style="4" bestFit="1" customWidth="1"/>
    <col min="10760" max="10760" width="19.7109375" style="4" customWidth="1"/>
    <col min="10761" max="10761" width="17.85546875" style="4" customWidth="1"/>
    <col min="10762" max="10762" width="15" style="4" bestFit="1" customWidth="1"/>
    <col min="10763" max="10763" width="6" style="4" customWidth="1"/>
    <col min="10764" max="10764" width="5.42578125" style="4" customWidth="1"/>
    <col min="10765" max="10765" width="10.42578125" style="4" bestFit="1" customWidth="1"/>
    <col min="10766" max="10766" width="13.42578125" style="4" bestFit="1" customWidth="1"/>
    <col min="10767" max="10767" width="7" style="4" customWidth="1"/>
    <col min="10768" max="10768" width="10.5703125" style="4" customWidth="1"/>
    <col min="10769" max="11008" width="9.140625" style="4"/>
    <col min="11009" max="11009" width="5.42578125" style="4" customWidth="1"/>
    <col min="11010" max="11010" width="50.140625" style="4" customWidth="1"/>
    <col min="11011" max="11011" width="12.7109375" style="4" customWidth="1"/>
    <col min="11012" max="11012" width="5.28515625" style="4" bestFit="1" customWidth="1"/>
    <col min="11013" max="11013" width="7" style="4" bestFit="1" customWidth="1"/>
    <col min="11014" max="11014" width="8.85546875" style="4" customWidth="1"/>
    <col min="11015" max="11015" width="11" style="4" bestFit="1" customWidth="1"/>
    <col min="11016" max="11016" width="19.7109375" style="4" customWidth="1"/>
    <col min="11017" max="11017" width="17.85546875" style="4" customWidth="1"/>
    <col min="11018" max="11018" width="15" style="4" bestFit="1" customWidth="1"/>
    <col min="11019" max="11019" width="6" style="4" customWidth="1"/>
    <col min="11020" max="11020" width="5.42578125" style="4" customWidth="1"/>
    <col min="11021" max="11021" width="10.42578125" style="4" bestFit="1" customWidth="1"/>
    <col min="11022" max="11022" width="13.42578125" style="4" bestFit="1" customWidth="1"/>
    <col min="11023" max="11023" width="7" style="4" customWidth="1"/>
    <col min="11024" max="11024" width="10.5703125" style="4" customWidth="1"/>
    <col min="11025" max="11264" width="9.140625" style="4"/>
    <col min="11265" max="11265" width="5.42578125" style="4" customWidth="1"/>
    <col min="11266" max="11266" width="50.140625" style="4" customWidth="1"/>
    <col min="11267" max="11267" width="12.7109375" style="4" customWidth="1"/>
    <col min="11268" max="11268" width="5.28515625" style="4" bestFit="1" customWidth="1"/>
    <col min="11269" max="11269" width="7" style="4" bestFit="1" customWidth="1"/>
    <col min="11270" max="11270" width="8.85546875" style="4" customWidth="1"/>
    <col min="11271" max="11271" width="11" style="4" bestFit="1" customWidth="1"/>
    <col min="11272" max="11272" width="19.7109375" style="4" customWidth="1"/>
    <col min="11273" max="11273" width="17.85546875" style="4" customWidth="1"/>
    <col min="11274" max="11274" width="15" style="4" bestFit="1" customWidth="1"/>
    <col min="11275" max="11275" width="6" style="4" customWidth="1"/>
    <col min="11276" max="11276" width="5.42578125" style="4" customWidth="1"/>
    <col min="11277" max="11277" width="10.42578125" style="4" bestFit="1" customWidth="1"/>
    <col min="11278" max="11278" width="13.42578125" style="4" bestFit="1" customWidth="1"/>
    <col min="11279" max="11279" width="7" style="4" customWidth="1"/>
    <col min="11280" max="11280" width="10.5703125" style="4" customWidth="1"/>
    <col min="11281" max="11520" width="9.140625" style="4"/>
    <col min="11521" max="11521" width="5.42578125" style="4" customWidth="1"/>
    <col min="11522" max="11522" width="50.140625" style="4" customWidth="1"/>
    <col min="11523" max="11523" width="12.7109375" style="4" customWidth="1"/>
    <col min="11524" max="11524" width="5.28515625" style="4" bestFit="1" customWidth="1"/>
    <col min="11525" max="11525" width="7" style="4" bestFit="1" customWidth="1"/>
    <col min="11526" max="11526" width="8.85546875" style="4" customWidth="1"/>
    <col min="11527" max="11527" width="11" style="4" bestFit="1" customWidth="1"/>
    <col min="11528" max="11528" width="19.7109375" style="4" customWidth="1"/>
    <col min="11529" max="11529" width="17.85546875" style="4" customWidth="1"/>
    <col min="11530" max="11530" width="15" style="4" bestFit="1" customWidth="1"/>
    <col min="11531" max="11531" width="6" style="4" customWidth="1"/>
    <col min="11532" max="11532" width="5.42578125" style="4" customWidth="1"/>
    <col min="11533" max="11533" width="10.42578125" style="4" bestFit="1" customWidth="1"/>
    <col min="11534" max="11534" width="13.42578125" style="4" bestFit="1" customWidth="1"/>
    <col min="11535" max="11535" width="7" style="4" customWidth="1"/>
    <col min="11536" max="11536" width="10.5703125" style="4" customWidth="1"/>
    <col min="11537" max="11776" width="9.140625" style="4"/>
    <col min="11777" max="11777" width="5.42578125" style="4" customWidth="1"/>
    <col min="11778" max="11778" width="50.140625" style="4" customWidth="1"/>
    <col min="11779" max="11779" width="12.7109375" style="4" customWidth="1"/>
    <col min="11780" max="11780" width="5.28515625" style="4" bestFit="1" customWidth="1"/>
    <col min="11781" max="11781" width="7" style="4" bestFit="1" customWidth="1"/>
    <col min="11782" max="11782" width="8.85546875" style="4" customWidth="1"/>
    <col min="11783" max="11783" width="11" style="4" bestFit="1" customWidth="1"/>
    <col min="11784" max="11784" width="19.7109375" style="4" customWidth="1"/>
    <col min="11785" max="11785" width="17.85546875" style="4" customWidth="1"/>
    <col min="11786" max="11786" width="15" style="4" bestFit="1" customWidth="1"/>
    <col min="11787" max="11787" width="6" style="4" customWidth="1"/>
    <col min="11788" max="11788" width="5.42578125" style="4" customWidth="1"/>
    <col min="11789" max="11789" width="10.42578125" style="4" bestFit="1" customWidth="1"/>
    <col min="11790" max="11790" width="13.42578125" style="4" bestFit="1" customWidth="1"/>
    <col min="11791" max="11791" width="7" style="4" customWidth="1"/>
    <col min="11792" max="11792" width="10.5703125" style="4" customWidth="1"/>
    <col min="11793" max="12032" width="9.140625" style="4"/>
    <col min="12033" max="12033" width="5.42578125" style="4" customWidth="1"/>
    <col min="12034" max="12034" width="50.140625" style="4" customWidth="1"/>
    <col min="12035" max="12035" width="12.7109375" style="4" customWidth="1"/>
    <col min="12036" max="12036" width="5.28515625" style="4" bestFit="1" customWidth="1"/>
    <col min="12037" max="12037" width="7" style="4" bestFit="1" customWidth="1"/>
    <col min="12038" max="12038" width="8.85546875" style="4" customWidth="1"/>
    <col min="12039" max="12039" width="11" style="4" bestFit="1" customWidth="1"/>
    <col min="12040" max="12040" width="19.7109375" style="4" customWidth="1"/>
    <col min="12041" max="12041" width="17.85546875" style="4" customWidth="1"/>
    <col min="12042" max="12042" width="15" style="4" bestFit="1" customWidth="1"/>
    <col min="12043" max="12043" width="6" style="4" customWidth="1"/>
    <col min="12044" max="12044" width="5.42578125" style="4" customWidth="1"/>
    <col min="12045" max="12045" width="10.42578125" style="4" bestFit="1" customWidth="1"/>
    <col min="12046" max="12046" width="13.42578125" style="4" bestFit="1" customWidth="1"/>
    <col min="12047" max="12047" width="7" style="4" customWidth="1"/>
    <col min="12048" max="12048" width="10.5703125" style="4" customWidth="1"/>
    <col min="12049" max="12288" width="9.140625" style="4"/>
    <col min="12289" max="12289" width="5.42578125" style="4" customWidth="1"/>
    <col min="12290" max="12290" width="50.140625" style="4" customWidth="1"/>
    <col min="12291" max="12291" width="12.7109375" style="4" customWidth="1"/>
    <col min="12292" max="12292" width="5.28515625" style="4" bestFit="1" customWidth="1"/>
    <col min="12293" max="12293" width="7" style="4" bestFit="1" customWidth="1"/>
    <col min="12294" max="12294" width="8.85546875" style="4" customWidth="1"/>
    <col min="12295" max="12295" width="11" style="4" bestFit="1" customWidth="1"/>
    <col min="12296" max="12296" width="19.7109375" style="4" customWidth="1"/>
    <col min="12297" max="12297" width="17.85546875" style="4" customWidth="1"/>
    <col min="12298" max="12298" width="15" style="4" bestFit="1" customWidth="1"/>
    <col min="12299" max="12299" width="6" style="4" customWidth="1"/>
    <col min="12300" max="12300" width="5.42578125" style="4" customWidth="1"/>
    <col min="12301" max="12301" width="10.42578125" style="4" bestFit="1" customWidth="1"/>
    <col min="12302" max="12302" width="13.42578125" style="4" bestFit="1" customWidth="1"/>
    <col min="12303" max="12303" width="7" style="4" customWidth="1"/>
    <col min="12304" max="12304" width="10.5703125" style="4" customWidth="1"/>
    <col min="12305" max="12544" width="9.140625" style="4"/>
    <col min="12545" max="12545" width="5.42578125" style="4" customWidth="1"/>
    <col min="12546" max="12546" width="50.140625" style="4" customWidth="1"/>
    <col min="12547" max="12547" width="12.7109375" style="4" customWidth="1"/>
    <col min="12548" max="12548" width="5.28515625" style="4" bestFit="1" customWidth="1"/>
    <col min="12549" max="12549" width="7" style="4" bestFit="1" customWidth="1"/>
    <col min="12550" max="12550" width="8.85546875" style="4" customWidth="1"/>
    <col min="12551" max="12551" width="11" style="4" bestFit="1" customWidth="1"/>
    <col min="12552" max="12552" width="19.7109375" style="4" customWidth="1"/>
    <col min="12553" max="12553" width="17.85546875" style="4" customWidth="1"/>
    <col min="12554" max="12554" width="15" style="4" bestFit="1" customWidth="1"/>
    <col min="12555" max="12555" width="6" style="4" customWidth="1"/>
    <col min="12556" max="12556" width="5.42578125" style="4" customWidth="1"/>
    <col min="12557" max="12557" width="10.42578125" style="4" bestFit="1" customWidth="1"/>
    <col min="12558" max="12558" width="13.42578125" style="4" bestFit="1" customWidth="1"/>
    <col min="12559" max="12559" width="7" style="4" customWidth="1"/>
    <col min="12560" max="12560" width="10.5703125" style="4" customWidth="1"/>
    <col min="12561" max="12800" width="9.140625" style="4"/>
    <col min="12801" max="12801" width="5.42578125" style="4" customWidth="1"/>
    <col min="12802" max="12802" width="50.140625" style="4" customWidth="1"/>
    <col min="12803" max="12803" width="12.7109375" style="4" customWidth="1"/>
    <col min="12804" max="12804" width="5.28515625" style="4" bestFit="1" customWidth="1"/>
    <col min="12805" max="12805" width="7" style="4" bestFit="1" customWidth="1"/>
    <col min="12806" max="12806" width="8.85546875" style="4" customWidth="1"/>
    <col min="12807" max="12807" width="11" style="4" bestFit="1" customWidth="1"/>
    <col min="12808" max="12808" width="19.7109375" style="4" customWidth="1"/>
    <col min="12809" max="12809" width="17.85546875" style="4" customWidth="1"/>
    <col min="12810" max="12810" width="15" style="4" bestFit="1" customWidth="1"/>
    <col min="12811" max="12811" width="6" style="4" customWidth="1"/>
    <col min="12812" max="12812" width="5.42578125" style="4" customWidth="1"/>
    <col min="12813" max="12813" width="10.42578125" style="4" bestFit="1" customWidth="1"/>
    <col min="12814" max="12814" width="13.42578125" style="4" bestFit="1" customWidth="1"/>
    <col min="12815" max="12815" width="7" style="4" customWidth="1"/>
    <col min="12816" max="12816" width="10.5703125" style="4" customWidth="1"/>
    <col min="12817" max="13056" width="9.140625" style="4"/>
    <col min="13057" max="13057" width="5.42578125" style="4" customWidth="1"/>
    <col min="13058" max="13058" width="50.140625" style="4" customWidth="1"/>
    <col min="13059" max="13059" width="12.7109375" style="4" customWidth="1"/>
    <col min="13060" max="13060" width="5.28515625" style="4" bestFit="1" customWidth="1"/>
    <col min="13061" max="13061" width="7" style="4" bestFit="1" customWidth="1"/>
    <col min="13062" max="13062" width="8.85546875" style="4" customWidth="1"/>
    <col min="13063" max="13063" width="11" style="4" bestFit="1" customWidth="1"/>
    <col min="13064" max="13064" width="19.7109375" style="4" customWidth="1"/>
    <col min="13065" max="13065" width="17.85546875" style="4" customWidth="1"/>
    <col min="13066" max="13066" width="15" style="4" bestFit="1" customWidth="1"/>
    <col min="13067" max="13067" width="6" style="4" customWidth="1"/>
    <col min="13068" max="13068" width="5.42578125" style="4" customWidth="1"/>
    <col min="13069" max="13069" width="10.42578125" style="4" bestFit="1" customWidth="1"/>
    <col min="13070" max="13070" width="13.42578125" style="4" bestFit="1" customWidth="1"/>
    <col min="13071" max="13071" width="7" style="4" customWidth="1"/>
    <col min="13072" max="13072" width="10.5703125" style="4" customWidth="1"/>
    <col min="13073" max="13312" width="9.140625" style="4"/>
    <col min="13313" max="13313" width="5.42578125" style="4" customWidth="1"/>
    <col min="13314" max="13314" width="50.140625" style="4" customWidth="1"/>
    <col min="13315" max="13315" width="12.7109375" style="4" customWidth="1"/>
    <col min="13316" max="13316" width="5.28515625" style="4" bestFit="1" customWidth="1"/>
    <col min="13317" max="13317" width="7" style="4" bestFit="1" customWidth="1"/>
    <col min="13318" max="13318" width="8.85546875" style="4" customWidth="1"/>
    <col min="13319" max="13319" width="11" style="4" bestFit="1" customWidth="1"/>
    <col min="13320" max="13320" width="19.7109375" style="4" customWidth="1"/>
    <col min="13321" max="13321" width="17.85546875" style="4" customWidth="1"/>
    <col min="13322" max="13322" width="15" style="4" bestFit="1" customWidth="1"/>
    <col min="13323" max="13323" width="6" style="4" customWidth="1"/>
    <col min="13324" max="13324" width="5.42578125" style="4" customWidth="1"/>
    <col min="13325" max="13325" width="10.42578125" style="4" bestFit="1" customWidth="1"/>
    <col min="13326" max="13326" width="13.42578125" style="4" bestFit="1" customWidth="1"/>
    <col min="13327" max="13327" width="7" style="4" customWidth="1"/>
    <col min="13328" max="13328" width="10.5703125" style="4" customWidth="1"/>
    <col min="13329" max="13568" width="9.140625" style="4"/>
    <col min="13569" max="13569" width="5.42578125" style="4" customWidth="1"/>
    <col min="13570" max="13570" width="50.140625" style="4" customWidth="1"/>
    <col min="13571" max="13571" width="12.7109375" style="4" customWidth="1"/>
    <col min="13572" max="13572" width="5.28515625" style="4" bestFit="1" customWidth="1"/>
    <col min="13573" max="13573" width="7" style="4" bestFit="1" customWidth="1"/>
    <col min="13574" max="13574" width="8.85546875" style="4" customWidth="1"/>
    <col min="13575" max="13575" width="11" style="4" bestFit="1" customWidth="1"/>
    <col min="13576" max="13576" width="19.7109375" style="4" customWidth="1"/>
    <col min="13577" max="13577" width="17.85546875" style="4" customWidth="1"/>
    <col min="13578" max="13578" width="15" style="4" bestFit="1" customWidth="1"/>
    <col min="13579" max="13579" width="6" style="4" customWidth="1"/>
    <col min="13580" max="13580" width="5.42578125" style="4" customWidth="1"/>
    <col min="13581" max="13581" width="10.42578125" style="4" bestFit="1" customWidth="1"/>
    <col min="13582" max="13582" width="13.42578125" style="4" bestFit="1" customWidth="1"/>
    <col min="13583" max="13583" width="7" style="4" customWidth="1"/>
    <col min="13584" max="13584" width="10.5703125" style="4" customWidth="1"/>
    <col min="13585" max="13824" width="9.140625" style="4"/>
    <col min="13825" max="13825" width="5.42578125" style="4" customWidth="1"/>
    <col min="13826" max="13826" width="50.140625" style="4" customWidth="1"/>
    <col min="13827" max="13827" width="12.7109375" style="4" customWidth="1"/>
    <col min="13828" max="13828" width="5.28515625" style="4" bestFit="1" customWidth="1"/>
    <col min="13829" max="13829" width="7" style="4" bestFit="1" customWidth="1"/>
    <col min="13830" max="13830" width="8.85546875" style="4" customWidth="1"/>
    <col min="13831" max="13831" width="11" style="4" bestFit="1" customWidth="1"/>
    <col min="13832" max="13832" width="19.7109375" style="4" customWidth="1"/>
    <col min="13833" max="13833" width="17.85546875" style="4" customWidth="1"/>
    <col min="13834" max="13834" width="15" style="4" bestFit="1" customWidth="1"/>
    <col min="13835" max="13835" width="6" style="4" customWidth="1"/>
    <col min="13836" max="13836" width="5.42578125" style="4" customWidth="1"/>
    <col min="13837" max="13837" width="10.42578125" style="4" bestFit="1" customWidth="1"/>
    <col min="13838" max="13838" width="13.42578125" style="4" bestFit="1" customWidth="1"/>
    <col min="13839" max="13839" width="7" style="4" customWidth="1"/>
    <col min="13840" max="13840" width="10.5703125" style="4" customWidth="1"/>
    <col min="13841" max="14080" width="9.140625" style="4"/>
    <col min="14081" max="14081" width="5.42578125" style="4" customWidth="1"/>
    <col min="14082" max="14082" width="50.140625" style="4" customWidth="1"/>
    <col min="14083" max="14083" width="12.7109375" style="4" customWidth="1"/>
    <col min="14084" max="14084" width="5.28515625" style="4" bestFit="1" customWidth="1"/>
    <col min="14085" max="14085" width="7" style="4" bestFit="1" customWidth="1"/>
    <col min="14086" max="14086" width="8.85546875" style="4" customWidth="1"/>
    <col min="14087" max="14087" width="11" style="4" bestFit="1" customWidth="1"/>
    <col min="14088" max="14088" width="19.7109375" style="4" customWidth="1"/>
    <col min="14089" max="14089" width="17.85546875" style="4" customWidth="1"/>
    <col min="14090" max="14090" width="15" style="4" bestFit="1" customWidth="1"/>
    <col min="14091" max="14091" width="6" style="4" customWidth="1"/>
    <col min="14092" max="14092" width="5.42578125" style="4" customWidth="1"/>
    <col min="14093" max="14093" width="10.42578125" style="4" bestFit="1" customWidth="1"/>
    <col min="14094" max="14094" width="13.42578125" style="4" bestFit="1" customWidth="1"/>
    <col min="14095" max="14095" width="7" style="4" customWidth="1"/>
    <col min="14096" max="14096" width="10.5703125" style="4" customWidth="1"/>
    <col min="14097" max="14336" width="9.140625" style="4"/>
    <col min="14337" max="14337" width="5.42578125" style="4" customWidth="1"/>
    <col min="14338" max="14338" width="50.140625" style="4" customWidth="1"/>
    <col min="14339" max="14339" width="12.7109375" style="4" customWidth="1"/>
    <col min="14340" max="14340" width="5.28515625" style="4" bestFit="1" customWidth="1"/>
    <col min="14341" max="14341" width="7" style="4" bestFit="1" customWidth="1"/>
    <col min="14342" max="14342" width="8.85546875" style="4" customWidth="1"/>
    <col min="14343" max="14343" width="11" style="4" bestFit="1" customWidth="1"/>
    <col min="14344" max="14344" width="19.7109375" style="4" customWidth="1"/>
    <col min="14345" max="14345" width="17.85546875" style="4" customWidth="1"/>
    <col min="14346" max="14346" width="15" style="4" bestFit="1" customWidth="1"/>
    <col min="14347" max="14347" width="6" style="4" customWidth="1"/>
    <col min="14348" max="14348" width="5.42578125" style="4" customWidth="1"/>
    <col min="14349" max="14349" width="10.42578125" style="4" bestFit="1" customWidth="1"/>
    <col min="14350" max="14350" width="13.42578125" style="4" bestFit="1" customWidth="1"/>
    <col min="14351" max="14351" width="7" style="4" customWidth="1"/>
    <col min="14352" max="14352" width="10.5703125" style="4" customWidth="1"/>
    <col min="14353" max="14592" width="9.140625" style="4"/>
    <col min="14593" max="14593" width="5.42578125" style="4" customWidth="1"/>
    <col min="14594" max="14594" width="50.140625" style="4" customWidth="1"/>
    <col min="14595" max="14595" width="12.7109375" style="4" customWidth="1"/>
    <col min="14596" max="14596" width="5.28515625" style="4" bestFit="1" customWidth="1"/>
    <col min="14597" max="14597" width="7" style="4" bestFit="1" customWidth="1"/>
    <col min="14598" max="14598" width="8.85546875" style="4" customWidth="1"/>
    <col min="14599" max="14599" width="11" style="4" bestFit="1" customWidth="1"/>
    <col min="14600" max="14600" width="19.7109375" style="4" customWidth="1"/>
    <col min="14601" max="14601" width="17.85546875" style="4" customWidth="1"/>
    <col min="14602" max="14602" width="15" style="4" bestFit="1" customWidth="1"/>
    <col min="14603" max="14603" width="6" style="4" customWidth="1"/>
    <col min="14604" max="14604" width="5.42578125" style="4" customWidth="1"/>
    <col min="14605" max="14605" width="10.42578125" style="4" bestFit="1" customWidth="1"/>
    <col min="14606" max="14606" width="13.42578125" style="4" bestFit="1" customWidth="1"/>
    <col min="14607" max="14607" width="7" style="4" customWidth="1"/>
    <col min="14608" max="14608" width="10.5703125" style="4" customWidth="1"/>
    <col min="14609" max="14848" width="9.140625" style="4"/>
    <col min="14849" max="14849" width="5.42578125" style="4" customWidth="1"/>
    <col min="14850" max="14850" width="50.140625" style="4" customWidth="1"/>
    <col min="14851" max="14851" width="12.7109375" style="4" customWidth="1"/>
    <col min="14852" max="14852" width="5.28515625" style="4" bestFit="1" customWidth="1"/>
    <col min="14853" max="14853" width="7" style="4" bestFit="1" customWidth="1"/>
    <col min="14854" max="14854" width="8.85546875" style="4" customWidth="1"/>
    <col min="14855" max="14855" width="11" style="4" bestFit="1" customWidth="1"/>
    <col min="14856" max="14856" width="19.7109375" style="4" customWidth="1"/>
    <col min="14857" max="14857" width="17.85546875" style="4" customWidth="1"/>
    <col min="14858" max="14858" width="15" style="4" bestFit="1" customWidth="1"/>
    <col min="14859" max="14859" width="6" style="4" customWidth="1"/>
    <col min="14860" max="14860" width="5.42578125" style="4" customWidth="1"/>
    <col min="14861" max="14861" width="10.42578125" style="4" bestFit="1" customWidth="1"/>
    <col min="14862" max="14862" width="13.42578125" style="4" bestFit="1" customWidth="1"/>
    <col min="14863" max="14863" width="7" style="4" customWidth="1"/>
    <col min="14864" max="14864" width="10.5703125" style="4" customWidth="1"/>
    <col min="14865" max="15104" width="9.140625" style="4"/>
    <col min="15105" max="15105" width="5.42578125" style="4" customWidth="1"/>
    <col min="15106" max="15106" width="50.140625" style="4" customWidth="1"/>
    <col min="15107" max="15107" width="12.7109375" style="4" customWidth="1"/>
    <col min="15108" max="15108" width="5.28515625" style="4" bestFit="1" customWidth="1"/>
    <col min="15109" max="15109" width="7" style="4" bestFit="1" customWidth="1"/>
    <col min="15110" max="15110" width="8.85546875" style="4" customWidth="1"/>
    <col min="15111" max="15111" width="11" style="4" bestFit="1" customWidth="1"/>
    <col min="15112" max="15112" width="19.7109375" style="4" customWidth="1"/>
    <col min="15113" max="15113" width="17.85546875" style="4" customWidth="1"/>
    <col min="15114" max="15114" width="15" style="4" bestFit="1" customWidth="1"/>
    <col min="15115" max="15115" width="6" style="4" customWidth="1"/>
    <col min="15116" max="15116" width="5.42578125" style="4" customWidth="1"/>
    <col min="15117" max="15117" width="10.42578125" style="4" bestFit="1" customWidth="1"/>
    <col min="15118" max="15118" width="13.42578125" style="4" bestFit="1" customWidth="1"/>
    <col min="15119" max="15119" width="7" style="4" customWidth="1"/>
    <col min="15120" max="15120" width="10.5703125" style="4" customWidth="1"/>
    <col min="15121" max="15360" width="9.140625" style="4"/>
    <col min="15361" max="15361" width="5.42578125" style="4" customWidth="1"/>
    <col min="15362" max="15362" width="50.140625" style="4" customWidth="1"/>
    <col min="15363" max="15363" width="12.7109375" style="4" customWidth="1"/>
    <col min="15364" max="15364" width="5.28515625" style="4" bestFit="1" customWidth="1"/>
    <col min="15365" max="15365" width="7" style="4" bestFit="1" customWidth="1"/>
    <col min="15366" max="15366" width="8.85546875" style="4" customWidth="1"/>
    <col min="15367" max="15367" width="11" style="4" bestFit="1" customWidth="1"/>
    <col min="15368" max="15368" width="19.7109375" style="4" customWidth="1"/>
    <col min="15369" max="15369" width="17.85546875" style="4" customWidth="1"/>
    <col min="15370" max="15370" width="15" style="4" bestFit="1" customWidth="1"/>
    <col min="15371" max="15371" width="6" style="4" customWidth="1"/>
    <col min="15372" max="15372" width="5.42578125" style="4" customWidth="1"/>
    <col min="15373" max="15373" width="10.42578125" style="4" bestFit="1" customWidth="1"/>
    <col min="15374" max="15374" width="13.42578125" style="4" bestFit="1" customWidth="1"/>
    <col min="15375" max="15375" width="7" style="4" customWidth="1"/>
    <col min="15376" max="15376" width="10.5703125" style="4" customWidth="1"/>
    <col min="15377" max="15616" width="9.140625" style="4"/>
    <col min="15617" max="15617" width="5.42578125" style="4" customWidth="1"/>
    <col min="15618" max="15618" width="50.140625" style="4" customWidth="1"/>
    <col min="15619" max="15619" width="12.7109375" style="4" customWidth="1"/>
    <col min="15620" max="15620" width="5.28515625" style="4" bestFit="1" customWidth="1"/>
    <col min="15621" max="15621" width="7" style="4" bestFit="1" customWidth="1"/>
    <col min="15622" max="15622" width="8.85546875" style="4" customWidth="1"/>
    <col min="15623" max="15623" width="11" style="4" bestFit="1" customWidth="1"/>
    <col min="15624" max="15624" width="19.7109375" style="4" customWidth="1"/>
    <col min="15625" max="15625" width="17.85546875" style="4" customWidth="1"/>
    <col min="15626" max="15626" width="15" style="4" bestFit="1" customWidth="1"/>
    <col min="15627" max="15627" width="6" style="4" customWidth="1"/>
    <col min="15628" max="15628" width="5.42578125" style="4" customWidth="1"/>
    <col min="15629" max="15629" width="10.42578125" style="4" bestFit="1" customWidth="1"/>
    <col min="15630" max="15630" width="13.42578125" style="4" bestFit="1" customWidth="1"/>
    <col min="15631" max="15631" width="7" style="4" customWidth="1"/>
    <col min="15632" max="15632" width="10.5703125" style="4" customWidth="1"/>
    <col min="15633" max="15872" width="9.140625" style="4"/>
    <col min="15873" max="15873" width="5.42578125" style="4" customWidth="1"/>
    <col min="15874" max="15874" width="50.140625" style="4" customWidth="1"/>
    <col min="15875" max="15875" width="12.7109375" style="4" customWidth="1"/>
    <col min="15876" max="15876" width="5.28515625" style="4" bestFit="1" customWidth="1"/>
    <col min="15877" max="15877" width="7" style="4" bestFit="1" customWidth="1"/>
    <col min="15878" max="15878" width="8.85546875" style="4" customWidth="1"/>
    <col min="15879" max="15879" width="11" style="4" bestFit="1" customWidth="1"/>
    <col min="15880" max="15880" width="19.7109375" style="4" customWidth="1"/>
    <col min="15881" max="15881" width="17.85546875" style="4" customWidth="1"/>
    <col min="15882" max="15882" width="15" style="4" bestFit="1" customWidth="1"/>
    <col min="15883" max="15883" width="6" style="4" customWidth="1"/>
    <col min="15884" max="15884" width="5.42578125" style="4" customWidth="1"/>
    <col min="15885" max="15885" width="10.42578125" style="4" bestFit="1" customWidth="1"/>
    <col min="15886" max="15886" width="13.42578125" style="4" bestFit="1" customWidth="1"/>
    <col min="15887" max="15887" width="7" style="4" customWidth="1"/>
    <col min="15888" max="15888" width="10.5703125" style="4" customWidth="1"/>
    <col min="15889" max="16128" width="9.140625" style="4"/>
    <col min="16129" max="16129" width="5.42578125" style="4" customWidth="1"/>
    <col min="16130" max="16130" width="50.140625" style="4" customWidth="1"/>
    <col min="16131" max="16131" width="12.7109375" style="4" customWidth="1"/>
    <col min="16132" max="16132" width="5.28515625" style="4" bestFit="1" customWidth="1"/>
    <col min="16133" max="16133" width="7" style="4" bestFit="1" customWidth="1"/>
    <col min="16134" max="16134" width="8.85546875" style="4" customWidth="1"/>
    <col min="16135" max="16135" width="11" style="4" bestFit="1" customWidth="1"/>
    <col min="16136" max="16136" width="19.7109375" style="4" customWidth="1"/>
    <col min="16137" max="16137" width="17.85546875" style="4" customWidth="1"/>
    <col min="16138" max="16138" width="15" style="4" bestFit="1" customWidth="1"/>
    <col min="16139" max="16139" width="6" style="4" customWidth="1"/>
    <col min="16140" max="16140" width="5.42578125" style="4" customWidth="1"/>
    <col min="16141" max="16141" width="10.42578125" style="4" bestFit="1" customWidth="1"/>
    <col min="16142" max="16142" width="13.42578125" style="4" bestFit="1" customWidth="1"/>
    <col min="16143" max="16143" width="7" style="4" customWidth="1"/>
    <col min="16144" max="16144" width="10.5703125" style="4" customWidth="1"/>
    <col min="16145" max="16384" width="9.140625" style="4"/>
  </cols>
  <sheetData>
    <row r="1" spans="1:16" ht="15.75">
      <c r="F1" s="3223" t="s">
        <v>89</v>
      </c>
      <c r="G1" s="3223"/>
    </row>
    <row r="2" spans="1:16" ht="18">
      <c r="B2" s="3047" t="s">
        <v>231</v>
      </c>
      <c r="C2" s="3047"/>
      <c r="D2" s="3047"/>
      <c r="E2" s="3"/>
      <c r="F2" s="3"/>
      <c r="G2" s="3"/>
    </row>
    <row r="3" spans="1:16" ht="12.75" customHeight="1">
      <c r="B3" s="47"/>
      <c r="C3" s="47"/>
      <c r="D3" s="47"/>
      <c r="E3" s="3"/>
      <c r="F3" s="3"/>
      <c r="G3" s="3"/>
    </row>
    <row r="4" spans="1:16" ht="31.5" customHeight="1">
      <c r="B4" s="3061" t="s">
        <v>232</v>
      </c>
      <c r="C4" s="3061"/>
      <c r="D4" s="3061"/>
      <c r="E4" s="3061"/>
      <c r="F4" s="3061"/>
      <c r="G4" s="48"/>
    </row>
    <row r="5" spans="1:16">
      <c r="A5" s="260"/>
      <c r="B5" s="261"/>
      <c r="C5" s="261"/>
      <c r="D5" s="261"/>
      <c r="E5" s="261"/>
      <c r="F5" s="262"/>
    </row>
    <row r="6" spans="1:16" ht="25.5">
      <c r="A6" s="140" t="s">
        <v>233</v>
      </c>
      <c r="B6" s="140" t="s">
        <v>3</v>
      </c>
      <c r="C6" s="54" t="s">
        <v>4</v>
      </c>
      <c r="D6" s="141" t="s">
        <v>5</v>
      </c>
      <c r="E6" s="141" t="s">
        <v>8</v>
      </c>
      <c r="F6" s="55" t="s">
        <v>9</v>
      </c>
      <c r="G6" s="141" t="s">
        <v>10</v>
      </c>
    </row>
    <row r="7" spans="1:16">
      <c r="A7" s="14">
        <v>1</v>
      </c>
      <c r="B7" s="14">
        <v>2</v>
      </c>
      <c r="C7" s="263" t="s">
        <v>184</v>
      </c>
      <c r="D7" s="14">
        <v>4</v>
      </c>
      <c r="E7" s="14">
        <v>5</v>
      </c>
      <c r="F7" s="264">
        <v>6</v>
      </c>
      <c r="G7" s="14">
        <v>7</v>
      </c>
    </row>
    <row r="8" spans="1:16" ht="29.25" customHeight="1">
      <c r="A8" s="1751">
        <v>1</v>
      </c>
      <c r="B8" s="1366" t="s">
        <v>234</v>
      </c>
      <c r="C8" s="1367">
        <v>7130600675</v>
      </c>
      <c r="D8" s="1340" t="s">
        <v>26</v>
      </c>
      <c r="E8" s="1340">
        <v>428.89</v>
      </c>
      <c r="F8" s="1341">
        <f>VLOOKUP(C8,'SOR RATE'!A:D,4,0)/1000</f>
        <v>68.748589999999993</v>
      </c>
      <c r="G8" s="1341">
        <f>F8*E8</f>
        <v>29485.582765099996</v>
      </c>
    </row>
    <row r="9" spans="1:16" ht="16.5" customHeight="1">
      <c r="A9" s="1340">
        <v>2</v>
      </c>
      <c r="B9" s="1516" t="s">
        <v>66</v>
      </c>
      <c r="C9" s="1367">
        <v>7130810512</v>
      </c>
      <c r="D9" s="1340" t="s">
        <v>40</v>
      </c>
      <c r="E9" s="1340">
        <v>1</v>
      </c>
      <c r="F9" s="1341">
        <f>VLOOKUP(C9,'SOR RATE'!A218:D218,4,0)</f>
        <v>5188.4799999999996</v>
      </c>
      <c r="G9" s="1341">
        <f>F9*E9</f>
        <v>5188.4799999999996</v>
      </c>
    </row>
    <row r="10" spans="1:16" ht="16.5" customHeight="1">
      <c r="A10" s="1340">
        <v>3</v>
      </c>
      <c r="B10" s="1516" t="s">
        <v>67</v>
      </c>
      <c r="C10" s="1367">
        <v>7130820010</v>
      </c>
      <c r="D10" s="1340" t="s">
        <v>68</v>
      </c>
      <c r="E10" s="1340">
        <v>6</v>
      </c>
      <c r="F10" s="1341">
        <f>VLOOKUP(C10,'SOR RATE'!A232:D232,4,0)</f>
        <v>118.97</v>
      </c>
      <c r="G10" s="1341">
        <f>F10*E10</f>
        <v>713.81999999999994</v>
      </c>
    </row>
    <row r="11" spans="1:16" ht="16.5" customHeight="1">
      <c r="A11" s="1340">
        <v>4</v>
      </c>
      <c r="B11" s="1516" t="s">
        <v>69</v>
      </c>
      <c r="C11" s="1367">
        <v>7130820241</v>
      </c>
      <c r="D11" s="1340" t="s">
        <v>12</v>
      </c>
      <c r="E11" s="1340">
        <v>6</v>
      </c>
      <c r="F11" s="1341">
        <f>VLOOKUP(C11,'SOR RATE'!A:D,4,0)</f>
        <v>153.49</v>
      </c>
      <c r="G11" s="1341">
        <f>F11*E11</f>
        <v>920.94</v>
      </c>
    </row>
    <row r="12" spans="1:16" ht="16.5" customHeight="1">
      <c r="A12" s="1340">
        <v>5</v>
      </c>
      <c r="B12" s="1516" t="s">
        <v>19</v>
      </c>
      <c r="C12" s="1367">
        <v>7130820008</v>
      </c>
      <c r="D12" s="1340" t="s">
        <v>12</v>
      </c>
      <c r="E12" s="1340">
        <v>3</v>
      </c>
      <c r="F12" s="1341">
        <f>VLOOKUP(C12,'SOR RATE'!A:D,4,0)</f>
        <v>157.08000000000001</v>
      </c>
      <c r="G12" s="1341">
        <f>F12*E12</f>
        <v>471.24</v>
      </c>
    </row>
    <row r="13" spans="1:16" ht="28.5" customHeight="1">
      <c r="A13" s="3227">
        <v>6</v>
      </c>
      <c r="B13" s="1342" t="s">
        <v>235</v>
      </c>
      <c r="C13" s="1752"/>
      <c r="D13" s="1340" t="s">
        <v>40</v>
      </c>
      <c r="E13" s="1340"/>
      <c r="F13" s="1341"/>
      <c r="G13" s="1341"/>
    </row>
    <row r="14" spans="1:16" ht="16.5" customHeight="1">
      <c r="A14" s="3228"/>
      <c r="B14" s="1601" t="s">
        <v>71</v>
      </c>
      <c r="C14" s="1367">
        <v>7130600032</v>
      </c>
      <c r="D14" s="1340" t="s">
        <v>26</v>
      </c>
      <c r="E14" s="1409">
        <v>52</v>
      </c>
      <c r="F14" s="1341">
        <f>VLOOKUP(C14,'SOR RATE'!A:D,4,0)/1000</f>
        <v>54.512970000000003</v>
      </c>
      <c r="G14" s="1341">
        <f>F14*E14</f>
        <v>2834.6744400000002</v>
      </c>
    </row>
    <row r="15" spans="1:16" ht="16.5" customHeight="1">
      <c r="A15" s="3229"/>
      <c r="B15" s="1601" t="s">
        <v>72</v>
      </c>
      <c r="C15" s="1339">
        <v>7130810216</v>
      </c>
      <c r="D15" s="1340" t="s">
        <v>15</v>
      </c>
      <c r="E15" s="1409">
        <v>4</v>
      </c>
      <c r="F15" s="1341">
        <f>VLOOKUP(C15,'SOR RATE'!A:D,4,0)</f>
        <v>393.51</v>
      </c>
      <c r="G15" s="1341">
        <f>F15*E15</f>
        <v>1574.04</v>
      </c>
      <c r="I15" s="265"/>
      <c r="J15" s="266"/>
      <c r="K15" s="267"/>
      <c r="L15" s="177"/>
      <c r="M15" s="164"/>
      <c r="N15" s="164"/>
      <c r="O15" s="177"/>
      <c r="P15" s="164"/>
    </row>
    <row r="16" spans="1:16" ht="16.5" customHeight="1">
      <c r="A16" s="3227">
        <v>7</v>
      </c>
      <c r="B16" s="1369" t="s">
        <v>236</v>
      </c>
      <c r="C16" s="1367">
        <v>7130860032</v>
      </c>
      <c r="D16" s="1340" t="s">
        <v>12</v>
      </c>
      <c r="E16" s="1409">
        <v>6</v>
      </c>
      <c r="F16" s="1341">
        <f>VLOOKUP(C16,'SOR RATE'!A:D,4,0)</f>
        <v>566.19000000000005</v>
      </c>
      <c r="G16" s="1341">
        <f>F16*E16</f>
        <v>3397.1400000000003</v>
      </c>
    </row>
    <row r="17" spans="1:11" ht="16.5" customHeight="1">
      <c r="A17" s="3228"/>
      <c r="B17" s="1517" t="s">
        <v>237</v>
      </c>
      <c r="C17" s="1367">
        <v>7130860077</v>
      </c>
      <c r="D17" s="1340" t="s">
        <v>26</v>
      </c>
      <c r="E17" s="1340">
        <v>51</v>
      </c>
      <c r="F17" s="1341">
        <f>VLOOKUP(C17,'SOR RATE'!A:D,4,0)/1000</f>
        <v>93.76643</v>
      </c>
      <c r="G17" s="1341">
        <f>F17*E17</f>
        <v>4782.0879299999997</v>
      </c>
    </row>
    <row r="18" spans="1:11" ht="16.5" customHeight="1">
      <c r="A18" s="3229"/>
      <c r="B18" s="1517" t="s">
        <v>226</v>
      </c>
      <c r="C18" s="1339">
        <v>7130810216</v>
      </c>
      <c r="D18" s="1340" t="s">
        <v>15</v>
      </c>
      <c r="E18" s="1340">
        <v>6</v>
      </c>
      <c r="F18" s="1341">
        <f>VLOOKUP(C18,'SOR RATE'!A:D,4,0)</f>
        <v>393.51</v>
      </c>
      <c r="G18" s="1341">
        <f>F18*E18</f>
        <v>2361.06</v>
      </c>
    </row>
    <row r="19" spans="1:11" ht="29.25" customHeight="1">
      <c r="A19" s="1512">
        <v>8</v>
      </c>
      <c r="B19" s="1342" t="s">
        <v>238</v>
      </c>
      <c r="C19" s="1752">
        <v>7130200202</v>
      </c>
      <c r="D19" s="1340" t="s">
        <v>76</v>
      </c>
      <c r="E19" s="1753">
        <f>(0.35*2)+(0.2*6)</f>
        <v>1.9000000000000001</v>
      </c>
      <c r="F19" s="1341">
        <f>VLOOKUP(C19,'SOR RATE'!A:D,4,0)</f>
        <v>2970</v>
      </c>
      <c r="G19" s="1341">
        <f t="shared" ref="G19:G24" si="0">F19*E19</f>
        <v>5643</v>
      </c>
      <c r="H19" s="249" t="s">
        <v>47</v>
      </c>
      <c r="I19" s="168"/>
      <c r="J19" s="507"/>
    </row>
    <row r="20" spans="1:11" ht="16.5" customHeight="1">
      <c r="A20" s="1340">
        <v>9</v>
      </c>
      <c r="B20" s="1516" t="s">
        <v>239</v>
      </c>
      <c r="C20" s="1752">
        <v>7130870013</v>
      </c>
      <c r="D20" s="1340" t="s">
        <v>12</v>
      </c>
      <c r="E20" s="1340">
        <v>2</v>
      </c>
      <c r="F20" s="1341">
        <f>VLOOKUP(C20,'SOR RATE'!A:D,4,0)</f>
        <v>152.88999999999999</v>
      </c>
      <c r="G20" s="1341">
        <f t="shared" si="0"/>
        <v>305.77999999999997</v>
      </c>
    </row>
    <row r="21" spans="1:11" ht="16.5" customHeight="1">
      <c r="A21" s="1340">
        <v>10</v>
      </c>
      <c r="B21" s="1517" t="s">
        <v>28</v>
      </c>
      <c r="C21" s="1367">
        <v>7130211158</v>
      </c>
      <c r="D21" s="1340" t="s">
        <v>29</v>
      </c>
      <c r="E21" s="1340">
        <v>0.5</v>
      </c>
      <c r="F21" s="1341">
        <f>VLOOKUP(C21,'SOR RATE'!A:D,4,0)</f>
        <v>193.62</v>
      </c>
      <c r="G21" s="1341">
        <f t="shared" si="0"/>
        <v>96.81</v>
      </c>
    </row>
    <row r="22" spans="1:11" ht="16.5" customHeight="1">
      <c r="A22" s="1340">
        <v>11</v>
      </c>
      <c r="B22" s="1517" t="s">
        <v>30</v>
      </c>
      <c r="C22" s="1367">
        <v>7130210809</v>
      </c>
      <c r="D22" s="1340" t="s">
        <v>29</v>
      </c>
      <c r="E22" s="1340">
        <v>0.5</v>
      </c>
      <c r="F22" s="1341">
        <f>VLOOKUP(C22,'SOR RATE'!A:D,4,0)</f>
        <v>432.63</v>
      </c>
      <c r="G22" s="1341">
        <f t="shared" si="0"/>
        <v>216.315</v>
      </c>
    </row>
    <row r="23" spans="1:11" ht="16.5" customHeight="1">
      <c r="A23" s="1340">
        <v>12</v>
      </c>
      <c r="B23" s="1372" t="s">
        <v>31</v>
      </c>
      <c r="C23" s="1370">
        <v>7130610206</v>
      </c>
      <c r="D23" s="1409" t="s">
        <v>26</v>
      </c>
      <c r="E23" s="1340">
        <v>4</v>
      </c>
      <c r="F23" s="1341">
        <f>VLOOKUP(C23,'SOR RATE'!A:D,4,0)/1000</f>
        <v>97.233429999999998</v>
      </c>
      <c r="G23" s="1341">
        <f>F23*E23</f>
        <v>388.93371999999999</v>
      </c>
      <c r="H23" s="56"/>
      <c r="I23" s="16"/>
      <c r="J23" s="17"/>
      <c r="K23" s="17"/>
    </row>
    <row r="24" spans="1:11" ht="16.5" customHeight="1">
      <c r="A24" s="1340">
        <v>13</v>
      </c>
      <c r="B24" s="1516" t="s">
        <v>32</v>
      </c>
      <c r="C24" s="1367">
        <v>7130880041</v>
      </c>
      <c r="D24" s="1340" t="s">
        <v>33</v>
      </c>
      <c r="E24" s="1340">
        <v>1</v>
      </c>
      <c r="F24" s="1341">
        <f>VLOOKUP(C24,'SOR RATE'!A:D,4,0)</f>
        <v>113.77</v>
      </c>
      <c r="G24" s="1341">
        <f t="shared" si="0"/>
        <v>113.77</v>
      </c>
    </row>
    <row r="25" spans="1:11" ht="16.5" customHeight="1">
      <c r="A25" s="3227">
        <v>14</v>
      </c>
      <c r="B25" s="1754" t="s">
        <v>35</v>
      </c>
      <c r="C25" s="1752"/>
      <c r="D25" s="1745" t="s">
        <v>26</v>
      </c>
      <c r="E25" s="937">
        <v>6</v>
      </c>
      <c r="F25" s="1407"/>
      <c r="G25" s="1407"/>
    </row>
    <row r="26" spans="1:11" ht="16.5" customHeight="1">
      <c r="A26" s="3228"/>
      <c r="B26" s="1585" t="s">
        <v>79</v>
      </c>
      <c r="C26" s="1755">
        <v>7130620609</v>
      </c>
      <c r="D26" s="1386" t="s">
        <v>26</v>
      </c>
      <c r="E26" s="252">
        <v>0.5</v>
      </c>
      <c r="F26" s="1341">
        <f>VLOOKUP(C26,'SOR RATE'!A:D,4,0)</f>
        <v>87.23</v>
      </c>
      <c r="G26" s="1380">
        <f>F26*E26</f>
        <v>43.615000000000002</v>
      </c>
    </row>
    <row r="27" spans="1:11" ht="16.5" customHeight="1">
      <c r="A27" s="3228"/>
      <c r="B27" s="1585" t="s">
        <v>111</v>
      </c>
      <c r="C27" s="1367">
        <v>7130620614</v>
      </c>
      <c r="D27" s="1340" t="s">
        <v>26</v>
      </c>
      <c r="E27" s="1340">
        <v>2.5</v>
      </c>
      <c r="F27" s="1341">
        <f>VLOOKUP(C27,'SOR RATE'!A:D,4,0)</f>
        <v>85.77</v>
      </c>
      <c r="G27" s="1341">
        <f>F27*E27</f>
        <v>214.42499999999998</v>
      </c>
    </row>
    <row r="28" spans="1:11" ht="16.5" customHeight="1">
      <c r="A28" s="3229"/>
      <c r="B28" s="1585" t="s">
        <v>80</v>
      </c>
      <c r="C28" s="1367">
        <v>7130620631</v>
      </c>
      <c r="D28" s="1340" t="s">
        <v>26</v>
      </c>
      <c r="E28" s="1340">
        <v>3</v>
      </c>
      <c r="F28" s="1341">
        <f>VLOOKUP(C28,'SOR RATE'!A:D,4,0)</f>
        <v>84.32</v>
      </c>
      <c r="G28" s="1341">
        <f>F28*E28</f>
        <v>252.95999999999998</v>
      </c>
    </row>
    <row r="29" spans="1:11" ht="16.5" customHeight="1">
      <c r="A29" s="932">
        <v>15</v>
      </c>
      <c r="B29" s="1426" t="s">
        <v>48</v>
      </c>
      <c r="C29" s="932"/>
      <c r="D29" s="932"/>
      <c r="E29" s="932"/>
      <c r="F29" s="55"/>
      <c r="G29" s="1343">
        <f>SUM(G8:G28)</f>
        <v>59004.673855099994</v>
      </c>
      <c r="H29" s="20"/>
      <c r="I29" s="22"/>
    </row>
    <row r="30" spans="1:11" ht="16.5" customHeight="1">
      <c r="A30" s="932">
        <v>16</v>
      </c>
      <c r="B30" s="1426" t="s">
        <v>49</v>
      </c>
      <c r="C30" s="932"/>
      <c r="D30" s="932"/>
      <c r="E30" s="932"/>
      <c r="F30" s="55"/>
      <c r="G30" s="1343">
        <f>G29/1.18</f>
        <v>50003.960894152537</v>
      </c>
      <c r="H30" s="17"/>
      <c r="I30" s="22"/>
    </row>
    <row r="31" spans="1:11" ht="16.5" customHeight="1">
      <c r="A31" s="1340">
        <v>17</v>
      </c>
      <c r="B31" s="1372" t="s">
        <v>50</v>
      </c>
      <c r="C31" s="1369"/>
      <c r="D31" s="1369"/>
      <c r="E31" s="1369"/>
      <c r="F31" s="1409">
        <v>7.4999999999999997E-2</v>
      </c>
      <c r="G31" s="1430">
        <f>G29*F31</f>
        <v>4425.3505391324998</v>
      </c>
      <c r="H31" s="16"/>
      <c r="I31" s="17"/>
    </row>
    <row r="32" spans="1:11" ht="16.5" customHeight="1">
      <c r="A32" s="947">
        <v>18</v>
      </c>
      <c r="B32" s="1520" t="s">
        <v>82</v>
      </c>
      <c r="D32" s="1409" t="s">
        <v>76</v>
      </c>
      <c r="E32" s="1749">
        <v>1.9</v>
      </c>
      <c r="F32" s="1522">
        <f>665.173187113158*1.043</f>
        <v>693.77563415902364</v>
      </c>
      <c r="G32" s="1341">
        <f>E32*F32</f>
        <v>1318.1737049021449</v>
      </c>
      <c r="H32" s="59"/>
    </row>
    <row r="33" spans="1:9" ht="15.75">
      <c r="A33" s="1340">
        <v>19</v>
      </c>
      <c r="B33" s="1516" t="s">
        <v>240</v>
      </c>
      <c r="C33" s="1340"/>
      <c r="D33" s="1340"/>
      <c r="E33" s="1340"/>
      <c r="F33" s="1593"/>
      <c r="G33" s="1430">
        <v>9179.01</v>
      </c>
      <c r="H33" s="268"/>
      <c r="I33" s="58"/>
    </row>
    <row r="34" spans="1:9" ht="16.5" customHeight="1">
      <c r="A34" s="1340">
        <v>20</v>
      </c>
      <c r="B34" s="1601" t="s">
        <v>1616</v>
      </c>
      <c r="C34" s="935"/>
      <c r="D34" s="1340"/>
      <c r="E34" s="1340"/>
      <c r="F34" s="1593"/>
      <c r="G34" s="1750">
        <f>G30*0.04</f>
        <v>2000.1584357661015</v>
      </c>
      <c r="H34" s="737" t="s">
        <v>1827</v>
      </c>
      <c r="I34" s="26"/>
    </row>
    <row r="35" spans="1:9" ht="29.25" customHeight="1">
      <c r="A35" s="1340">
        <v>21</v>
      </c>
      <c r="B35" s="1372" t="s">
        <v>241</v>
      </c>
      <c r="C35" s="935"/>
      <c r="D35" s="1340"/>
      <c r="E35" s="1340"/>
      <c r="F35" s="1593"/>
      <c r="G35" s="1750">
        <f>(G29+G31+G32+G33+G34)*0.125</f>
        <v>9490.9208168625937</v>
      </c>
      <c r="H35" s="252"/>
      <c r="I35" s="26"/>
    </row>
    <row r="36" spans="1:9" ht="28.5" customHeight="1">
      <c r="A36" s="932">
        <v>22</v>
      </c>
      <c r="B36" s="1457" t="s">
        <v>242</v>
      </c>
      <c r="C36" s="935"/>
      <c r="D36" s="1340"/>
      <c r="E36" s="1340"/>
      <c r="F36" s="1593"/>
      <c r="G36" s="1343">
        <f>SUM(G30:G35)</f>
        <v>76417.574390815877</v>
      </c>
      <c r="H36" s="27"/>
    </row>
    <row r="37" spans="1:9" ht="16.5" customHeight="1">
      <c r="A37" s="1409">
        <v>23</v>
      </c>
      <c r="B37" s="1372" t="s">
        <v>243</v>
      </c>
      <c r="C37" s="935"/>
      <c r="D37" s="1340"/>
      <c r="E37" s="1340"/>
      <c r="F37" s="1341">
        <v>0.09</v>
      </c>
      <c r="G37" s="1430">
        <f>G36*F37</f>
        <v>6877.5816951734287</v>
      </c>
      <c r="H37" s="27"/>
    </row>
    <row r="38" spans="1:9" ht="16.5" customHeight="1">
      <c r="A38" s="1340">
        <v>24</v>
      </c>
      <c r="B38" s="1372" t="s">
        <v>244</v>
      </c>
      <c r="C38" s="935"/>
      <c r="D38" s="1340"/>
      <c r="E38" s="1340"/>
      <c r="F38" s="1341">
        <v>0.09</v>
      </c>
      <c r="G38" s="1341">
        <f>G36*F38</f>
        <v>6877.5816951734287</v>
      </c>
      <c r="H38" s="60"/>
    </row>
    <row r="39" spans="1:9" ht="16.5" customHeight="1">
      <c r="A39" s="1340">
        <v>25</v>
      </c>
      <c r="B39" s="1372" t="s">
        <v>245</v>
      </c>
      <c r="C39" s="1340"/>
      <c r="D39" s="1340"/>
      <c r="E39" s="1340"/>
      <c r="F39" s="1593"/>
      <c r="G39" s="1341">
        <f>G36+G37+G38</f>
        <v>90172.737781162738</v>
      </c>
    </row>
    <row r="40" spans="1:9" ht="16.5" customHeight="1">
      <c r="A40" s="932">
        <v>26</v>
      </c>
      <c r="B40" s="1457" t="s">
        <v>59</v>
      </c>
      <c r="C40" s="932"/>
      <c r="D40" s="932"/>
      <c r="E40" s="932"/>
      <c r="F40" s="55"/>
      <c r="G40" s="1364">
        <f>ROUND(G39,0)</f>
        <v>90173</v>
      </c>
    </row>
    <row r="41" spans="1:9">
      <c r="A41" s="139"/>
      <c r="B41" s="12"/>
      <c r="C41" s="12"/>
      <c r="D41" s="12"/>
      <c r="E41" s="12"/>
      <c r="F41" s="51"/>
      <c r="G41" s="12"/>
    </row>
    <row r="42" spans="1:9" ht="16.5" customHeight="1">
      <c r="A42" s="67" t="s">
        <v>88</v>
      </c>
      <c r="B42" s="68" t="s">
        <v>246</v>
      </c>
      <c r="C42" s="43"/>
      <c r="D42" s="69"/>
      <c r="F42" s="39"/>
    </row>
  </sheetData>
  <mergeCells count="6">
    <mergeCell ref="A25:A28"/>
    <mergeCell ref="F1:G1"/>
    <mergeCell ref="B2:D2"/>
    <mergeCell ref="B4:F4"/>
    <mergeCell ref="A13:A15"/>
    <mergeCell ref="A16:A18"/>
  </mergeCells>
  <conditionalFormatting sqref="B29">
    <cfRule type="cellIs" dxfId="94" priority="2" stopIfTrue="1" operator="equal">
      <formula>"?"</formula>
    </cfRule>
  </conditionalFormatting>
  <conditionalFormatting sqref="B30">
    <cfRule type="cellIs" dxfId="93" priority="1" stopIfTrue="1" operator="equal">
      <formula>"?"</formula>
    </cfRule>
  </conditionalFormatting>
  <printOptions horizontalCentered="1" gridLines="1"/>
  <pageMargins left="0.82" right="0.15" top="0.97" bottom="0.26" header="0.79" footer="0.16"/>
  <pageSetup paperSize="9" scale="131" fitToHeight="2" orientation="landscape" horizontalDpi="4294967295" verticalDpi="144"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97"/>
  <sheetViews>
    <sheetView zoomScaleNormal="85" zoomScaleSheetLayoutView="85" workbookViewId="0">
      <pane xSplit="2" ySplit="7" topLeftCell="C68" activePane="bottomRight" state="frozen"/>
      <selection pane="topRight" activeCell="C1" sqref="C1"/>
      <selection pane="bottomLeft" activeCell="A8" sqref="A8"/>
      <selection pane="bottomRight" activeCell="S8" sqref="S8"/>
    </sheetView>
  </sheetViews>
  <sheetFormatPr defaultRowHeight="12.75"/>
  <cols>
    <col min="1" max="1" width="4" style="1927" bestFit="1" customWidth="1"/>
    <col min="2" max="2" width="37.28515625" style="1928" customWidth="1"/>
    <col min="3" max="3" width="11.42578125" style="1929" customWidth="1"/>
    <col min="4" max="4" width="5.85546875" style="596" bestFit="1" customWidth="1"/>
    <col min="5" max="5" width="5" style="1927" bestFit="1" customWidth="1"/>
    <col min="6" max="6" width="8.5703125" style="596" bestFit="1" customWidth="1"/>
    <col min="7" max="7" width="9.5703125" style="596" bestFit="1" customWidth="1"/>
    <col min="8" max="8" width="5" style="1927" bestFit="1" customWidth="1"/>
    <col min="9" max="9" width="9.5703125" style="596" customWidth="1"/>
    <col min="10" max="10" width="9.5703125" style="596" bestFit="1" customWidth="1"/>
    <col min="11" max="11" width="6.7109375" style="1927" customWidth="1"/>
    <col min="12" max="13" width="9.5703125" style="596" bestFit="1" customWidth="1"/>
    <col min="14" max="14" width="6.7109375" style="1927" customWidth="1"/>
    <col min="15" max="16" width="9.7109375" style="598" customWidth="1"/>
    <col min="17" max="17" width="6.7109375" style="598" customWidth="1"/>
    <col min="18" max="18" width="9.5703125" style="598" bestFit="1" customWidth="1"/>
    <col min="19" max="19" width="10.42578125" style="598" customWidth="1"/>
    <col min="20" max="20" width="19.42578125" style="598" customWidth="1"/>
    <col min="21" max="21" width="17.85546875" style="598" customWidth="1"/>
    <col min="22" max="22" width="23.5703125" style="598" customWidth="1"/>
    <col min="23" max="23" width="11" style="598" bestFit="1" customWidth="1"/>
    <col min="24" max="24" width="7" style="598" bestFit="1" customWidth="1"/>
    <col min="25" max="25" width="11" style="598" bestFit="1" customWidth="1"/>
    <col min="26" max="259" width="9.140625" style="598"/>
    <col min="260" max="260" width="4" style="598" bestFit="1" customWidth="1"/>
    <col min="261" max="261" width="37.28515625" style="598" customWidth="1"/>
    <col min="262" max="262" width="11.42578125" style="598" customWidth="1"/>
    <col min="263" max="263" width="5.85546875" style="598" bestFit="1" customWidth="1"/>
    <col min="264" max="264" width="5" style="598" bestFit="1" customWidth="1"/>
    <col min="265" max="265" width="8.5703125" style="598" bestFit="1" customWidth="1"/>
    <col min="266" max="266" width="9.5703125" style="598" bestFit="1" customWidth="1"/>
    <col min="267" max="267" width="5" style="598" bestFit="1" customWidth="1"/>
    <col min="268" max="268" width="8.5703125" style="598" bestFit="1" customWidth="1"/>
    <col min="269" max="269" width="9.5703125" style="598" bestFit="1" customWidth="1"/>
    <col min="270" max="270" width="6.7109375" style="598" customWidth="1"/>
    <col min="271" max="272" width="9.5703125" style="598" bestFit="1" customWidth="1"/>
    <col min="273" max="273" width="6.7109375" style="598" customWidth="1"/>
    <col min="274" max="275" width="9.7109375" style="598" customWidth="1"/>
    <col min="276" max="276" width="20.7109375" style="598" customWidth="1"/>
    <col min="277" max="277" width="17.85546875" style="598" customWidth="1"/>
    <col min="278" max="278" width="23.5703125" style="598" customWidth="1"/>
    <col min="279" max="279" width="11" style="598" bestFit="1" customWidth="1"/>
    <col min="280" max="280" width="7" style="598" bestFit="1" customWidth="1"/>
    <col min="281" max="281" width="11" style="598" bestFit="1" customWidth="1"/>
    <col min="282" max="515" width="9.140625" style="598"/>
    <col min="516" max="516" width="4" style="598" bestFit="1" customWidth="1"/>
    <col min="517" max="517" width="37.28515625" style="598" customWidth="1"/>
    <col min="518" max="518" width="11.42578125" style="598" customWidth="1"/>
    <col min="519" max="519" width="5.85546875" style="598" bestFit="1" customWidth="1"/>
    <col min="520" max="520" width="5" style="598" bestFit="1" customWidth="1"/>
    <col min="521" max="521" width="8.5703125" style="598" bestFit="1" customWidth="1"/>
    <col min="522" max="522" width="9.5703125" style="598" bestFit="1" customWidth="1"/>
    <col min="523" max="523" width="5" style="598" bestFit="1" customWidth="1"/>
    <col min="524" max="524" width="8.5703125" style="598" bestFit="1" customWidth="1"/>
    <col min="525" max="525" width="9.5703125" style="598" bestFit="1" customWidth="1"/>
    <col min="526" max="526" width="6.7109375" style="598" customWidth="1"/>
    <col min="527" max="528" width="9.5703125" style="598" bestFit="1" customWidth="1"/>
    <col min="529" max="529" width="6.7109375" style="598" customWidth="1"/>
    <col min="530" max="531" width="9.7109375" style="598" customWidth="1"/>
    <col min="532" max="532" width="20.7109375" style="598" customWidth="1"/>
    <col min="533" max="533" width="17.85546875" style="598" customWidth="1"/>
    <col min="534" max="534" width="23.5703125" style="598" customWidth="1"/>
    <col min="535" max="535" width="11" style="598" bestFit="1" customWidth="1"/>
    <col min="536" max="536" width="7" style="598" bestFit="1" customWidth="1"/>
    <col min="537" max="537" width="11" style="598" bestFit="1" customWidth="1"/>
    <col min="538" max="771" width="9.140625" style="598"/>
    <col min="772" max="772" width="4" style="598" bestFit="1" customWidth="1"/>
    <col min="773" max="773" width="37.28515625" style="598" customWidth="1"/>
    <col min="774" max="774" width="11.42578125" style="598" customWidth="1"/>
    <col min="775" max="775" width="5.85546875" style="598" bestFit="1" customWidth="1"/>
    <col min="776" max="776" width="5" style="598" bestFit="1" customWidth="1"/>
    <col min="777" max="777" width="8.5703125" style="598" bestFit="1" customWidth="1"/>
    <col min="778" max="778" width="9.5703125" style="598" bestFit="1" customWidth="1"/>
    <col min="779" max="779" width="5" style="598" bestFit="1" customWidth="1"/>
    <col min="780" max="780" width="8.5703125" style="598" bestFit="1" customWidth="1"/>
    <col min="781" max="781" width="9.5703125" style="598" bestFit="1" customWidth="1"/>
    <col min="782" max="782" width="6.7109375" style="598" customWidth="1"/>
    <col min="783" max="784" width="9.5703125" style="598" bestFit="1" customWidth="1"/>
    <col min="785" max="785" width="6.7109375" style="598" customWidth="1"/>
    <col min="786" max="787" width="9.7109375" style="598" customWidth="1"/>
    <col min="788" max="788" width="20.7109375" style="598" customWidth="1"/>
    <col min="789" max="789" width="17.85546875" style="598" customWidth="1"/>
    <col min="790" max="790" width="23.5703125" style="598" customWidth="1"/>
    <col min="791" max="791" width="11" style="598" bestFit="1" customWidth="1"/>
    <col min="792" max="792" width="7" style="598" bestFit="1" customWidth="1"/>
    <col min="793" max="793" width="11" style="598" bestFit="1" customWidth="1"/>
    <col min="794" max="1027" width="9.140625" style="598"/>
    <col min="1028" max="1028" width="4" style="598" bestFit="1" customWidth="1"/>
    <col min="1029" max="1029" width="37.28515625" style="598" customWidth="1"/>
    <col min="1030" max="1030" width="11.42578125" style="598" customWidth="1"/>
    <col min="1031" max="1031" width="5.85546875" style="598" bestFit="1" customWidth="1"/>
    <col min="1032" max="1032" width="5" style="598" bestFit="1" customWidth="1"/>
    <col min="1033" max="1033" width="8.5703125" style="598" bestFit="1" customWidth="1"/>
    <col min="1034" max="1034" width="9.5703125" style="598" bestFit="1" customWidth="1"/>
    <col min="1035" max="1035" width="5" style="598" bestFit="1" customWidth="1"/>
    <col min="1036" max="1036" width="8.5703125" style="598" bestFit="1" customWidth="1"/>
    <col min="1037" max="1037" width="9.5703125" style="598" bestFit="1" customWidth="1"/>
    <col min="1038" max="1038" width="6.7109375" style="598" customWidth="1"/>
    <col min="1039" max="1040" width="9.5703125" style="598" bestFit="1" customWidth="1"/>
    <col min="1041" max="1041" width="6.7109375" style="598" customWidth="1"/>
    <col min="1042" max="1043" width="9.7109375" style="598" customWidth="1"/>
    <col min="1044" max="1044" width="20.7109375" style="598" customWidth="1"/>
    <col min="1045" max="1045" width="17.85546875" style="598" customWidth="1"/>
    <col min="1046" max="1046" width="23.5703125" style="598" customWidth="1"/>
    <col min="1047" max="1047" width="11" style="598" bestFit="1" customWidth="1"/>
    <col min="1048" max="1048" width="7" style="598" bestFit="1" customWidth="1"/>
    <col min="1049" max="1049" width="11" style="598" bestFit="1" customWidth="1"/>
    <col min="1050" max="1283" width="9.140625" style="598"/>
    <col min="1284" max="1284" width="4" style="598" bestFit="1" customWidth="1"/>
    <col min="1285" max="1285" width="37.28515625" style="598" customWidth="1"/>
    <col min="1286" max="1286" width="11.42578125" style="598" customWidth="1"/>
    <col min="1287" max="1287" width="5.85546875" style="598" bestFit="1" customWidth="1"/>
    <col min="1288" max="1288" width="5" style="598" bestFit="1" customWidth="1"/>
    <col min="1289" max="1289" width="8.5703125" style="598" bestFit="1" customWidth="1"/>
    <col min="1290" max="1290" width="9.5703125" style="598" bestFit="1" customWidth="1"/>
    <col min="1291" max="1291" width="5" style="598" bestFit="1" customWidth="1"/>
    <col min="1292" max="1292" width="8.5703125" style="598" bestFit="1" customWidth="1"/>
    <col min="1293" max="1293" width="9.5703125" style="598" bestFit="1" customWidth="1"/>
    <col min="1294" max="1294" width="6.7109375" style="598" customWidth="1"/>
    <col min="1295" max="1296" width="9.5703125" style="598" bestFit="1" customWidth="1"/>
    <col min="1297" max="1297" width="6.7109375" style="598" customWidth="1"/>
    <col min="1298" max="1299" width="9.7109375" style="598" customWidth="1"/>
    <col min="1300" max="1300" width="20.7109375" style="598" customWidth="1"/>
    <col min="1301" max="1301" width="17.85546875" style="598" customWidth="1"/>
    <col min="1302" max="1302" width="23.5703125" style="598" customWidth="1"/>
    <col min="1303" max="1303" width="11" style="598" bestFit="1" customWidth="1"/>
    <col min="1304" max="1304" width="7" style="598" bestFit="1" customWidth="1"/>
    <col min="1305" max="1305" width="11" style="598" bestFit="1" customWidth="1"/>
    <col min="1306" max="1539" width="9.140625" style="598"/>
    <col min="1540" max="1540" width="4" style="598" bestFit="1" customWidth="1"/>
    <col min="1541" max="1541" width="37.28515625" style="598" customWidth="1"/>
    <col min="1542" max="1542" width="11.42578125" style="598" customWidth="1"/>
    <col min="1543" max="1543" width="5.85546875" style="598" bestFit="1" customWidth="1"/>
    <col min="1544" max="1544" width="5" style="598" bestFit="1" customWidth="1"/>
    <col min="1545" max="1545" width="8.5703125" style="598" bestFit="1" customWidth="1"/>
    <col min="1546" max="1546" width="9.5703125" style="598" bestFit="1" customWidth="1"/>
    <col min="1547" max="1547" width="5" style="598" bestFit="1" customWidth="1"/>
    <col min="1548" max="1548" width="8.5703125" style="598" bestFit="1" customWidth="1"/>
    <col min="1549" max="1549" width="9.5703125" style="598" bestFit="1" customWidth="1"/>
    <col min="1550" max="1550" width="6.7109375" style="598" customWidth="1"/>
    <col min="1551" max="1552" width="9.5703125" style="598" bestFit="1" customWidth="1"/>
    <col min="1553" max="1553" width="6.7109375" style="598" customWidth="1"/>
    <col min="1554" max="1555" width="9.7109375" style="598" customWidth="1"/>
    <col min="1556" max="1556" width="20.7109375" style="598" customWidth="1"/>
    <col min="1557" max="1557" width="17.85546875" style="598" customWidth="1"/>
    <col min="1558" max="1558" width="23.5703125" style="598" customWidth="1"/>
    <col min="1559" max="1559" width="11" style="598" bestFit="1" customWidth="1"/>
    <col min="1560" max="1560" width="7" style="598" bestFit="1" customWidth="1"/>
    <col min="1561" max="1561" width="11" style="598" bestFit="1" customWidth="1"/>
    <col min="1562" max="1795" width="9.140625" style="598"/>
    <col min="1796" max="1796" width="4" style="598" bestFit="1" customWidth="1"/>
    <col min="1797" max="1797" width="37.28515625" style="598" customWidth="1"/>
    <col min="1798" max="1798" width="11.42578125" style="598" customWidth="1"/>
    <col min="1799" max="1799" width="5.85546875" style="598" bestFit="1" customWidth="1"/>
    <col min="1800" max="1800" width="5" style="598" bestFit="1" customWidth="1"/>
    <col min="1801" max="1801" width="8.5703125" style="598" bestFit="1" customWidth="1"/>
    <col min="1802" max="1802" width="9.5703125" style="598" bestFit="1" customWidth="1"/>
    <col min="1803" max="1803" width="5" style="598" bestFit="1" customWidth="1"/>
    <col min="1804" max="1804" width="8.5703125" style="598" bestFit="1" customWidth="1"/>
    <col min="1805" max="1805" width="9.5703125" style="598" bestFit="1" customWidth="1"/>
    <col min="1806" max="1806" width="6.7109375" style="598" customWidth="1"/>
    <col min="1807" max="1808" width="9.5703125" style="598" bestFit="1" customWidth="1"/>
    <col min="1809" max="1809" width="6.7109375" style="598" customWidth="1"/>
    <col min="1810" max="1811" width="9.7109375" style="598" customWidth="1"/>
    <col min="1812" max="1812" width="20.7109375" style="598" customWidth="1"/>
    <col min="1813" max="1813" width="17.85546875" style="598" customWidth="1"/>
    <col min="1814" max="1814" width="23.5703125" style="598" customWidth="1"/>
    <col min="1815" max="1815" width="11" style="598" bestFit="1" customWidth="1"/>
    <col min="1816" max="1816" width="7" style="598" bestFit="1" customWidth="1"/>
    <col min="1817" max="1817" width="11" style="598" bestFit="1" customWidth="1"/>
    <col min="1818" max="2051" width="9.140625" style="598"/>
    <col min="2052" max="2052" width="4" style="598" bestFit="1" customWidth="1"/>
    <col min="2053" max="2053" width="37.28515625" style="598" customWidth="1"/>
    <col min="2054" max="2054" width="11.42578125" style="598" customWidth="1"/>
    <col min="2055" max="2055" width="5.85546875" style="598" bestFit="1" customWidth="1"/>
    <col min="2056" max="2056" width="5" style="598" bestFit="1" customWidth="1"/>
    <col min="2057" max="2057" width="8.5703125" style="598" bestFit="1" customWidth="1"/>
    <col min="2058" max="2058" width="9.5703125" style="598" bestFit="1" customWidth="1"/>
    <col min="2059" max="2059" width="5" style="598" bestFit="1" customWidth="1"/>
    <col min="2060" max="2060" width="8.5703125" style="598" bestFit="1" customWidth="1"/>
    <col min="2061" max="2061" width="9.5703125" style="598" bestFit="1" customWidth="1"/>
    <col min="2062" max="2062" width="6.7109375" style="598" customWidth="1"/>
    <col min="2063" max="2064" width="9.5703125" style="598" bestFit="1" customWidth="1"/>
    <col min="2065" max="2065" width="6.7109375" style="598" customWidth="1"/>
    <col min="2066" max="2067" width="9.7109375" style="598" customWidth="1"/>
    <col min="2068" max="2068" width="20.7109375" style="598" customWidth="1"/>
    <col min="2069" max="2069" width="17.85546875" style="598" customWidth="1"/>
    <col min="2070" max="2070" width="23.5703125" style="598" customWidth="1"/>
    <col min="2071" max="2071" width="11" style="598" bestFit="1" customWidth="1"/>
    <col min="2072" max="2072" width="7" style="598" bestFit="1" customWidth="1"/>
    <col min="2073" max="2073" width="11" style="598" bestFit="1" customWidth="1"/>
    <col min="2074" max="2307" width="9.140625" style="598"/>
    <col min="2308" max="2308" width="4" style="598" bestFit="1" customWidth="1"/>
    <col min="2309" max="2309" width="37.28515625" style="598" customWidth="1"/>
    <col min="2310" max="2310" width="11.42578125" style="598" customWidth="1"/>
    <col min="2311" max="2311" width="5.85546875" style="598" bestFit="1" customWidth="1"/>
    <col min="2312" max="2312" width="5" style="598" bestFit="1" customWidth="1"/>
    <col min="2313" max="2313" width="8.5703125" style="598" bestFit="1" customWidth="1"/>
    <col min="2314" max="2314" width="9.5703125" style="598" bestFit="1" customWidth="1"/>
    <col min="2315" max="2315" width="5" style="598" bestFit="1" customWidth="1"/>
    <col min="2316" max="2316" width="8.5703125" style="598" bestFit="1" customWidth="1"/>
    <col min="2317" max="2317" width="9.5703125" style="598" bestFit="1" customWidth="1"/>
    <col min="2318" max="2318" width="6.7109375" style="598" customWidth="1"/>
    <col min="2319" max="2320" width="9.5703125" style="598" bestFit="1" customWidth="1"/>
    <col min="2321" max="2321" width="6.7109375" style="598" customWidth="1"/>
    <col min="2322" max="2323" width="9.7109375" style="598" customWidth="1"/>
    <col min="2324" max="2324" width="20.7109375" style="598" customWidth="1"/>
    <col min="2325" max="2325" width="17.85546875" style="598" customWidth="1"/>
    <col min="2326" max="2326" width="23.5703125" style="598" customWidth="1"/>
    <col min="2327" max="2327" width="11" style="598" bestFit="1" customWidth="1"/>
    <col min="2328" max="2328" width="7" style="598" bestFit="1" customWidth="1"/>
    <col min="2329" max="2329" width="11" style="598" bestFit="1" customWidth="1"/>
    <col min="2330" max="2563" width="9.140625" style="598"/>
    <col min="2564" max="2564" width="4" style="598" bestFit="1" customWidth="1"/>
    <col min="2565" max="2565" width="37.28515625" style="598" customWidth="1"/>
    <col min="2566" max="2566" width="11.42578125" style="598" customWidth="1"/>
    <col min="2567" max="2567" width="5.85546875" style="598" bestFit="1" customWidth="1"/>
    <col min="2568" max="2568" width="5" style="598" bestFit="1" customWidth="1"/>
    <col min="2569" max="2569" width="8.5703125" style="598" bestFit="1" customWidth="1"/>
    <col min="2570" max="2570" width="9.5703125" style="598" bestFit="1" customWidth="1"/>
    <col min="2571" max="2571" width="5" style="598" bestFit="1" customWidth="1"/>
    <col min="2572" max="2572" width="8.5703125" style="598" bestFit="1" customWidth="1"/>
    <col min="2573" max="2573" width="9.5703125" style="598" bestFit="1" customWidth="1"/>
    <col min="2574" max="2574" width="6.7109375" style="598" customWidth="1"/>
    <col min="2575" max="2576" width="9.5703125" style="598" bestFit="1" customWidth="1"/>
    <col min="2577" max="2577" width="6.7109375" style="598" customWidth="1"/>
    <col min="2578" max="2579" width="9.7109375" style="598" customWidth="1"/>
    <col min="2580" max="2580" width="20.7109375" style="598" customWidth="1"/>
    <col min="2581" max="2581" width="17.85546875" style="598" customWidth="1"/>
    <col min="2582" max="2582" width="23.5703125" style="598" customWidth="1"/>
    <col min="2583" max="2583" width="11" style="598" bestFit="1" customWidth="1"/>
    <col min="2584" max="2584" width="7" style="598" bestFit="1" customWidth="1"/>
    <col min="2585" max="2585" width="11" style="598" bestFit="1" customWidth="1"/>
    <col min="2586" max="2819" width="9.140625" style="598"/>
    <col min="2820" max="2820" width="4" style="598" bestFit="1" customWidth="1"/>
    <col min="2821" max="2821" width="37.28515625" style="598" customWidth="1"/>
    <col min="2822" max="2822" width="11.42578125" style="598" customWidth="1"/>
    <col min="2823" max="2823" width="5.85546875" style="598" bestFit="1" customWidth="1"/>
    <col min="2824" max="2824" width="5" style="598" bestFit="1" customWidth="1"/>
    <col min="2825" max="2825" width="8.5703125" style="598" bestFit="1" customWidth="1"/>
    <col min="2826" max="2826" width="9.5703125" style="598" bestFit="1" customWidth="1"/>
    <col min="2827" max="2827" width="5" style="598" bestFit="1" customWidth="1"/>
    <col min="2828" max="2828" width="8.5703125" style="598" bestFit="1" customWidth="1"/>
    <col min="2829" max="2829" width="9.5703125" style="598" bestFit="1" customWidth="1"/>
    <col min="2830" max="2830" width="6.7109375" style="598" customWidth="1"/>
    <col min="2831" max="2832" width="9.5703125" style="598" bestFit="1" customWidth="1"/>
    <col min="2833" max="2833" width="6.7109375" style="598" customWidth="1"/>
    <col min="2834" max="2835" width="9.7109375" style="598" customWidth="1"/>
    <col min="2836" max="2836" width="20.7109375" style="598" customWidth="1"/>
    <col min="2837" max="2837" width="17.85546875" style="598" customWidth="1"/>
    <col min="2838" max="2838" width="23.5703125" style="598" customWidth="1"/>
    <col min="2839" max="2839" width="11" style="598" bestFit="1" customWidth="1"/>
    <col min="2840" max="2840" width="7" style="598" bestFit="1" customWidth="1"/>
    <col min="2841" max="2841" width="11" style="598" bestFit="1" customWidth="1"/>
    <col min="2842" max="3075" width="9.140625" style="598"/>
    <col min="3076" max="3076" width="4" style="598" bestFit="1" customWidth="1"/>
    <col min="3077" max="3077" width="37.28515625" style="598" customWidth="1"/>
    <col min="3078" max="3078" width="11.42578125" style="598" customWidth="1"/>
    <col min="3079" max="3079" width="5.85546875" style="598" bestFit="1" customWidth="1"/>
    <col min="3080" max="3080" width="5" style="598" bestFit="1" customWidth="1"/>
    <col min="3081" max="3081" width="8.5703125" style="598" bestFit="1" customWidth="1"/>
    <col min="3082" max="3082" width="9.5703125" style="598" bestFit="1" customWidth="1"/>
    <col min="3083" max="3083" width="5" style="598" bestFit="1" customWidth="1"/>
    <col min="3084" max="3084" width="8.5703125" style="598" bestFit="1" customWidth="1"/>
    <col min="3085" max="3085" width="9.5703125" style="598" bestFit="1" customWidth="1"/>
    <col min="3086" max="3086" width="6.7109375" style="598" customWidth="1"/>
    <col min="3087" max="3088" width="9.5703125" style="598" bestFit="1" customWidth="1"/>
    <col min="3089" max="3089" width="6.7109375" style="598" customWidth="1"/>
    <col min="3090" max="3091" width="9.7109375" style="598" customWidth="1"/>
    <col min="3092" max="3092" width="20.7109375" style="598" customWidth="1"/>
    <col min="3093" max="3093" width="17.85546875" style="598" customWidth="1"/>
    <col min="3094" max="3094" width="23.5703125" style="598" customWidth="1"/>
    <col min="3095" max="3095" width="11" style="598" bestFit="1" customWidth="1"/>
    <col min="3096" max="3096" width="7" style="598" bestFit="1" customWidth="1"/>
    <col min="3097" max="3097" width="11" style="598" bestFit="1" customWidth="1"/>
    <col min="3098" max="3331" width="9.140625" style="598"/>
    <col min="3332" max="3332" width="4" style="598" bestFit="1" customWidth="1"/>
    <col min="3333" max="3333" width="37.28515625" style="598" customWidth="1"/>
    <col min="3334" max="3334" width="11.42578125" style="598" customWidth="1"/>
    <col min="3335" max="3335" width="5.85546875" style="598" bestFit="1" customWidth="1"/>
    <col min="3336" max="3336" width="5" style="598" bestFit="1" customWidth="1"/>
    <col min="3337" max="3337" width="8.5703125" style="598" bestFit="1" customWidth="1"/>
    <col min="3338" max="3338" width="9.5703125" style="598" bestFit="1" customWidth="1"/>
    <col min="3339" max="3339" width="5" style="598" bestFit="1" customWidth="1"/>
    <col min="3340" max="3340" width="8.5703125" style="598" bestFit="1" customWidth="1"/>
    <col min="3341" max="3341" width="9.5703125" style="598" bestFit="1" customWidth="1"/>
    <col min="3342" max="3342" width="6.7109375" style="598" customWidth="1"/>
    <col min="3343" max="3344" width="9.5703125" style="598" bestFit="1" customWidth="1"/>
    <col min="3345" max="3345" width="6.7109375" style="598" customWidth="1"/>
    <col min="3346" max="3347" width="9.7109375" style="598" customWidth="1"/>
    <col min="3348" max="3348" width="20.7109375" style="598" customWidth="1"/>
    <col min="3349" max="3349" width="17.85546875" style="598" customWidth="1"/>
    <col min="3350" max="3350" width="23.5703125" style="598" customWidth="1"/>
    <col min="3351" max="3351" width="11" style="598" bestFit="1" customWidth="1"/>
    <col min="3352" max="3352" width="7" style="598" bestFit="1" customWidth="1"/>
    <col min="3353" max="3353" width="11" style="598" bestFit="1" customWidth="1"/>
    <col min="3354" max="3587" width="9.140625" style="598"/>
    <col min="3588" max="3588" width="4" style="598" bestFit="1" customWidth="1"/>
    <col min="3589" max="3589" width="37.28515625" style="598" customWidth="1"/>
    <col min="3590" max="3590" width="11.42578125" style="598" customWidth="1"/>
    <col min="3591" max="3591" width="5.85546875" style="598" bestFit="1" customWidth="1"/>
    <col min="3592" max="3592" width="5" style="598" bestFit="1" customWidth="1"/>
    <col min="3593" max="3593" width="8.5703125" style="598" bestFit="1" customWidth="1"/>
    <col min="3594" max="3594" width="9.5703125" style="598" bestFit="1" customWidth="1"/>
    <col min="3595" max="3595" width="5" style="598" bestFit="1" customWidth="1"/>
    <col min="3596" max="3596" width="8.5703125" style="598" bestFit="1" customWidth="1"/>
    <col min="3597" max="3597" width="9.5703125" style="598" bestFit="1" customWidth="1"/>
    <col min="3598" max="3598" width="6.7109375" style="598" customWidth="1"/>
    <col min="3599" max="3600" width="9.5703125" style="598" bestFit="1" customWidth="1"/>
    <col min="3601" max="3601" width="6.7109375" style="598" customWidth="1"/>
    <col min="3602" max="3603" width="9.7109375" style="598" customWidth="1"/>
    <col min="3604" max="3604" width="20.7109375" style="598" customWidth="1"/>
    <col min="3605" max="3605" width="17.85546875" style="598" customWidth="1"/>
    <col min="3606" max="3606" width="23.5703125" style="598" customWidth="1"/>
    <col min="3607" max="3607" width="11" style="598" bestFit="1" customWidth="1"/>
    <col min="3608" max="3608" width="7" style="598" bestFit="1" customWidth="1"/>
    <col min="3609" max="3609" width="11" style="598" bestFit="1" customWidth="1"/>
    <col min="3610" max="3843" width="9.140625" style="598"/>
    <col min="3844" max="3844" width="4" style="598" bestFit="1" customWidth="1"/>
    <col min="3845" max="3845" width="37.28515625" style="598" customWidth="1"/>
    <col min="3846" max="3846" width="11.42578125" style="598" customWidth="1"/>
    <col min="3847" max="3847" width="5.85546875" style="598" bestFit="1" customWidth="1"/>
    <col min="3848" max="3848" width="5" style="598" bestFit="1" customWidth="1"/>
    <col min="3849" max="3849" width="8.5703125" style="598" bestFit="1" customWidth="1"/>
    <col min="3850" max="3850" width="9.5703125" style="598" bestFit="1" customWidth="1"/>
    <col min="3851" max="3851" width="5" style="598" bestFit="1" customWidth="1"/>
    <col min="3852" max="3852" width="8.5703125" style="598" bestFit="1" customWidth="1"/>
    <col min="3853" max="3853" width="9.5703125" style="598" bestFit="1" customWidth="1"/>
    <col min="3854" max="3854" width="6.7109375" style="598" customWidth="1"/>
    <col min="3855" max="3856" width="9.5703125" style="598" bestFit="1" customWidth="1"/>
    <col min="3857" max="3857" width="6.7109375" style="598" customWidth="1"/>
    <col min="3858" max="3859" width="9.7109375" style="598" customWidth="1"/>
    <col min="3860" max="3860" width="20.7109375" style="598" customWidth="1"/>
    <col min="3861" max="3861" width="17.85546875" style="598" customWidth="1"/>
    <col min="3862" max="3862" width="23.5703125" style="598" customWidth="1"/>
    <col min="3863" max="3863" width="11" style="598" bestFit="1" customWidth="1"/>
    <col min="3864" max="3864" width="7" style="598" bestFit="1" customWidth="1"/>
    <col min="3865" max="3865" width="11" style="598" bestFit="1" customWidth="1"/>
    <col min="3866" max="4099" width="9.140625" style="598"/>
    <col min="4100" max="4100" width="4" style="598" bestFit="1" customWidth="1"/>
    <col min="4101" max="4101" width="37.28515625" style="598" customWidth="1"/>
    <col min="4102" max="4102" width="11.42578125" style="598" customWidth="1"/>
    <col min="4103" max="4103" width="5.85546875" style="598" bestFit="1" customWidth="1"/>
    <col min="4104" max="4104" width="5" style="598" bestFit="1" customWidth="1"/>
    <col min="4105" max="4105" width="8.5703125" style="598" bestFit="1" customWidth="1"/>
    <col min="4106" max="4106" width="9.5703125" style="598" bestFit="1" customWidth="1"/>
    <col min="4107" max="4107" width="5" style="598" bestFit="1" customWidth="1"/>
    <col min="4108" max="4108" width="8.5703125" style="598" bestFit="1" customWidth="1"/>
    <col min="4109" max="4109" width="9.5703125" style="598" bestFit="1" customWidth="1"/>
    <col min="4110" max="4110" width="6.7109375" style="598" customWidth="1"/>
    <col min="4111" max="4112" width="9.5703125" style="598" bestFit="1" customWidth="1"/>
    <col min="4113" max="4113" width="6.7109375" style="598" customWidth="1"/>
    <col min="4114" max="4115" width="9.7109375" style="598" customWidth="1"/>
    <col min="4116" max="4116" width="20.7109375" style="598" customWidth="1"/>
    <col min="4117" max="4117" width="17.85546875" style="598" customWidth="1"/>
    <col min="4118" max="4118" width="23.5703125" style="598" customWidth="1"/>
    <col min="4119" max="4119" width="11" style="598" bestFit="1" customWidth="1"/>
    <col min="4120" max="4120" width="7" style="598" bestFit="1" customWidth="1"/>
    <col min="4121" max="4121" width="11" style="598" bestFit="1" customWidth="1"/>
    <col min="4122" max="4355" width="9.140625" style="598"/>
    <col min="4356" max="4356" width="4" style="598" bestFit="1" customWidth="1"/>
    <col min="4357" max="4357" width="37.28515625" style="598" customWidth="1"/>
    <col min="4358" max="4358" width="11.42578125" style="598" customWidth="1"/>
    <col min="4359" max="4359" width="5.85546875" style="598" bestFit="1" customWidth="1"/>
    <col min="4360" max="4360" width="5" style="598" bestFit="1" customWidth="1"/>
    <col min="4361" max="4361" width="8.5703125" style="598" bestFit="1" customWidth="1"/>
    <col min="4362" max="4362" width="9.5703125" style="598" bestFit="1" customWidth="1"/>
    <col min="4363" max="4363" width="5" style="598" bestFit="1" customWidth="1"/>
    <col min="4364" max="4364" width="8.5703125" style="598" bestFit="1" customWidth="1"/>
    <col min="4365" max="4365" width="9.5703125" style="598" bestFit="1" customWidth="1"/>
    <col min="4366" max="4366" width="6.7109375" style="598" customWidth="1"/>
    <col min="4367" max="4368" width="9.5703125" style="598" bestFit="1" customWidth="1"/>
    <col min="4369" max="4369" width="6.7109375" style="598" customWidth="1"/>
    <col min="4370" max="4371" width="9.7109375" style="598" customWidth="1"/>
    <col min="4372" max="4372" width="20.7109375" style="598" customWidth="1"/>
    <col min="4373" max="4373" width="17.85546875" style="598" customWidth="1"/>
    <col min="4374" max="4374" width="23.5703125" style="598" customWidth="1"/>
    <col min="4375" max="4375" width="11" style="598" bestFit="1" customWidth="1"/>
    <col min="4376" max="4376" width="7" style="598" bestFit="1" customWidth="1"/>
    <col min="4377" max="4377" width="11" style="598" bestFit="1" customWidth="1"/>
    <col min="4378" max="4611" width="9.140625" style="598"/>
    <col min="4612" max="4612" width="4" style="598" bestFit="1" customWidth="1"/>
    <col min="4613" max="4613" width="37.28515625" style="598" customWidth="1"/>
    <col min="4614" max="4614" width="11.42578125" style="598" customWidth="1"/>
    <col min="4615" max="4615" width="5.85546875" style="598" bestFit="1" customWidth="1"/>
    <col min="4616" max="4616" width="5" style="598" bestFit="1" customWidth="1"/>
    <col min="4617" max="4617" width="8.5703125" style="598" bestFit="1" customWidth="1"/>
    <col min="4618" max="4618" width="9.5703125" style="598" bestFit="1" customWidth="1"/>
    <col min="4619" max="4619" width="5" style="598" bestFit="1" customWidth="1"/>
    <col min="4620" max="4620" width="8.5703125" style="598" bestFit="1" customWidth="1"/>
    <col min="4621" max="4621" width="9.5703125" style="598" bestFit="1" customWidth="1"/>
    <col min="4622" max="4622" width="6.7109375" style="598" customWidth="1"/>
    <col min="4623" max="4624" width="9.5703125" style="598" bestFit="1" customWidth="1"/>
    <col min="4625" max="4625" width="6.7109375" style="598" customWidth="1"/>
    <col min="4626" max="4627" width="9.7109375" style="598" customWidth="1"/>
    <col min="4628" max="4628" width="20.7109375" style="598" customWidth="1"/>
    <col min="4629" max="4629" width="17.85546875" style="598" customWidth="1"/>
    <col min="4630" max="4630" width="23.5703125" style="598" customWidth="1"/>
    <col min="4631" max="4631" width="11" style="598" bestFit="1" customWidth="1"/>
    <col min="4632" max="4632" width="7" style="598" bestFit="1" customWidth="1"/>
    <col min="4633" max="4633" width="11" style="598" bestFit="1" customWidth="1"/>
    <col min="4634" max="4867" width="9.140625" style="598"/>
    <col min="4868" max="4868" width="4" style="598" bestFit="1" customWidth="1"/>
    <col min="4869" max="4869" width="37.28515625" style="598" customWidth="1"/>
    <col min="4870" max="4870" width="11.42578125" style="598" customWidth="1"/>
    <col min="4871" max="4871" width="5.85546875" style="598" bestFit="1" customWidth="1"/>
    <col min="4872" max="4872" width="5" style="598" bestFit="1" customWidth="1"/>
    <col min="4873" max="4873" width="8.5703125" style="598" bestFit="1" customWidth="1"/>
    <col min="4874" max="4874" width="9.5703125" style="598" bestFit="1" customWidth="1"/>
    <col min="4875" max="4875" width="5" style="598" bestFit="1" customWidth="1"/>
    <col min="4876" max="4876" width="8.5703125" style="598" bestFit="1" customWidth="1"/>
    <col min="4877" max="4877" width="9.5703125" style="598" bestFit="1" customWidth="1"/>
    <col min="4878" max="4878" width="6.7109375" style="598" customWidth="1"/>
    <col min="4879" max="4880" width="9.5703125" style="598" bestFit="1" customWidth="1"/>
    <col min="4881" max="4881" width="6.7109375" style="598" customWidth="1"/>
    <col min="4882" max="4883" width="9.7109375" style="598" customWidth="1"/>
    <col min="4884" max="4884" width="20.7109375" style="598" customWidth="1"/>
    <col min="4885" max="4885" width="17.85546875" style="598" customWidth="1"/>
    <col min="4886" max="4886" width="23.5703125" style="598" customWidth="1"/>
    <col min="4887" max="4887" width="11" style="598" bestFit="1" customWidth="1"/>
    <col min="4888" max="4888" width="7" style="598" bestFit="1" customWidth="1"/>
    <col min="4889" max="4889" width="11" style="598" bestFit="1" customWidth="1"/>
    <col min="4890" max="5123" width="9.140625" style="598"/>
    <col min="5124" max="5124" width="4" style="598" bestFit="1" customWidth="1"/>
    <col min="5125" max="5125" width="37.28515625" style="598" customWidth="1"/>
    <col min="5126" max="5126" width="11.42578125" style="598" customWidth="1"/>
    <col min="5127" max="5127" width="5.85546875" style="598" bestFit="1" customWidth="1"/>
    <col min="5128" max="5128" width="5" style="598" bestFit="1" customWidth="1"/>
    <col min="5129" max="5129" width="8.5703125" style="598" bestFit="1" customWidth="1"/>
    <col min="5130" max="5130" width="9.5703125" style="598" bestFit="1" customWidth="1"/>
    <col min="5131" max="5131" width="5" style="598" bestFit="1" customWidth="1"/>
    <col min="5132" max="5132" width="8.5703125" style="598" bestFit="1" customWidth="1"/>
    <col min="5133" max="5133" width="9.5703125" style="598" bestFit="1" customWidth="1"/>
    <col min="5134" max="5134" width="6.7109375" style="598" customWidth="1"/>
    <col min="5135" max="5136" width="9.5703125" style="598" bestFit="1" customWidth="1"/>
    <col min="5137" max="5137" width="6.7109375" style="598" customWidth="1"/>
    <col min="5138" max="5139" width="9.7109375" style="598" customWidth="1"/>
    <col min="5140" max="5140" width="20.7109375" style="598" customWidth="1"/>
    <col min="5141" max="5141" width="17.85546875" style="598" customWidth="1"/>
    <col min="5142" max="5142" width="23.5703125" style="598" customWidth="1"/>
    <col min="5143" max="5143" width="11" style="598" bestFit="1" customWidth="1"/>
    <col min="5144" max="5144" width="7" style="598" bestFit="1" customWidth="1"/>
    <col min="5145" max="5145" width="11" style="598" bestFit="1" customWidth="1"/>
    <col min="5146" max="5379" width="9.140625" style="598"/>
    <col min="5380" max="5380" width="4" style="598" bestFit="1" customWidth="1"/>
    <col min="5381" max="5381" width="37.28515625" style="598" customWidth="1"/>
    <col min="5382" max="5382" width="11.42578125" style="598" customWidth="1"/>
    <col min="5383" max="5383" width="5.85546875" style="598" bestFit="1" customWidth="1"/>
    <col min="5384" max="5384" width="5" style="598" bestFit="1" customWidth="1"/>
    <col min="5385" max="5385" width="8.5703125" style="598" bestFit="1" customWidth="1"/>
    <col min="5386" max="5386" width="9.5703125" style="598" bestFit="1" customWidth="1"/>
    <col min="5387" max="5387" width="5" style="598" bestFit="1" customWidth="1"/>
    <col min="5388" max="5388" width="8.5703125" style="598" bestFit="1" customWidth="1"/>
    <col min="5389" max="5389" width="9.5703125" style="598" bestFit="1" customWidth="1"/>
    <col min="5390" max="5390" width="6.7109375" style="598" customWidth="1"/>
    <col min="5391" max="5392" width="9.5703125" style="598" bestFit="1" customWidth="1"/>
    <col min="5393" max="5393" width="6.7109375" style="598" customWidth="1"/>
    <col min="5394" max="5395" width="9.7109375" style="598" customWidth="1"/>
    <col min="5396" max="5396" width="20.7109375" style="598" customWidth="1"/>
    <col min="5397" max="5397" width="17.85546875" style="598" customWidth="1"/>
    <col min="5398" max="5398" width="23.5703125" style="598" customWidth="1"/>
    <col min="5399" max="5399" width="11" style="598" bestFit="1" customWidth="1"/>
    <col min="5400" max="5400" width="7" style="598" bestFit="1" customWidth="1"/>
    <col min="5401" max="5401" width="11" style="598" bestFit="1" customWidth="1"/>
    <col min="5402" max="5635" width="9.140625" style="598"/>
    <col min="5636" max="5636" width="4" style="598" bestFit="1" customWidth="1"/>
    <col min="5637" max="5637" width="37.28515625" style="598" customWidth="1"/>
    <col min="5638" max="5638" width="11.42578125" style="598" customWidth="1"/>
    <col min="5639" max="5639" width="5.85546875" style="598" bestFit="1" customWidth="1"/>
    <col min="5640" max="5640" width="5" style="598" bestFit="1" customWidth="1"/>
    <col min="5641" max="5641" width="8.5703125" style="598" bestFit="1" customWidth="1"/>
    <col min="5642" max="5642" width="9.5703125" style="598" bestFit="1" customWidth="1"/>
    <col min="5643" max="5643" width="5" style="598" bestFit="1" customWidth="1"/>
    <col min="5644" max="5644" width="8.5703125" style="598" bestFit="1" customWidth="1"/>
    <col min="5645" max="5645" width="9.5703125" style="598" bestFit="1" customWidth="1"/>
    <col min="5646" max="5646" width="6.7109375" style="598" customWidth="1"/>
    <col min="5647" max="5648" width="9.5703125" style="598" bestFit="1" customWidth="1"/>
    <col min="5649" max="5649" width="6.7109375" style="598" customWidth="1"/>
    <col min="5650" max="5651" width="9.7109375" style="598" customWidth="1"/>
    <col min="5652" max="5652" width="20.7109375" style="598" customWidth="1"/>
    <col min="5653" max="5653" width="17.85546875" style="598" customWidth="1"/>
    <col min="5654" max="5654" width="23.5703125" style="598" customWidth="1"/>
    <col min="5655" max="5655" width="11" style="598" bestFit="1" customWidth="1"/>
    <col min="5656" max="5656" width="7" style="598" bestFit="1" customWidth="1"/>
    <col min="5657" max="5657" width="11" style="598" bestFit="1" customWidth="1"/>
    <col min="5658" max="5891" width="9.140625" style="598"/>
    <col min="5892" max="5892" width="4" style="598" bestFit="1" customWidth="1"/>
    <col min="5893" max="5893" width="37.28515625" style="598" customWidth="1"/>
    <col min="5894" max="5894" width="11.42578125" style="598" customWidth="1"/>
    <col min="5895" max="5895" width="5.85546875" style="598" bestFit="1" customWidth="1"/>
    <col min="5896" max="5896" width="5" style="598" bestFit="1" customWidth="1"/>
    <col min="5897" max="5897" width="8.5703125" style="598" bestFit="1" customWidth="1"/>
    <col min="5898" max="5898" width="9.5703125" style="598" bestFit="1" customWidth="1"/>
    <col min="5899" max="5899" width="5" style="598" bestFit="1" customWidth="1"/>
    <col min="5900" max="5900" width="8.5703125" style="598" bestFit="1" customWidth="1"/>
    <col min="5901" max="5901" width="9.5703125" style="598" bestFit="1" customWidth="1"/>
    <col min="5902" max="5902" width="6.7109375" style="598" customWidth="1"/>
    <col min="5903" max="5904" width="9.5703125" style="598" bestFit="1" customWidth="1"/>
    <col min="5905" max="5905" width="6.7109375" style="598" customWidth="1"/>
    <col min="5906" max="5907" width="9.7109375" style="598" customWidth="1"/>
    <col min="5908" max="5908" width="20.7109375" style="598" customWidth="1"/>
    <col min="5909" max="5909" width="17.85546875" style="598" customWidth="1"/>
    <col min="5910" max="5910" width="23.5703125" style="598" customWidth="1"/>
    <col min="5911" max="5911" width="11" style="598" bestFit="1" customWidth="1"/>
    <col min="5912" max="5912" width="7" style="598" bestFit="1" customWidth="1"/>
    <col min="5913" max="5913" width="11" style="598" bestFit="1" customWidth="1"/>
    <col min="5914" max="6147" width="9.140625" style="598"/>
    <col min="6148" max="6148" width="4" style="598" bestFit="1" customWidth="1"/>
    <col min="6149" max="6149" width="37.28515625" style="598" customWidth="1"/>
    <col min="6150" max="6150" width="11.42578125" style="598" customWidth="1"/>
    <col min="6151" max="6151" width="5.85546875" style="598" bestFit="1" customWidth="1"/>
    <col min="6152" max="6152" width="5" style="598" bestFit="1" customWidth="1"/>
    <col min="6153" max="6153" width="8.5703125" style="598" bestFit="1" customWidth="1"/>
    <col min="6154" max="6154" width="9.5703125" style="598" bestFit="1" customWidth="1"/>
    <col min="6155" max="6155" width="5" style="598" bestFit="1" customWidth="1"/>
    <col min="6156" max="6156" width="8.5703125" style="598" bestFit="1" customWidth="1"/>
    <col min="6157" max="6157" width="9.5703125" style="598" bestFit="1" customWidth="1"/>
    <col min="6158" max="6158" width="6.7109375" style="598" customWidth="1"/>
    <col min="6159" max="6160" width="9.5703125" style="598" bestFit="1" customWidth="1"/>
    <col min="6161" max="6161" width="6.7109375" style="598" customWidth="1"/>
    <col min="6162" max="6163" width="9.7109375" style="598" customWidth="1"/>
    <col min="6164" max="6164" width="20.7109375" style="598" customWidth="1"/>
    <col min="6165" max="6165" width="17.85546875" style="598" customWidth="1"/>
    <col min="6166" max="6166" width="23.5703125" style="598" customWidth="1"/>
    <col min="6167" max="6167" width="11" style="598" bestFit="1" customWidth="1"/>
    <col min="6168" max="6168" width="7" style="598" bestFit="1" customWidth="1"/>
    <col min="6169" max="6169" width="11" style="598" bestFit="1" customWidth="1"/>
    <col min="6170" max="6403" width="9.140625" style="598"/>
    <col min="6404" max="6404" width="4" style="598" bestFit="1" customWidth="1"/>
    <col min="6405" max="6405" width="37.28515625" style="598" customWidth="1"/>
    <col min="6406" max="6406" width="11.42578125" style="598" customWidth="1"/>
    <col min="6407" max="6407" width="5.85546875" style="598" bestFit="1" customWidth="1"/>
    <col min="6408" max="6408" width="5" style="598" bestFit="1" customWidth="1"/>
    <col min="6409" max="6409" width="8.5703125" style="598" bestFit="1" customWidth="1"/>
    <col min="6410" max="6410" width="9.5703125" style="598" bestFit="1" customWidth="1"/>
    <col min="6411" max="6411" width="5" style="598" bestFit="1" customWidth="1"/>
    <col min="6412" max="6412" width="8.5703125" style="598" bestFit="1" customWidth="1"/>
    <col min="6413" max="6413" width="9.5703125" style="598" bestFit="1" customWidth="1"/>
    <col min="6414" max="6414" width="6.7109375" style="598" customWidth="1"/>
    <col min="6415" max="6416" width="9.5703125" style="598" bestFit="1" customWidth="1"/>
    <col min="6417" max="6417" width="6.7109375" style="598" customWidth="1"/>
    <col min="6418" max="6419" width="9.7109375" style="598" customWidth="1"/>
    <col min="6420" max="6420" width="20.7109375" style="598" customWidth="1"/>
    <col min="6421" max="6421" width="17.85546875" style="598" customWidth="1"/>
    <col min="6422" max="6422" width="23.5703125" style="598" customWidth="1"/>
    <col min="6423" max="6423" width="11" style="598" bestFit="1" customWidth="1"/>
    <col min="6424" max="6424" width="7" style="598" bestFit="1" customWidth="1"/>
    <col min="6425" max="6425" width="11" style="598" bestFit="1" customWidth="1"/>
    <col min="6426" max="6659" width="9.140625" style="598"/>
    <col min="6660" max="6660" width="4" style="598" bestFit="1" customWidth="1"/>
    <col min="6661" max="6661" width="37.28515625" style="598" customWidth="1"/>
    <col min="6662" max="6662" width="11.42578125" style="598" customWidth="1"/>
    <col min="6663" max="6663" width="5.85546875" style="598" bestFit="1" customWidth="1"/>
    <col min="6664" max="6664" width="5" style="598" bestFit="1" customWidth="1"/>
    <col min="6665" max="6665" width="8.5703125" style="598" bestFit="1" customWidth="1"/>
    <col min="6666" max="6666" width="9.5703125" style="598" bestFit="1" customWidth="1"/>
    <col min="6667" max="6667" width="5" style="598" bestFit="1" customWidth="1"/>
    <col min="6668" max="6668" width="8.5703125" style="598" bestFit="1" customWidth="1"/>
    <col min="6669" max="6669" width="9.5703125" style="598" bestFit="1" customWidth="1"/>
    <col min="6670" max="6670" width="6.7109375" style="598" customWidth="1"/>
    <col min="6671" max="6672" width="9.5703125" style="598" bestFit="1" customWidth="1"/>
    <col min="6673" max="6673" width="6.7109375" style="598" customWidth="1"/>
    <col min="6674" max="6675" width="9.7109375" style="598" customWidth="1"/>
    <col min="6676" max="6676" width="20.7109375" style="598" customWidth="1"/>
    <col min="6677" max="6677" width="17.85546875" style="598" customWidth="1"/>
    <col min="6678" max="6678" width="23.5703125" style="598" customWidth="1"/>
    <col min="6679" max="6679" width="11" style="598" bestFit="1" customWidth="1"/>
    <col min="6680" max="6680" width="7" style="598" bestFit="1" customWidth="1"/>
    <col min="6681" max="6681" width="11" style="598" bestFit="1" customWidth="1"/>
    <col min="6682" max="6915" width="9.140625" style="598"/>
    <col min="6916" max="6916" width="4" style="598" bestFit="1" customWidth="1"/>
    <col min="6917" max="6917" width="37.28515625" style="598" customWidth="1"/>
    <col min="6918" max="6918" width="11.42578125" style="598" customWidth="1"/>
    <col min="6919" max="6919" width="5.85546875" style="598" bestFit="1" customWidth="1"/>
    <col min="6920" max="6920" width="5" style="598" bestFit="1" customWidth="1"/>
    <col min="6921" max="6921" width="8.5703125" style="598" bestFit="1" customWidth="1"/>
    <col min="6922" max="6922" width="9.5703125" style="598" bestFit="1" customWidth="1"/>
    <col min="6923" max="6923" width="5" style="598" bestFit="1" customWidth="1"/>
    <col min="6924" max="6924" width="8.5703125" style="598" bestFit="1" customWidth="1"/>
    <col min="6925" max="6925" width="9.5703125" style="598" bestFit="1" customWidth="1"/>
    <col min="6926" max="6926" width="6.7109375" style="598" customWidth="1"/>
    <col min="6927" max="6928" width="9.5703125" style="598" bestFit="1" customWidth="1"/>
    <col min="6929" max="6929" width="6.7109375" style="598" customWidth="1"/>
    <col min="6930" max="6931" width="9.7109375" style="598" customWidth="1"/>
    <col min="6932" max="6932" width="20.7109375" style="598" customWidth="1"/>
    <col min="6933" max="6933" width="17.85546875" style="598" customWidth="1"/>
    <col min="6934" max="6934" width="23.5703125" style="598" customWidth="1"/>
    <col min="6935" max="6935" width="11" style="598" bestFit="1" customWidth="1"/>
    <col min="6936" max="6936" width="7" style="598" bestFit="1" customWidth="1"/>
    <col min="6937" max="6937" width="11" style="598" bestFit="1" customWidth="1"/>
    <col min="6938" max="7171" width="9.140625" style="598"/>
    <col min="7172" max="7172" width="4" style="598" bestFit="1" customWidth="1"/>
    <col min="7173" max="7173" width="37.28515625" style="598" customWidth="1"/>
    <col min="7174" max="7174" width="11.42578125" style="598" customWidth="1"/>
    <col min="7175" max="7175" width="5.85546875" style="598" bestFit="1" customWidth="1"/>
    <col min="7176" max="7176" width="5" style="598" bestFit="1" customWidth="1"/>
    <col min="7177" max="7177" width="8.5703125" style="598" bestFit="1" customWidth="1"/>
    <col min="7178" max="7178" width="9.5703125" style="598" bestFit="1" customWidth="1"/>
    <col min="7179" max="7179" width="5" style="598" bestFit="1" customWidth="1"/>
    <col min="7180" max="7180" width="8.5703125" style="598" bestFit="1" customWidth="1"/>
    <col min="7181" max="7181" width="9.5703125" style="598" bestFit="1" customWidth="1"/>
    <col min="7182" max="7182" width="6.7109375" style="598" customWidth="1"/>
    <col min="7183" max="7184" width="9.5703125" style="598" bestFit="1" customWidth="1"/>
    <col min="7185" max="7185" width="6.7109375" style="598" customWidth="1"/>
    <col min="7186" max="7187" width="9.7109375" style="598" customWidth="1"/>
    <col min="7188" max="7188" width="20.7109375" style="598" customWidth="1"/>
    <col min="7189" max="7189" width="17.85546875" style="598" customWidth="1"/>
    <col min="7190" max="7190" width="23.5703125" style="598" customWidth="1"/>
    <col min="7191" max="7191" width="11" style="598" bestFit="1" customWidth="1"/>
    <col min="7192" max="7192" width="7" style="598" bestFit="1" customWidth="1"/>
    <col min="7193" max="7193" width="11" style="598" bestFit="1" customWidth="1"/>
    <col min="7194" max="7427" width="9.140625" style="598"/>
    <col min="7428" max="7428" width="4" style="598" bestFit="1" customWidth="1"/>
    <col min="7429" max="7429" width="37.28515625" style="598" customWidth="1"/>
    <col min="7430" max="7430" width="11.42578125" style="598" customWidth="1"/>
    <col min="7431" max="7431" width="5.85546875" style="598" bestFit="1" customWidth="1"/>
    <col min="7432" max="7432" width="5" style="598" bestFit="1" customWidth="1"/>
    <col min="7433" max="7433" width="8.5703125" style="598" bestFit="1" customWidth="1"/>
    <col min="7434" max="7434" width="9.5703125" style="598" bestFit="1" customWidth="1"/>
    <col min="7435" max="7435" width="5" style="598" bestFit="1" customWidth="1"/>
    <col min="7436" max="7436" width="8.5703125" style="598" bestFit="1" customWidth="1"/>
    <col min="7437" max="7437" width="9.5703125" style="598" bestFit="1" customWidth="1"/>
    <col min="7438" max="7438" width="6.7109375" style="598" customWidth="1"/>
    <col min="7439" max="7440" width="9.5703125" style="598" bestFit="1" customWidth="1"/>
    <col min="7441" max="7441" width="6.7109375" style="598" customWidth="1"/>
    <col min="7442" max="7443" width="9.7109375" style="598" customWidth="1"/>
    <col min="7444" max="7444" width="20.7109375" style="598" customWidth="1"/>
    <col min="7445" max="7445" width="17.85546875" style="598" customWidth="1"/>
    <col min="7446" max="7446" width="23.5703125" style="598" customWidth="1"/>
    <col min="7447" max="7447" width="11" style="598" bestFit="1" customWidth="1"/>
    <col min="7448" max="7448" width="7" style="598" bestFit="1" customWidth="1"/>
    <col min="7449" max="7449" width="11" style="598" bestFit="1" customWidth="1"/>
    <col min="7450" max="7683" width="9.140625" style="598"/>
    <col min="7684" max="7684" width="4" style="598" bestFit="1" customWidth="1"/>
    <col min="7685" max="7685" width="37.28515625" style="598" customWidth="1"/>
    <col min="7686" max="7686" width="11.42578125" style="598" customWidth="1"/>
    <col min="7687" max="7687" width="5.85546875" style="598" bestFit="1" customWidth="1"/>
    <col min="7688" max="7688" width="5" style="598" bestFit="1" customWidth="1"/>
    <col min="7689" max="7689" width="8.5703125" style="598" bestFit="1" customWidth="1"/>
    <col min="7690" max="7690" width="9.5703125" style="598" bestFit="1" customWidth="1"/>
    <col min="7691" max="7691" width="5" style="598" bestFit="1" customWidth="1"/>
    <col min="7692" max="7692" width="8.5703125" style="598" bestFit="1" customWidth="1"/>
    <col min="7693" max="7693" width="9.5703125" style="598" bestFit="1" customWidth="1"/>
    <col min="7694" max="7694" width="6.7109375" style="598" customWidth="1"/>
    <col min="7695" max="7696" width="9.5703125" style="598" bestFit="1" customWidth="1"/>
    <col min="7697" max="7697" width="6.7109375" style="598" customWidth="1"/>
    <col min="7698" max="7699" width="9.7109375" style="598" customWidth="1"/>
    <col min="7700" max="7700" width="20.7109375" style="598" customWidth="1"/>
    <col min="7701" max="7701" width="17.85546875" style="598" customWidth="1"/>
    <col min="7702" max="7702" width="23.5703125" style="598" customWidth="1"/>
    <col min="7703" max="7703" width="11" style="598" bestFit="1" customWidth="1"/>
    <col min="7704" max="7704" width="7" style="598" bestFit="1" customWidth="1"/>
    <col min="7705" max="7705" width="11" style="598" bestFit="1" customWidth="1"/>
    <col min="7706" max="7939" width="9.140625" style="598"/>
    <col min="7940" max="7940" width="4" style="598" bestFit="1" customWidth="1"/>
    <col min="7941" max="7941" width="37.28515625" style="598" customWidth="1"/>
    <col min="7942" max="7942" width="11.42578125" style="598" customWidth="1"/>
    <col min="7943" max="7943" width="5.85546875" style="598" bestFit="1" customWidth="1"/>
    <col min="7944" max="7944" width="5" style="598" bestFit="1" customWidth="1"/>
    <col min="7945" max="7945" width="8.5703125" style="598" bestFit="1" customWidth="1"/>
    <col min="7946" max="7946" width="9.5703125" style="598" bestFit="1" customWidth="1"/>
    <col min="7947" max="7947" width="5" style="598" bestFit="1" customWidth="1"/>
    <col min="7948" max="7948" width="8.5703125" style="598" bestFit="1" customWidth="1"/>
    <col min="7949" max="7949" width="9.5703125" style="598" bestFit="1" customWidth="1"/>
    <col min="7950" max="7950" width="6.7109375" style="598" customWidth="1"/>
    <col min="7951" max="7952" width="9.5703125" style="598" bestFit="1" customWidth="1"/>
    <col min="7953" max="7953" width="6.7109375" style="598" customWidth="1"/>
    <col min="7954" max="7955" width="9.7109375" style="598" customWidth="1"/>
    <col min="7956" max="7956" width="20.7109375" style="598" customWidth="1"/>
    <col min="7957" max="7957" width="17.85546875" style="598" customWidth="1"/>
    <col min="7958" max="7958" width="23.5703125" style="598" customWidth="1"/>
    <col min="7959" max="7959" width="11" style="598" bestFit="1" customWidth="1"/>
    <col min="7960" max="7960" width="7" style="598" bestFit="1" customWidth="1"/>
    <col min="7961" max="7961" width="11" style="598" bestFit="1" customWidth="1"/>
    <col min="7962" max="8195" width="9.140625" style="598"/>
    <col min="8196" max="8196" width="4" style="598" bestFit="1" customWidth="1"/>
    <col min="8197" max="8197" width="37.28515625" style="598" customWidth="1"/>
    <col min="8198" max="8198" width="11.42578125" style="598" customWidth="1"/>
    <col min="8199" max="8199" width="5.85546875" style="598" bestFit="1" customWidth="1"/>
    <col min="8200" max="8200" width="5" style="598" bestFit="1" customWidth="1"/>
    <col min="8201" max="8201" width="8.5703125" style="598" bestFit="1" customWidth="1"/>
    <col min="8202" max="8202" width="9.5703125" style="598" bestFit="1" customWidth="1"/>
    <col min="8203" max="8203" width="5" style="598" bestFit="1" customWidth="1"/>
    <col min="8204" max="8204" width="8.5703125" style="598" bestFit="1" customWidth="1"/>
    <col min="8205" max="8205" width="9.5703125" style="598" bestFit="1" customWidth="1"/>
    <col min="8206" max="8206" width="6.7109375" style="598" customWidth="1"/>
    <col min="8207" max="8208" width="9.5703125" style="598" bestFit="1" customWidth="1"/>
    <col min="8209" max="8209" width="6.7109375" style="598" customWidth="1"/>
    <col min="8210" max="8211" width="9.7109375" style="598" customWidth="1"/>
    <col min="8212" max="8212" width="20.7109375" style="598" customWidth="1"/>
    <col min="8213" max="8213" width="17.85546875" style="598" customWidth="1"/>
    <col min="8214" max="8214" width="23.5703125" style="598" customWidth="1"/>
    <col min="8215" max="8215" width="11" style="598" bestFit="1" customWidth="1"/>
    <col min="8216" max="8216" width="7" style="598" bestFit="1" customWidth="1"/>
    <col min="8217" max="8217" width="11" style="598" bestFit="1" customWidth="1"/>
    <col min="8218" max="8451" width="9.140625" style="598"/>
    <col min="8452" max="8452" width="4" style="598" bestFit="1" customWidth="1"/>
    <col min="8453" max="8453" width="37.28515625" style="598" customWidth="1"/>
    <col min="8454" max="8454" width="11.42578125" style="598" customWidth="1"/>
    <col min="8455" max="8455" width="5.85546875" style="598" bestFit="1" customWidth="1"/>
    <col min="8456" max="8456" width="5" style="598" bestFit="1" customWidth="1"/>
    <col min="8457" max="8457" width="8.5703125" style="598" bestFit="1" customWidth="1"/>
    <col min="8458" max="8458" width="9.5703125" style="598" bestFit="1" customWidth="1"/>
    <col min="8459" max="8459" width="5" style="598" bestFit="1" customWidth="1"/>
    <col min="8460" max="8460" width="8.5703125" style="598" bestFit="1" customWidth="1"/>
    <col min="8461" max="8461" width="9.5703125" style="598" bestFit="1" customWidth="1"/>
    <col min="8462" max="8462" width="6.7109375" style="598" customWidth="1"/>
    <col min="8463" max="8464" width="9.5703125" style="598" bestFit="1" customWidth="1"/>
    <col min="8465" max="8465" width="6.7109375" style="598" customWidth="1"/>
    <col min="8466" max="8467" width="9.7109375" style="598" customWidth="1"/>
    <col min="8468" max="8468" width="20.7109375" style="598" customWidth="1"/>
    <col min="8469" max="8469" width="17.85546875" style="598" customWidth="1"/>
    <col min="8470" max="8470" width="23.5703125" style="598" customWidth="1"/>
    <col min="8471" max="8471" width="11" style="598" bestFit="1" customWidth="1"/>
    <col min="8472" max="8472" width="7" style="598" bestFit="1" customWidth="1"/>
    <col min="8473" max="8473" width="11" style="598" bestFit="1" customWidth="1"/>
    <col min="8474" max="8707" width="9.140625" style="598"/>
    <col min="8708" max="8708" width="4" style="598" bestFit="1" customWidth="1"/>
    <col min="8709" max="8709" width="37.28515625" style="598" customWidth="1"/>
    <col min="8710" max="8710" width="11.42578125" style="598" customWidth="1"/>
    <col min="8711" max="8711" width="5.85546875" style="598" bestFit="1" customWidth="1"/>
    <col min="8712" max="8712" width="5" style="598" bestFit="1" customWidth="1"/>
    <col min="8713" max="8713" width="8.5703125" style="598" bestFit="1" customWidth="1"/>
    <col min="8714" max="8714" width="9.5703125" style="598" bestFit="1" customWidth="1"/>
    <col min="8715" max="8715" width="5" style="598" bestFit="1" customWidth="1"/>
    <col min="8716" max="8716" width="8.5703125" style="598" bestFit="1" customWidth="1"/>
    <col min="8717" max="8717" width="9.5703125" style="598" bestFit="1" customWidth="1"/>
    <col min="8718" max="8718" width="6.7109375" style="598" customWidth="1"/>
    <col min="8719" max="8720" width="9.5703125" style="598" bestFit="1" customWidth="1"/>
    <col min="8721" max="8721" width="6.7109375" style="598" customWidth="1"/>
    <col min="8722" max="8723" width="9.7109375" style="598" customWidth="1"/>
    <col min="8724" max="8724" width="20.7109375" style="598" customWidth="1"/>
    <col min="8725" max="8725" width="17.85546875" style="598" customWidth="1"/>
    <col min="8726" max="8726" width="23.5703125" style="598" customWidth="1"/>
    <col min="8727" max="8727" width="11" style="598" bestFit="1" customWidth="1"/>
    <col min="8728" max="8728" width="7" style="598" bestFit="1" customWidth="1"/>
    <col min="8729" max="8729" width="11" style="598" bestFit="1" customWidth="1"/>
    <col min="8730" max="8963" width="9.140625" style="598"/>
    <col min="8964" max="8964" width="4" style="598" bestFit="1" customWidth="1"/>
    <col min="8965" max="8965" width="37.28515625" style="598" customWidth="1"/>
    <col min="8966" max="8966" width="11.42578125" style="598" customWidth="1"/>
    <col min="8967" max="8967" width="5.85546875" style="598" bestFit="1" customWidth="1"/>
    <col min="8968" max="8968" width="5" style="598" bestFit="1" customWidth="1"/>
    <col min="8969" max="8969" width="8.5703125" style="598" bestFit="1" customWidth="1"/>
    <col min="8970" max="8970" width="9.5703125" style="598" bestFit="1" customWidth="1"/>
    <col min="8971" max="8971" width="5" style="598" bestFit="1" customWidth="1"/>
    <col min="8972" max="8972" width="8.5703125" style="598" bestFit="1" customWidth="1"/>
    <col min="8973" max="8973" width="9.5703125" style="598" bestFit="1" customWidth="1"/>
    <col min="8974" max="8974" width="6.7109375" style="598" customWidth="1"/>
    <col min="8975" max="8976" width="9.5703125" style="598" bestFit="1" customWidth="1"/>
    <col min="8977" max="8977" width="6.7109375" style="598" customWidth="1"/>
    <col min="8978" max="8979" width="9.7109375" style="598" customWidth="1"/>
    <col min="8980" max="8980" width="20.7109375" style="598" customWidth="1"/>
    <col min="8981" max="8981" width="17.85546875" style="598" customWidth="1"/>
    <col min="8982" max="8982" width="23.5703125" style="598" customWidth="1"/>
    <col min="8983" max="8983" width="11" style="598" bestFit="1" customWidth="1"/>
    <col min="8984" max="8984" width="7" style="598" bestFit="1" customWidth="1"/>
    <col min="8985" max="8985" width="11" style="598" bestFit="1" customWidth="1"/>
    <col min="8986" max="9219" width="9.140625" style="598"/>
    <col min="9220" max="9220" width="4" style="598" bestFit="1" customWidth="1"/>
    <col min="9221" max="9221" width="37.28515625" style="598" customWidth="1"/>
    <col min="9222" max="9222" width="11.42578125" style="598" customWidth="1"/>
    <col min="9223" max="9223" width="5.85546875" style="598" bestFit="1" customWidth="1"/>
    <col min="9224" max="9224" width="5" style="598" bestFit="1" customWidth="1"/>
    <col min="9225" max="9225" width="8.5703125" style="598" bestFit="1" customWidth="1"/>
    <col min="9226" max="9226" width="9.5703125" style="598" bestFit="1" customWidth="1"/>
    <col min="9227" max="9227" width="5" style="598" bestFit="1" customWidth="1"/>
    <col min="9228" max="9228" width="8.5703125" style="598" bestFit="1" customWidth="1"/>
    <col min="9229" max="9229" width="9.5703125" style="598" bestFit="1" customWidth="1"/>
    <col min="9230" max="9230" width="6.7109375" style="598" customWidth="1"/>
    <col min="9231" max="9232" width="9.5703125" style="598" bestFit="1" customWidth="1"/>
    <col min="9233" max="9233" width="6.7109375" style="598" customWidth="1"/>
    <col min="9234" max="9235" width="9.7109375" style="598" customWidth="1"/>
    <col min="9236" max="9236" width="20.7109375" style="598" customWidth="1"/>
    <col min="9237" max="9237" width="17.85546875" style="598" customWidth="1"/>
    <col min="9238" max="9238" width="23.5703125" style="598" customWidth="1"/>
    <col min="9239" max="9239" width="11" style="598" bestFit="1" customWidth="1"/>
    <col min="9240" max="9240" width="7" style="598" bestFit="1" customWidth="1"/>
    <col min="9241" max="9241" width="11" style="598" bestFit="1" customWidth="1"/>
    <col min="9242" max="9475" width="9.140625" style="598"/>
    <col min="9476" max="9476" width="4" style="598" bestFit="1" customWidth="1"/>
    <col min="9477" max="9477" width="37.28515625" style="598" customWidth="1"/>
    <col min="9478" max="9478" width="11.42578125" style="598" customWidth="1"/>
    <col min="9479" max="9479" width="5.85546875" style="598" bestFit="1" customWidth="1"/>
    <col min="9480" max="9480" width="5" style="598" bestFit="1" customWidth="1"/>
    <col min="9481" max="9481" width="8.5703125" style="598" bestFit="1" customWidth="1"/>
    <col min="9482" max="9482" width="9.5703125" style="598" bestFit="1" customWidth="1"/>
    <col min="9483" max="9483" width="5" style="598" bestFit="1" customWidth="1"/>
    <col min="9484" max="9484" width="8.5703125" style="598" bestFit="1" customWidth="1"/>
    <col min="9485" max="9485" width="9.5703125" style="598" bestFit="1" customWidth="1"/>
    <col min="9486" max="9486" width="6.7109375" style="598" customWidth="1"/>
    <col min="9487" max="9488" width="9.5703125" style="598" bestFit="1" customWidth="1"/>
    <col min="9489" max="9489" width="6.7109375" style="598" customWidth="1"/>
    <col min="9490" max="9491" width="9.7109375" style="598" customWidth="1"/>
    <col min="9492" max="9492" width="20.7109375" style="598" customWidth="1"/>
    <col min="9493" max="9493" width="17.85546875" style="598" customWidth="1"/>
    <col min="9494" max="9494" width="23.5703125" style="598" customWidth="1"/>
    <col min="9495" max="9495" width="11" style="598" bestFit="1" customWidth="1"/>
    <col min="9496" max="9496" width="7" style="598" bestFit="1" customWidth="1"/>
    <col min="9497" max="9497" width="11" style="598" bestFit="1" customWidth="1"/>
    <col min="9498" max="9731" width="9.140625" style="598"/>
    <col min="9732" max="9732" width="4" style="598" bestFit="1" customWidth="1"/>
    <col min="9733" max="9733" width="37.28515625" style="598" customWidth="1"/>
    <col min="9734" max="9734" width="11.42578125" style="598" customWidth="1"/>
    <col min="9735" max="9735" width="5.85546875" style="598" bestFit="1" customWidth="1"/>
    <col min="9736" max="9736" width="5" style="598" bestFit="1" customWidth="1"/>
    <col min="9737" max="9737" width="8.5703125" style="598" bestFit="1" customWidth="1"/>
    <col min="9738" max="9738" width="9.5703125" style="598" bestFit="1" customWidth="1"/>
    <col min="9739" max="9739" width="5" style="598" bestFit="1" customWidth="1"/>
    <col min="9740" max="9740" width="8.5703125" style="598" bestFit="1" customWidth="1"/>
    <col min="9741" max="9741" width="9.5703125" style="598" bestFit="1" customWidth="1"/>
    <col min="9742" max="9742" width="6.7109375" style="598" customWidth="1"/>
    <col min="9743" max="9744" width="9.5703125" style="598" bestFit="1" customWidth="1"/>
    <col min="9745" max="9745" width="6.7109375" style="598" customWidth="1"/>
    <col min="9746" max="9747" width="9.7109375" style="598" customWidth="1"/>
    <col min="9748" max="9748" width="20.7109375" style="598" customWidth="1"/>
    <col min="9749" max="9749" width="17.85546875" style="598" customWidth="1"/>
    <col min="9750" max="9750" width="23.5703125" style="598" customWidth="1"/>
    <col min="9751" max="9751" width="11" style="598" bestFit="1" customWidth="1"/>
    <col min="9752" max="9752" width="7" style="598" bestFit="1" customWidth="1"/>
    <col min="9753" max="9753" width="11" style="598" bestFit="1" customWidth="1"/>
    <col min="9754" max="9987" width="9.140625" style="598"/>
    <col min="9988" max="9988" width="4" style="598" bestFit="1" customWidth="1"/>
    <col min="9989" max="9989" width="37.28515625" style="598" customWidth="1"/>
    <col min="9990" max="9990" width="11.42578125" style="598" customWidth="1"/>
    <col min="9991" max="9991" width="5.85546875" style="598" bestFit="1" customWidth="1"/>
    <col min="9992" max="9992" width="5" style="598" bestFit="1" customWidth="1"/>
    <col min="9993" max="9993" width="8.5703125" style="598" bestFit="1" customWidth="1"/>
    <col min="9994" max="9994" width="9.5703125" style="598" bestFit="1" customWidth="1"/>
    <col min="9995" max="9995" width="5" style="598" bestFit="1" customWidth="1"/>
    <col min="9996" max="9996" width="8.5703125" style="598" bestFit="1" customWidth="1"/>
    <col min="9997" max="9997" width="9.5703125" style="598" bestFit="1" customWidth="1"/>
    <col min="9998" max="9998" width="6.7109375" style="598" customWidth="1"/>
    <col min="9999" max="10000" width="9.5703125" style="598" bestFit="1" customWidth="1"/>
    <col min="10001" max="10001" width="6.7109375" style="598" customWidth="1"/>
    <col min="10002" max="10003" width="9.7109375" style="598" customWidth="1"/>
    <col min="10004" max="10004" width="20.7109375" style="598" customWidth="1"/>
    <col min="10005" max="10005" width="17.85546875" style="598" customWidth="1"/>
    <col min="10006" max="10006" width="23.5703125" style="598" customWidth="1"/>
    <col min="10007" max="10007" width="11" style="598" bestFit="1" customWidth="1"/>
    <col min="10008" max="10008" width="7" style="598" bestFit="1" customWidth="1"/>
    <col min="10009" max="10009" width="11" style="598" bestFit="1" customWidth="1"/>
    <col min="10010" max="10243" width="9.140625" style="598"/>
    <col min="10244" max="10244" width="4" style="598" bestFit="1" customWidth="1"/>
    <col min="10245" max="10245" width="37.28515625" style="598" customWidth="1"/>
    <col min="10246" max="10246" width="11.42578125" style="598" customWidth="1"/>
    <col min="10247" max="10247" width="5.85546875" style="598" bestFit="1" customWidth="1"/>
    <col min="10248" max="10248" width="5" style="598" bestFit="1" customWidth="1"/>
    <col min="10249" max="10249" width="8.5703125" style="598" bestFit="1" customWidth="1"/>
    <col min="10250" max="10250" width="9.5703125" style="598" bestFit="1" customWidth="1"/>
    <col min="10251" max="10251" width="5" style="598" bestFit="1" customWidth="1"/>
    <col min="10252" max="10252" width="8.5703125" style="598" bestFit="1" customWidth="1"/>
    <col min="10253" max="10253" width="9.5703125" style="598" bestFit="1" customWidth="1"/>
    <col min="10254" max="10254" width="6.7109375" style="598" customWidth="1"/>
    <col min="10255" max="10256" width="9.5703125" style="598" bestFit="1" customWidth="1"/>
    <col min="10257" max="10257" width="6.7109375" style="598" customWidth="1"/>
    <col min="10258" max="10259" width="9.7109375" style="598" customWidth="1"/>
    <col min="10260" max="10260" width="20.7109375" style="598" customWidth="1"/>
    <col min="10261" max="10261" width="17.85546875" style="598" customWidth="1"/>
    <col min="10262" max="10262" width="23.5703125" style="598" customWidth="1"/>
    <col min="10263" max="10263" width="11" style="598" bestFit="1" customWidth="1"/>
    <col min="10264" max="10264" width="7" style="598" bestFit="1" customWidth="1"/>
    <col min="10265" max="10265" width="11" style="598" bestFit="1" customWidth="1"/>
    <col min="10266" max="10499" width="9.140625" style="598"/>
    <col min="10500" max="10500" width="4" style="598" bestFit="1" customWidth="1"/>
    <col min="10501" max="10501" width="37.28515625" style="598" customWidth="1"/>
    <col min="10502" max="10502" width="11.42578125" style="598" customWidth="1"/>
    <col min="10503" max="10503" width="5.85546875" style="598" bestFit="1" customWidth="1"/>
    <col min="10504" max="10504" width="5" style="598" bestFit="1" customWidth="1"/>
    <col min="10505" max="10505" width="8.5703125" style="598" bestFit="1" customWidth="1"/>
    <col min="10506" max="10506" width="9.5703125" style="598" bestFit="1" customWidth="1"/>
    <col min="10507" max="10507" width="5" style="598" bestFit="1" customWidth="1"/>
    <col min="10508" max="10508" width="8.5703125" style="598" bestFit="1" customWidth="1"/>
    <col min="10509" max="10509" width="9.5703125" style="598" bestFit="1" customWidth="1"/>
    <col min="10510" max="10510" width="6.7109375" style="598" customWidth="1"/>
    <col min="10511" max="10512" width="9.5703125" style="598" bestFit="1" customWidth="1"/>
    <col min="10513" max="10513" width="6.7109375" style="598" customWidth="1"/>
    <col min="10514" max="10515" width="9.7109375" style="598" customWidth="1"/>
    <col min="10516" max="10516" width="20.7109375" style="598" customWidth="1"/>
    <col min="10517" max="10517" width="17.85546875" style="598" customWidth="1"/>
    <col min="10518" max="10518" width="23.5703125" style="598" customWidth="1"/>
    <col min="10519" max="10519" width="11" style="598" bestFit="1" customWidth="1"/>
    <col min="10520" max="10520" width="7" style="598" bestFit="1" customWidth="1"/>
    <col min="10521" max="10521" width="11" style="598" bestFit="1" customWidth="1"/>
    <col min="10522" max="10755" width="9.140625" style="598"/>
    <col min="10756" max="10756" width="4" style="598" bestFit="1" customWidth="1"/>
    <col min="10757" max="10757" width="37.28515625" style="598" customWidth="1"/>
    <col min="10758" max="10758" width="11.42578125" style="598" customWidth="1"/>
    <col min="10759" max="10759" width="5.85546875" style="598" bestFit="1" customWidth="1"/>
    <col min="10760" max="10760" width="5" style="598" bestFit="1" customWidth="1"/>
    <col min="10761" max="10761" width="8.5703125" style="598" bestFit="1" customWidth="1"/>
    <col min="10762" max="10762" width="9.5703125" style="598" bestFit="1" customWidth="1"/>
    <col min="10763" max="10763" width="5" style="598" bestFit="1" customWidth="1"/>
    <col min="10764" max="10764" width="8.5703125" style="598" bestFit="1" customWidth="1"/>
    <col min="10765" max="10765" width="9.5703125" style="598" bestFit="1" customWidth="1"/>
    <col min="10766" max="10766" width="6.7109375" style="598" customWidth="1"/>
    <col min="10767" max="10768" width="9.5703125" style="598" bestFit="1" customWidth="1"/>
    <col min="10769" max="10769" width="6.7109375" style="598" customWidth="1"/>
    <col min="10770" max="10771" width="9.7109375" style="598" customWidth="1"/>
    <col min="10772" max="10772" width="20.7109375" style="598" customWidth="1"/>
    <col min="10773" max="10773" width="17.85546875" style="598" customWidth="1"/>
    <col min="10774" max="10774" width="23.5703125" style="598" customWidth="1"/>
    <col min="10775" max="10775" width="11" style="598" bestFit="1" customWidth="1"/>
    <col min="10776" max="10776" width="7" style="598" bestFit="1" customWidth="1"/>
    <col min="10777" max="10777" width="11" style="598" bestFit="1" customWidth="1"/>
    <col min="10778" max="11011" width="9.140625" style="598"/>
    <col min="11012" max="11012" width="4" style="598" bestFit="1" customWidth="1"/>
    <col min="11013" max="11013" width="37.28515625" style="598" customWidth="1"/>
    <col min="11014" max="11014" width="11.42578125" style="598" customWidth="1"/>
    <col min="11015" max="11015" width="5.85546875" style="598" bestFit="1" customWidth="1"/>
    <col min="11016" max="11016" width="5" style="598" bestFit="1" customWidth="1"/>
    <col min="11017" max="11017" width="8.5703125" style="598" bestFit="1" customWidth="1"/>
    <col min="11018" max="11018" width="9.5703125" style="598" bestFit="1" customWidth="1"/>
    <col min="11019" max="11019" width="5" style="598" bestFit="1" customWidth="1"/>
    <col min="11020" max="11020" width="8.5703125" style="598" bestFit="1" customWidth="1"/>
    <col min="11021" max="11021" width="9.5703125" style="598" bestFit="1" customWidth="1"/>
    <col min="11022" max="11022" width="6.7109375" style="598" customWidth="1"/>
    <col min="11023" max="11024" width="9.5703125" style="598" bestFit="1" customWidth="1"/>
    <col min="11025" max="11025" width="6.7109375" style="598" customWidth="1"/>
    <col min="11026" max="11027" width="9.7109375" style="598" customWidth="1"/>
    <col min="11028" max="11028" width="20.7109375" style="598" customWidth="1"/>
    <col min="11029" max="11029" width="17.85546875" style="598" customWidth="1"/>
    <col min="11030" max="11030" width="23.5703125" style="598" customWidth="1"/>
    <col min="11031" max="11031" width="11" style="598" bestFit="1" customWidth="1"/>
    <col min="11032" max="11032" width="7" style="598" bestFit="1" customWidth="1"/>
    <col min="11033" max="11033" width="11" style="598" bestFit="1" customWidth="1"/>
    <col min="11034" max="11267" width="9.140625" style="598"/>
    <col min="11268" max="11268" width="4" style="598" bestFit="1" customWidth="1"/>
    <col min="11269" max="11269" width="37.28515625" style="598" customWidth="1"/>
    <col min="11270" max="11270" width="11.42578125" style="598" customWidth="1"/>
    <col min="11271" max="11271" width="5.85546875" style="598" bestFit="1" customWidth="1"/>
    <col min="11272" max="11272" width="5" style="598" bestFit="1" customWidth="1"/>
    <col min="11273" max="11273" width="8.5703125" style="598" bestFit="1" customWidth="1"/>
    <col min="11274" max="11274" width="9.5703125" style="598" bestFit="1" customWidth="1"/>
    <col min="11275" max="11275" width="5" style="598" bestFit="1" customWidth="1"/>
    <col min="11276" max="11276" width="8.5703125" style="598" bestFit="1" customWidth="1"/>
    <col min="11277" max="11277" width="9.5703125" style="598" bestFit="1" customWidth="1"/>
    <col min="11278" max="11278" width="6.7109375" style="598" customWidth="1"/>
    <col min="11279" max="11280" width="9.5703125" style="598" bestFit="1" customWidth="1"/>
    <col min="11281" max="11281" width="6.7109375" style="598" customWidth="1"/>
    <col min="11282" max="11283" width="9.7109375" style="598" customWidth="1"/>
    <col min="11284" max="11284" width="20.7109375" style="598" customWidth="1"/>
    <col min="11285" max="11285" width="17.85546875" style="598" customWidth="1"/>
    <col min="11286" max="11286" width="23.5703125" style="598" customWidth="1"/>
    <col min="11287" max="11287" width="11" style="598" bestFit="1" customWidth="1"/>
    <col min="11288" max="11288" width="7" style="598" bestFit="1" customWidth="1"/>
    <col min="11289" max="11289" width="11" style="598" bestFit="1" customWidth="1"/>
    <col min="11290" max="11523" width="9.140625" style="598"/>
    <col min="11524" max="11524" width="4" style="598" bestFit="1" customWidth="1"/>
    <col min="11525" max="11525" width="37.28515625" style="598" customWidth="1"/>
    <col min="11526" max="11526" width="11.42578125" style="598" customWidth="1"/>
    <col min="11527" max="11527" width="5.85546875" style="598" bestFit="1" customWidth="1"/>
    <col min="11528" max="11528" width="5" style="598" bestFit="1" customWidth="1"/>
    <col min="11529" max="11529" width="8.5703125" style="598" bestFit="1" customWidth="1"/>
    <col min="11530" max="11530" width="9.5703125" style="598" bestFit="1" customWidth="1"/>
    <col min="11531" max="11531" width="5" style="598" bestFit="1" customWidth="1"/>
    <col min="11532" max="11532" width="8.5703125" style="598" bestFit="1" customWidth="1"/>
    <col min="11533" max="11533" width="9.5703125" style="598" bestFit="1" customWidth="1"/>
    <col min="11534" max="11534" width="6.7109375" style="598" customWidth="1"/>
    <col min="11535" max="11536" width="9.5703125" style="598" bestFit="1" customWidth="1"/>
    <col min="11537" max="11537" width="6.7109375" style="598" customWidth="1"/>
    <col min="11538" max="11539" width="9.7109375" style="598" customWidth="1"/>
    <col min="11540" max="11540" width="20.7109375" style="598" customWidth="1"/>
    <col min="11541" max="11541" width="17.85546875" style="598" customWidth="1"/>
    <col min="11542" max="11542" width="23.5703125" style="598" customWidth="1"/>
    <col min="11543" max="11543" width="11" style="598" bestFit="1" customWidth="1"/>
    <col min="11544" max="11544" width="7" style="598" bestFit="1" customWidth="1"/>
    <col min="11545" max="11545" width="11" style="598" bestFit="1" customWidth="1"/>
    <col min="11546" max="11779" width="9.140625" style="598"/>
    <col min="11780" max="11780" width="4" style="598" bestFit="1" customWidth="1"/>
    <col min="11781" max="11781" width="37.28515625" style="598" customWidth="1"/>
    <col min="11782" max="11782" width="11.42578125" style="598" customWidth="1"/>
    <col min="11783" max="11783" width="5.85546875" style="598" bestFit="1" customWidth="1"/>
    <col min="11784" max="11784" width="5" style="598" bestFit="1" customWidth="1"/>
    <col min="11785" max="11785" width="8.5703125" style="598" bestFit="1" customWidth="1"/>
    <col min="11786" max="11786" width="9.5703125" style="598" bestFit="1" customWidth="1"/>
    <col min="11787" max="11787" width="5" style="598" bestFit="1" customWidth="1"/>
    <col min="11788" max="11788" width="8.5703125" style="598" bestFit="1" customWidth="1"/>
    <col min="11789" max="11789" width="9.5703125" style="598" bestFit="1" customWidth="1"/>
    <col min="11790" max="11790" width="6.7109375" style="598" customWidth="1"/>
    <col min="11791" max="11792" width="9.5703125" style="598" bestFit="1" customWidth="1"/>
    <col min="11793" max="11793" width="6.7109375" style="598" customWidth="1"/>
    <col min="11794" max="11795" width="9.7109375" style="598" customWidth="1"/>
    <col min="11796" max="11796" width="20.7109375" style="598" customWidth="1"/>
    <col min="11797" max="11797" width="17.85546875" style="598" customWidth="1"/>
    <col min="11798" max="11798" width="23.5703125" style="598" customWidth="1"/>
    <col min="11799" max="11799" width="11" style="598" bestFit="1" customWidth="1"/>
    <col min="11800" max="11800" width="7" style="598" bestFit="1" customWidth="1"/>
    <col min="11801" max="11801" width="11" style="598" bestFit="1" customWidth="1"/>
    <col min="11802" max="12035" width="9.140625" style="598"/>
    <col min="12036" max="12036" width="4" style="598" bestFit="1" customWidth="1"/>
    <col min="12037" max="12037" width="37.28515625" style="598" customWidth="1"/>
    <col min="12038" max="12038" width="11.42578125" style="598" customWidth="1"/>
    <col min="12039" max="12039" width="5.85546875" style="598" bestFit="1" customWidth="1"/>
    <col min="12040" max="12040" width="5" style="598" bestFit="1" customWidth="1"/>
    <col min="12041" max="12041" width="8.5703125" style="598" bestFit="1" customWidth="1"/>
    <col min="12042" max="12042" width="9.5703125" style="598" bestFit="1" customWidth="1"/>
    <col min="12043" max="12043" width="5" style="598" bestFit="1" customWidth="1"/>
    <col min="12044" max="12044" width="8.5703125" style="598" bestFit="1" customWidth="1"/>
    <col min="12045" max="12045" width="9.5703125" style="598" bestFit="1" customWidth="1"/>
    <col min="12046" max="12046" width="6.7109375" style="598" customWidth="1"/>
    <col min="12047" max="12048" width="9.5703125" style="598" bestFit="1" customWidth="1"/>
    <col min="12049" max="12049" width="6.7109375" style="598" customWidth="1"/>
    <col min="12050" max="12051" width="9.7109375" style="598" customWidth="1"/>
    <col min="12052" max="12052" width="20.7109375" style="598" customWidth="1"/>
    <col min="12053" max="12053" width="17.85546875" style="598" customWidth="1"/>
    <col min="12054" max="12054" width="23.5703125" style="598" customWidth="1"/>
    <col min="12055" max="12055" width="11" style="598" bestFit="1" customWidth="1"/>
    <col min="12056" max="12056" width="7" style="598" bestFit="1" customWidth="1"/>
    <col min="12057" max="12057" width="11" style="598" bestFit="1" customWidth="1"/>
    <col min="12058" max="12291" width="9.140625" style="598"/>
    <col min="12292" max="12292" width="4" style="598" bestFit="1" customWidth="1"/>
    <col min="12293" max="12293" width="37.28515625" style="598" customWidth="1"/>
    <col min="12294" max="12294" width="11.42578125" style="598" customWidth="1"/>
    <col min="12295" max="12295" width="5.85546875" style="598" bestFit="1" customWidth="1"/>
    <col min="12296" max="12296" width="5" style="598" bestFit="1" customWidth="1"/>
    <col min="12297" max="12297" width="8.5703125" style="598" bestFit="1" customWidth="1"/>
    <col min="12298" max="12298" width="9.5703125" style="598" bestFit="1" customWidth="1"/>
    <col min="12299" max="12299" width="5" style="598" bestFit="1" customWidth="1"/>
    <col min="12300" max="12300" width="8.5703125" style="598" bestFit="1" customWidth="1"/>
    <col min="12301" max="12301" width="9.5703125" style="598" bestFit="1" customWidth="1"/>
    <col min="12302" max="12302" width="6.7109375" style="598" customWidth="1"/>
    <col min="12303" max="12304" width="9.5703125" style="598" bestFit="1" customWidth="1"/>
    <col min="12305" max="12305" width="6.7109375" style="598" customWidth="1"/>
    <col min="12306" max="12307" width="9.7109375" style="598" customWidth="1"/>
    <col min="12308" max="12308" width="20.7109375" style="598" customWidth="1"/>
    <col min="12309" max="12309" width="17.85546875" style="598" customWidth="1"/>
    <col min="12310" max="12310" width="23.5703125" style="598" customWidth="1"/>
    <col min="12311" max="12311" width="11" style="598" bestFit="1" customWidth="1"/>
    <col min="12312" max="12312" width="7" style="598" bestFit="1" customWidth="1"/>
    <col min="12313" max="12313" width="11" style="598" bestFit="1" customWidth="1"/>
    <col min="12314" max="12547" width="9.140625" style="598"/>
    <col min="12548" max="12548" width="4" style="598" bestFit="1" customWidth="1"/>
    <col min="12549" max="12549" width="37.28515625" style="598" customWidth="1"/>
    <col min="12550" max="12550" width="11.42578125" style="598" customWidth="1"/>
    <col min="12551" max="12551" width="5.85546875" style="598" bestFit="1" customWidth="1"/>
    <col min="12552" max="12552" width="5" style="598" bestFit="1" customWidth="1"/>
    <col min="12553" max="12553" width="8.5703125" style="598" bestFit="1" customWidth="1"/>
    <col min="12554" max="12554" width="9.5703125" style="598" bestFit="1" customWidth="1"/>
    <col min="12555" max="12555" width="5" style="598" bestFit="1" customWidth="1"/>
    <col min="12556" max="12556" width="8.5703125" style="598" bestFit="1" customWidth="1"/>
    <col min="12557" max="12557" width="9.5703125" style="598" bestFit="1" customWidth="1"/>
    <col min="12558" max="12558" width="6.7109375" style="598" customWidth="1"/>
    <col min="12559" max="12560" width="9.5703125" style="598" bestFit="1" customWidth="1"/>
    <col min="12561" max="12561" width="6.7109375" style="598" customWidth="1"/>
    <col min="12562" max="12563" width="9.7109375" style="598" customWidth="1"/>
    <col min="12564" max="12564" width="20.7109375" style="598" customWidth="1"/>
    <col min="12565" max="12565" width="17.85546875" style="598" customWidth="1"/>
    <col min="12566" max="12566" width="23.5703125" style="598" customWidth="1"/>
    <col min="12567" max="12567" width="11" style="598" bestFit="1" customWidth="1"/>
    <col min="12568" max="12568" width="7" style="598" bestFit="1" customWidth="1"/>
    <col min="12569" max="12569" width="11" style="598" bestFit="1" customWidth="1"/>
    <col min="12570" max="12803" width="9.140625" style="598"/>
    <col min="12804" max="12804" width="4" style="598" bestFit="1" customWidth="1"/>
    <col min="12805" max="12805" width="37.28515625" style="598" customWidth="1"/>
    <col min="12806" max="12806" width="11.42578125" style="598" customWidth="1"/>
    <col min="12807" max="12807" width="5.85546875" style="598" bestFit="1" customWidth="1"/>
    <col min="12808" max="12808" width="5" style="598" bestFit="1" customWidth="1"/>
    <col min="12809" max="12809" width="8.5703125" style="598" bestFit="1" customWidth="1"/>
    <col min="12810" max="12810" width="9.5703125" style="598" bestFit="1" customWidth="1"/>
    <col min="12811" max="12811" width="5" style="598" bestFit="1" customWidth="1"/>
    <col min="12812" max="12812" width="8.5703125" style="598" bestFit="1" customWidth="1"/>
    <col min="12813" max="12813" width="9.5703125" style="598" bestFit="1" customWidth="1"/>
    <col min="12814" max="12814" width="6.7109375" style="598" customWidth="1"/>
    <col min="12815" max="12816" width="9.5703125" style="598" bestFit="1" customWidth="1"/>
    <col min="12817" max="12817" width="6.7109375" style="598" customWidth="1"/>
    <col min="12818" max="12819" width="9.7109375" style="598" customWidth="1"/>
    <col min="12820" max="12820" width="20.7109375" style="598" customWidth="1"/>
    <col min="12821" max="12821" width="17.85546875" style="598" customWidth="1"/>
    <col min="12822" max="12822" width="23.5703125" style="598" customWidth="1"/>
    <col min="12823" max="12823" width="11" style="598" bestFit="1" customWidth="1"/>
    <col min="12824" max="12824" width="7" style="598" bestFit="1" customWidth="1"/>
    <col min="12825" max="12825" width="11" style="598" bestFit="1" customWidth="1"/>
    <col min="12826" max="13059" width="9.140625" style="598"/>
    <col min="13060" max="13060" width="4" style="598" bestFit="1" customWidth="1"/>
    <col min="13061" max="13061" width="37.28515625" style="598" customWidth="1"/>
    <col min="13062" max="13062" width="11.42578125" style="598" customWidth="1"/>
    <col min="13063" max="13063" width="5.85546875" style="598" bestFit="1" customWidth="1"/>
    <col min="13064" max="13064" width="5" style="598" bestFit="1" customWidth="1"/>
    <col min="13065" max="13065" width="8.5703125" style="598" bestFit="1" customWidth="1"/>
    <col min="13066" max="13066" width="9.5703125" style="598" bestFit="1" customWidth="1"/>
    <col min="13067" max="13067" width="5" style="598" bestFit="1" customWidth="1"/>
    <col min="13068" max="13068" width="8.5703125" style="598" bestFit="1" customWidth="1"/>
    <col min="13069" max="13069" width="9.5703125" style="598" bestFit="1" customWidth="1"/>
    <col min="13070" max="13070" width="6.7109375" style="598" customWidth="1"/>
    <col min="13071" max="13072" width="9.5703125" style="598" bestFit="1" customWidth="1"/>
    <col min="13073" max="13073" width="6.7109375" style="598" customWidth="1"/>
    <col min="13074" max="13075" width="9.7109375" style="598" customWidth="1"/>
    <col min="13076" max="13076" width="20.7109375" style="598" customWidth="1"/>
    <col min="13077" max="13077" width="17.85546875" style="598" customWidth="1"/>
    <col min="13078" max="13078" width="23.5703125" style="598" customWidth="1"/>
    <col min="13079" max="13079" width="11" style="598" bestFit="1" customWidth="1"/>
    <col min="13080" max="13080" width="7" style="598" bestFit="1" customWidth="1"/>
    <col min="13081" max="13081" width="11" style="598" bestFit="1" customWidth="1"/>
    <col min="13082" max="13315" width="9.140625" style="598"/>
    <col min="13316" max="13316" width="4" style="598" bestFit="1" customWidth="1"/>
    <col min="13317" max="13317" width="37.28515625" style="598" customWidth="1"/>
    <col min="13318" max="13318" width="11.42578125" style="598" customWidth="1"/>
    <col min="13319" max="13319" width="5.85546875" style="598" bestFit="1" customWidth="1"/>
    <col min="13320" max="13320" width="5" style="598" bestFit="1" customWidth="1"/>
    <col min="13321" max="13321" width="8.5703125" style="598" bestFit="1" customWidth="1"/>
    <col min="13322" max="13322" width="9.5703125" style="598" bestFit="1" customWidth="1"/>
    <col min="13323" max="13323" width="5" style="598" bestFit="1" customWidth="1"/>
    <col min="13324" max="13324" width="8.5703125" style="598" bestFit="1" customWidth="1"/>
    <col min="13325" max="13325" width="9.5703125" style="598" bestFit="1" customWidth="1"/>
    <col min="13326" max="13326" width="6.7109375" style="598" customWidth="1"/>
    <col min="13327" max="13328" width="9.5703125" style="598" bestFit="1" customWidth="1"/>
    <col min="13329" max="13329" width="6.7109375" style="598" customWidth="1"/>
    <col min="13330" max="13331" width="9.7109375" style="598" customWidth="1"/>
    <col min="13332" max="13332" width="20.7109375" style="598" customWidth="1"/>
    <col min="13333" max="13333" width="17.85546875" style="598" customWidth="1"/>
    <col min="13334" max="13334" width="23.5703125" style="598" customWidth="1"/>
    <col min="13335" max="13335" width="11" style="598" bestFit="1" customWidth="1"/>
    <col min="13336" max="13336" width="7" style="598" bestFit="1" customWidth="1"/>
    <col min="13337" max="13337" width="11" style="598" bestFit="1" customWidth="1"/>
    <col min="13338" max="13571" width="9.140625" style="598"/>
    <col min="13572" max="13572" width="4" style="598" bestFit="1" customWidth="1"/>
    <col min="13573" max="13573" width="37.28515625" style="598" customWidth="1"/>
    <col min="13574" max="13574" width="11.42578125" style="598" customWidth="1"/>
    <col min="13575" max="13575" width="5.85546875" style="598" bestFit="1" customWidth="1"/>
    <col min="13576" max="13576" width="5" style="598" bestFit="1" customWidth="1"/>
    <col min="13577" max="13577" width="8.5703125" style="598" bestFit="1" customWidth="1"/>
    <col min="13578" max="13578" width="9.5703125" style="598" bestFit="1" customWidth="1"/>
    <col min="13579" max="13579" width="5" style="598" bestFit="1" customWidth="1"/>
    <col min="13580" max="13580" width="8.5703125" style="598" bestFit="1" customWidth="1"/>
    <col min="13581" max="13581" width="9.5703125" style="598" bestFit="1" customWidth="1"/>
    <col min="13582" max="13582" width="6.7109375" style="598" customWidth="1"/>
    <col min="13583" max="13584" width="9.5703125" style="598" bestFit="1" customWidth="1"/>
    <col min="13585" max="13585" width="6.7109375" style="598" customWidth="1"/>
    <col min="13586" max="13587" width="9.7109375" style="598" customWidth="1"/>
    <col min="13588" max="13588" width="20.7109375" style="598" customWidth="1"/>
    <col min="13589" max="13589" width="17.85546875" style="598" customWidth="1"/>
    <col min="13590" max="13590" width="23.5703125" style="598" customWidth="1"/>
    <col min="13591" max="13591" width="11" style="598" bestFit="1" customWidth="1"/>
    <col min="13592" max="13592" width="7" style="598" bestFit="1" customWidth="1"/>
    <col min="13593" max="13593" width="11" style="598" bestFit="1" customWidth="1"/>
    <col min="13594" max="13827" width="9.140625" style="598"/>
    <col min="13828" max="13828" width="4" style="598" bestFit="1" customWidth="1"/>
    <col min="13829" max="13829" width="37.28515625" style="598" customWidth="1"/>
    <col min="13830" max="13830" width="11.42578125" style="598" customWidth="1"/>
    <col min="13831" max="13831" width="5.85546875" style="598" bestFit="1" customWidth="1"/>
    <col min="13832" max="13832" width="5" style="598" bestFit="1" customWidth="1"/>
    <col min="13833" max="13833" width="8.5703125" style="598" bestFit="1" customWidth="1"/>
    <col min="13834" max="13834" width="9.5703125" style="598" bestFit="1" customWidth="1"/>
    <col min="13835" max="13835" width="5" style="598" bestFit="1" customWidth="1"/>
    <col min="13836" max="13836" width="8.5703125" style="598" bestFit="1" customWidth="1"/>
    <col min="13837" max="13837" width="9.5703125" style="598" bestFit="1" customWidth="1"/>
    <col min="13838" max="13838" width="6.7109375" style="598" customWidth="1"/>
    <col min="13839" max="13840" width="9.5703125" style="598" bestFit="1" customWidth="1"/>
    <col min="13841" max="13841" width="6.7109375" style="598" customWidth="1"/>
    <col min="13842" max="13843" width="9.7109375" style="598" customWidth="1"/>
    <col min="13844" max="13844" width="20.7109375" style="598" customWidth="1"/>
    <col min="13845" max="13845" width="17.85546875" style="598" customWidth="1"/>
    <col min="13846" max="13846" width="23.5703125" style="598" customWidth="1"/>
    <col min="13847" max="13847" width="11" style="598" bestFit="1" customWidth="1"/>
    <col min="13848" max="13848" width="7" style="598" bestFit="1" customWidth="1"/>
    <col min="13849" max="13849" width="11" style="598" bestFit="1" customWidth="1"/>
    <col min="13850" max="14083" width="9.140625" style="598"/>
    <col min="14084" max="14084" width="4" style="598" bestFit="1" customWidth="1"/>
    <col min="14085" max="14085" width="37.28515625" style="598" customWidth="1"/>
    <col min="14086" max="14086" width="11.42578125" style="598" customWidth="1"/>
    <col min="14087" max="14087" width="5.85546875" style="598" bestFit="1" customWidth="1"/>
    <col min="14088" max="14088" width="5" style="598" bestFit="1" customWidth="1"/>
    <col min="14089" max="14089" width="8.5703125" style="598" bestFit="1" customWidth="1"/>
    <col min="14090" max="14090" width="9.5703125" style="598" bestFit="1" customWidth="1"/>
    <col min="14091" max="14091" width="5" style="598" bestFit="1" customWidth="1"/>
    <col min="14092" max="14092" width="8.5703125" style="598" bestFit="1" customWidth="1"/>
    <col min="14093" max="14093" width="9.5703125" style="598" bestFit="1" customWidth="1"/>
    <col min="14094" max="14094" width="6.7109375" style="598" customWidth="1"/>
    <col min="14095" max="14096" width="9.5703125" style="598" bestFit="1" customWidth="1"/>
    <col min="14097" max="14097" width="6.7109375" style="598" customWidth="1"/>
    <col min="14098" max="14099" width="9.7109375" style="598" customWidth="1"/>
    <col min="14100" max="14100" width="20.7109375" style="598" customWidth="1"/>
    <col min="14101" max="14101" width="17.85546875" style="598" customWidth="1"/>
    <col min="14102" max="14102" width="23.5703125" style="598" customWidth="1"/>
    <col min="14103" max="14103" width="11" style="598" bestFit="1" customWidth="1"/>
    <col min="14104" max="14104" width="7" style="598" bestFit="1" customWidth="1"/>
    <col min="14105" max="14105" width="11" style="598" bestFit="1" customWidth="1"/>
    <col min="14106" max="14339" width="9.140625" style="598"/>
    <col min="14340" max="14340" width="4" style="598" bestFit="1" customWidth="1"/>
    <col min="14341" max="14341" width="37.28515625" style="598" customWidth="1"/>
    <col min="14342" max="14342" width="11.42578125" style="598" customWidth="1"/>
    <col min="14343" max="14343" width="5.85546875" style="598" bestFit="1" customWidth="1"/>
    <col min="14344" max="14344" width="5" style="598" bestFit="1" customWidth="1"/>
    <col min="14345" max="14345" width="8.5703125" style="598" bestFit="1" customWidth="1"/>
    <col min="14346" max="14346" width="9.5703125" style="598" bestFit="1" customWidth="1"/>
    <col min="14347" max="14347" width="5" style="598" bestFit="1" customWidth="1"/>
    <col min="14348" max="14348" width="8.5703125" style="598" bestFit="1" customWidth="1"/>
    <col min="14349" max="14349" width="9.5703125" style="598" bestFit="1" customWidth="1"/>
    <col min="14350" max="14350" width="6.7109375" style="598" customWidth="1"/>
    <col min="14351" max="14352" width="9.5703125" style="598" bestFit="1" customWidth="1"/>
    <col min="14353" max="14353" width="6.7109375" style="598" customWidth="1"/>
    <col min="14354" max="14355" width="9.7109375" style="598" customWidth="1"/>
    <col min="14356" max="14356" width="20.7109375" style="598" customWidth="1"/>
    <col min="14357" max="14357" width="17.85546875" style="598" customWidth="1"/>
    <col min="14358" max="14358" width="23.5703125" style="598" customWidth="1"/>
    <col min="14359" max="14359" width="11" style="598" bestFit="1" customWidth="1"/>
    <col min="14360" max="14360" width="7" style="598" bestFit="1" customWidth="1"/>
    <col min="14361" max="14361" width="11" style="598" bestFit="1" customWidth="1"/>
    <col min="14362" max="14595" width="9.140625" style="598"/>
    <col min="14596" max="14596" width="4" style="598" bestFit="1" customWidth="1"/>
    <col min="14597" max="14597" width="37.28515625" style="598" customWidth="1"/>
    <col min="14598" max="14598" width="11.42578125" style="598" customWidth="1"/>
    <col min="14599" max="14599" width="5.85546875" style="598" bestFit="1" customWidth="1"/>
    <col min="14600" max="14600" width="5" style="598" bestFit="1" customWidth="1"/>
    <col min="14601" max="14601" width="8.5703125" style="598" bestFit="1" customWidth="1"/>
    <col min="14602" max="14602" width="9.5703125" style="598" bestFit="1" customWidth="1"/>
    <col min="14603" max="14603" width="5" style="598" bestFit="1" customWidth="1"/>
    <col min="14604" max="14604" width="8.5703125" style="598" bestFit="1" customWidth="1"/>
    <col min="14605" max="14605" width="9.5703125" style="598" bestFit="1" customWidth="1"/>
    <col min="14606" max="14606" width="6.7109375" style="598" customWidth="1"/>
    <col min="14607" max="14608" width="9.5703125" style="598" bestFit="1" customWidth="1"/>
    <col min="14609" max="14609" width="6.7109375" style="598" customWidth="1"/>
    <col min="14610" max="14611" width="9.7109375" style="598" customWidth="1"/>
    <col min="14612" max="14612" width="20.7109375" style="598" customWidth="1"/>
    <col min="14613" max="14613" width="17.85546875" style="598" customWidth="1"/>
    <col min="14614" max="14614" width="23.5703125" style="598" customWidth="1"/>
    <col min="14615" max="14615" width="11" style="598" bestFit="1" customWidth="1"/>
    <col min="14616" max="14616" width="7" style="598" bestFit="1" customWidth="1"/>
    <col min="14617" max="14617" width="11" style="598" bestFit="1" customWidth="1"/>
    <col min="14618" max="14851" width="9.140625" style="598"/>
    <col min="14852" max="14852" width="4" style="598" bestFit="1" customWidth="1"/>
    <col min="14853" max="14853" width="37.28515625" style="598" customWidth="1"/>
    <col min="14854" max="14854" width="11.42578125" style="598" customWidth="1"/>
    <col min="14855" max="14855" width="5.85546875" style="598" bestFit="1" customWidth="1"/>
    <col min="14856" max="14856" width="5" style="598" bestFit="1" customWidth="1"/>
    <col min="14857" max="14857" width="8.5703125" style="598" bestFit="1" customWidth="1"/>
    <col min="14858" max="14858" width="9.5703125" style="598" bestFit="1" customWidth="1"/>
    <col min="14859" max="14859" width="5" style="598" bestFit="1" customWidth="1"/>
    <col min="14860" max="14860" width="8.5703125" style="598" bestFit="1" customWidth="1"/>
    <col min="14861" max="14861" width="9.5703125" style="598" bestFit="1" customWidth="1"/>
    <col min="14862" max="14862" width="6.7109375" style="598" customWidth="1"/>
    <col min="14863" max="14864" width="9.5703125" style="598" bestFit="1" customWidth="1"/>
    <col min="14865" max="14865" width="6.7109375" style="598" customWidth="1"/>
    <col min="14866" max="14867" width="9.7109375" style="598" customWidth="1"/>
    <col min="14868" max="14868" width="20.7109375" style="598" customWidth="1"/>
    <col min="14869" max="14869" width="17.85546875" style="598" customWidth="1"/>
    <col min="14870" max="14870" width="23.5703125" style="598" customWidth="1"/>
    <col min="14871" max="14871" width="11" style="598" bestFit="1" customWidth="1"/>
    <col min="14872" max="14872" width="7" style="598" bestFit="1" customWidth="1"/>
    <col min="14873" max="14873" width="11" style="598" bestFit="1" customWidth="1"/>
    <col min="14874" max="15107" width="9.140625" style="598"/>
    <col min="15108" max="15108" width="4" style="598" bestFit="1" customWidth="1"/>
    <col min="15109" max="15109" width="37.28515625" style="598" customWidth="1"/>
    <col min="15110" max="15110" width="11.42578125" style="598" customWidth="1"/>
    <col min="15111" max="15111" width="5.85546875" style="598" bestFit="1" customWidth="1"/>
    <col min="15112" max="15112" width="5" style="598" bestFit="1" customWidth="1"/>
    <col min="15113" max="15113" width="8.5703125" style="598" bestFit="1" customWidth="1"/>
    <col min="15114" max="15114" width="9.5703125" style="598" bestFit="1" customWidth="1"/>
    <col min="15115" max="15115" width="5" style="598" bestFit="1" customWidth="1"/>
    <col min="15116" max="15116" width="8.5703125" style="598" bestFit="1" customWidth="1"/>
    <col min="15117" max="15117" width="9.5703125" style="598" bestFit="1" customWidth="1"/>
    <col min="15118" max="15118" width="6.7109375" style="598" customWidth="1"/>
    <col min="15119" max="15120" width="9.5703125" style="598" bestFit="1" customWidth="1"/>
    <col min="15121" max="15121" width="6.7109375" style="598" customWidth="1"/>
    <col min="15122" max="15123" width="9.7109375" style="598" customWidth="1"/>
    <col min="15124" max="15124" width="20.7109375" style="598" customWidth="1"/>
    <col min="15125" max="15125" width="17.85546875" style="598" customWidth="1"/>
    <col min="15126" max="15126" width="23.5703125" style="598" customWidth="1"/>
    <col min="15127" max="15127" width="11" style="598" bestFit="1" customWidth="1"/>
    <col min="15128" max="15128" width="7" style="598" bestFit="1" customWidth="1"/>
    <col min="15129" max="15129" width="11" style="598" bestFit="1" customWidth="1"/>
    <col min="15130" max="15363" width="9.140625" style="598"/>
    <col min="15364" max="15364" width="4" style="598" bestFit="1" customWidth="1"/>
    <col min="15365" max="15365" width="37.28515625" style="598" customWidth="1"/>
    <col min="15366" max="15366" width="11.42578125" style="598" customWidth="1"/>
    <col min="15367" max="15367" width="5.85546875" style="598" bestFit="1" customWidth="1"/>
    <col min="15368" max="15368" width="5" style="598" bestFit="1" customWidth="1"/>
    <col min="15369" max="15369" width="8.5703125" style="598" bestFit="1" customWidth="1"/>
    <col min="15370" max="15370" width="9.5703125" style="598" bestFit="1" customWidth="1"/>
    <col min="15371" max="15371" width="5" style="598" bestFit="1" customWidth="1"/>
    <col min="15372" max="15372" width="8.5703125" style="598" bestFit="1" customWidth="1"/>
    <col min="15373" max="15373" width="9.5703125" style="598" bestFit="1" customWidth="1"/>
    <col min="15374" max="15374" width="6.7109375" style="598" customWidth="1"/>
    <col min="15375" max="15376" width="9.5703125" style="598" bestFit="1" customWidth="1"/>
    <col min="15377" max="15377" width="6.7109375" style="598" customWidth="1"/>
    <col min="15378" max="15379" width="9.7109375" style="598" customWidth="1"/>
    <col min="15380" max="15380" width="20.7109375" style="598" customWidth="1"/>
    <col min="15381" max="15381" width="17.85546875" style="598" customWidth="1"/>
    <col min="15382" max="15382" width="23.5703125" style="598" customWidth="1"/>
    <col min="15383" max="15383" width="11" style="598" bestFit="1" customWidth="1"/>
    <col min="15384" max="15384" width="7" style="598" bestFit="1" customWidth="1"/>
    <col min="15385" max="15385" width="11" style="598" bestFit="1" customWidth="1"/>
    <col min="15386" max="15619" width="9.140625" style="598"/>
    <col min="15620" max="15620" width="4" style="598" bestFit="1" customWidth="1"/>
    <col min="15621" max="15621" width="37.28515625" style="598" customWidth="1"/>
    <col min="15622" max="15622" width="11.42578125" style="598" customWidth="1"/>
    <col min="15623" max="15623" width="5.85546875" style="598" bestFit="1" customWidth="1"/>
    <col min="15624" max="15624" width="5" style="598" bestFit="1" customWidth="1"/>
    <col min="15625" max="15625" width="8.5703125" style="598" bestFit="1" customWidth="1"/>
    <col min="15626" max="15626" width="9.5703125" style="598" bestFit="1" customWidth="1"/>
    <col min="15627" max="15627" width="5" style="598" bestFit="1" customWidth="1"/>
    <col min="15628" max="15628" width="8.5703125" style="598" bestFit="1" customWidth="1"/>
    <col min="15629" max="15629" width="9.5703125" style="598" bestFit="1" customWidth="1"/>
    <col min="15630" max="15630" width="6.7109375" style="598" customWidth="1"/>
    <col min="15631" max="15632" width="9.5703125" style="598" bestFit="1" customWidth="1"/>
    <col min="15633" max="15633" width="6.7109375" style="598" customWidth="1"/>
    <col min="15634" max="15635" width="9.7109375" style="598" customWidth="1"/>
    <col min="15636" max="15636" width="20.7109375" style="598" customWidth="1"/>
    <col min="15637" max="15637" width="17.85546875" style="598" customWidth="1"/>
    <col min="15638" max="15638" width="23.5703125" style="598" customWidth="1"/>
    <col min="15639" max="15639" width="11" style="598" bestFit="1" customWidth="1"/>
    <col min="15640" max="15640" width="7" style="598" bestFit="1" customWidth="1"/>
    <col min="15641" max="15641" width="11" style="598" bestFit="1" customWidth="1"/>
    <col min="15642" max="15875" width="9.140625" style="598"/>
    <col min="15876" max="15876" width="4" style="598" bestFit="1" customWidth="1"/>
    <col min="15877" max="15877" width="37.28515625" style="598" customWidth="1"/>
    <col min="15878" max="15878" width="11.42578125" style="598" customWidth="1"/>
    <col min="15879" max="15879" width="5.85546875" style="598" bestFit="1" customWidth="1"/>
    <col min="15880" max="15880" width="5" style="598" bestFit="1" customWidth="1"/>
    <col min="15881" max="15881" width="8.5703125" style="598" bestFit="1" customWidth="1"/>
    <col min="15882" max="15882" width="9.5703125" style="598" bestFit="1" customWidth="1"/>
    <col min="15883" max="15883" width="5" style="598" bestFit="1" customWidth="1"/>
    <col min="15884" max="15884" width="8.5703125" style="598" bestFit="1" customWidth="1"/>
    <col min="15885" max="15885" width="9.5703125" style="598" bestFit="1" customWidth="1"/>
    <col min="15886" max="15886" width="6.7109375" style="598" customWidth="1"/>
    <col min="15887" max="15888" width="9.5703125" style="598" bestFit="1" customWidth="1"/>
    <col min="15889" max="15889" width="6.7109375" style="598" customWidth="1"/>
    <col min="15890" max="15891" width="9.7109375" style="598" customWidth="1"/>
    <col min="15892" max="15892" width="20.7109375" style="598" customWidth="1"/>
    <col min="15893" max="15893" width="17.85546875" style="598" customWidth="1"/>
    <col min="15894" max="15894" width="23.5703125" style="598" customWidth="1"/>
    <col min="15895" max="15895" width="11" style="598" bestFit="1" customWidth="1"/>
    <col min="15896" max="15896" width="7" style="598" bestFit="1" customWidth="1"/>
    <col min="15897" max="15897" width="11" style="598" bestFit="1" customWidth="1"/>
    <col min="15898" max="16131" width="9.140625" style="598"/>
    <col min="16132" max="16132" width="4" style="598" bestFit="1" customWidth="1"/>
    <col min="16133" max="16133" width="37.28515625" style="598" customWidth="1"/>
    <col min="16134" max="16134" width="11.42578125" style="598" customWidth="1"/>
    <col min="16135" max="16135" width="5.85546875" style="598" bestFit="1" customWidth="1"/>
    <col min="16136" max="16136" width="5" style="598" bestFit="1" customWidth="1"/>
    <col min="16137" max="16137" width="8.5703125" style="598" bestFit="1" customWidth="1"/>
    <col min="16138" max="16138" width="9.5703125" style="598" bestFit="1" customWidth="1"/>
    <col min="16139" max="16139" width="5" style="598" bestFit="1" customWidth="1"/>
    <col min="16140" max="16140" width="8.5703125" style="598" bestFit="1" customWidth="1"/>
    <col min="16141" max="16141" width="9.5703125" style="598" bestFit="1" customWidth="1"/>
    <col min="16142" max="16142" width="6.7109375" style="598" customWidth="1"/>
    <col min="16143" max="16144" width="9.5703125" style="598" bestFit="1" customWidth="1"/>
    <col min="16145" max="16145" width="6.7109375" style="598" customWidth="1"/>
    <col min="16146" max="16147" width="9.7109375" style="598" customWidth="1"/>
    <col min="16148" max="16148" width="20.7109375" style="598" customWidth="1"/>
    <col min="16149" max="16149" width="17.85546875" style="598" customWidth="1"/>
    <col min="16150" max="16150" width="23.5703125" style="598" customWidth="1"/>
    <col min="16151" max="16151" width="11" style="598" bestFit="1" customWidth="1"/>
    <col min="16152" max="16152" width="7" style="598" bestFit="1" customWidth="1"/>
    <col min="16153" max="16153" width="11" style="598" bestFit="1" customWidth="1"/>
    <col min="16154" max="16384" width="9.140625" style="598"/>
  </cols>
  <sheetData>
    <row r="1" spans="1:23" ht="21.75" customHeight="1">
      <c r="A1" s="596"/>
      <c r="B1" s="1925"/>
      <c r="C1" s="1926"/>
      <c r="E1" s="3326" t="s">
        <v>2346</v>
      </c>
      <c r="F1" s="3326"/>
      <c r="G1" s="3326"/>
      <c r="H1" s="3326"/>
      <c r="I1" s="3326"/>
      <c r="J1" s="3326"/>
      <c r="K1" s="1925"/>
      <c r="L1" s="1925"/>
      <c r="M1" s="1925"/>
      <c r="N1" s="1925"/>
      <c r="O1" s="1925"/>
      <c r="P1" s="1925"/>
      <c r="Q1" s="1925"/>
      <c r="R1" s="1925"/>
      <c r="S1" s="1925"/>
    </row>
    <row r="2" spans="1:23" ht="13.5" customHeight="1">
      <c r="P2" s="1930" t="s">
        <v>89</v>
      </c>
      <c r="Q2" s="1930"/>
      <c r="R2" s="1930"/>
      <c r="S2" s="1930"/>
    </row>
    <row r="3" spans="1:23" ht="34.5" customHeight="1">
      <c r="A3" s="596"/>
      <c r="B3" s="3095" t="s">
        <v>2347</v>
      </c>
      <c r="C3" s="3095"/>
      <c r="D3" s="3095"/>
      <c r="E3" s="3095"/>
      <c r="F3" s="3095"/>
      <c r="G3" s="3095"/>
      <c r="H3" s="3095"/>
      <c r="I3" s="3095"/>
      <c r="J3" s="3095"/>
      <c r="K3" s="3095"/>
      <c r="L3" s="3095"/>
      <c r="M3" s="3095"/>
      <c r="N3" s="1931"/>
      <c r="O3" s="1931"/>
      <c r="P3" s="1931"/>
      <c r="Q3" s="1931"/>
      <c r="R3" s="1931"/>
      <c r="S3" s="1931"/>
      <c r="T3" s="1931"/>
    </row>
    <row r="4" spans="1:23" ht="8.25" customHeight="1">
      <c r="A4" s="832"/>
      <c r="B4" s="1931"/>
      <c r="C4" s="832"/>
      <c r="D4" s="832"/>
      <c r="E4" s="1931"/>
      <c r="F4" s="1931"/>
      <c r="G4" s="1931"/>
      <c r="H4" s="1931"/>
      <c r="I4" s="1931"/>
      <c r="J4" s="1931"/>
      <c r="K4" s="1931"/>
      <c r="L4" s="1931"/>
      <c r="M4" s="1931"/>
      <c r="N4" s="1931"/>
      <c r="O4" s="1931"/>
      <c r="P4" s="1931"/>
      <c r="Q4" s="1931"/>
      <c r="R4" s="1931"/>
      <c r="S4" s="1931"/>
      <c r="T4" s="1931"/>
    </row>
    <row r="5" spans="1:23" ht="18" customHeight="1">
      <c r="A5" s="3327" t="s">
        <v>2</v>
      </c>
      <c r="B5" s="3327" t="s">
        <v>3</v>
      </c>
      <c r="C5" s="3328" t="s">
        <v>4</v>
      </c>
      <c r="D5" s="3329" t="s">
        <v>5</v>
      </c>
      <c r="E5" s="3329" t="s">
        <v>1664</v>
      </c>
      <c r="F5" s="3329"/>
      <c r="G5" s="3329"/>
      <c r="H5" s="3329" t="s">
        <v>1665</v>
      </c>
      <c r="I5" s="3329"/>
      <c r="J5" s="3329"/>
      <c r="K5" s="3329" t="s">
        <v>1666</v>
      </c>
      <c r="L5" s="3329"/>
      <c r="M5" s="3329"/>
      <c r="N5" s="3329" t="s">
        <v>1667</v>
      </c>
      <c r="O5" s="3329"/>
      <c r="P5" s="3329"/>
      <c r="Q5" s="3329" t="s">
        <v>1691</v>
      </c>
      <c r="R5" s="3329"/>
      <c r="S5" s="3329"/>
    </row>
    <row r="6" spans="1:23">
      <c r="A6" s="3327"/>
      <c r="B6" s="3327"/>
      <c r="C6" s="3328"/>
      <c r="D6" s="3329"/>
      <c r="E6" s="838" t="s">
        <v>143</v>
      </c>
      <c r="F6" s="838" t="s">
        <v>9</v>
      </c>
      <c r="G6" s="838" t="s">
        <v>1668</v>
      </c>
      <c r="H6" s="838" t="s">
        <v>143</v>
      </c>
      <c r="I6" s="838" t="s">
        <v>96</v>
      </c>
      <c r="J6" s="838" t="s">
        <v>1668</v>
      </c>
      <c r="K6" s="838" t="s">
        <v>143</v>
      </c>
      <c r="L6" s="838" t="s">
        <v>9</v>
      </c>
      <c r="M6" s="838" t="s">
        <v>1668</v>
      </c>
      <c r="N6" s="838" t="s">
        <v>143</v>
      </c>
      <c r="O6" s="838" t="s">
        <v>9</v>
      </c>
      <c r="P6" s="838" t="s">
        <v>1668</v>
      </c>
      <c r="Q6" s="838" t="s">
        <v>143</v>
      </c>
      <c r="R6" s="838" t="s">
        <v>9</v>
      </c>
      <c r="S6" s="838" t="s">
        <v>1668</v>
      </c>
    </row>
    <row r="7" spans="1:23" ht="14.1" customHeight="1">
      <c r="A7" s="1573">
        <v>1</v>
      </c>
      <c r="B7" s="1934">
        <v>2</v>
      </c>
      <c r="C7" s="1573">
        <v>3</v>
      </c>
      <c r="D7" s="1573">
        <v>4</v>
      </c>
      <c r="E7" s="1573">
        <v>5</v>
      </c>
      <c r="F7" s="1573">
        <v>6</v>
      </c>
      <c r="G7" s="1573">
        <v>7</v>
      </c>
      <c r="H7" s="1573">
        <v>8</v>
      </c>
      <c r="I7" s="1573">
        <v>9</v>
      </c>
      <c r="J7" s="1573">
        <v>10</v>
      </c>
      <c r="K7" s="1573">
        <v>11</v>
      </c>
      <c r="L7" s="1573">
        <v>12</v>
      </c>
      <c r="M7" s="1573">
        <v>13</v>
      </c>
      <c r="N7" s="1573">
        <v>14</v>
      </c>
      <c r="O7" s="838">
        <v>15</v>
      </c>
      <c r="P7" s="838">
        <v>16</v>
      </c>
      <c r="Q7" s="1573">
        <v>17</v>
      </c>
      <c r="R7" s="838">
        <v>18</v>
      </c>
      <c r="S7" s="838">
        <v>19</v>
      </c>
    </row>
    <row r="8" spans="1:23" ht="30" customHeight="1">
      <c r="A8" s="3324">
        <v>1</v>
      </c>
      <c r="B8" s="1558" t="s">
        <v>2348</v>
      </c>
      <c r="C8" s="2217"/>
      <c r="D8" s="2218"/>
      <c r="E8" s="2218"/>
      <c r="F8" s="2218"/>
      <c r="G8" s="2218"/>
      <c r="H8" s="2218"/>
      <c r="I8" s="2218"/>
      <c r="J8" s="2218"/>
      <c r="K8" s="2218"/>
      <c r="L8" s="2218"/>
      <c r="M8" s="2218"/>
      <c r="N8" s="2218"/>
      <c r="O8" s="2218"/>
      <c r="P8" s="2219" t="s">
        <v>181</v>
      </c>
      <c r="Q8" s="2220"/>
      <c r="R8" s="2220"/>
      <c r="S8" s="2220"/>
    </row>
    <row r="9" spans="1:23" ht="16.5" customHeight="1">
      <c r="A9" s="3325"/>
      <c r="B9" s="1948" t="s">
        <v>2349</v>
      </c>
      <c r="C9" s="2221">
        <v>7132210018</v>
      </c>
      <c r="D9" s="1548" t="s">
        <v>33</v>
      </c>
      <c r="E9" s="1548">
        <v>1</v>
      </c>
      <c r="F9" s="1546">
        <f>VLOOKUP(C9,'[25]SOR RATE'!A:D,4,0)</f>
        <v>62449.99</v>
      </c>
      <c r="G9" s="1571">
        <f>F9*E9</f>
        <v>62449.99</v>
      </c>
      <c r="H9" s="1548"/>
      <c r="I9" s="1571"/>
      <c r="J9" s="1571"/>
      <c r="K9" s="1548"/>
      <c r="L9" s="1571"/>
      <c r="M9" s="1571"/>
      <c r="N9" s="1548"/>
      <c r="O9" s="2222"/>
      <c r="P9" s="2222"/>
      <c r="Q9" s="2222"/>
      <c r="R9" s="2222"/>
      <c r="S9" s="2222"/>
      <c r="T9" s="1935"/>
    </row>
    <row r="10" spans="1:23" ht="16.5" customHeight="1">
      <c r="A10" s="3325"/>
      <c r="B10" s="1558" t="s">
        <v>2350</v>
      </c>
      <c r="C10" s="2221">
        <v>7132210019</v>
      </c>
      <c r="D10" s="1548" t="s">
        <v>33</v>
      </c>
      <c r="E10" s="1548"/>
      <c r="F10" s="1571"/>
      <c r="G10" s="1571"/>
      <c r="H10" s="1548">
        <v>1</v>
      </c>
      <c r="I10" s="1546">
        <f>VLOOKUP(C10,'[25]SOR RATE'!A:D,4,0)</f>
        <v>120435.39</v>
      </c>
      <c r="J10" s="1571">
        <f>I10*H10</f>
        <v>120435.39</v>
      </c>
      <c r="K10" s="1548"/>
      <c r="L10" s="1571"/>
      <c r="M10" s="1571"/>
      <c r="N10" s="1548"/>
      <c r="O10" s="2222"/>
      <c r="P10" s="2222"/>
      <c r="Q10" s="2222"/>
      <c r="R10" s="2222"/>
      <c r="S10" s="2222"/>
      <c r="T10" s="1935"/>
      <c r="U10" s="87"/>
      <c r="V10" s="87"/>
      <c r="W10" s="87"/>
    </row>
    <row r="11" spans="1:23" ht="16.5" customHeight="1">
      <c r="A11" s="3325"/>
      <c r="B11" s="1558" t="s">
        <v>2351</v>
      </c>
      <c r="C11" s="2221">
        <v>7132210020</v>
      </c>
      <c r="D11" s="1548" t="s">
        <v>33</v>
      </c>
      <c r="E11" s="1548"/>
      <c r="F11" s="1571"/>
      <c r="G11" s="1571"/>
      <c r="H11" s="1548"/>
      <c r="I11" s="1571"/>
      <c r="J11" s="1571"/>
      <c r="K11" s="1548">
        <v>1</v>
      </c>
      <c r="L11" s="1546">
        <f>VLOOKUP(C11,'[25]SOR RATE'!A:D,4,0)</f>
        <v>158302.13</v>
      </c>
      <c r="M11" s="1571">
        <f>L11*K11</f>
        <v>158302.13</v>
      </c>
      <c r="N11" s="1548"/>
      <c r="O11" s="2222"/>
      <c r="P11" s="2222"/>
      <c r="Q11" s="2222"/>
      <c r="R11" s="2222"/>
      <c r="S11" s="2222"/>
      <c r="T11" s="1935"/>
    </row>
    <row r="12" spans="1:23" ht="13.5" customHeight="1">
      <c r="A12" s="3325"/>
      <c r="B12" s="1558" t="s">
        <v>2352</v>
      </c>
      <c r="C12" s="2221">
        <v>7132210021</v>
      </c>
      <c r="D12" s="1548" t="s">
        <v>33</v>
      </c>
      <c r="E12" s="1548"/>
      <c r="F12" s="1571"/>
      <c r="G12" s="1571"/>
      <c r="H12" s="1548"/>
      <c r="I12" s="1571"/>
      <c r="J12" s="1571"/>
      <c r="K12" s="1548"/>
      <c r="L12" s="1571"/>
      <c r="M12" s="1571"/>
      <c r="N12" s="1548">
        <v>1</v>
      </c>
      <c r="O12" s="2222">
        <f>VLOOKUP(C12,'[25]SOR RATE'!A:D,4,0)</f>
        <v>291828.78999999998</v>
      </c>
      <c r="P12" s="1571">
        <f>O12*N12</f>
        <v>291828.78999999998</v>
      </c>
      <c r="Q12" s="1571"/>
      <c r="R12" s="1571"/>
      <c r="S12" s="1571"/>
      <c r="T12" s="1935"/>
    </row>
    <row r="13" spans="1:23" ht="27.75" customHeight="1">
      <c r="A13" s="3330"/>
      <c r="B13" s="1558" t="s">
        <v>2353</v>
      </c>
      <c r="C13" s="2221">
        <v>7132220081</v>
      </c>
      <c r="D13" s="1548" t="s">
        <v>33</v>
      </c>
      <c r="E13" s="1548"/>
      <c r="F13" s="1571"/>
      <c r="G13" s="1571"/>
      <c r="H13" s="1548"/>
      <c r="I13" s="1571"/>
      <c r="J13" s="1571"/>
      <c r="K13" s="1548"/>
      <c r="L13" s="1571"/>
      <c r="M13" s="1571"/>
      <c r="N13" s="1548"/>
      <c r="O13" s="2222"/>
      <c r="P13" s="1571"/>
      <c r="Q13" s="2223">
        <v>1</v>
      </c>
      <c r="R13" s="1571">
        <f>VLOOKUP(C13,'[25]SOR RATE'!A:D,4,0)</f>
        <v>802876.84</v>
      </c>
      <c r="S13" s="1571">
        <f>R13*Q13</f>
        <v>802876.84</v>
      </c>
      <c r="T13" s="2269" t="s">
        <v>119</v>
      </c>
    </row>
    <row r="14" spans="1:23" ht="15" customHeight="1">
      <c r="A14" s="3324">
        <v>2</v>
      </c>
      <c r="B14" s="1948" t="s">
        <v>2354</v>
      </c>
      <c r="C14" s="2221">
        <v>7130800012</v>
      </c>
      <c r="D14" s="1548" t="s">
        <v>12</v>
      </c>
      <c r="E14" s="1548">
        <v>3</v>
      </c>
      <c r="F14" s="1546">
        <f>VLOOKUP(C14,'[25]SOR RATE'!A:D,4,0)</f>
        <v>2298.46</v>
      </c>
      <c r="G14" s="1571">
        <f>F14*E14</f>
        <v>6895.38</v>
      </c>
      <c r="H14" s="1548">
        <v>3</v>
      </c>
      <c r="I14" s="1571">
        <f>+F14</f>
        <v>2298.46</v>
      </c>
      <c r="J14" s="1571">
        <f>I14*H14</f>
        <v>6895.38</v>
      </c>
      <c r="K14" s="1569" t="s">
        <v>1534</v>
      </c>
      <c r="L14" s="1569" t="s">
        <v>1534</v>
      </c>
      <c r="M14" s="1569" t="s">
        <v>1534</v>
      </c>
      <c r="N14" s="1569" t="s">
        <v>1534</v>
      </c>
      <c r="O14" s="1569" t="s">
        <v>1534</v>
      </c>
      <c r="P14" s="1569" t="s">
        <v>1534</v>
      </c>
      <c r="Q14" s="1569" t="s">
        <v>1534</v>
      </c>
      <c r="R14" s="1569" t="s">
        <v>1534</v>
      </c>
      <c r="S14" s="1569" t="s">
        <v>1534</v>
      </c>
    </row>
    <row r="15" spans="1:23" ht="56.25" customHeight="1">
      <c r="A15" s="3330"/>
      <c r="B15" s="1558" t="s">
        <v>2355</v>
      </c>
      <c r="C15" s="2221">
        <v>7130600675</v>
      </c>
      <c r="D15" s="1548" t="s">
        <v>26</v>
      </c>
      <c r="E15" s="2224"/>
      <c r="F15" s="1571"/>
      <c r="G15" s="1571"/>
      <c r="H15" s="2224"/>
      <c r="I15" s="2225"/>
      <c r="J15" s="1571"/>
      <c r="K15" s="1548">
        <f>19.495*11*4</f>
        <v>857.78000000000009</v>
      </c>
      <c r="L15" s="1546">
        <f>VLOOKUP(C15,'[25]SOR RATE'!A:D,4,0)/1000</f>
        <v>68.748589999999993</v>
      </c>
      <c r="M15" s="1571">
        <f>L15*K15</f>
        <v>58971.1655302</v>
      </c>
      <c r="N15" s="1548">
        <f>+K15</f>
        <v>857.78000000000009</v>
      </c>
      <c r="O15" s="1571">
        <f>+L15</f>
        <v>68.748589999999993</v>
      </c>
      <c r="P15" s="1571">
        <f>O15*N15</f>
        <v>58971.1655302</v>
      </c>
      <c r="Q15" s="1548">
        <f>+N15</f>
        <v>857.78000000000009</v>
      </c>
      <c r="R15" s="1571">
        <f>VLOOKUP(C15,'[25]SOR RATE'!A:D,4,0)/1000</f>
        <v>68.748589999999993</v>
      </c>
      <c r="S15" s="1571">
        <f t="shared" ref="S15:S26" si="0">R15*Q15</f>
        <v>58971.1655302</v>
      </c>
    </row>
    <row r="16" spans="1:23" ht="17.25" customHeight="1">
      <c r="A16" s="1548">
        <v>3</v>
      </c>
      <c r="B16" s="1558" t="s">
        <v>1669</v>
      </c>
      <c r="C16" s="2221">
        <v>7130810517</v>
      </c>
      <c r="D16" s="1548" t="s">
        <v>40</v>
      </c>
      <c r="E16" s="1548">
        <v>1</v>
      </c>
      <c r="F16" s="1546">
        <f>VLOOKUP(C16,'[25]SOR RATE'!A:D,4,0)</f>
        <v>5987.84</v>
      </c>
      <c r="G16" s="1571">
        <f t="shared" ref="G16:G30" si="1">F16*E16</f>
        <v>5987.84</v>
      </c>
      <c r="H16" s="1548">
        <v>1</v>
      </c>
      <c r="I16" s="1571">
        <f t="shared" ref="I16:I30" si="2">+F16</f>
        <v>5987.84</v>
      </c>
      <c r="J16" s="1571">
        <f t="shared" ref="J16:J29" si="3">I16*H16</f>
        <v>5987.84</v>
      </c>
      <c r="K16" s="1548">
        <v>1</v>
      </c>
      <c r="L16" s="1571">
        <f t="shared" ref="L16:L29" si="4">+F16</f>
        <v>5987.84</v>
      </c>
      <c r="M16" s="1571">
        <f t="shared" ref="M16:M29" si="5">L16*K16</f>
        <v>5987.84</v>
      </c>
      <c r="N16" s="1548">
        <v>1</v>
      </c>
      <c r="O16" s="1571">
        <f t="shared" ref="O16:O26" si="6">+F16</f>
        <v>5987.84</v>
      </c>
      <c r="P16" s="1571">
        <f t="shared" ref="P16:P26" si="7">O16*N16</f>
        <v>5987.84</v>
      </c>
      <c r="Q16" s="2223">
        <v>1</v>
      </c>
      <c r="R16" s="1571">
        <f>VLOOKUP(C16,'[25]SOR RATE'!A:D,4,0)</f>
        <v>5987.84</v>
      </c>
      <c r="S16" s="1571">
        <f t="shared" si="0"/>
        <v>5987.84</v>
      </c>
    </row>
    <row r="17" spans="1:20" ht="16.5" customHeight="1">
      <c r="A17" s="3324">
        <v>4</v>
      </c>
      <c r="B17" s="1558" t="s">
        <v>67</v>
      </c>
      <c r="C17" s="2221">
        <v>7130820010</v>
      </c>
      <c r="D17" s="1548" t="s">
        <v>12</v>
      </c>
      <c r="E17" s="1548">
        <v>3</v>
      </c>
      <c r="F17" s="1546">
        <f>VLOOKUP(C17,'[25]SOR RATE'!A232:D232,4,0)</f>
        <v>118.97</v>
      </c>
      <c r="G17" s="1571">
        <f t="shared" si="1"/>
        <v>356.90999999999997</v>
      </c>
      <c r="H17" s="1548">
        <v>3</v>
      </c>
      <c r="I17" s="1571">
        <f t="shared" si="2"/>
        <v>118.97</v>
      </c>
      <c r="J17" s="1571">
        <f t="shared" si="3"/>
        <v>356.90999999999997</v>
      </c>
      <c r="K17" s="1548">
        <v>3</v>
      </c>
      <c r="L17" s="1571">
        <f>+F17</f>
        <v>118.97</v>
      </c>
      <c r="M17" s="1571">
        <f t="shared" si="5"/>
        <v>356.90999999999997</v>
      </c>
      <c r="N17" s="1548">
        <v>3</v>
      </c>
      <c r="O17" s="1571">
        <f t="shared" si="6"/>
        <v>118.97</v>
      </c>
      <c r="P17" s="1571">
        <f t="shared" si="7"/>
        <v>356.90999999999997</v>
      </c>
      <c r="Q17" s="2223">
        <v>3</v>
      </c>
      <c r="R17" s="1571">
        <f>VLOOKUP(C17,'[25]SOR RATE'!A:D,4,0)</f>
        <v>118.97</v>
      </c>
      <c r="S17" s="1571">
        <f t="shared" si="0"/>
        <v>356.90999999999997</v>
      </c>
    </row>
    <row r="18" spans="1:20" ht="16.5" customHeight="1">
      <c r="A18" s="3330"/>
      <c r="B18" s="1558" t="s">
        <v>1670</v>
      </c>
      <c r="C18" s="2221">
        <v>7130820241</v>
      </c>
      <c r="D18" s="1548" t="s">
        <v>68</v>
      </c>
      <c r="E18" s="1548">
        <v>3</v>
      </c>
      <c r="F18" s="1546">
        <f>VLOOKUP(C18,'[25]SOR RATE'!A:D,4,0)</f>
        <v>153.49</v>
      </c>
      <c r="G18" s="1571">
        <f t="shared" si="1"/>
        <v>460.47</v>
      </c>
      <c r="H18" s="1548">
        <v>3</v>
      </c>
      <c r="I18" s="1571">
        <f t="shared" si="2"/>
        <v>153.49</v>
      </c>
      <c r="J18" s="1571">
        <f t="shared" si="3"/>
        <v>460.47</v>
      </c>
      <c r="K18" s="1548">
        <v>3</v>
      </c>
      <c r="L18" s="1571">
        <f t="shared" si="4"/>
        <v>153.49</v>
      </c>
      <c r="M18" s="1571">
        <f t="shared" si="5"/>
        <v>460.47</v>
      </c>
      <c r="N18" s="1548">
        <v>3</v>
      </c>
      <c r="O18" s="1571">
        <f t="shared" si="6"/>
        <v>153.49</v>
      </c>
      <c r="P18" s="1571">
        <f t="shared" si="7"/>
        <v>460.47</v>
      </c>
      <c r="Q18" s="2223">
        <v>3</v>
      </c>
      <c r="R18" s="1571">
        <f>VLOOKUP(C18,'[25]SOR RATE'!A:D,4,0)</f>
        <v>153.49</v>
      </c>
      <c r="S18" s="1571">
        <f t="shared" si="0"/>
        <v>460.47</v>
      </c>
    </row>
    <row r="19" spans="1:20" ht="16.5" customHeight="1">
      <c r="A19" s="2226">
        <v>5</v>
      </c>
      <c r="B19" s="1544" t="s">
        <v>19</v>
      </c>
      <c r="C19" s="2227">
        <v>7130820008</v>
      </c>
      <c r="D19" s="1537" t="s">
        <v>12</v>
      </c>
      <c r="E19" s="1548">
        <v>6</v>
      </c>
      <c r="F19" s="1546">
        <f>VLOOKUP(C19,'[25]SOR RATE'!A:D,4,0)</f>
        <v>157.08000000000001</v>
      </c>
      <c r="G19" s="1571">
        <f t="shared" si="1"/>
        <v>942.48</v>
      </c>
      <c r="H19" s="1548">
        <v>6</v>
      </c>
      <c r="I19" s="1571">
        <f t="shared" si="2"/>
        <v>157.08000000000001</v>
      </c>
      <c r="J19" s="1571">
        <f t="shared" si="3"/>
        <v>942.48</v>
      </c>
      <c r="K19" s="1548">
        <v>6</v>
      </c>
      <c r="L19" s="1571">
        <f t="shared" si="4"/>
        <v>157.08000000000001</v>
      </c>
      <c r="M19" s="1571">
        <f t="shared" si="5"/>
        <v>942.48</v>
      </c>
      <c r="N19" s="1548">
        <v>6</v>
      </c>
      <c r="O19" s="1571">
        <f t="shared" si="6"/>
        <v>157.08000000000001</v>
      </c>
      <c r="P19" s="1571">
        <f t="shared" si="7"/>
        <v>942.48</v>
      </c>
      <c r="Q19" s="2223">
        <v>6</v>
      </c>
      <c r="R19" s="1571">
        <f>VLOOKUP(C19,'[25]SOR RATE'!A:D,4,0)</f>
        <v>157.08000000000001</v>
      </c>
      <c r="S19" s="1571">
        <f t="shared" si="0"/>
        <v>942.48</v>
      </c>
      <c r="T19" s="843"/>
    </row>
    <row r="20" spans="1:20" ht="28.5" customHeight="1">
      <c r="A20" s="2228">
        <v>6</v>
      </c>
      <c r="B20" s="2229" t="s">
        <v>1671</v>
      </c>
      <c r="C20" s="2230">
        <v>7130810509</v>
      </c>
      <c r="D20" s="2223" t="s">
        <v>12</v>
      </c>
      <c r="E20" s="2223">
        <v>1</v>
      </c>
      <c r="F20" s="1546">
        <f>VLOOKUP(C20,'[25]SOR RATE'!A:D,4,0)</f>
        <v>2187.33</v>
      </c>
      <c r="G20" s="1571">
        <f t="shared" si="1"/>
        <v>2187.33</v>
      </c>
      <c r="H20" s="2223">
        <v>1</v>
      </c>
      <c r="I20" s="1571">
        <f t="shared" si="2"/>
        <v>2187.33</v>
      </c>
      <c r="J20" s="1571">
        <f t="shared" si="3"/>
        <v>2187.33</v>
      </c>
      <c r="K20" s="2223">
        <v>1</v>
      </c>
      <c r="L20" s="1571">
        <f t="shared" si="4"/>
        <v>2187.33</v>
      </c>
      <c r="M20" s="1571">
        <f t="shared" si="5"/>
        <v>2187.33</v>
      </c>
      <c r="N20" s="2223">
        <v>1</v>
      </c>
      <c r="O20" s="1571">
        <f t="shared" si="6"/>
        <v>2187.33</v>
      </c>
      <c r="P20" s="1571">
        <f t="shared" si="7"/>
        <v>2187.33</v>
      </c>
      <c r="Q20" s="2223">
        <v>1</v>
      </c>
      <c r="R20" s="1571">
        <f>VLOOKUP(C20,'[25]SOR RATE'!A:D,4,0)</f>
        <v>2187.33</v>
      </c>
      <c r="S20" s="1571">
        <f t="shared" si="0"/>
        <v>2187.33</v>
      </c>
      <c r="T20" s="70"/>
    </row>
    <row r="21" spans="1:20" ht="18" customHeight="1">
      <c r="A21" s="1548">
        <v>7</v>
      </c>
      <c r="B21" s="1558" t="s">
        <v>1672</v>
      </c>
      <c r="C21" s="2221">
        <v>7131930412</v>
      </c>
      <c r="D21" s="1548" t="s">
        <v>33</v>
      </c>
      <c r="E21" s="1548">
        <v>3</v>
      </c>
      <c r="F21" s="1546">
        <f>VLOOKUP(C21,'[25]SOR RATE'!A:D,4,0)</f>
        <v>1123.1500000000001</v>
      </c>
      <c r="G21" s="1571">
        <f t="shared" si="1"/>
        <v>3369.4500000000003</v>
      </c>
      <c r="H21" s="1548">
        <v>3</v>
      </c>
      <c r="I21" s="1571">
        <f t="shared" si="2"/>
        <v>1123.1500000000001</v>
      </c>
      <c r="J21" s="1571">
        <f t="shared" si="3"/>
        <v>3369.4500000000003</v>
      </c>
      <c r="K21" s="1548">
        <v>3</v>
      </c>
      <c r="L21" s="1571">
        <f t="shared" si="4"/>
        <v>1123.1500000000001</v>
      </c>
      <c r="M21" s="1571">
        <f t="shared" si="5"/>
        <v>3369.4500000000003</v>
      </c>
      <c r="N21" s="1548">
        <v>3</v>
      </c>
      <c r="O21" s="1571">
        <f t="shared" si="6"/>
        <v>1123.1500000000001</v>
      </c>
      <c r="P21" s="1571">
        <f t="shared" si="7"/>
        <v>3369.4500000000003</v>
      </c>
      <c r="Q21" s="2223">
        <v>3</v>
      </c>
      <c r="R21" s="1571">
        <f>VLOOKUP(C21,'[25]SOR RATE'!A:D,4,0)</f>
        <v>1123.1500000000001</v>
      </c>
      <c r="S21" s="1571">
        <f t="shared" si="0"/>
        <v>3369.4500000000003</v>
      </c>
    </row>
    <row r="22" spans="1:20" ht="28.5" customHeight="1">
      <c r="A22" s="1548">
        <v>8</v>
      </c>
      <c r="B22" s="1558" t="s">
        <v>2356</v>
      </c>
      <c r="C22" s="2221">
        <v>7130810216</v>
      </c>
      <c r="D22" s="1548" t="s">
        <v>15</v>
      </c>
      <c r="E22" s="1548"/>
      <c r="F22" s="1546"/>
      <c r="G22" s="1571"/>
      <c r="H22" s="1548"/>
      <c r="I22" s="1571"/>
      <c r="J22" s="1571"/>
      <c r="K22" s="1548">
        <v>8</v>
      </c>
      <c r="L22" s="1571">
        <f>VLOOKUP(C22,'[25]SOR RATE'!A:D,4,0)</f>
        <v>393.51</v>
      </c>
      <c r="M22" s="1571">
        <f t="shared" si="5"/>
        <v>3148.08</v>
      </c>
      <c r="N22" s="1548">
        <v>8</v>
      </c>
      <c r="O22" s="1571">
        <f>VLOOKUP(C22,'[25]SOR RATE'!A:D,4,0)</f>
        <v>393.51</v>
      </c>
      <c r="P22" s="1571">
        <f t="shared" si="7"/>
        <v>3148.08</v>
      </c>
      <c r="Q22" s="2223">
        <v>8</v>
      </c>
      <c r="R22" s="1571">
        <f>VLOOKUP(C22,'[25]SOR RATE'!A:D,4,0)</f>
        <v>393.51</v>
      </c>
      <c r="S22" s="1571">
        <f t="shared" si="0"/>
        <v>3148.08</v>
      </c>
      <c r="T22" s="2269" t="s">
        <v>119</v>
      </c>
    </row>
    <row r="23" spans="1:20" ht="18" customHeight="1">
      <c r="A23" s="1548">
        <v>9</v>
      </c>
      <c r="B23" s="1558" t="s">
        <v>2357</v>
      </c>
      <c r="C23" s="2221">
        <v>7130810026</v>
      </c>
      <c r="D23" s="1548" t="s">
        <v>15</v>
      </c>
      <c r="E23" s="1548">
        <v>8</v>
      </c>
      <c r="F23" s="1546">
        <f>VLOOKUP(C23,'[25]SOR RATE'!A:D,4,0)</f>
        <v>198.14</v>
      </c>
      <c r="G23" s="1571">
        <f t="shared" si="1"/>
        <v>1585.12</v>
      </c>
      <c r="H23" s="1548">
        <v>8</v>
      </c>
      <c r="I23" s="1571">
        <f>VLOOKUP(C23,'[25]SOR RATE'!A:D,4,0)</f>
        <v>198.14</v>
      </c>
      <c r="J23" s="1571">
        <f t="shared" si="3"/>
        <v>1585.12</v>
      </c>
      <c r="K23" s="1548"/>
      <c r="L23" s="1571"/>
      <c r="M23" s="1571"/>
      <c r="N23" s="1548"/>
      <c r="O23" s="1571"/>
      <c r="P23" s="1571"/>
      <c r="Q23" s="2223"/>
      <c r="R23" s="1571"/>
      <c r="S23" s="1571"/>
      <c r="T23" s="2269" t="s">
        <v>119</v>
      </c>
    </row>
    <row r="24" spans="1:20" ht="27.75" customHeight="1">
      <c r="A24" s="2226">
        <v>10</v>
      </c>
      <c r="B24" s="1558" t="s">
        <v>2358</v>
      </c>
      <c r="C24" s="1559">
        <v>7130600023</v>
      </c>
      <c r="D24" s="1559" t="s">
        <v>26</v>
      </c>
      <c r="E24" s="1548">
        <v>20</v>
      </c>
      <c r="F24" s="1546">
        <f>VLOOKUP(C24,'[25]SOR RATE'!A:D,4,0)/1000</f>
        <v>54.512970000000003</v>
      </c>
      <c r="G24" s="1571">
        <f t="shared" si="1"/>
        <v>1090.2594000000001</v>
      </c>
      <c r="H24" s="1548">
        <v>20</v>
      </c>
      <c r="I24" s="1571">
        <f t="shared" si="2"/>
        <v>54.512970000000003</v>
      </c>
      <c r="J24" s="1571">
        <f t="shared" si="3"/>
        <v>1090.2594000000001</v>
      </c>
      <c r="K24" s="1548">
        <v>20</v>
      </c>
      <c r="L24" s="1571">
        <f t="shared" si="4"/>
        <v>54.512970000000003</v>
      </c>
      <c r="M24" s="1571">
        <f t="shared" si="5"/>
        <v>1090.2594000000001</v>
      </c>
      <c r="N24" s="1548">
        <v>20</v>
      </c>
      <c r="O24" s="1571">
        <f t="shared" si="6"/>
        <v>54.512970000000003</v>
      </c>
      <c r="P24" s="1571">
        <f t="shared" si="7"/>
        <v>1090.2594000000001</v>
      </c>
      <c r="Q24" s="2223">
        <v>20</v>
      </c>
      <c r="R24" s="1571">
        <f>VLOOKUP(C24,'[25]SOR RATE'!A:D,4,0)/1000</f>
        <v>54.512970000000003</v>
      </c>
      <c r="S24" s="1571">
        <f t="shared" si="0"/>
        <v>1090.2594000000001</v>
      </c>
    </row>
    <row r="25" spans="1:20" ht="18" customHeight="1">
      <c r="A25" s="3324">
        <v>11</v>
      </c>
      <c r="B25" s="1558" t="s">
        <v>1673</v>
      </c>
      <c r="C25" s="2221">
        <v>7130860032</v>
      </c>
      <c r="D25" s="1548" t="s">
        <v>12</v>
      </c>
      <c r="E25" s="1548">
        <v>4</v>
      </c>
      <c r="F25" s="1546">
        <f>VLOOKUP(C25,'[25]SOR RATE'!A:D,4,0)</f>
        <v>566.19000000000005</v>
      </c>
      <c r="G25" s="1571">
        <f t="shared" si="1"/>
        <v>2264.7600000000002</v>
      </c>
      <c r="H25" s="1548">
        <v>4</v>
      </c>
      <c r="I25" s="1571">
        <f t="shared" si="2"/>
        <v>566.19000000000005</v>
      </c>
      <c r="J25" s="1571">
        <f t="shared" si="3"/>
        <v>2264.7600000000002</v>
      </c>
      <c r="K25" s="1548">
        <v>4</v>
      </c>
      <c r="L25" s="1571">
        <f t="shared" si="4"/>
        <v>566.19000000000005</v>
      </c>
      <c r="M25" s="1571">
        <f t="shared" si="5"/>
        <v>2264.7600000000002</v>
      </c>
      <c r="N25" s="1548">
        <v>4</v>
      </c>
      <c r="O25" s="1571">
        <f t="shared" si="6"/>
        <v>566.19000000000005</v>
      </c>
      <c r="P25" s="1571">
        <f t="shared" si="7"/>
        <v>2264.7600000000002</v>
      </c>
      <c r="Q25" s="2223">
        <v>4</v>
      </c>
      <c r="R25" s="1571">
        <f>VLOOKUP(C25,'[25]SOR RATE'!A:D,4,0)</f>
        <v>566.19000000000005</v>
      </c>
      <c r="S25" s="1571">
        <f t="shared" si="0"/>
        <v>2264.7600000000002</v>
      </c>
    </row>
    <row r="26" spans="1:20" ht="18" customHeight="1">
      <c r="A26" s="3325"/>
      <c r="B26" s="1558" t="s">
        <v>1674</v>
      </c>
      <c r="C26" s="2221">
        <v>7130860077</v>
      </c>
      <c r="D26" s="1548" t="s">
        <v>26</v>
      </c>
      <c r="E26" s="1548">
        <v>22</v>
      </c>
      <c r="F26" s="1546">
        <f>VLOOKUP(C26,'[25]SOR RATE'!A:D,4,0)/1000</f>
        <v>93.76643</v>
      </c>
      <c r="G26" s="1571">
        <f t="shared" si="1"/>
        <v>2062.8614600000001</v>
      </c>
      <c r="H26" s="1548">
        <v>22</v>
      </c>
      <c r="I26" s="1571">
        <f t="shared" si="2"/>
        <v>93.76643</v>
      </c>
      <c r="J26" s="1571">
        <f t="shared" si="3"/>
        <v>2062.8614600000001</v>
      </c>
      <c r="K26" s="1548">
        <v>22</v>
      </c>
      <c r="L26" s="1571">
        <f t="shared" si="4"/>
        <v>93.76643</v>
      </c>
      <c r="M26" s="1571">
        <f t="shared" si="5"/>
        <v>2062.8614600000001</v>
      </c>
      <c r="N26" s="1548">
        <v>22</v>
      </c>
      <c r="O26" s="1571">
        <f t="shared" si="6"/>
        <v>93.76643</v>
      </c>
      <c r="P26" s="1571">
        <f t="shared" si="7"/>
        <v>2062.8614600000001</v>
      </c>
      <c r="Q26" s="2223">
        <v>22</v>
      </c>
      <c r="R26" s="1571">
        <f>VLOOKUP(C26,'[25]SOR RATE'!A:D,4,0)/1000</f>
        <v>93.76643</v>
      </c>
      <c r="S26" s="1571">
        <f t="shared" si="0"/>
        <v>2062.8614600000001</v>
      </c>
    </row>
    <row r="27" spans="1:20" ht="15" customHeight="1">
      <c r="A27" s="3325"/>
      <c r="B27" s="1558" t="s">
        <v>74</v>
      </c>
      <c r="C27" s="2231">
        <v>7130810026</v>
      </c>
      <c r="D27" s="1548" t="s">
        <v>15</v>
      </c>
      <c r="E27" s="1548">
        <v>4</v>
      </c>
      <c r="F27" s="1546">
        <f>VLOOKUP(C27,'[25]SOR RATE'!A201:D201,4,0)</f>
        <v>198.14</v>
      </c>
      <c r="G27" s="1571">
        <f t="shared" si="1"/>
        <v>792.56</v>
      </c>
      <c r="H27" s="1548">
        <v>4</v>
      </c>
      <c r="I27" s="1571">
        <f t="shared" si="2"/>
        <v>198.14</v>
      </c>
      <c r="J27" s="1571">
        <f t="shared" si="3"/>
        <v>792.56</v>
      </c>
      <c r="K27" s="1548">
        <v>4</v>
      </c>
      <c r="L27" s="1571">
        <f t="shared" si="4"/>
        <v>198.14</v>
      </c>
      <c r="M27" s="1571">
        <f t="shared" si="5"/>
        <v>792.56</v>
      </c>
      <c r="N27" s="1548"/>
      <c r="O27" s="1571"/>
      <c r="P27" s="1571"/>
      <c r="Q27" s="1571"/>
      <c r="R27" s="1571"/>
      <c r="S27" s="1571"/>
    </row>
    <row r="28" spans="1:20" ht="65.25" customHeight="1">
      <c r="A28" s="2228">
        <v>12</v>
      </c>
      <c r="B28" s="2232" t="s">
        <v>2359</v>
      </c>
      <c r="C28" s="2221">
        <v>7130200202</v>
      </c>
      <c r="D28" s="1548" t="s">
        <v>76</v>
      </c>
      <c r="E28" s="1943">
        <f>(3*0.3)+(4*0.2)+(3*0.05)</f>
        <v>1.85</v>
      </c>
      <c r="F28" s="1546">
        <f>VLOOKUP(C28,'[25]SOR RATE'!A:D,4,0)</f>
        <v>2970</v>
      </c>
      <c r="G28" s="1571">
        <f>F28*E28</f>
        <v>5494.5</v>
      </c>
      <c r="H28" s="1943">
        <f>(3*0.3)+(4*0.2)+(3*0.05)</f>
        <v>1.85</v>
      </c>
      <c r="I28" s="1571">
        <f t="shared" si="2"/>
        <v>2970</v>
      </c>
      <c r="J28" s="1571">
        <f>I28*H28</f>
        <v>5494.5</v>
      </c>
      <c r="K28" s="1943">
        <f>(4*0.3)+(4*0.2)+(4*0.05)</f>
        <v>2.2000000000000002</v>
      </c>
      <c r="L28" s="1571">
        <f t="shared" si="4"/>
        <v>2970</v>
      </c>
      <c r="M28" s="1571">
        <f>L28*K28</f>
        <v>6534.0000000000009</v>
      </c>
      <c r="N28" s="1943">
        <f>(4*0.3)+(4*0.2)+(4*0.05)</f>
        <v>2.2000000000000002</v>
      </c>
      <c r="O28" s="1571">
        <f>+F28</f>
        <v>2970</v>
      </c>
      <c r="P28" s="1571">
        <f>O28*N28</f>
        <v>6534.0000000000009</v>
      </c>
      <c r="Q28" s="1943">
        <f>(4*0.3)+(4*0.2)+(4*0.05)</f>
        <v>2.2000000000000002</v>
      </c>
      <c r="R28" s="1571">
        <f>VLOOKUP(C28,'[25]SOR RATE'!A:D,4,0)</f>
        <v>2970</v>
      </c>
      <c r="S28" s="1571">
        <f>R28*Q28</f>
        <v>6534.0000000000009</v>
      </c>
      <c r="T28" s="1936" t="s">
        <v>2360</v>
      </c>
    </row>
    <row r="29" spans="1:20" ht="29.25" customHeight="1">
      <c r="A29" s="2226">
        <v>13</v>
      </c>
      <c r="B29" s="1572" t="s">
        <v>2361</v>
      </c>
      <c r="C29" s="2221">
        <v>7130600023</v>
      </c>
      <c r="D29" s="2233" t="s">
        <v>26</v>
      </c>
      <c r="E29" s="1548">
        <v>34</v>
      </c>
      <c r="F29" s="1546">
        <f>VLOOKUP(C29,'[25]SOR RATE'!A:D,4,0)/1000</f>
        <v>54.512970000000003</v>
      </c>
      <c r="G29" s="1571">
        <f t="shared" si="1"/>
        <v>1853.4409800000001</v>
      </c>
      <c r="H29" s="1548">
        <v>34</v>
      </c>
      <c r="I29" s="1571">
        <f t="shared" si="2"/>
        <v>54.512970000000003</v>
      </c>
      <c r="J29" s="1571">
        <f t="shared" si="3"/>
        <v>1853.4409800000001</v>
      </c>
      <c r="K29" s="1548">
        <v>34</v>
      </c>
      <c r="L29" s="1571">
        <f t="shared" si="4"/>
        <v>54.512970000000003</v>
      </c>
      <c r="M29" s="1571">
        <f t="shared" si="5"/>
        <v>1853.4409800000001</v>
      </c>
      <c r="N29" s="1548">
        <v>34</v>
      </c>
      <c r="O29" s="1571">
        <f>+F29</f>
        <v>54.512970000000003</v>
      </c>
      <c r="P29" s="1571">
        <f>O29*N29</f>
        <v>1853.4409800000001</v>
      </c>
      <c r="Q29" s="2223">
        <v>34</v>
      </c>
      <c r="R29" s="1571">
        <f>VLOOKUP(C29,'[25]SOR RATE'!A:D,4,0)/1000</f>
        <v>54.512970000000003</v>
      </c>
      <c r="S29" s="1571">
        <f>R29*Q29</f>
        <v>1853.4409800000001</v>
      </c>
    </row>
    <row r="30" spans="1:20" ht="27.75" customHeight="1">
      <c r="A30" s="2226">
        <v>14</v>
      </c>
      <c r="B30" s="1558" t="s">
        <v>2362</v>
      </c>
      <c r="C30" s="2221">
        <v>7130850201</v>
      </c>
      <c r="D30" s="1548" t="s">
        <v>40</v>
      </c>
      <c r="E30" s="1548">
        <v>1</v>
      </c>
      <c r="F30" s="1546">
        <f>VLOOKUP(C30,'[25]SOR RATE'!A279:D279,4,0)</f>
        <v>5987.84</v>
      </c>
      <c r="G30" s="1571">
        <f t="shared" si="1"/>
        <v>5987.84</v>
      </c>
      <c r="H30" s="1548">
        <v>1</v>
      </c>
      <c r="I30" s="1571">
        <f t="shared" si="2"/>
        <v>5987.84</v>
      </c>
      <c r="J30" s="1571">
        <f>I30*H30</f>
        <v>5987.84</v>
      </c>
      <c r="K30" s="1548">
        <v>1</v>
      </c>
      <c r="L30" s="1571">
        <f>+F30</f>
        <v>5987.84</v>
      </c>
      <c r="M30" s="1571">
        <f>L30*K30</f>
        <v>5987.84</v>
      </c>
      <c r="N30" s="1548">
        <v>1</v>
      </c>
      <c r="O30" s="1571">
        <f>+F30</f>
        <v>5987.84</v>
      </c>
      <c r="P30" s="1571">
        <f>O30*N30</f>
        <v>5987.84</v>
      </c>
      <c r="Q30" s="2223">
        <v>1</v>
      </c>
      <c r="R30" s="1571">
        <f>VLOOKUP(C30,'[25]SOR RATE'!A:D,4,0)</f>
        <v>5987.84</v>
      </c>
      <c r="S30" s="1571">
        <f>R30*Q30</f>
        <v>5987.84</v>
      </c>
    </row>
    <row r="31" spans="1:20" ht="18.75" customHeight="1">
      <c r="A31" s="1548">
        <v>15</v>
      </c>
      <c r="B31" s="1558" t="s">
        <v>32</v>
      </c>
      <c r="C31" s="2221">
        <v>7130880041</v>
      </c>
      <c r="D31" s="1548" t="s">
        <v>33</v>
      </c>
      <c r="E31" s="1548">
        <v>1</v>
      </c>
      <c r="F31" s="1546">
        <f>VLOOKUP(C31,'[25]SOR RATE'!A:D,4,0)</f>
        <v>113.77</v>
      </c>
      <c r="G31" s="1571">
        <f>F31*E31</f>
        <v>113.77</v>
      </c>
      <c r="H31" s="1548">
        <v>1</v>
      </c>
      <c r="I31" s="1571">
        <f>+F31</f>
        <v>113.77</v>
      </c>
      <c r="J31" s="1571">
        <f>I31*H31</f>
        <v>113.77</v>
      </c>
      <c r="K31" s="1548">
        <v>1</v>
      </c>
      <c r="L31" s="1571">
        <f>+F31</f>
        <v>113.77</v>
      </c>
      <c r="M31" s="1571">
        <f>L31*K31</f>
        <v>113.77</v>
      </c>
      <c r="N31" s="1548">
        <v>1</v>
      </c>
      <c r="O31" s="1571">
        <f>+F31</f>
        <v>113.77</v>
      </c>
      <c r="P31" s="1571">
        <f>O31*N31</f>
        <v>113.77</v>
      </c>
      <c r="Q31" s="2223">
        <v>1</v>
      </c>
      <c r="R31" s="1571">
        <f>VLOOKUP(C31,'[25]SOR RATE'!A:D,4,0)</f>
        <v>113.77</v>
      </c>
      <c r="S31" s="1571">
        <f>R31*Q31</f>
        <v>113.77</v>
      </c>
    </row>
    <row r="32" spans="1:20" ht="28.5" customHeight="1">
      <c r="A32" s="3324">
        <v>16</v>
      </c>
      <c r="B32" s="2160" t="s">
        <v>2363</v>
      </c>
      <c r="C32" s="2234"/>
      <c r="D32" s="2235"/>
      <c r="E32" s="2235"/>
      <c r="F32" s="2235"/>
      <c r="G32" s="2235"/>
      <c r="H32" s="2235"/>
      <c r="I32" s="2235"/>
      <c r="J32" s="2235"/>
      <c r="K32" s="2235"/>
      <c r="L32" s="2235"/>
      <c r="M32" s="2235"/>
      <c r="N32" s="2235"/>
      <c r="O32" s="2235"/>
      <c r="P32" s="2236"/>
      <c r="Q32" s="2237"/>
      <c r="R32" s="1571"/>
      <c r="S32" s="1571"/>
    </row>
    <row r="33" spans="1:25" ht="18.75" customHeight="1">
      <c r="A33" s="3325"/>
      <c r="B33" s="1558" t="s">
        <v>1675</v>
      </c>
      <c r="C33" s="2221">
        <v>7130641396</v>
      </c>
      <c r="D33" s="1548" t="s">
        <v>21</v>
      </c>
      <c r="E33" s="1548">
        <v>9</v>
      </c>
      <c r="F33" s="1546">
        <f>VLOOKUP(C33,'[25]SOR RATE'!A:D,4,0)</f>
        <v>253.11</v>
      </c>
      <c r="G33" s="1571">
        <f t="shared" ref="G33:G38" si="8">F33*E33</f>
        <v>2277.9900000000002</v>
      </c>
      <c r="H33" s="1548">
        <v>9</v>
      </c>
      <c r="I33" s="1571">
        <f>+F33</f>
        <v>253.11</v>
      </c>
      <c r="J33" s="1571">
        <f t="shared" ref="J33:J38" si="9">I33*H33</f>
        <v>2277.9900000000002</v>
      </c>
      <c r="K33" s="1548">
        <v>9</v>
      </c>
      <c r="L33" s="1571">
        <f t="shared" ref="L33:L38" si="10">+F33</f>
        <v>253.11</v>
      </c>
      <c r="M33" s="1571">
        <f t="shared" ref="M33:M38" si="11">L33*K33</f>
        <v>2277.9900000000002</v>
      </c>
      <c r="N33" s="1548">
        <v>9</v>
      </c>
      <c r="O33" s="1571">
        <f t="shared" ref="O33:O38" si="12">+F33</f>
        <v>253.11</v>
      </c>
      <c r="P33" s="1571">
        <f t="shared" ref="P33:P38" si="13">O33*N33</f>
        <v>2277.9900000000002</v>
      </c>
      <c r="Q33" s="2223">
        <v>9</v>
      </c>
      <c r="R33" s="1571">
        <f>VLOOKUP(C33,'[25]SOR RATE'!A:D,4,0)</f>
        <v>253.11</v>
      </c>
      <c r="S33" s="1571">
        <f t="shared" ref="S33:S43" si="14">R33*Q33</f>
        <v>2277.9900000000002</v>
      </c>
    </row>
    <row r="34" spans="1:25" ht="18.75" customHeight="1">
      <c r="A34" s="3330"/>
      <c r="B34" s="1558" t="s">
        <v>1676</v>
      </c>
      <c r="C34" s="2221">
        <v>7130870043</v>
      </c>
      <c r="D34" s="1548" t="s">
        <v>26</v>
      </c>
      <c r="E34" s="1548">
        <v>15</v>
      </c>
      <c r="F34" s="1546">
        <f>VLOOKUP(C34,'[25]SOR RATE'!A:D,4,0)/1000</f>
        <v>80.521839999999997</v>
      </c>
      <c r="G34" s="1571">
        <f t="shared" si="8"/>
        <v>1207.8276000000001</v>
      </c>
      <c r="H34" s="1548">
        <v>15</v>
      </c>
      <c r="I34" s="1571">
        <f t="shared" ref="I34" si="15">+F34</f>
        <v>80.521839999999997</v>
      </c>
      <c r="J34" s="1571">
        <f t="shared" si="9"/>
        <v>1207.8276000000001</v>
      </c>
      <c r="K34" s="1548">
        <v>15</v>
      </c>
      <c r="L34" s="1571">
        <f t="shared" si="10"/>
        <v>80.521839999999997</v>
      </c>
      <c r="M34" s="1571">
        <f t="shared" si="11"/>
        <v>1207.8276000000001</v>
      </c>
      <c r="N34" s="1548">
        <v>15</v>
      </c>
      <c r="O34" s="1571">
        <f t="shared" si="12"/>
        <v>80.521839999999997</v>
      </c>
      <c r="P34" s="1571">
        <f t="shared" si="13"/>
        <v>1207.8276000000001</v>
      </c>
      <c r="Q34" s="2223">
        <v>15</v>
      </c>
      <c r="R34" s="1571">
        <f>VLOOKUP(C34,'[25]SOR RATE'!A:D,4,0)/1000</f>
        <v>80.521839999999997</v>
      </c>
      <c r="S34" s="1571">
        <f t="shared" si="14"/>
        <v>1207.8276000000001</v>
      </c>
    </row>
    <row r="35" spans="1:25" ht="14.25" customHeight="1">
      <c r="A35" s="1548">
        <v>17</v>
      </c>
      <c r="B35" s="1572" t="s">
        <v>31</v>
      </c>
      <c r="C35" s="2148">
        <v>7130610206</v>
      </c>
      <c r="D35" s="1548" t="s">
        <v>26</v>
      </c>
      <c r="E35" s="1548">
        <v>6</v>
      </c>
      <c r="F35" s="1546">
        <f>VLOOKUP(C35,'[25]SOR RATE'!A:D,4,0)/1000</f>
        <v>97.233429999999998</v>
      </c>
      <c r="G35" s="1571">
        <f t="shared" si="8"/>
        <v>583.40057999999999</v>
      </c>
      <c r="H35" s="1548">
        <v>6</v>
      </c>
      <c r="I35" s="1571">
        <f>+F35</f>
        <v>97.233429999999998</v>
      </c>
      <c r="J35" s="1571">
        <f t="shared" si="9"/>
        <v>583.40057999999999</v>
      </c>
      <c r="K35" s="1548">
        <v>8</v>
      </c>
      <c r="L35" s="1571">
        <f t="shared" si="10"/>
        <v>97.233429999999998</v>
      </c>
      <c r="M35" s="1571">
        <f t="shared" si="11"/>
        <v>777.86743999999999</v>
      </c>
      <c r="N35" s="1548">
        <v>8</v>
      </c>
      <c r="O35" s="1571">
        <f t="shared" si="12"/>
        <v>97.233429999999998</v>
      </c>
      <c r="P35" s="1571">
        <f t="shared" si="13"/>
        <v>777.86743999999999</v>
      </c>
      <c r="Q35" s="2223">
        <v>8</v>
      </c>
      <c r="R35" s="1571">
        <f>VLOOKUP(C35,'[25]SOR RATE'!A:D,4,0)/1000</f>
        <v>97.233429999999998</v>
      </c>
      <c r="S35" s="1571">
        <f t="shared" si="14"/>
        <v>777.86743999999999</v>
      </c>
      <c r="T35" s="88"/>
      <c r="U35" s="89"/>
      <c r="V35" s="87"/>
      <c r="W35" s="87"/>
    </row>
    <row r="36" spans="1:25" ht="15" customHeight="1">
      <c r="A36" s="1548">
        <v>18</v>
      </c>
      <c r="B36" s="1558" t="s">
        <v>28</v>
      </c>
      <c r="C36" s="2221">
        <v>7130211158</v>
      </c>
      <c r="D36" s="1548" t="s">
        <v>29</v>
      </c>
      <c r="E36" s="1548">
        <v>1</v>
      </c>
      <c r="F36" s="1546">
        <f>VLOOKUP(C36,'[25]SOR RATE'!A:D,4,0)</f>
        <v>193.62</v>
      </c>
      <c r="G36" s="1571">
        <f t="shared" si="8"/>
        <v>193.62</v>
      </c>
      <c r="H36" s="1548">
        <v>1</v>
      </c>
      <c r="I36" s="1571">
        <f>+F36</f>
        <v>193.62</v>
      </c>
      <c r="J36" s="1571">
        <f t="shared" si="9"/>
        <v>193.62</v>
      </c>
      <c r="K36" s="1548">
        <v>3</v>
      </c>
      <c r="L36" s="1571">
        <f t="shared" si="10"/>
        <v>193.62</v>
      </c>
      <c r="M36" s="1571">
        <f t="shared" si="11"/>
        <v>580.86</v>
      </c>
      <c r="N36" s="1548">
        <v>3</v>
      </c>
      <c r="O36" s="1571">
        <f t="shared" si="12"/>
        <v>193.62</v>
      </c>
      <c r="P36" s="1571">
        <f t="shared" si="13"/>
        <v>580.86</v>
      </c>
      <c r="Q36" s="2223">
        <v>3</v>
      </c>
      <c r="R36" s="1571">
        <f>VLOOKUP(C36,'[25]SOR RATE'!A:D,4,0)</f>
        <v>193.62</v>
      </c>
      <c r="S36" s="1571">
        <f t="shared" si="14"/>
        <v>580.86</v>
      </c>
    </row>
    <row r="37" spans="1:25" ht="15" customHeight="1">
      <c r="A37" s="1548">
        <v>19</v>
      </c>
      <c r="B37" s="1558" t="s">
        <v>30</v>
      </c>
      <c r="C37" s="2221">
        <v>7130210809</v>
      </c>
      <c r="D37" s="1548" t="s">
        <v>29</v>
      </c>
      <c r="E37" s="1548">
        <v>1</v>
      </c>
      <c r="F37" s="1546">
        <f>VLOOKUP(C37,'[25]SOR RATE'!A:D,4,0)</f>
        <v>432.63</v>
      </c>
      <c r="G37" s="1571">
        <f t="shared" si="8"/>
        <v>432.63</v>
      </c>
      <c r="H37" s="1548">
        <v>1</v>
      </c>
      <c r="I37" s="1571">
        <f>+F37</f>
        <v>432.63</v>
      </c>
      <c r="J37" s="1571">
        <f t="shared" si="9"/>
        <v>432.63</v>
      </c>
      <c r="K37" s="1548">
        <v>3</v>
      </c>
      <c r="L37" s="1571">
        <f t="shared" si="10"/>
        <v>432.63</v>
      </c>
      <c r="M37" s="1571">
        <f t="shared" si="11"/>
        <v>1297.8899999999999</v>
      </c>
      <c r="N37" s="1548">
        <v>3</v>
      </c>
      <c r="O37" s="1571">
        <f t="shared" si="12"/>
        <v>432.63</v>
      </c>
      <c r="P37" s="1571">
        <f t="shared" si="13"/>
        <v>1297.8899999999999</v>
      </c>
      <c r="Q37" s="2223">
        <v>3</v>
      </c>
      <c r="R37" s="1571">
        <f>VLOOKUP(C37,'[25]SOR RATE'!A:D,4,0)</f>
        <v>432.63</v>
      </c>
      <c r="S37" s="1571">
        <f t="shared" si="14"/>
        <v>1297.8899999999999</v>
      </c>
    </row>
    <row r="38" spans="1:25" ht="15" customHeight="1">
      <c r="A38" s="1548">
        <v>20</v>
      </c>
      <c r="B38" s="1558" t="s">
        <v>1677</v>
      </c>
      <c r="C38" s="2221">
        <v>7130840029</v>
      </c>
      <c r="D38" s="1548" t="s">
        <v>33</v>
      </c>
      <c r="E38" s="1548">
        <v>3</v>
      </c>
      <c r="F38" s="1546">
        <f>VLOOKUP(C38,'[25]SOR RATE'!A:D,4,0)</f>
        <v>368.52</v>
      </c>
      <c r="G38" s="1571">
        <f t="shared" si="8"/>
        <v>1105.56</v>
      </c>
      <c r="H38" s="1548">
        <v>3</v>
      </c>
      <c r="I38" s="1571">
        <f>+F38</f>
        <v>368.52</v>
      </c>
      <c r="J38" s="1571">
        <f t="shared" si="9"/>
        <v>1105.56</v>
      </c>
      <c r="K38" s="1548">
        <v>3</v>
      </c>
      <c r="L38" s="1571">
        <f t="shared" si="10"/>
        <v>368.52</v>
      </c>
      <c r="M38" s="1571">
        <f t="shared" si="11"/>
        <v>1105.56</v>
      </c>
      <c r="N38" s="1548">
        <v>3</v>
      </c>
      <c r="O38" s="1571">
        <f t="shared" si="12"/>
        <v>368.52</v>
      </c>
      <c r="P38" s="1571">
        <f t="shared" si="13"/>
        <v>1105.56</v>
      </c>
      <c r="Q38" s="2223">
        <v>3</v>
      </c>
      <c r="R38" s="1571">
        <f>VLOOKUP(C38,'[25]SOR RATE'!A:D,4,0)</f>
        <v>368.52</v>
      </c>
      <c r="S38" s="1571">
        <f t="shared" si="14"/>
        <v>1105.56</v>
      </c>
    </row>
    <row r="39" spans="1:25" ht="18.75" customHeight="1">
      <c r="A39" s="3324">
        <v>21</v>
      </c>
      <c r="B39" s="1558" t="s">
        <v>1678</v>
      </c>
      <c r="C39" s="2221"/>
      <c r="D39" s="1548" t="s">
        <v>26</v>
      </c>
      <c r="E39" s="1933">
        <v>14</v>
      </c>
      <c r="F39" s="1571"/>
      <c r="G39" s="1571"/>
      <c r="H39" s="1933">
        <v>14</v>
      </c>
      <c r="I39" s="1571"/>
      <c r="J39" s="1571"/>
      <c r="K39" s="1933">
        <v>14</v>
      </c>
      <c r="L39" s="1571"/>
      <c r="M39" s="1571"/>
      <c r="N39" s="1933">
        <v>14</v>
      </c>
      <c r="O39" s="2222"/>
      <c r="P39" s="2222"/>
      <c r="Q39" s="2222"/>
      <c r="R39" s="1571"/>
      <c r="S39" s="1571"/>
    </row>
    <row r="40" spans="1:25" ht="15" customHeight="1">
      <c r="A40" s="3325"/>
      <c r="B40" s="1570" t="s">
        <v>79</v>
      </c>
      <c r="C40" s="2221">
        <v>7130620609</v>
      </c>
      <c r="D40" s="1548" t="s">
        <v>26</v>
      </c>
      <c r="E40" s="1548">
        <v>1</v>
      </c>
      <c r="F40" s="1546">
        <f>VLOOKUP(C40,'[25]SOR RATE'!A:D,4,0)</f>
        <v>87.23</v>
      </c>
      <c r="G40" s="1571">
        <f>F40*E40</f>
        <v>87.23</v>
      </c>
      <c r="H40" s="1548">
        <v>1</v>
      </c>
      <c r="I40" s="1571">
        <f>+F40</f>
        <v>87.23</v>
      </c>
      <c r="J40" s="1571">
        <f>I40*H40</f>
        <v>87.23</v>
      </c>
      <c r="K40" s="1548">
        <v>1</v>
      </c>
      <c r="L40" s="1571">
        <f>+F40</f>
        <v>87.23</v>
      </c>
      <c r="M40" s="1571">
        <f>L40*K40</f>
        <v>87.23</v>
      </c>
      <c r="N40" s="1548">
        <v>1</v>
      </c>
      <c r="O40" s="1571">
        <f>+F40</f>
        <v>87.23</v>
      </c>
      <c r="P40" s="1571">
        <f>O40*N40</f>
        <v>87.23</v>
      </c>
      <c r="Q40" s="2223">
        <v>1</v>
      </c>
      <c r="R40" s="1571">
        <f>VLOOKUP(C40,'[25]SOR RATE'!A:D,4,0)</f>
        <v>87.23</v>
      </c>
      <c r="S40" s="1571">
        <f t="shared" si="14"/>
        <v>87.23</v>
      </c>
    </row>
    <row r="41" spans="1:25" ht="15" customHeight="1">
      <c r="A41" s="3325"/>
      <c r="B41" s="1570" t="s">
        <v>111</v>
      </c>
      <c r="C41" s="2221">
        <v>7130620614</v>
      </c>
      <c r="D41" s="1548" t="s">
        <v>26</v>
      </c>
      <c r="E41" s="1548">
        <v>4</v>
      </c>
      <c r="F41" s="1546">
        <f>VLOOKUP(C41,'[25]SOR RATE'!A:D,4,0)</f>
        <v>85.77</v>
      </c>
      <c r="G41" s="1571">
        <f>F41*E41</f>
        <v>343.08</v>
      </c>
      <c r="H41" s="1548">
        <v>4</v>
      </c>
      <c r="I41" s="1571">
        <f>+F41</f>
        <v>85.77</v>
      </c>
      <c r="J41" s="1571">
        <f>I41*H41</f>
        <v>343.08</v>
      </c>
      <c r="K41" s="1548">
        <v>4</v>
      </c>
      <c r="L41" s="1571">
        <f>+F41</f>
        <v>85.77</v>
      </c>
      <c r="M41" s="1571">
        <f>L41*K41</f>
        <v>343.08</v>
      </c>
      <c r="N41" s="1548">
        <v>4</v>
      </c>
      <c r="O41" s="1571">
        <f>+F41</f>
        <v>85.77</v>
      </c>
      <c r="P41" s="1571">
        <f>O41*N41</f>
        <v>343.08</v>
      </c>
      <c r="Q41" s="2223">
        <v>4</v>
      </c>
      <c r="R41" s="1571">
        <f>VLOOKUP(C41,'[25]SOR RATE'!A:D,4,0)</f>
        <v>85.77</v>
      </c>
      <c r="S41" s="1571">
        <f t="shared" si="14"/>
        <v>343.08</v>
      </c>
    </row>
    <row r="42" spans="1:25" ht="15" customHeight="1">
      <c r="A42" s="3325"/>
      <c r="B42" s="1570" t="s">
        <v>112</v>
      </c>
      <c r="C42" s="2221">
        <v>7130620625</v>
      </c>
      <c r="D42" s="1548" t="s">
        <v>26</v>
      </c>
      <c r="E42" s="1548">
        <v>4</v>
      </c>
      <c r="F42" s="1546">
        <f>VLOOKUP(C42,'[25]SOR RATE'!A:D,4,0)</f>
        <v>84.32</v>
      </c>
      <c r="G42" s="1571">
        <f>F42*E42</f>
        <v>337.28</v>
      </c>
      <c r="H42" s="1548">
        <v>4</v>
      </c>
      <c r="I42" s="1571">
        <f>+F42</f>
        <v>84.32</v>
      </c>
      <c r="J42" s="1571">
        <f>I42*H42</f>
        <v>337.28</v>
      </c>
      <c r="K42" s="1548">
        <v>4</v>
      </c>
      <c r="L42" s="1571">
        <f>+F42</f>
        <v>84.32</v>
      </c>
      <c r="M42" s="1571">
        <f>L42*K42</f>
        <v>337.28</v>
      </c>
      <c r="N42" s="1548">
        <v>4</v>
      </c>
      <c r="O42" s="1571">
        <f>+F42</f>
        <v>84.32</v>
      </c>
      <c r="P42" s="1571">
        <f>O42*N42</f>
        <v>337.28</v>
      </c>
      <c r="Q42" s="2223">
        <v>4</v>
      </c>
      <c r="R42" s="1571">
        <f>VLOOKUP(C42,'[25]SOR RATE'!A:D,4,0)</f>
        <v>84.32</v>
      </c>
      <c r="S42" s="1571">
        <f t="shared" si="14"/>
        <v>337.28</v>
      </c>
    </row>
    <row r="43" spans="1:25" ht="15" customHeight="1">
      <c r="A43" s="3330"/>
      <c r="B43" s="1570" t="s">
        <v>80</v>
      </c>
      <c r="C43" s="2221">
        <v>7130620631</v>
      </c>
      <c r="D43" s="1548" t="s">
        <v>26</v>
      </c>
      <c r="E43" s="1548">
        <v>5</v>
      </c>
      <c r="F43" s="1546">
        <f>VLOOKUP(C43,'[25]SOR RATE'!A:D,4,0)</f>
        <v>84.32</v>
      </c>
      <c r="G43" s="1571">
        <f>F43*E43</f>
        <v>421.59999999999997</v>
      </c>
      <c r="H43" s="1548">
        <v>5</v>
      </c>
      <c r="I43" s="1571">
        <f>+F43</f>
        <v>84.32</v>
      </c>
      <c r="J43" s="1571">
        <f>I43*H43</f>
        <v>421.59999999999997</v>
      </c>
      <c r="K43" s="1548">
        <v>5</v>
      </c>
      <c r="L43" s="1571">
        <f>+F43</f>
        <v>84.32</v>
      </c>
      <c r="M43" s="1571">
        <f>L43*K43</f>
        <v>421.59999999999997</v>
      </c>
      <c r="N43" s="1548">
        <v>5</v>
      </c>
      <c r="O43" s="1571">
        <f>+F43</f>
        <v>84.32</v>
      </c>
      <c r="P43" s="1571">
        <f>O43*N43</f>
        <v>421.59999999999997</v>
      </c>
      <c r="Q43" s="2223">
        <v>5</v>
      </c>
      <c r="R43" s="1571">
        <f>VLOOKUP(C43,'[25]SOR RATE'!A:D,4,0)</f>
        <v>84.32</v>
      </c>
      <c r="S43" s="1571">
        <f t="shared" si="14"/>
        <v>421.59999999999997</v>
      </c>
    </row>
    <row r="44" spans="1:25" ht="15.75" customHeight="1">
      <c r="A44" s="1548">
        <v>22</v>
      </c>
      <c r="B44" s="1558" t="s">
        <v>2364</v>
      </c>
      <c r="C44" s="2221">
        <v>7131920254</v>
      </c>
      <c r="D44" s="1548" t="s">
        <v>12</v>
      </c>
      <c r="E44" s="1548">
        <v>1</v>
      </c>
      <c r="F44" s="1546">
        <f>VLOOKUP(C44,'[25]SOR RATE'!A:D,4,0)</f>
        <v>2126.1</v>
      </c>
      <c r="G44" s="1571">
        <f>F44*E44</f>
        <v>2126.1</v>
      </c>
      <c r="H44" s="1569" t="s">
        <v>1534</v>
      </c>
      <c r="I44" s="1571"/>
      <c r="J44" s="1571"/>
      <c r="K44" s="1569" t="s">
        <v>1534</v>
      </c>
      <c r="L44" s="1571"/>
      <c r="M44" s="1571"/>
      <c r="N44" s="1569" t="s">
        <v>1534</v>
      </c>
      <c r="O44" s="2222"/>
      <c r="P44" s="2222"/>
      <c r="Q44" s="1831" t="s">
        <v>1534</v>
      </c>
      <c r="R44" s="2222"/>
      <c r="S44" s="2222"/>
    </row>
    <row r="45" spans="1:25" ht="18.75" customHeight="1">
      <c r="A45" s="1548">
        <v>23</v>
      </c>
      <c r="B45" s="1948" t="s">
        <v>1679</v>
      </c>
      <c r="C45" s="2234"/>
      <c r="D45" s="2235"/>
      <c r="E45" s="2235"/>
      <c r="F45" s="2235"/>
      <c r="G45" s="2235"/>
      <c r="H45" s="2235"/>
      <c r="I45" s="2235"/>
      <c r="J45" s="2235"/>
      <c r="K45" s="2235"/>
      <c r="L45" s="2235"/>
      <c r="M45" s="2235"/>
      <c r="N45" s="2235"/>
      <c r="O45" s="2235"/>
      <c r="P45" s="2236"/>
      <c r="Q45" s="2238"/>
      <c r="R45" s="2238"/>
      <c r="S45" s="2238"/>
    </row>
    <row r="46" spans="1:25" ht="18.75" customHeight="1">
      <c r="A46" s="1548" t="s">
        <v>1680</v>
      </c>
      <c r="B46" s="1558" t="s">
        <v>2365</v>
      </c>
      <c r="C46" s="2221">
        <v>7130311008</v>
      </c>
      <c r="D46" s="1548" t="s">
        <v>21</v>
      </c>
      <c r="E46" s="1548">
        <v>120</v>
      </c>
      <c r="F46" s="1546">
        <f>VLOOKUP(C46,'[25]SOR RATE'!A:D,4,0)/1000</f>
        <v>24.908200000000001</v>
      </c>
      <c r="G46" s="1571">
        <f>F46*E46</f>
        <v>2988.9839999999999</v>
      </c>
      <c r="H46" s="1569" t="s">
        <v>1534</v>
      </c>
      <c r="I46" s="1571"/>
      <c r="J46" s="1571"/>
      <c r="K46" s="1569"/>
      <c r="L46" s="1571"/>
      <c r="M46" s="1571"/>
      <c r="N46" s="1569" t="s">
        <v>1534</v>
      </c>
      <c r="O46" s="1569" t="s">
        <v>1534</v>
      </c>
      <c r="P46" s="1569" t="s">
        <v>1534</v>
      </c>
      <c r="Q46" s="1569" t="s">
        <v>1534</v>
      </c>
      <c r="R46" s="1569" t="s">
        <v>1534</v>
      </c>
      <c r="S46" s="1569" t="s">
        <v>1534</v>
      </c>
      <c r="T46" s="1937"/>
      <c r="U46" s="806"/>
      <c r="V46" s="806"/>
      <c r="W46" s="806"/>
      <c r="X46" s="806"/>
      <c r="Y46" s="806"/>
    </row>
    <row r="47" spans="1:25" ht="18.75" customHeight="1">
      <c r="A47" s="1548" t="s">
        <v>1681</v>
      </c>
      <c r="B47" s="1558" t="s">
        <v>2366</v>
      </c>
      <c r="C47" s="2221">
        <v>7130311010</v>
      </c>
      <c r="D47" s="1548" t="s">
        <v>21</v>
      </c>
      <c r="E47" s="1569" t="s">
        <v>1534</v>
      </c>
      <c r="F47" s="1569" t="s">
        <v>1534</v>
      </c>
      <c r="G47" s="1569" t="s">
        <v>1534</v>
      </c>
      <c r="H47" s="1548">
        <v>120</v>
      </c>
      <c r="I47" s="1546">
        <f>VLOOKUP(C47,'[25]SOR RATE'!A:D,4,0)/1000</f>
        <v>79.580550000000002</v>
      </c>
      <c r="J47" s="1571">
        <f>I47*H47</f>
        <v>9549.6660000000011</v>
      </c>
      <c r="K47" s="1548">
        <v>120</v>
      </c>
      <c r="L47" s="1571">
        <f>+I47</f>
        <v>79.580550000000002</v>
      </c>
      <c r="M47" s="1571">
        <f>L47*K47</f>
        <v>9549.6660000000011</v>
      </c>
      <c r="N47" s="1569" t="s">
        <v>1534</v>
      </c>
      <c r="O47" s="1569" t="s">
        <v>1534</v>
      </c>
      <c r="P47" s="1569" t="s">
        <v>1534</v>
      </c>
      <c r="Q47" s="1569" t="s">
        <v>1534</v>
      </c>
      <c r="R47" s="1569" t="s">
        <v>1534</v>
      </c>
      <c r="S47" s="1569" t="s">
        <v>1534</v>
      </c>
      <c r="T47" s="1937"/>
    </row>
    <row r="48" spans="1:25" ht="18.75" customHeight="1">
      <c r="A48" s="1548" t="s">
        <v>1682</v>
      </c>
      <c r="B48" s="1558" t="s">
        <v>1683</v>
      </c>
      <c r="C48" s="2221">
        <v>7130311011</v>
      </c>
      <c r="D48" s="1548" t="s">
        <v>21</v>
      </c>
      <c r="E48" s="1569" t="s">
        <v>1534</v>
      </c>
      <c r="F48" s="1569" t="s">
        <v>1534</v>
      </c>
      <c r="G48" s="1569" t="s">
        <v>1534</v>
      </c>
      <c r="H48" s="1569" t="s">
        <v>1534</v>
      </c>
      <c r="I48" s="1569" t="s">
        <v>1534</v>
      </c>
      <c r="J48" s="1569" t="s">
        <v>1534</v>
      </c>
      <c r="K48" s="1548">
        <v>40</v>
      </c>
      <c r="L48" s="1546">
        <f>VLOOKUP(C48,'[25]SOR RATE'!A:D,4,0)/1000</f>
        <v>155.45142000000001</v>
      </c>
      <c r="M48" s="1571">
        <f>L48*K48</f>
        <v>6218.0568000000003</v>
      </c>
      <c r="N48" s="1548">
        <v>120</v>
      </c>
      <c r="O48" s="1571">
        <f>+L48</f>
        <v>155.45142000000001</v>
      </c>
      <c r="P48" s="1571">
        <f>O48*N48</f>
        <v>18654.170400000003</v>
      </c>
      <c r="Q48" s="2223">
        <v>120</v>
      </c>
      <c r="R48" s="1571">
        <f>VLOOKUP(C48,'[25]SOR RATE'!A:D,4,0)/1000</f>
        <v>155.45142000000001</v>
      </c>
      <c r="S48" s="1571">
        <f>R48*Q48</f>
        <v>18654.170400000003</v>
      </c>
      <c r="T48" s="1937"/>
    </row>
    <row r="49" spans="1:22" ht="18.75" customHeight="1">
      <c r="A49" s="1548" t="s">
        <v>1684</v>
      </c>
      <c r="B49" s="1558" t="s">
        <v>1685</v>
      </c>
      <c r="C49" s="2230">
        <v>7130311012</v>
      </c>
      <c r="D49" s="1909" t="s">
        <v>21</v>
      </c>
      <c r="E49" s="2239" t="s">
        <v>1534</v>
      </c>
      <c r="F49" s="2239" t="s">
        <v>1534</v>
      </c>
      <c r="G49" s="2239" t="s">
        <v>1534</v>
      </c>
      <c r="H49" s="2239" t="s">
        <v>1534</v>
      </c>
      <c r="I49" s="2239" t="s">
        <v>1534</v>
      </c>
      <c r="J49" s="2239" t="s">
        <v>1534</v>
      </c>
      <c r="K49" s="2239" t="s">
        <v>1534</v>
      </c>
      <c r="L49" s="2239" t="s">
        <v>1534</v>
      </c>
      <c r="M49" s="2239" t="s">
        <v>1534</v>
      </c>
      <c r="N49" s="1909">
        <v>40</v>
      </c>
      <c r="O49" s="2240">
        <f>VLOOKUP(C49,'[25]SOR RATE'!A:D,4,0)/1000</f>
        <v>305.83782000000002</v>
      </c>
      <c r="P49" s="2241">
        <f>O49*N49</f>
        <v>12233.5128</v>
      </c>
      <c r="Q49" s="2242">
        <v>40</v>
      </c>
      <c r="R49" s="2241">
        <f>VLOOKUP(C49,'[25]SOR RATE'!A:D,4,0)/1000</f>
        <v>305.83782000000002</v>
      </c>
      <c r="S49" s="2241">
        <f>R49*Q49</f>
        <v>12233.5128</v>
      </c>
      <c r="T49" s="1937"/>
    </row>
    <row r="50" spans="1:22" s="576" customFormat="1" ht="42.75" customHeight="1">
      <c r="A50" s="2226">
        <v>24</v>
      </c>
      <c r="B50" s="2243" t="s">
        <v>2367</v>
      </c>
      <c r="C50" s="2234"/>
      <c r="D50" s="2235"/>
      <c r="E50" s="2235"/>
      <c r="F50" s="2235"/>
      <c r="G50" s="2235"/>
      <c r="H50" s="2235"/>
      <c r="I50" s="2235"/>
      <c r="J50" s="2235"/>
      <c r="K50" s="2235"/>
      <c r="L50" s="2235"/>
      <c r="M50" s="2235"/>
      <c r="N50" s="2235"/>
      <c r="O50" s="2235"/>
      <c r="P50" s="2235"/>
      <c r="Q50" s="2235"/>
      <c r="R50" s="2235"/>
      <c r="S50" s="2236"/>
      <c r="T50" s="1938"/>
    </row>
    <row r="51" spans="1:22" ht="18.75" customHeight="1">
      <c r="A51" s="1548" t="s">
        <v>1680</v>
      </c>
      <c r="B51" s="1558" t="s">
        <v>2368</v>
      </c>
      <c r="C51" s="2244">
        <v>7131950065</v>
      </c>
      <c r="D51" s="1910" t="s">
        <v>33</v>
      </c>
      <c r="E51" s="1910"/>
      <c r="F51" s="2245"/>
      <c r="G51" s="2245"/>
      <c r="H51" s="1910">
        <v>1</v>
      </c>
      <c r="I51" s="2246">
        <f>VLOOKUP(C51,'[25]SOR RATE'!A:D,4,0)</f>
        <v>18477.650000000001</v>
      </c>
      <c r="J51" s="2245">
        <f>I51*H51</f>
        <v>18477.650000000001</v>
      </c>
      <c r="K51" s="2247" t="s">
        <v>1534</v>
      </c>
      <c r="L51" s="2245"/>
      <c r="M51" s="2245"/>
      <c r="N51" s="2247"/>
      <c r="O51" s="2248"/>
      <c r="P51" s="2248"/>
      <c r="Q51" s="2248"/>
      <c r="R51" s="2248"/>
      <c r="S51" s="2248"/>
    </row>
    <row r="52" spans="1:22" ht="18.75" customHeight="1">
      <c r="A52" s="1548" t="s">
        <v>1681</v>
      </c>
      <c r="B52" s="1558" t="s">
        <v>2369</v>
      </c>
      <c r="C52" s="2221">
        <v>7131950105</v>
      </c>
      <c r="D52" s="1548" t="s">
        <v>33</v>
      </c>
      <c r="E52" s="1548"/>
      <c r="F52" s="1571"/>
      <c r="G52" s="1571"/>
      <c r="H52" s="1548"/>
      <c r="I52" s="1571"/>
      <c r="J52" s="2245"/>
      <c r="K52" s="1548">
        <v>1</v>
      </c>
      <c r="L52" s="1546">
        <f>VLOOKUP(C52,'[25]SOR RATE'!A:D,4,0)</f>
        <v>23098.03</v>
      </c>
      <c r="M52" s="1571">
        <f>L52*K52</f>
        <v>23098.03</v>
      </c>
      <c r="N52" s="1548"/>
      <c r="O52" s="2222"/>
      <c r="P52" s="2222"/>
      <c r="Q52" s="2222"/>
      <c r="R52" s="2222"/>
      <c r="S52" s="2222"/>
    </row>
    <row r="53" spans="1:22" ht="18.75" customHeight="1">
      <c r="A53" s="1548" t="s">
        <v>1682</v>
      </c>
      <c r="B53" s="1558" t="s">
        <v>2370</v>
      </c>
      <c r="C53" s="2221">
        <v>7131950200</v>
      </c>
      <c r="D53" s="1548" t="s">
        <v>33</v>
      </c>
      <c r="E53" s="1548"/>
      <c r="F53" s="1571"/>
      <c r="G53" s="1571"/>
      <c r="H53" s="1548"/>
      <c r="I53" s="1571"/>
      <c r="J53" s="2222"/>
      <c r="K53" s="1548"/>
      <c r="L53" s="1571"/>
      <c r="M53" s="1571"/>
      <c r="N53" s="1548">
        <v>1</v>
      </c>
      <c r="O53" s="1546">
        <f>VLOOKUP(C53,'[25]SOR RATE'!A:D,4,0)</f>
        <v>46194.13</v>
      </c>
      <c r="P53" s="1571">
        <f>O53*N53</f>
        <v>46194.13</v>
      </c>
      <c r="Q53" s="1571"/>
      <c r="R53" s="1571"/>
      <c r="S53" s="1571"/>
    </row>
    <row r="54" spans="1:22" ht="18.75" customHeight="1">
      <c r="A54" s="1548" t="s">
        <v>1684</v>
      </c>
      <c r="B54" s="1558" t="s">
        <v>1692</v>
      </c>
      <c r="C54" s="2221">
        <v>7131950207</v>
      </c>
      <c r="D54" s="1548" t="s">
        <v>33</v>
      </c>
      <c r="E54" s="1548"/>
      <c r="F54" s="1571"/>
      <c r="G54" s="1571"/>
      <c r="H54" s="1548"/>
      <c r="I54" s="1571"/>
      <c r="J54" s="2248"/>
      <c r="K54" s="1548"/>
      <c r="L54" s="1571"/>
      <c r="M54" s="1571"/>
      <c r="N54" s="1548"/>
      <c r="O54" s="1546"/>
      <c r="P54" s="1571"/>
      <c r="Q54" s="2223">
        <v>1</v>
      </c>
      <c r="R54" s="1571">
        <f>VLOOKUP(C54,'[25]SOR RATE'!A:D,4,0)</f>
        <v>39637.360000000001</v>
      </c>
      <c r="S54" s="1571">
        <f>R54*Q54</f>
        <v>39637.360000000001</v>
      </c>
      <c r="T54" s="1939" t="s">
        <v>119</v>
      </c>
    </row>
    <row r="55" spans="1:22" ht="18.75" customHeight="1">
      <c r="A55" s="1548">
        <v>25</v>
      </c>
      <c r="B55" s="1558" t="s">
        <v>1686</v>
      </c>
      <c r="C55" s="2221">
        <v>7131930221</v>
      </c>
      <c r="D55" s="1548" t="s">
        <v>33</v>
      </c>
      <c r="E55" s="1569" t="s">
        <v>1534</v>
      </c>
      <c r="F55" s="1571"/>
      <c r="G55" s="1571"/>
      <c r="H55" s="1569" t="s">
        <v>1534</v>
      </c>
      <c r="I55" s="1571"/>
      <c r="J55" s="2248"/>
      <c r="K55" s="1569">
        <v>1</v>
      </c>
      <c r="L55" s="1571">
        <f>VLOOKUP(C55,'[25]SOR RATE'!A:D,4,0)</f>
        <v>9934.19</v>
      </c>
      <c r="M55" s="1571">
        <f>L55*K55</f>
        <v>9934.19</v>
      </c>
      <c r="N55" s="1569">
        <v>1</v>
      </c>
      <c r="O55" s="1546">
        <f>VLOOKUP(C55,'[25]SOR RATE'!A:D,4,0)</f>
        <v>9934.19</v>
      </c>
      <c r="P55" s="1571">
        <f>O55*N55</f>
        <v>9934.19</v>
      </c>
      <c r="Q55" s="2223">
        <v>1</v>
      </c>
      <c r="R55" s="1571">
        <f>VLOOKUP(C55,'[25]SOR RATE'!A:D,4,0)</f>
        <v>9934.19</v>
      </c>
      <c r="S55" s="1571">
        <f>R55*Q55</f>
        <v>9934.19</v>
      </c>
    </row>
    <row r="56" spans="1:22" ht="25.5">
      <c r="A56" s="2249">
        <v>26</v>
      </c>
      <c r="B56" s="1568" t="s">
        <v>48</v>
      </c>
      <c r="C56" s="2250"/>
      <c r="D56" s="1933"/>
      <c r="E56" s="1933"/>
      <c r="F56" s="1933"/>
      <c r="G56" s="1551">
        <f>SUM(G9:G55)</f>
        <v>116000.26401999999</v>
      </c>
      <c r="H56" s="1551"/>
      <c r="I56" s="1551"/>
      <c r="J56" s="1551">
        <f>SUM(J9:J55)</f>
        <v>196897.89601999999</v>
      </c>
      <c r="K56" s="1551"/>
      <c r="L56" s="1551"/>
      <c r="M56" s="1551">
        <f>SUM(M9:M55)</f>
        <v>311662.47521020001</v>
      </c>
      <c r="N56" s="1551"/>
      <c r="O56" s="2251"/>
      <c r="P56" s="2251">
        <f>SUM(P9:P55)</f>
        <v>482612.63561020006</v>
      </c>
      <c r="Q56" s="2251"/>
      <c r="R56" s="2251"/>
      <c r="S56" s="2251">
        <f>SUM(S9:S55)</f>
        <v>987103.91561019956</v>
      </c>
      <c r="T56" s="87"/>
    </row>
    <row r="57" spans="1:22" ht="25.5">
      <c r="A57" s="2252">
        <v>27</v>
      </c>
      <c r="B57" s="1568" t="s">
        <v>49</v>
      </c>
      <c r="C57" s="2250"/>
      <c r="D57" s="1933"/>
      <c r="E57" s="1933"/>
      <c r="F57" s="1933"/>
      <c r="G57" s="1551">
        <f>G56/1.18</f>
        <v>98305.308491525415</v>
      </c>
      <c r="H57" s="2253"/>
      <c r="I57" s="1551"/>
      <c r="J57" s="1551">
        <f>J56/1.18</f>
        <v>166862.62374576271</v>
      </c>
      <c r="K57" s="2253"/>
      <c r="L57" s="1551"/>
      <c r="M57" s="1551">
        <f>M56/1.18</f>
        <v>264120.74170355935</v>
      </c>
      <c r="N57" s="2253"/>
      <c r="O57" s="2251"/>
      <c r="P57" s="2251">
        <f>P56/1.18</f>
        <v>408993.75899169501</v>
      </c>
      <c r="Q57" s="2251"/>
      <c r="R57" s="2251"/>
      <c r="S57" s="2251">
        <f>S56/1.18</f>
        <v>836528.74204254209</v>
      </c>
      <c r="T57" s="87"/>
      <c r="U57" s="2120"/>
      <c r="V57" s="843"/>
    </row>
    <row r="58" spans="1:22" ht="18.75" customHeight="1">
      <c r="A58" s="1909">
        <v>28</v>
      </c>
      <c r="B58" s="1572" t="s">
        <v>2371</v>
      </c>
      <c r="C58" s="2238"/>
      <c r="D58" s="2238"/>
      <c r="E58" s="2238"/>
      <c r="F58" s="2227">
        <v>7.4999999999999997E-2</v>
      </c>
      <c r="G58" s="1571">
        <f>G56*F58</f>
        <v>8700.0198014999987</v>
      </c>
      <c r="H58" s="2254"/>
      <c r="I58" s="2227">
        <v>7.4999999999999997E-2</v>
      </c>
      <c r="J58" s="1571">
        <f>J56*I58</f>
        <v>14767.342201499998</v>
      </c>
      <c r="K58" s="2254"/>
      <c r="L58" s="2227">
        <v>7.4999999999999997E-2</v>
      </c>
      <c r="M58" s="2227">
        <f>M56*L58</f>
        <v>23374.685640765001</v>
      </c>
      <c r="N58" s="2254"/>
      <c r="O58" s="2227">
        <v>7.4999999999999997E-2</v>
      </c>
      <c r="P58" s="1571">
        <f>P56*O58</f>
        <v>36195.947670765003</v>
      </c>
      <c r="Q58" s="1571"/>
      <c r="R58" s="2255">
        <v>7.4999999999999997E-2</v>
      </c>
      <c r="S58" s="1571">
        <f>S56*R58</f>
        <v>74032.793670764964</v>
      </c>
      <c r="T58" s="89"/>
      <c r="U58" s="2120"/>
      <c r="V58" s="843"/>
    </row>
    <row r="59" spans="1:22" ht="25.5">
      <c r="A59" s="2226">
        <v>29</v>
      </c>
      <c r="B59" s="1566" t="s">
        <v>51</v>
      </c>
      <c r="C59" s="2256"/>
      <c r="D59" s="2257" t="s">
        <v>12</v>
      </c>
      <c r="E59" s="2227">
        <v>0</v>
      </c>
      <c r="F59" s="1522">
        <f>339.936450725958*1.043</f>
        <v>354.55371810717418</v>
      </c>
      <c r="G59" s="1571">
        <f>E59*F59</f>
        <v>0</v>
      </c>
      <c r="H59" s="2227">
        <v>0</v>
      </c>
      <c r="I59" s="1522">
        <f>339.936450725958*1.043</f>
        <v>354.55371810717418</v>
      </c>
      <c r="J59" s="1571">
        <f>H59*I59</f>
        <v>0</v>
      </c>
      <c r="K59" s="2227">
        <v>0</v>
      </c>
      <c r="L59" s="2227">
        <v>0</v>
      </c>
      <c r="M59" s="2227">
        <v>0</v>
      </c>
      <c r="N59" s="2227">
        <v>0</v>
      </c>
      <c r="O59" s="2227">
        <v>0</v>
      </c>
      <c r="P59" s="2227">
        <v>0</v>
      </c>
      <c r="Q59" s="2227">
        <v>0</v>
      </c>
      <c r="R59" s="2227">
        <v>0</v>
      </c>
      <c r="S59" s="2227">
        <v>0</v>
      </c>
      <c r="T59" s="843"/>
      <c r="U59" s="2120"/>
      <c r="V59" s="843"/>
    </row>
    <row r="60" spans="1:22" ht="16.5" customHeight="1">
      <c r="A60" s="1943">
        <v>30</v>
      </c>
      <c r="B60" s="1572" t="s">
        <v>82</v>
      </c>
      <c r="D60" s="2257" t="s">
        <v>76</v>
      </c>
      <c r="E60" s="1548">
        <v>1.85</v>
      </c>
      <c r="F60" s="1522">
        <f>665.173187113158*1.043</f>
        <v>693.77563415902364</v>
      </c>
      <c r="G60" s="1571">
        <f>E60*F60</f>
        <v>1283.4849231941937</v>
      </c>
      <c r="H60" s="1548">
        <v>1.85</v>
      </c>
      <c r="I60" s="1522">
        <f>665.173187113158*1.043</f>
        <v>693.77563415902364</v>
      </c>
      <c r="J60" s="1571">
        <f>H60*I60</f>
        <v>1283.4849231941937</v>
      </c>
      <c r="K60" s="1943">
        <v>2.2000000000000002</v>
      </c>
      <c r="L60" s="1522">
        <f>665.173187113158*1.043</f>
        <v>693.77563415902364</v>
      </c>
      <c r="M60" s="1571">
        <f>K60*L60</f>
        <v>1526.3063951498521</v>
      </c>
      <c r="N60" s="1943">
        <v>2.2000000000000002</v>
      </c>
      <c r="O60" s="1522">
        <f>665.173187113158*1.043</f>
        <v>693.77563415902364</v>
      </c>
      <c r="P60" s="1571">
        <f>N60*O60</f>
        <v>1526.3063951498521</v>
      </c>
      <c r="Q60" s="2258">
        <v>2.2000000000000002</v>
      </c>
      <c r="R60" s="1522">
        <f>665.173187113158*1.043</f>
        <v>693.77563415902364</v>
      </c>
      <c r="S60" s="1571">
        <f>R60*Q60</f>
        <v>1526.3063951498521</v>
      </c>
      <c r="T60" s="91"/>
      <c r="U60" s="1940"/>
      <c r="V60" s="843"/>
    </row>
    <row r="61" spans="1:22" ht="17.25" customHeight="1">
      <c r="A61" s="1559">
        <v>31</v>
      </c>
      <c r="B61" s="1572" t="s">
        <v>1687</v>
      </c>
      <c r="C61" s="2259"/>
      <c r="D61" s="1559" t="s">
        <v>12</v>
      </c>
      <c r="E61" s="1559">
        <v>1</v>
      </c>
      <c r="F61" s="336">
        <f>1119.45*3</f>
        <v>3358.3500000000004</v>
      </c>
      <c r="G61" s="1522">
        <f>F61*E61</f>
        <v>3358.3500000000004</v>
      </c>
      <c r="H61" s="1559">
        <v>1</v>
      </c>
      <c r="I61" s="1522">
        <f>+F61</f>
        <v>3358.3500000000004</v>
      </c>
      <c r="J61" s="1522">
        <f>I61*H61</f>
        <v>3358.3500000000004</v>
      </c>
      <c r="K61" s="2260">
        <v>1</v>
      </c>
      <c r="L61" s="1522">
        <f>+F61</f>
        <v>3358.3500000000004</v>
      </c>
      <c r="M61" s="1522">
        <f>L61*K61</f>
        <v>3358.3500000000004</v>
      </c>
      <c r="N61" s="1548">
        <v>1</v>
      </c>
      <c r="O61" s="1522">
        <f>+F61</f>
        <v>3358.3500000000004</v>
      </c>
      <c r="P61" s="1522">
        <f>O61*N61</f>
        <v>3358.3500000000004</v>
      </c>
      <c r="Q61" s="2260">
        <v>1</v>
      </c>
      <c r="R61" s="336">
        <f>1119.45*3</f>
        <v>3358.3500000000004</v>
      </c>
      <c r="S61" s="1571">
        <f>R61*Q61</f>
        <v>3358.3500000000004</v>
      </c>
      <c r="U61" s="1940"/>
      <c r="V61" s="1955"/>
    </row>
    <row r="62" spans="1:22" ht="15" customHeight="1">
      <c r="A62" s="1559">
        <v>32</v>
      </c>
      <c r="B62" s="1558" t="s">
        <v>2372</v>
      </c>
      <c r="C62" s="2221"/>
      <c r="D62" s="1548"/>
      <c r="E62" s="1548"/>
      <c r="F62" s="1548"/>
      <c r="G62" s="1571">
        <v>12727.36</v>
      </c>
      <c r="H62" s="1548"/>
      <c r="I62" s="1548"/>
      <c r="J62" s="1571">
        <v>12997.24</v>
      </c>
      <c r="K62" s="1548"/>
      <c r="L62" s="1548"/>
      <c r="M62" s="1571">
        <f>+J62</f>
        <v>12997.24</v>
      </c>
      <c r="N62" s="1548"/>
      <c r="O62" s="1548"/>
      <c r="P62" s="1571">
        <v>16883.46</v>
      </c>
      <c r="Q62" s="1571"/>
      <c r="R62" s="1571"/>
      <c r="S62" s="1571">
        <v>16883.46</v>
      </c>
      <c r="T62" s="576"/>
      <c r="U62" s="1940"/>
      <c r="V62" s="843"/>
    </row>
    <row r="63" spans="1:22" ht="29.25" customHeight="1">
      <c r="A63" s="1559">
        <v>33</v>
      </c>
      <c r="B63" s="2261" t="s">
        <v>1716</v>
      </c>
      <c r="C63" s="2221"/>
      <c r="D63" s="1548"/>
      <c r="E63" s="1548"/>
      <c r="F63" s="1548">
        <v>0.02</v>
      </c>
      <c r="G63" s="2262">
        <f>(G9/1.18)*F63</f>
        <v>1058.4744067796612</v>
      </c>
      <c r="H63" s="1548"/>
      <c r="I63" s="1548">
        <v>0.02</v>
      </c>
      <c r="J63" s="2262">
        <f>(J10/1.18)*I63</f>
        <v>2041.2777966101696</v>
      </c>
      <c r="K63" s="1548"/>
      <c r="L63" s="1548">
        <v>0.02</v>
      </c>
      <c r="M63" s="1571">
        <f>(M11/1.18)*L63</f>
        <v>2683.0869491525427</v>
      </c>
      <c r="N63" s="1548"/>
      <c r="O63" s="1548">
        <v>0.02</v>
      </c>
      <c r="P63" s="1571">
        <f>(P12/1.18)*O63</f>
        <v>4946.2506779661016</v>
      </c>
      <c r="Q63" s="1571"/>
      <c r="R63" s="1571"/>
      <c r="S63" s="1571"/>
      <c r="T63" s="1941" t="s">
        <v>119</v>
      </c>
      <c r="U63" s="1940"/>
    </row>
    <row r="64" spans="1:22" ht="29.25" customHeight="1">
      <c r="A64" s="1559">
        <v>34</v>
      </c>
      <c r="B64" s="2261" t="s">
        <v>2373</v>
      </c>
      <c r="C64" s="2221"/>
      <c r="D64" s="1548"/>
      <c r="E64" s="1548"/>
      <c r="F64" s="1548"/>
      <c r="G64" s="2262"/>
      <c r="H64" s="1548"/>
      <c r="I64" s="1548"/>
      <c r="J64" s="2262"/>
      <c r="K64" s="1548"/>
      <c r="L64" s="1548"/>
      <c r="M64" s="1571"/>
      <c r="N64" s="1548"/>
      <c r="O64" s="1548"/>
      <c r="P64" s="1571"/>
      <c r="Q64" s="1571"/>
      <c r="R64" s="1571">
        <v>0.01</v>
      </c>
      <c r="S64" s="1571">
        <f>(S13/1.18)*R64</f>
        <v>6804.0410169491524</v>
      </c>
      <c r="T64" s="1941" t="s">
        <v>119</v>
      </c>
      <c r="U64" s="1940"/>
    </row>
    <row r="65" spans="1:21" ht="30.75" customHeight="1">
      <c r="A65" s="1559">
        <v>35</v>
      </c>
      <c r="B65" s="1558" t="s">
        <v>2374</v>
      </c>
      <c r="C65" s="2259"/>
      <c r="D65" s="1548"/>
      <c r="E65" s="1548"/>
      <c r="F65" s="1548">
        <v>0.04</v>
      </c>
      <c r="G65" s="2262">
        <f>((G56-G9)/1.18)*F65</f>
        <v>1815.2635261016949</v>
      </c>
      <c r="H65" s="1548"/>
      <c r="I65" s="1548">
        <v>0.04</v>
      </c>
      <c r="J65" s="2262">
        <f>((J56-J10)/1.18)*I65</f>
        <v>2591.9493566101692</v>
      </c>
      <c r="K65" s="1548"/>
      <c r="L65" s="1548">
        <v>0.04</v>
      </c>
      <c r="M65" s="1571">
        <f>((M56-M11)/1.18)*L65</f>
        <v>5198.655769837289</v>
      </c>
      <c r="N65" s="1548"/>
      <c r="O65" s="1548">
        <v>0.04</v>
      </c>
      <c r="P65" s="1571">
        <f>((P56-P12)/1.18)*O65</f>
        <v>6467.2490037355965</v>
      </c>
      <c r="Q65" s="1571"/>
      <c r="R65" s="1571">
        <v>0.04</v>
      </c>
      <c r="S65" s="1571">
        <f>((S56-S13)/1.18)*R65</f>
        <v>6244.9856139050717</v>
      </c>
      <c r="T65" s="1942" t="s">
        <v>1827</v>
      </c>
      <c r="U65" s="93"/>
    </row>
    <row r="66" spans="1:21" ht="42.75" customHeight="1">
      <c r="A66" s="1559">
        <v>36</v>
      </c>
      <c r="B66" s="2263" t="s">
        <v>2375</v>
      </c>
      <c r="C66" s="2259"/>
      <c r="D66" s="1548"/>
      <c r="E66" s="1548"/>
      <c r="F66" s="1548"/>
      <c r="G66" s="2262"/>
      <c r="H66" s="1548"/>
      <c r="I66" s="1548"/>
      <c r="J66" s="2262"/>
      <c r="K66" s="1548"/>
      <c r="L66" s="1548"/>
      <c r="M66" s="1571"/>
      <c r="N66" s="1548"/>
      <c r="O66" s="1548"/>
      <c r="P66" s="1571"/>
      <c r="Q66" s="1571"/>
      <c r="R66" s="1571"/>
      <c r="S66" s="1571"/>
      <c r="T66" s="1943"/>
    </row>
    <row r="67" spans="1:21" ht="15.75" customHeight="1">
      <c r="A67" s="2264" t="s">
        <v>1493</v>
      </c>
      <c r="B67" s="2265" t="s">
        <v>2376</v>
      </c>
      <c r="C67" s="2259"/>
      <c r="D67" s="1548"/>
      <c r="E67" s="1548"/>
      <c r="F67" s="1548"/>
      <c r="G67" s="2262">
        <f>(G56+G58+G60+G61+G62+G63+G65)*0.125</f>
        <v>18117.902084696943</v>
      </c>
      <c r="H67" s="1548"/>
      <c r="I67" s="1548"/>
      <c r="J67" s="2262">
        <f>(J56+J58+J60+J61+J62+J63+J65)*0.125</f>
        <v>29242.192537239313</v>
      </c>
      <c r="K67" s="1548"/>
      <c r="L67" s="1548"/>
      <c r="M67" s="1571">
        <f>(M56+M58+M60+M61+M62+M63+M65)*0.125</f>
        <v>45100.099995638077</v>
      </c>
      <c r="N67" s="1548"/>
      <c r="O67" s="1548"/>
      <c r="P67" s="1571">
        <f>(P56+P58+P60+P61+P62+P63+P65)*0.125</f>
        <v>68998.77491972706</v>
      </c>
      <c r="Q67" s="1571"/>
      <c r="R67" s="1571"/>
      <c r="S67" s="1571"/>
      <c r="T67" s="1944" t="s">
        <v>119</v>
      </c>
    </row>
    <row r="68" spans="1:21" ht="27" customHeight="1">
      <c r="A68" s="2264" t="s">
        <v>1494</v>
      </c>
      <c r="B68" s="2265" t="s">
        <v>2377</v>
      </c>
      <c r="C68" s="2259"/>
      <c r="D68" s="1548"/>
      <c r="E68" s="1548"/>
      <c r="F68" s="1548"/>
      <c r="G68" s="2262"/>
      <c r="H68" s="1548"/>
      <c r="I68" s="1548"/>
      <c r="J68" s="2262"/>
      <c r="K68" s="1548"/>
      <c r="L68" s="1548"/>
      <c r="M68" s="1571"/>
      <c r="N68" s="1548"/>
      <c r="O68" s="1548"/>
      <c r="P68" s="1571"/>
      <c r="Q68" s="1571"/>
      <c r="R68" s="1571"/>
      <c r="S68" s="1571">
        <f>(S56+S58+S60+S61+S62+S64+S65)*0.125</f>
        <v>136994.23153837107</v>
      </c>
      <c r="T68" s="1944" t="s">
        <v>119</v>
      </c>
    </row>
    <row r="69" spans="1:21" ht="68.25" customHeight="1">
      <c r="A69" s="2249">
        <v>37</v>
      </c>
      <c r="B69" s="2266" t="s">
        <v>2378</v>
      </c>
      <c r="C69" s="2259"/>
      <c r="D69" s="1548"/>
      <c r="E69" s="1548"/>
      <c r="F69" s="1548"/>
      <c r="G69" s="1551">
        <f>SUM(G57:G67)</f>
        <v>145366.16323379791</v>
      </c>
      <c r="H69" s="1933"/>
      <c r="I69" s="1933"/>
      <c r="J69" s="1551">
        <f>SUM(J57:J67)</f>
        <v>233144.46056091654</v>
      </c>
      <c r="K69" s="1933"/>
      <c r="L69" s="1933"/>
      <c r="M69" s="1551">
        <f>SUM(M57:M67)</f>
        <v>358359.16645410203</v>
      </c>
      <c r="N69" s="1933"/>
      <c r="O69" s="1933"/>
      <c r="P69" s="1551">
        <f>SUM(P57:P67)</f>
        <v>547370.09765903861</v>
      </c>
      <c r="Q69" s="1551"/>
      <c r="R69" s="1551"/>
      <c r="S69" s="1551">
        <f>SUM(S57:S68)</f>
        <v>1082372.9102776824</v>
      </c>
      <c r="T69" s="1945" t="s">
        <v>1827</v>
      </c>
    </row>
    <row r="70" spans="1:21" ht="15" customHeight="1">
      <c r="A70" s="2226">
        <v>38</v>
      </c>
      <c r="B70" s="1572" t="s">
        <v>2379</v>
      </c>
      <c r="C70" s="2259"/>
      <c r="D70" s="1548"/>
      <c r="E70" s="1548"/>
      <c r="F70" s="1548">
        <v>0.09</v>
      </c>
      <c r="G70" s="1571">
        <f>G69*F70</f>
        <v>13082.954691041812</v>
      </c>
      <c r="H70" s="1933"/>
      <c r="I70" s="1548">
        <v>0.09</v>
      </c>
      <c r="J70" s="1571">
        <f>J69*I70</f>
        <v>20983.001450482487</v>
      </c>
      <c r="K70" s="1548"/>
      <c r="L70" s="1548">
        <v>0.09</v>
      </c>
      <c r="M70" s="1571">
        <f>M69*L70</f>
        <v>32252.32498086918</v>
      </c>
      <c r="N70" s="1548"/>
      <c r="O70" s="1548">
        <v>0.09</v>
      </c>
      <c r="P70" s="1571">
        <f>P69*O70</f>
        <v>49263.308789313473</v>
      </c>
      <c r="Q70" s="1571"/>
      <c r="R70" s="1548">
        <v>0.09</v>
      </c>
      <c r="S70" s="1571">
        <f>S69*R70</f>
        <v>97413.561924991402</v>
      </c>
      <c r="T70" s="843"/>
    </row>
    <row r="71" spans="1:21" ht="15" customHeight="1">
      <c r="A71" s="2226">
        <v>39</v>
      </c>
      <c r="B71" s="1572" t="s">
        <v>2380</v>
      </c>
      <c r="C71" s="2259"/>
      <c r="D71" s="1548"/>
      <c r="E71" s="1548"/>
      <c r="F71" s="1548">
        <v>0.09</v>
      </c>
      <c r="G71" s="1571">
        <f>G69*F71</f>
        <v>13082.954691041812</v>
      </c>
      <c r="H71" s="1548"/>
      <c r="I71" s="1548">
        <v>0.09</v>
      </c>
      <c r="J71" s="1571">
        <f>J69*I71</f>
        <v>20983.001450482487</v>
      </c>
      <c r="K71" s="1548"/>
      <c r="L71" s="1548">
        <v>0.09</v>
      </c>
      <c r="M71" s="1571">
        <f>M69*L71</f>
        <v>32252.32498086918</v>
      </c>
      <c r="N71" s="1548"/>
      <c r="O71" s="1548">
        <v>0.09</v>
      </c>
      <c r="P71" s="1571">
        <f>P69*O71</f>
        <v>49263.308789313473</v>
      </c>
      <c r="Q71" s="1571"/>
      <c r="R71" s="1548">
        <v>0.09</v>
      </c>
      <c r="S71" s="1571">
        <f>S69*R71</f>
        <v>97413.561924991402</v>
      </c>
      <c r="T71" s="806"/>
    </row>
    <row r="72" spans="1:21" ht="27" customHeight="1">
      <c r="A72" s="2226">
        <v>40</v>
      </c>
      <c r="B72" s="2263" t="s">
        <v>2381</v>
      </c>
      <c r="C72" s="2221"/>
      <c r="D72" s="1548"/>
      <c r="E72" s="1548"/>
      <c r="F72" s="1548"/>
      <c r="G72" s="1571">
        <f>G69+G70+G71</f>
        <v>171532.07261588154</v>
      </c>
      <c r="H72" s="1571"/>
      <c r="I72" s="1571"/>
      <c r="J72" s="1571">
        <f>J69+J70+J71</f>
        <v>275110.4634618815</v>
      </c>
      <c r="K72" s="1571"/>
      <c r="L72" s="1571"/>
      <c r="M72" s="1571">
        <f>M69+M70+M71</f>
        <v>422863.81641584041</v>
      </c>
      <c r="N72" s="1571"/>
      <c r="O72" s="1571"/>
      <c r="P72" s="1571">
        <f>P69+P70+P71</f>
        <v>645896.71523766546</v>
      </c>
      <c r="Q72" s="1571"/>
      <c r="R72" s="1571"/>
      <c r="S72" s="1571">
        <f>S69+S70+S71</f>
        <v>1277200.0341276652</v>
      </c>
      <c r="U72" s="2268"/>
    </row>
    <row r="73" spans="1:21" ht="27.75" customHeight="1">
      <c r="A73" s="2249">
        <v>41</v>
      </c>
      <c r="B73" s="1574" t="s">
        <v>59</v>
      </c>
      <c r="C73" s="2267"/>
      <c r="D73" s="1933"/>
      <c r="E73" s="1933"/>
      <c r="F73" s="1933"/>
      <c r="G73" s="2155">
        <f>ROUND(G72,0)</f>
        <v>171532</v>
      </c>
      <c r="H73" s="2155"/>
      <c r="I73" s="2155"/>
      <c r="J73" s="2155">
        <f>ROUND(J72,0)</f>
        <v>275110</v>
      </c>
      <c r="K73" s="2155"/>
      <c r="L73" s="2155"/>
      <c r="M73" s="2155">
        <f>ROUND(M72,0)</f>
        <v>422864</v>
      </c>
      <c r="N73" s="2155"/>
      <c r="O73" s="2155"/>
      <c r="P73" s="2155">
        <f>ROUND(P72,0)</f>
        <v>645897</v>
      </c>
      <c r="Q73" s="2155"/>
      <c r="R73" s="2155"/>
      <c r="S73" s="2155">
        <f>ROUND(S72,0)</f>
        <v>1277200</v>
      </c>
    </row>
    <row r="74" spans="1:21">
      <c r="A74" s="1946"/>
      <c r="B74" s="1946"/>
      <c r="C74" s="1946"/>
      <c r="D74" s="1946"/>
      <c r="E74" s="1946"/>
      <c r="F74" s="1946"/>
      <c r="G74" s="1946"/>
      <c r="H74" s="1946"/>
      <c r="I74" s="1946"/>
      <c r="J74" s="1946"/>
      <c r="K74" s="1946"/>
      <c r="L74" s="1946"/>
      <c r="M74" s="1946"/>
      <c r="N74" s="1946"/>
      <c r="O74" s="1946"/>
      <c r="P74" s="1946"/>
      <c r="Q74" s="1946"/>
      <c r="R74" s="1946"/>
      <c r="S74" s="1946"/>
    </row>
    <row r="75" spans="1:21" ht="18.75" customHeight="1">
      <c r="A75" s="1947"/>
      <c r="B75" s="3331" t="s">
        <v>2382</v>
      </c>
      <c r="C75" s="3331"/>
      <c r="D75" s="3331"/>
      <c r="E75" s="3331"/>
      <c r="F75" s="3331"/>
      <c r="G75" s="3331"/>
      <c r="H75" s="3331"/>
      <c r="I75" s="1928"/>
      <c r="J75" s="1928"/>
      <c r="K75" s="1928"/>
      <c r="L75" s="1928"/>
      <c r="M75" s="1928"/>
      <c r="N75" s="1928"/>
      <c r="O75" s="1928"/>
      <c r="P75" s="1928"/>
      <c r="Q75" s="1928"/>
      <c r="R75" s="1928"/>
      <c r="S75" s="1928"/>
    </row>
    <row r="76" spans="1:21" ht="17.25" customHeight="1">
      <c r="B76" s="3332" t="s">
        <v>2383</v>
      </c>
      <c r="C76" s="3332"/>
      <c r="D76" s="3332"/>
      <c r="E76" s="3332"/>
      <c r="F76" s="3332"/>
      <c r="G76" s="3332"/>
      <c r="H76" s="3332"/>
      <c r="K76" s="1950"/>
      <c r="N76" s="1950"/>
      <c r="O76" s="1950"/>
      <c r="P76" s="1950"/>
      <c r="Q76" s="1950"/>
      <c r="R76" s="1950"/>
      <c r="S76" s="1950"/>
    </row>
    <row r="77" spans="1:21">
      <c r="P77" s="1950"/>
      <c r="Q77" s="1950"/>
      <c r="R77" s="1950"/>
      <c r="S77" s="1950"/>
      <c r="T77" s="1950"/>
    </row>
    <row r="78" spans="1:21" ht="27.75" customHeight="1">
      <c r="B78" s="3333" t="s">
        <v>2384</v>
      </c>
      <c r="C78" s="3333"/>
      <c r="D78" s="3333"/>
      <c r="E78" s="3333"/>
      <c r="F78" s="3333"/>
      <c r="G78" s="3333"/>
      <c r="H78" s="3333"/>
      <c r="P78" s="1950"/>
      <c r="Q78" s="1950"/>
      <c r="R78" s="1950"/>
      <c r="S78" s="1950"/>
      <c r="T78" s="1950"/>
    </row>
    <row r="79" spans="1:21" ht="20.25">
      <c r="A79" s="1951" t="s">
        <v>62</v>
      </c>
      <c r="B79" s="1937" t="s">
        <v>2385</v>
      </c>
      <c r="P79" s="1950"/>
      <c r="Q79" s="1950"/>
      <c r="R79" s="1950"/>
      <c r="S79" s="1950"/>
      <c r="T79" s="1950"/>
    </row>
    <row r="84" spans="1:19">
      <c r="A84" s="1952"/>
      <c r="B84" s="840"/>
      <c r="C84" s="1953"/>
      <c r="D84" s="1954"/>
      <c r="E84" s="1952"/>
      <c r="F84" s="1954"/>
      <c r="G84" s="1954"/>
      <c r="H84" s="1952"/>
      <c r="I84" s="1954"/>
      <c r="J84" s="1954"/>
      <c r="K84" s="1952"/>
      <c r="L84" s="1954"/>
      <c r="M84" s="1954"/>
      <c r="N84" s="1952"/>
      <c r="O84" s="1955"/>
      <c r="P84" s="1955"/>
      <c r="Q84" s="1955"/>
      <c r="R84" s="1955"/>
      <c r="S84" s="1955"/>
    </row>
    <row r="85" spans="1:19">
      <c r="A85" s="1952"/>
      <c r="B85" s="840"/>
      <c r="C85" s="1953"/>
      <c r="D85" s="1954"/>
      <c r="E85" s="1952"/>
      <c r="F85" s="1954"/>
      <c r="G85" s="1954"/>
      <c r="H85" s="1952"/>
      <c r="I85" s="1954"/>
      <c r="J85" s="1954"/>
      <c r="K85" s="1952"/>
      <c r="L85" s="1954"/>
      <c r="M85" s="1954"/>
      <c r="N85" s="1952"/>
      <c r="O85" s="1955"/>
      <c r="P85" s="1955"/>
      <c r="Q85" s="1955"/>
      <c r="R85" s="1955"/>
      <c r="S85" s="1955"/>
    </row>
    <row r="86" spans="1:19">
      <c r="A86" s="1952"/>
      <c r="B86" s="840"/>
      <c r="C86" s="1953"/>
      <c r="D86" s="1954"/>
      <c r="E86" s="1952"/>
      <c r="F86" s="1954"/>
      <c r="G86" s="1954"/>
      <c r="H86" s="1952"/>
      <c r="I86" s="1954"/>
      <c r="J86" s="1954"/>
      <c r="K86" s="1952"/>
      <c r="L86" s="1954"/>
      <c r="M86" s="1954"/>
      <c r="N86" s="1952"/>
      <c r="O86" s="1955"/>
      <c r="P86" s="1955"/>
      <c r="Q86" s="1955"/>
      <c r="R86" s="1955"/>
      <c r="S86" s="1955"/>
    </row>
    <row r="87" spans="1:19">
      <c r="A87" s="1952"/>
      <c r="B87" s="840"/>
      <c r="C87" s="1953"/>
      <c r="D87" s="1954"/>
      <c r="E87" s="1952"/>
      <c r="F87" s="1954"/>
      <c r="G87" s="1954"/>
      <c r="H87" s="1952"/>
      <c r="I87" s="1954"/>
      <c r="J87" s="1954"/>
      <c r="K87" s="1952"/>
      <c r="L87" s="1954"/>
      <c r="M87" s="1954"/>
      <c r="N87" s="1952"/>
      <c r="O87" s="1955"/>
      <c r="P87" s="1955"/>
      <c r="Q87" s="1955"/>
      <c r="R87" s="1955"/>
      <c r="S87" s="1955"/>
    </row>
    <row r="88" spans="1:19">
      <c r="A88" s="1952"/>
      <c r="B88" s="840"/>
      <c r="C88" s="1953"/>
      <c r="D88" s="1954"/>
      <c r="E88" s="1952"/>
      <c r="F88" s="1954"/>
      <c r="G88" s="1954"/>
      <c r="H88" s="1952"/>
      <c r="I88" s="1954"/>
      <c r="J88" s="1954"/>
      <c r="K88" s="1952"/>
      <c r="L88" s="1954"/>
      <c r="M88" s="1954"/>
      <c r="N88" s="1952"/>
      <c r="O88" s="1955"/>
      <c r="P88" s="1955"/>
      <c r="Q88" s="1955"/>
      <c r="R88" s="1955"/>
      <c r="S88" s="1955"/>
    </row>
    <row r="89" spans="1:19">
      <c r="A89" s="1952"/>
      <c r="B89" s="840"/>
      <c r="C89" s="1953"/>
      <c r="D89" s="1954"/>
      <c r="E89" s="1952"/>
      <c r="F89" s="1954"/>
      <c r="G89" s="1954"/>
      <c r="H89" s="1952"/>
      <c r="I89" s="1954"/>
      <c r="J89" s="1954"/>
      <c r="K89" s="1952"/>
      <c r="L89" s="1954"/>
      <c r="M89" s="1954"/>
      <c r="N89" s="1952"/>
      <c r="O89" s="1955"/>
      <c r="P89" s="1955"/>
      <c r="Q89" s="1955"/>
      <c r="R89" s="1955"/>
      <c r="S89" s="1955"/>
    </row>
    <row r="90" spans="1:19">
      <c r="A90" s="1952"/>
      <c r="B90" s="840"/>
      <c r="C90" s="1953"/>
      <c r="D90" s="1954"/>
      <c r="E90" s="1952"/>
      <c r="F90" s="1954"/>
      <c r="G90" s="1954"/>
      <c r="H90" s="1952"/>
      <c r="I90" s="1954"/>
      <c r="J90" s="1954"/>
      <c r="K90" s="1952"/>
      <c r="L90" s="1954"/>
      <c r="M90" s="1954"/>
      <c r="N90" s="1952"/>
      <c r="O90" s="1955"/>
      <c r="P90" s="1955"/>
      <c r="Q90" s="1955"/>
      <c r="R90" s="1955"/>
      <c r="S90" s="1955"/>
    </row>
    <row r="91" spans="1:19">
      <c r="A91" s="1952"/>
      <c r="B91" s="840"/>
      <c r="C91" s="1953"/>
      <c r="D91" s="1954"/>
      <c r="E91" s="1952"/>
      <c r="F91" s="1954"/>
      <c r="G91" s="1954"/>
      <c r="H91" s="1952"/>
      <c r="I91" s="1954"/>
      <c r="J91" s="1954"/>
      <c r="K91" s="1952"/>
      <c r="L91" s="1954"/>
      <c r="M91" s="1954"/>
      <c r="N91" s="1952"/>
      <c r="O91" s="1955"/>
      <c r="P91" s="1955"/>
      <c r="Q91" s="1955"/>
      <c r="R91" s="1955"/>
      <c r="S91" s="1955"/>
    </row>
    <row r="92" spans="1:19">
      <c r="A92" s="1952"/>
      <c r="B92" s="840"/>
      <c r="C92" s="1953"/>
      <c r="D92" s="1954"/>
      <c r="E92" s="1952"/>
      <c r="F92" s="1954"/>
      <c r="G92" s="1954"/>
      <c r="H92" s="1952"/>
      <c r="I92" s="1954"/>
      <c r="J92" s="1954"/>
      <c r="K92" s="1952"/>
      <c r="L92" s="1954"/>
      <c r="M92" s="1954"/>
      <c r="N92" s="1952"/>
      <c r="O92" s="1955"/>
      <c r="P92" s="1955"/>
      <c r="Q92" s="1955"/>
      <c r="R92" s="1955"/>
      <c r="S92" s="1955"/>
    </row>
    <row r="93" spans="1:19">
      <c r="A93" s="1952"/>
      <c r="B93" s="840"/>
      <c r="C93" s="1953"/>
      <c r="D93" s="1954"/>
      <c r="E93" s="1952"/>
      <c r="F93" s="1954"/>
      <c r="G93" s="1954"/>
      <c r="H93" s="1952"/>
      <c r="I93" s="1954"/>
      <c r="J93" s="1954"/>
      <c r="K93" s="1952"/>
      <c r="L93" s="1954"/>
      <c r="M93" s="1954"/>
      <c r="N93" s="1952"/>
      <c r="O93" s="1955"/>
      <c r="P93" s="1955"/>
      <c r="Q93" s="1955"/>
      <c r="R93" s="1955"/>
      <c r="S93" s="1955"/>
    </row>
    <row r="94" spans="1:19">
      <c r="A94" s="1952"/>
      <c r="B94" s="840"/>
      <c r="C94" s="1953"/>
      <c r="D94" s="1954"/>
      <c r="E94" s="1952"/>
      <c r="F94" s="1954"/>
      <c r="G94" s="1954"/>
      <c r="H94" s="1952"/>
      <c r="I94" s="1954"/>
      <c r="J94" s="1954"/>
      <c r="K94" s="1952"/>
      <c r="L94" s="1954"/>
      <c r="M94" s="1954"/>
      <c r="N94" s="1952"/>
      <c r="O94" s="1955"/>
      <c r="P94" s="1955"/>
      <c r="Q94" s="1955"/>
      <c r="R94" s="1955"/>
      <c r="S94" s="1955"/>
    </row>
    <row r="95" spans="1:19">
      <c r="A95" s="1952"/>
      <c r="B95" s="806"/>
      <c r="C95" s="1956"/>
      <c r="D95" s="93"/>
      <c r="E95" s="93"/>
      <c r="F95" s="1957"/>
      <c r="G95" s="1957"/>
      <c r="H95" s="1958"/>
      <c r="I95" s="1957"/>
      <c r="J95" s="1957"/>
      <c r="K95" s="1958"/>
      <c r="L95" s="1957"/>
      <c r="M95" s="1957"/>
      <c r="N95" s="1958"/>
      <c r="O95" s="1959"/>
      <c r="P95" s="1959"/>
      <c r="Q95" s="1959"/>
      <c r="R95" s="1959"/>
      <c r="S95" s="1959"/>
    </row>
    <row r="96" spans="1:19">
      <c r="A96" s="1952"/>
      <c r="B96" s="840"/>
      <c r="C96" s="1953"/>
      <c r="D96" s="1954"/>
      <c r="E96" s="1952"/>
      <c r="F96" s="1954"/>
      <c r="G96" s="1954"/>
      <c r="H96" s="1952"/>
      <c r="I96" s="1954"/>
      <c r="J96" s="1954"/>
      <c r="K96" s="1952"/>
      <c r="L96" s="1954"/>
      <c r="M96" s="1954"/>
      <c r="N96" s="1952"/>
      <c r="O96" s="1955"/>
      <c r="P96" s="1955"/>
      <c r="Q96" s="1955"/>
      <c r="R96" s="1955"/>
      <c r="S96" s="1955"/>
    </row>
    <row r="97" spans="1:19">
      <c r="A97" s="1952"/>
      <c r="B97" s="840"/>
      <c r="C97" s="1953"/>
      <c r="D97" s="1954"/>
      <c r="E97" s="1952"/>
      <c r="F97" s="1954"/>
      <c r="G97" s="1954"/>
      <c r="H97" s="1952"/>
      <c r="I97" s="1954"/>
      <c r="J97" s="1954"/>
      <c r="K97" s="1952"/>
      <c r="L97" s="1954"/>
      <c r="M97" s="1954"/>
      <c r="N97" s="1952"/>
      <c r="O97" s="1955"/>
      <c r="P97" s="1955"/>
      <c r="Q97" s="1955"/>
      <c r="R97" s="1955"/>
      <c r="S97" s="1955"/>
    </row>
  </sheetData>
  <mergeCells count="20">
    <mergeCell ref="A32:A34"/>
    <mergeCell ref="A39:A43"/>
    <mergeCell ref="B75:H75"/>
    <mergeCell ref="B76:H76"/>
    <mergeCell ref="B78:H78"/>
    <mergeCell ref="N5:P5"/>
    <mergeCell ref="Q5:S5"/>
    <mergeCell ref="A8:A13"/>
    <mergeCell ref="A14:A15"/>
    <mergeCell ref="A17:A18"/>
    <mergeCell ref="A25:A27"/>
    <mergeCell ref="E1:J1"/>
    <mergeCell ref="B3:M3"/>
    <mergeCell ref="A5:A6"/>
    <mergeCell ref="B5:B6"/>
    <mergeCell ref="C5:C6"/>
    <mergeCell ref="D5:D6"/>
    <mergeCell ref="E5:G5"/>
    <mergeCell ref="H5:J5"/>
    <mergeCell ref="K5:M5"/>
  </mergeCells>
  <conditionalFormatting sqref="B56">
    <cfRule type="cellIs" dxfId="92" priority="2" stopIfTrue="1" operator="equal">
      <formula>"?"</formula>
    </cfRule>
  </conditionalFormatting>
  <conditionalFormatting sqref="B57">
    <cfRule type="cellIs" dxfId="91" priority="1" stopIfTrue="1" operator="equal">
      <formula>"?"</formula>
    </cfRule>
  </conditionalFormatting>
  <printOptions horizontalCentered="1" gridLines="1"/>
  <pageMargins left="0.35433070866141736" right="0.15748031496062992" top="0.59055118110236227" bottom="0.31496062992125984" header="0.39370078740157483" footer="0.23622047244094491"/>
  <pageSetup paperSize="9" scale="89" fitToHeight="3" orientation="landscape" horizontalDpi="120" verticalDpi="180"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6"/>
  <sheetViews>
    <sheetView zoomScale="80" zoomScaleNormal="80" workbookViewId="0">
      <pane xSplit="2" ySplit="7" topLeftCell="E69" activePane="bottomRight" state="frozen"/>
      <selection pane="topRight" activeCell="C1" sqref="C1"/>
      <selection pane="bottomLeft" activeCell="A8" sqref="A8"/>
      <selection pane="bottomRight" activeCell="T8" sqref="T8"/>
    </sheetView>
  </sheetViews>
  <sheetFormatPr defaultRowHeight="12.75"/>
  <cols>
    <col min="1" max="1" width="4.7109375" style="137" customWidth="1"/>
    <col min="2" max="2" width="46.42578125" style="70" customWidth="1"/>
    <col min="3" max="3" width="15" style="137" customWidth="1"/>
    <col min="4" max="4" width="6.5703125" style="137" bestFit="1" customWidth="1"/>
    <col min="5" max="5" width="6.5703125" style="70" bestFit="1" customWidth="1"/>
    <col min="6" max="6" width="11.28515625" style="70" bestFit="1" customWidth="1"/>
    <col min="7" max="7" width="12.28515625" style="70" customWidth="1"/>
    <col min="8" max="8" width="6.42578125" style="70" customWidth="1"/>
    <col min="9" max="9" width="12.85546875" style="70" customWidth="1"/>
    <col min="10" max="10" width="12.42578125" style="70" customWidth="1"/>
    <col min="11" max="11" width="9.140625" style="70" customWidth="1"/>
    <col min="12" max="13" width="12.42578125" style="70" customWidth="1"/>
    <col min="14" max="14" width="8.85546875" style="70" customWidth="1"/>
    <col min="15" max="16" width="12.5703125" style="70" bestFit="1" customWidth="1"/>
    <col min="17" max="17" width="9" style="70" customWidth="1"/>
    <col min="18" max="18" width="12.7109375" style="70" customWidth="1"/>
    <col min="19" max="19" width="13.140625" style="70" customWidth="1"/>
    <col min="20" max="20" width="22.140625" style="70" customWidth="1"/>
    <col min="21" max="21" width="21" style="70" customWidth="1"/>
    <col min="22" max="259" width="9.140625" style="70"/>
    <col min="260" max="260" width="4.7109375" style="70" customWidth="1"/>
    <col min="261" max="261" width="46.42578125" style="70" customWidth="1"/>
    <col min="262" max="262" width="15" style="70" customWidth="1"/>
    <col min="263" max="264" width="6.5703125" style="70" bestFit="1" customWidth="1"/>
    <col min="265" max="265" width="11.28515625" style="70" bestFit="1" customWidth="1"/>
    <col min="266" max="266" width="12.28515625" style="70" customWidth="1"/>
    <col min="267" max="267" width="6.42578125" style="70" customWidth="1"/>
    <col min="268" max="268" width="11.28515625" style="70" customWidth="1"/>
    <col min="269" max="269" width="12.42578125" style="70" customWidth="1"/>
    <col min="270" max="270" width="9.140625" style="70" customWidth="1"/>
    <col min="271" max="272" width="12.42578125" style="70" customWidth="1"/>
    <col min="273" max="273" width="8.85546875" style="70" customWidth="1"/>
    <col min="274" max="275" width="12.5703125" style="70" bestFit="1" customWidth="1"/>
    <col min="276" max="276" width="20.140625" style="70" customWidth="1"/>
    <col min="277" max="277" width="21" style="70" customWidth="1"/>
    <col min="278" max="515" width="9.140625" style="70"/>
    <col min="516" max="516" width="4.7109375" style="70" customWidth="1"/>
    <col min="517" max="517" width="46.42578125" style="70" customWidth="1"/>
    <col min="518" max="518" width="15" style="70" customWidth="1"/>
    <col min="519" max="520" width="6.5703125" style="70" bestFit="1" customWidth="1"/>
    <col min="521" max="521" width="11.28515625" style="70" bestFit="1" customWidth="1"/>
    <col min="522" max="522" width="12.28515625" style="70" customWidth="1"/>
    <col min="523" max="523" width="6.42578125" style="70" customWidth="1"/>
    <col min="524" max="524" width="11.28515625" style="70" customWidth="1"/>
    <col min="525" max="525" width="12.42578125" style="70" customWidth="1"/>
    <col min="526" max="526" width="9.140625" style="70" customWidth="1"/>
    <col min="527" max="528" width="12.42578125" style="70" customWidth="1"/>
    <col min="529" max="529" width="8.85546875" style="70" customWidth="1"/>
    <col min="530" max="531" width="12.5703125" style="70" bestFit="1" customWidth="1"/>
    <col min="532" max="532" width="20.140625" style="70" customWidth="1"/>
    <col min="533" max="533" width="21" style="70" customWidth="1"/>
    <col min="534" max="771" width="9.140625" style="70"/>
    <col min="772" max="772" width="4.7109375" style="70" customWidth="1"/>
    <col min="773" max="773" width="46.42578125" style="70" customWidth="1"/>
    <col min="774" max="774" width="15" style="70" customWidth="1"/>
    <col min="775" max="776" width="6.5703125" style="70" bestFit="1" customWidth="1"/>
    <col min="777" max="777" width="11.28515625" style="70" bestFit="1" customWidth="1"/>
    <col min="778" max="778" width="12.28515625" style="70" customWidth="1"/>
    <col min="779" max="779" width="6.42578125" style="70" customWidth="1"/>
    <col min="780" max="780" width="11.28515625" style="70" customWidth="1"/>
    <col min="781" max="781" width="12.42578125" style="70" customWidth="1"/>
    <col min="782" max="782" width="9.140625" style="70" customWidth="1"/>
    <col min="783" max="784" width="12.42578125" style="70" customWidth="1"/>
    <col min="785" max="785" width="8.85546875" style="70" customWidth="1"/>
    <col min="786" max="787" width="12.5703125" style="70" bestFit="1" customWidth="1"/>
    <col min="788" max="788" width="20.140625" style="70" customWidth="1"/>
    <col min="789" max="789" width="21" style="70" customWidth="1"/>
    <col min="790" max="1027" width="9.140625" style="70"/>
    <col min="1028" max="1028" width="4.7109375" style="70" customWidth="1"/>
    <col min="1029" max="1029" width="46.42578125" style="70" customWidth="1"/>
    <col min="1030" max="1030" width="15" style="70" customWidth="1"/>
    <col min="1031" max="1032" width="6.5703125" style="70" bestFit="1" customWidth="1"/>
    <col min="1033" max="1033" width="11.28515625" style="70" bestFit="1" customWidth="1"/>
    <col min="1034" max="1034" width="12.28515625" style="70" customWidth="1"/>
    <col min="1035" max="1035" width="6.42578125" style="70" customWidth="1"/>
    <col min="1036" max="1036" width="11.28515625" style="70" customWidth="1"/>
    <col min="1037" max="1037" width="12.42578125" style="70" customWidth="1"/>
    <col min="1038" max="1038" width="9.140625" style="70" customWidth="1"/>
    <col min="1039" max="1040" width="12.42578125" style="70" customWidth="1"/>
    <col min="1041" max="1041" width="8.85546875" style="70" customWidth="1"/>
    <col min="1042" max="1043" width="12.5703125" style="70" bestFit="1" customWidth="1"/>
    <col min="1044" max="1044" width="20.140625" style="70" customWidth="1"/>
    <col min="1045" max="1045" width="21" style="70" customWidth="1"/>
    <col min="1046" max="1283" width="9.140625" style="70"/>
    <col min="1284" max="1284" width="4.7109375" style="70" customWidth="1"/>
    <col min="1285" max="1285" width="46.42578125" style="70" customWidth="1"/>
    <col min="1286" max="1286" width="15" style="70" customWidth="1"/>
    <col min="1287" max="1288" width="6.5703125" style="70" bestFit="1" customWidth="1"/>
    <col min="1289" max="1289" width="11.28515625" style="70" bestFit="1" customWidth="1"/>
    <col min="1290" max="1290" width="12.28515625" style="70" customWidth="1"/>
    <col min="1291" max="1291" width="6.42578125" style="70" customWidth="1"/>
    <col min="1292" max="1292" width="11.28515625" style="70" customWidth="1"/>
    <col min="1293" max="1293" width="12.42578125" style="70" customWidth="1"/>
    <col min="1294" max="1294" width="9.140625" style="70" customWidth="1"/>
    <col min="1295" max="1296" width="12.42578125" style="70" customWidth="1"/>
    <col min="1297" max="1297" width="8.85546875" style="70" customWidth="1"/>
    <col min="1298" max="1299" width="12.5703125" style="70" bestFit="1" customWidth="1"/>
    <col min="1300" max="1300" width="20.140625" style="70" customWidth="1"/>
    <col min="1301" max="1301" width="21" style="70" customWidth="1"/>
    <col min="1302" max="1539" width="9.140625" style="70"/>
    <col min="1540" max="1540" width="4.7109375" style="70" customWidth="1"/>
    <col min="1541" max="1541" width="46.42578125" style="70" customWidth="1"/>
    <col min="1542" max="1542" width="15" style="70" customWidth="1"/>
    <col min="1543" max="1544" width="6.5703125" style="70" bestFit="1" customWidth="1"/>
    <col min="1545" max="1545" width="11.28515625" style="70" bestFit="1" customWidth="1"/>
    <col min="1546" max="1546" width="12.28515625" style="70" customWidth="1"/>
    <col min="1547" max="1547" width="6.42578125" style="70" customWidth="1"/>
    <col min="1548" max="1548" width="11.28515625" style="70" customWidth="1"/>
    <col min="1549" max="1549" width="12.42578125" style="70" customWidth="1"/>
    <col min="1550" max="1550" width="9.140625" style="70" customWidth="1"/>
    <col min="1551" max="1552" width="12.42578125" style="70" customWidth="1"/>
    <col min="1553" max="1553" width="8.85546875" style="70" customWidth="1"/>
    <col min="1554" max="1555" width="12.5703125" style="70" bestFit="1" customWidth="1"/>
    <col min="1556" max="1556" width="20.140625" style="70" customWidth="1"/>
    <col min="1557" max="1557" width="21" style="70" customWidth="1"/>
    <col min="1558" max="1795" width="9.140625" style="70"/>
    <col min="1796" max="1796" width="4.7109375" style="70" customWidth="1"/>
    <col min="1797" max="1797" width="46.42578125" style="70" customWidth="1"/>
    <col min="1798" max="1798" width="15" style="70" customWidth="1"/>
    <col min="1799" max="1800" width="6.5703125" style="70" bestFit="1" customWidth="1"/>
    <col min="1801" max="1801" width="11.28515625" style="70" bestFit="1" customWidth="1"/>
    <col min="1802" max="1802" width="12.28515625" style="70" customWidth="1"/>
    <col min="1803" max="1803" width="6.42578125" style="70" customWidth="1"/>
    <col min="1804" max="1804" width="11.28515625" style="70" customWidth="1"/>
    <col min="1805" max="1805" width="12.42578125" style="70" customWidth="1"/>
    <col min="1806" max="1806" width="9.140625" style="70" customWidth="1"/>
    <col min="1807" max="1808" width="12.42578125" style="70" customWidth="1"/>
    <col min="1809" max="1809" width="8.85546875" style="70" customWidth="1"/>
    <col min="1810" max="1811" width="12.5703125" style="70" bestFit="1" customWidth="1"/>
    <col min="1812" max="1812" width="20.140625" style="70" customWidth="1"/>
    <col min="1813" max="1813" width="21" style="70" customWidth="1"/>
    <col min="1814" max="2051" width="9.140625" style="70"/>
    <col min="2052" max="2052" width="4.7109375" style="70" customWidth="1"/>
    <col min="2053" max="2053" width="46.42578125" style="70" customWidth="1"/>
    <col min="2054" max="2054" width="15" style="70" customWidth="1"/>
    <col min="2055" max="2056" width="6.5703125" style="70" bestFit="1" customWidth="1"/>
    <col min="2057" max="2057" width="11.28515625" style="70" bestFit="1" customWidth="1"/>
    <col min="2058" max="2058" width="12.28515625" style="70" customWidth="1"/>
    <col min="2059" max="2059" width="6.42578125" style="70" customWidth="1"/>
    <col min="2060" max="2060" width="11.28515625" style="70" customWidth="1"/>
    <col min="2061" max="2061" width="12.42578125" style="70" customWidth="1"/>
    <col min="2062" max="2062" width="9.140625" style="70" customWidth="1"/>
    <col min="2063" max="2064" width="12.42578125" style="70" customWidth="1"/>
    <col min="2065" max="2065" width="8.85546875" style="70" customWidth="1"/>
    <col min="2066" max="2067" width="12.5703125" style="70" bestFit="1" customWidth="1"/>
    <col min="2068" max="2068" width="20.140625" style="70" customWidth="1"/>
    <col min="2069" max="2069" width="21" style="70" customWidth="1"/>
    <col min="2070" max="2307" width="9.140625" style="70"/>
    <col min="2308" max="2308" width="4.7109375" style="70" customWidth="1"/>
    <col min="2309" max="2309" width="46.42578125" style="70" customWidth="1"/>
    <col min="2310" max="2310" width="15" style="70" customWidth="1"/>
    <col min="2311" max="2312" width="6.5703125" style="70" bestFit="1" customWidth="1"/>
    <col min="2313" max="2313" width="11.28515625" style="70" bestFit="1" customWidth="1"/>
    <col min="2314" max="2314" width="12.28515625" style="70" customWidth="1"/>
    <col min="2315" max="2315" width="6.42578125" style="70" customWidth="1"/>
    <col min="2316" max="2316" width="11.28515625" style="70" customWidth="1"/>
    <col min="2317" max="2317" width="12.42578125" style="70" customWidth="1"/>
    <col min="2318" max="2318" width="9.140625" style="70" customWidth="1"/>
    <col min="2319" max="2320" width="12.42578125" style="70" customWidth="1"/>
    <col min="2321" max="2321" width="8.85546875" style="70" customWidth="1"/>
    <col min="2322" max="2323" width="12.5703125" style="70" bestFit="1" customWidth="1"/>
    <col min="2324" max="2324" width="20.140625" style="70" customWidth="1"/>
    <col min="2325" max="2325" width="21" style="70" customWidth="1"/>
    <col min="2326" max="2563" width="9.140625" style="70"/>
    <col min="2564" max="2564" width="4.7109375" style="70" customWidth="1"/>
    <col min="2565" max="2565" width="46.42578125" style="70" customWidth="1"/>
    <col min="2566" max="2566" width="15" style="70" customWidth="1"/>
    <col min="2567" max="2568" width="6.5703125" style="70" bestFit="1" customWidth="1"/>
    <col min="2569" max="2569" width="11.28515625" style="70" bestFit="1" customWidth="1"/>
    <col min="2570" max="2570" width="12.28515625" style="70" customWidth="1"/>
    <col min="2571" max="2571" width="6.42578125" style="70" customWidth="1"/>
    <col min="2572" max="2572" width="11.28515625" style="70" customWidth="1"/>
    <col min="2573" max="2573" width="12.42578125" style="70" customWidth="1"/>
    <col min="2574" max="2574" width="9.140625" style="70" customWidth="1"/>
    <col min="2575" max="2576" width="12.42578125" style="70" customWidth="1"/>
    <col min="2577" max="2577" width="8.85546875" style="70" customWidth="1"/>
    <col min="2578" max="2579" width="12.5703125" style="70" bestFit="1" customWidth="1"/>
    <col min="2580" max="2580" width="20.140625" style="70" customWidth="1"/>
    <col min="2581" max="2581" width="21" style="70" customWidth="1"/>
    <col min="2582" max="2819" width="9.140625" style="70"/>
    <col min="2820" max="2820" width="4.7109375" style="70" customWidth="1"/>
    <col min="2821" max="2821" width="46.42578125" style="70" customWidth="1"/>
    <col min="2822" max="2822" width="15" style="70" customWidth="1"/>
    <col min="2823" max="2824" width="6.5703125" style="70" bestFit="1" customWidth="1"/>
    <col min="2825" max="2825" width="11.28515625" style="70" bestFit="1" customWidth="1"/>
    <col min="2826" max="2826" width="12.28515625" style="70" customWidth="1"/>
    <col min="2827" max="2827" width="6.42578125" style="70" customWidth="1"/>
    <col min="2828" max="2828" width="11.28515625" style="70" customWidth="1"/>
    <col min="2829" max="2829" width="12.42578125" style="70" customWidth="1"/>
    <col min="2830" max="2830" width="9.140625" style="70" customWidth="1"/>
    <col min="2831" max="2832" width="12.42578125" style="70" customWidth="1"/>
    <col min="2833" max="2833" width="8.85546875" style="70" customWidth="1"/>
    <col min="2834" max="2835" width="12.5703125" style="70" bestFit="1" customWidth="1"/>
    <col min="2836" max="2836" width="20.140625" style="70" customWidth="1"/>
    <col min="2837" max="2837" width="21" style="70" customWidth="1"/>
    <col min="2838" max="3075" width="9.140625" style="70"/>
    <col min="3076" max="3076" width="4.7109375" style="70" customWidth="1"/>
    <col min="3077" max="3077" width="46.42578125" style="70" customWidth="1"/>
    <col min="3078" max="3078" width="15" style="70" customWidth="1"/>
    <col min="3079" max="3080" width="6.5703125" style="70" bestFit="1" customWidth="1"/>
    <col min="3081" max="3081" width="11.28515625" style="70" bestFit="1" customWidth="1"/>
    <col min="3082" max="3082" width="12.28515625" style="70" customWidth="1"/>
    <col min="3083" max="3083" width="6.42578125" style="70" customWidth="1"/>
    <col min="3084" max="3084" width="11.28515625" style="70" customWidth="1"/>
    <col min="3085" max="3085" width="12.42578125" style="70" customWidth="1"/>
    <col min="3086" max="3086" width="9.140625" style="70" customWidth="1"/>
    <col min="3087" max="3088" width="12.42578125" style="70" customWidth="1"/>
    <col min="3089" max="3089" width="8.85546875" style="70" customWidth="1"/>
    <col min="3090" max="3091" width="12.5703125" style="70" bestFit="1" customWidth="1"/>
    <col min="3092" max="3092" width="20.140625" style="70" customWidth="1"/>
    <col min="3093" max="3093" width="21" style="70" customWidth="1"/>
    <col min="3094" max="3331" width="9.140625" style="70"/>
    <col min="3332" max="3332" width="4.7109375" style="70" customWidth="1"/>
    <col min="3333" max="3333" width="46.42578125" style="70" customWidth="1"/>
    <col min="3334" max="3334" width="15" style="70" customWidth="1"/>
    <col min="3335" max="3336" width="6.5703125" style="70" bestFit="1" customWidth="1"/>
    <col min="3337" max="3337" width="11.28515625" style="70" bestFit="1" customWidth="1"/>
    <col min="3338" max="3338" width="12.28515625" style="70" customWidth="1"/>
    <col min="3339" max="3339" width="6.42578125" style="70" customWidth="1"/>
    <col min="3340" max="3340" width="11.28515625" style="70" customWidth="1"/>
    <col min="3341" max="3341" width="12.42578125" style="70" customWidth="1"/>
    <col min="3342" max="3342" width="9.140625" style="70" customWidth="1"/>
    <col min="3343" max="3344" width="12.42578125" style="70" customWidth="1"/>
    <col min="3345" max="3345" width="8.85546875" style="70" customWidth="1"/>
    <col min="3346" max="3347" width="12.5703125" style="70" bestFit="1" customWidth="1"/>
    <col min="3348" max="3348" width="20.140625" style="70" customWidth="1"/>
    <col min="3349" max="3349" width="21" style="70" customWidth="1"/>
    <col min="3350" max="3587" width="9.140625" style="70"/>
    <col min="3588" max="3588" width="4.7109375" style="70" customWidth="1"/>
    <col min="3589" max="3589" width="46.42578125" style="70" customWidth="1"/>
    <col min="3590" max="3590" width="15" style="70" customWidth="1"/>
    <col min="3591" max="3592" width="6.5703125" style="70" bestFit="1" customWidth="1"/>
    <col min="3593" max="3593" width="11.28515625" style="70" bestFit="1" customWidth="1"/>
    <col min="3594" max="3594" width="12.28515625" style="70" customWidth="1"/>
    <col min="3595" max="3595" width="6.42578125" style="70" customWidth="1"/>
    <col min="3596" max="3596" width="11.28515625" style="70" customWidth="1"/>
    <col min="3597" max="3597" width="12.42578125" style="70" customWidth="1"/>
    <col min="3598" max="3598" width="9.140625" style="70" customWidth="1"/>
    <col min="3599" max="3600" width="12.42578125" style="70" customWidth="1"/>
    <col min="3601" max="3601" width="8.85546875" style="70" customWidth="1"/>
    <col min="3602" max="3603" width="12.5703125" style="70" bestFit="1" customWidth="1"/>
    <col min="3604" max="3604" width="20.140625" style="70" customWidth="1"/>
    <col min="3605" max="3605" width="21" style="70" customWidth="1"/>
    <col min="3606" max="3843" width="9.140625" style="70"/>
    <col min="3844" max="3844" width="4.7109375" style="70" customWidth="1"/>
    <col min="3845" max="3845" width="46.42578125" style="70" customWidth="1"/>
    <col min="3846" max="3846" width="15" style="70" customWidth="1"/>
    <col min="3847" max="3848" width="6.5703125" style="70" bestFit="1" customWidth="1"/>
    <col min="3849" max="3849" width="11.28515625" style="70" bestFit="1" customWidth="1"/>
    <col min="3850" max="3850" width="12.28515625" style="70" customWidth="1"/>
    <col min="3851" max="3851" width="6.42578125" style="70" customWidth="1"/>
    <col min="3852" max="3852" width="11.28515625" style="70" customWidth="1"/>
    <col min="3853" max="3853" width="12.42578125" style="70" customWidth="1"/>
    <col min="3854" max="3854" width="9.140625" style="70" customWidth="1"/>
    <col min="3855" max="3856" width="12.42578125" style="70" customWidth="1"/>
    <col min="3857" max="3857" width="8.85546875" style="70" customWidth="1"/>
    <col min="3858" max="3859" width="12.5703125" style="70" bestFit="1" customWidth="1"/>
    <col min="3860" max="3860" width="20.140625" style="70" customWidth="1"/>
    <col min="3861" max="3861" width="21" style="70" customWidth="1"/>
    <col min="3862" max="4099" width="9.140625" style="70"/>
    <col min="4100" max="4100" width="4.7109375" style="70" customWidth="1"/>
    <col min="4101" max="4101" width="46.42578125" style="70" customWidth="1"/>
    <col min="4102" max="4102" width="15" style="70" customWidth="1"/>
    <col min="4103" max="4104" width="6.5703125" style="70" bestFit="1" customWidth="1"/>
    <col min="4105" max="4105" width="11.28515625" style="70" bestFit="1" customWidth="1"/>
    <col min="4106" max="4106" width="12.28515625" style="70" customWidth="1"/>
    <col min="4107" max="4107" width="6.42578125" style="70" customWidth="1"/>
    <col min="4108" max="4108" width="11.28515625" style="70" customWidth="1"/>
    <col min="4109" max="4109" width="12.42578125" style="70" customWidth="1"/>
    <col min="4110" max="4110" width="9.140625" style="70" customWidth="1"/>
    <col min="4111" max="4112" width="12.42578125" style="70" customWidth="1"/>
    <col min="4113" max="4113" width="8.85546875" style="70" customWidth="1"/>
    <col min="4114" max="4115" width="12.5703125" style="70" bestFit="1" customWidth="1"/>
    <col min="4116" max="4116" width="20.140625" style="70" customWidth="1"/>
    <col min="4117" max="4117" width="21" style="70" customWidth="1"/>
    <col min="4118" max="4355" width="9.140625" style="70"/>
    <col min="4356" max="4356" width="4.7109375" style="70" customWidth="1"/>
    <col min="4357" max="4357" width="46.42578125" style="70" customWidth="1"/>
    <col min="4358" max="4358" width="15" style="70" customWidth="1"/>
    <col min="4359" max="4360" width="6.5703125" style="70" bestFit="1" customWidth="1"/>
    <col min="4361" max="4361" width="11.28515625" style="70" bestFit="1" customWidth="1"/>
    <col min="4362" max="4362" width="12.28515625" style="70" customWidth="1"/>
    <col min="4363" max="4363" width="6.42578125" style="70" customWidth="1"/>
    <col min="4364" max="4364" width="11.28515625" style="70" customWidth="1"/>
    <col min="4365" max="4365" width="12.42578125" style="70" customWidth="1"/>
    <col min="4366" max="4366" width="9.140625" style="70" customWidth="1"/>
    <col min="4367" max="4368" width="12.42578125" style="70" customWidth="1"/>
    <col min="4369" max="4369" width="8.85546875" style="70" customWidth="1"/>
    <col min="4370" max="4371" width="12.5703125" style="70" bestFit="1" customWidth="1"/>
    <col min="4372" max="4372" width="20.140625" style="70" customWidth="1"/>
    <col min="4373" max="4373" width="21" style="70" customWidth="1"/>
    <col min="4374" max="4611" width="9.140625" style="70"/>
    <col min="4612" max="4612" width="4.7109375" style="70" customWidth="1"/>
    <col min="4613" max="4613" width="46.42578125" style="70" customWidth="1"/>
    <col min="4614" max="4614" width="15" style="70" customWidth="1"/>
    <col min="4615" max="4616" width="6.5703125" style="70" bestFit="1" customWidth="1"/>
    <col min="4617" max="4617" width="11.28515625" style="70" bestFit="1" customWidth="1"/>
    <col min="4618" max="4618" width="12.28515625" style="70" customWidth="1"/>
    <col min="4619" max="4619" width="6.42578125" style="70" customWidth="1"/>
    <col min="4620" max="4620" width="11.28515625" style="70" customWidth="1"/>
    <col min="4621" max="4621" width="12.42578125" style="70" customWidth="1"/>
    <col min="4622" max="4622" width="9.140625" style="70" customWidth="1"/>
    <col min="4623" max="4624" width="12.42578125" style="70" customWidth="1"/>
    <col min="4625" max="4625" width="8.85546875" style="70" customWidth="1"/>
    <col min="4626" max="4627" width="12.5703125" style="70" bestFit="1" customWidth="1"/>
    <col min="4628" max="4628" width="20.140625" style="70" customWidth="1"/>
    <col min="4629" max="4629" width="21" style="70" customWidth="1"/>
    <col min="4630" max="4867" width="9.140625" style="70"/>
    <col min="4868" max="4868" width="4.7109375" style="70" customWidth="1"/>
    <col min="4869" max="4869" width="46.42578125" style="70" customWidth="1"/>
    <col min="4870" max="4870" width="15" style="70" customWidth="1"/>
    <col min="4871" max="4872" width="6.5703125" style="70" bestFit="1" customWidth="1"/>
    <col min="4873" max="4873" width="11.28515625" style="70" bestFit="1" customWidth="1"/>
    <col min="4874" max="4874" width="12.28515625" style="70" customWidth="1"/>
    <col min="4875" max="4875" width="6.42578125" style="70" customWidth="1"/>
    <col min="4876" max="4876" width="11.28515625" style="70" customWidth="1"/>
    <col min="4877" max="4877" width="12.42578125" style="70" customWidth="1"/>
    <col min="4878" max="4878" width="9.140625" style="70" customWidth="1"/>
    <col min="4879" max="4880" width="12.42578125" style="70" customWidth="1"/>
    <col min="4881" max="4881" width="8.85546875" style="70" customWidth="1"/>
    <col min="4882" max="4883" width="12.5703125" style="70" bestFit="1" customWidth="1"/>
    <col min="4884" max="4884" width="20.140625" style="70" customWidth="1"/>
    <col min="4885" max="4885" width="21" style="70" customWidth="1"/>
    <col min="4886" max="5123" width="9.140625" style="70"/>
    <col min="5124" max="5124" width="4.7109375" style="70" customWidth="1"/>
    <col min="5125" max="5125" width="46.42578125" style="70" customWidth="1"/>
    <col min="5126" max="5126" width="15" style="70" customWidth="1"/>
    <col min="5127" max="5128" width="6.5703125" style="70" bestFit="1" customWidth="1"/>
    <col min="5129" max="5129" width="11.28515625" style="70" bestFit="1" customWidth="1"/>
    <col min="5130" max="5130" width="12.28515625" style="70" customWidth="1"/>
    <col min="5131" max="5131" width="6.42578125" style="70" customWidth="1"/>
    <col min="5132" max="5132" width="11.28515625" style="70" customWidth="1"/>
    <col min="5133" max="5133" width="12.42578125" style="70" customWidth="1"/>
    <col min="5134" max="5134" width="9.140625" style="70" customWidth="1"/>
    <col min="5135" max="5136" width="12.42578125" style="70" customWidth="1"/>
    <col min="5137" max="5137" width="8.85546875" style="70" customWidth="1"/>
    <col min="5138" max="5139" width="12.5703125" style="70" bestFit="1" customWidth="1"/>
    <col min="5140" max="5140" width="20.140625" style="70" customWidth="1"/>
    <col min="5141" max="5141" width="21" style="70" customWidth="1"/>
    <col min="5142" max="5379" width="9.140625" style="70"/>
    <col min="5380" max="5380" width="4.7109375" style="70" customWidth="1"/>
    <col min="5381" max="5381" width="46.42578125" style="70" customWidth="1"/>
    <col min="5382" max="5382" width="15" style="70" customWidth="1"/>
    <col min="5383" max="5384" width="6.5703125" style="70" bestFit="1" customWidth="1"/>
    <col min="5385" max="5385" width="11.28515625" style="70" bestFit="1" customWidth="1"/>
    <col min="5386" max="5386" width="12.28515625" style="70" customWidth="1"/>
    <col min="5387" max="5387" width="6.42578125" style="70" customWidth="1"/>
    <col min="5388" max="5388" width="11.28515625" style="70" customWidth="1"/>
    <col min="5389" max="5389" width="12.42578125" style="70" customWidth="1"/>
    <col min="5390" max="5390" width="9.140625" style="70" customWidth="1"/>
    <col min="5391" max="5392" width="12.42578125" style="70" customWidth="1"/>
    <col min="5393" max="5393" width="8.85546875" style="70" customWidth="1"/>
    <col min="5394" max="5395" width="12.5703125" style="70" bestFit="1" customWidth="1"/>
    <col min="5396" max="5396" width="20.140625" style="70" customWidth="1"/>
    <col min="5397" max="5397" width="21" style="70" customWidth="1"/>
    <col min="5398" max="5635" width="9.140625" style="70"/>
    <col min="5636" max="5636" width="4.7109375" style="70" customWidth="1"/>
    <col min="5637" max="5637" width="46.42578125" style="70" customWidth="1"/>
    <col min="5638" max="5638" width="15" style="70" customWidth="1"/>
    <col min="5639" max="5640" width="6.5703125" style="70" bestFit="1" customWidth="1"/>
    <col min="5641" max="5641" width="11.28515625" style="70" bestFit="1" customWidth="1"/>
    <col min="5642" max="5642" width="12.28515625" style="70" customWidth="1"/>
    <col min="5643" max="5643" width="6.42578125" style="70" customWidth="1"/>
    <col min="5644" max="5644" width="11.28515625" style="70" customWidth="1"/>
    <col min="5645" max="5645" width="12.42578125" style="70" customWidth="1"/>
    <col min="5646" max="5646" width="9.140625" style="70" customWidth="1"/>
    <col min="5647" max="5648" width="12.42578125" style="70" customWidth="1"/>
    <col min="5649" max="5649" width="8.85546875" style="70" customWidth="1"/>
    <col min="5650" max="5651" width="12.5703125" style="70" bestFit="1" customWidth="1"/>
    <col min="5652" max="5652" width="20.140625" style="70" customWidth="1"/>
    <col min="5653" max="5653" width="21" style="70" customWidth="1"/>
    <col min="5654" max="5891" width="9.140625" style="70"/>
    <col min="5892" max="5892" width="4.7109375" style="70" customWidth="1"/>
    <col min="5893" max="5893" width="46.42578125" style="70" customWidth="1"/>
    <col min="5894" max="5894" width="15" style="70" customWidth="1"/>
    <col min="5895" max="5896" width="6.5703125" style="70" bestFit="1" customWidth="1"/>
    <col min="5897" max="5897" width="11.28515625" style="70" bestFit="1" customWidth="1"/>
    <col min="5898" max="5898" width="12.28515625" style="70" customWidth="1"/>
    <col min="5899" max="5899" width="6.42578125" style="70" customWidth="1"/>
    <col min="5900" max="5900" width="11.28515625" style="70" customWidth="1"/>
    <col min="5901" max="5901" width="12.42578125" style="70" customWidth="1"/>
    <col min="5902" max="5902" width="9.140625" style="70" customWidth="1"/>
    <col min="5903" max="5904" width="12.42578125" style="70" customWidth="1"/>
    <col min="5905" max="5905" width="8.85546875" style="70" customWidth="1"/>
    <col min="5906" max="5907" width="12.5703125" style="70" bestFit="1" customWidth="1"/>
    <col min="5908" max="5908" width="20.140625" style="70" customWidth="1"/>
    <col min="5909" max="5909" width="21" style="70" customWidth="1"/>
    <col min="5910" max="6147" width="9.140625" style="70"/>
    <col min="6148" max="6148" width="4.7109375" style="70" customWidth="1"/>
    <col min="6149" max="6149" width="46.42578125" style="70" customWidth="1"/>
    <col min="6150" max="6150" width="15" style="70" customWidth="1"/>
    <col min="6151" max="6152" width="6.5703125" style="70" bestFit="1" customWidth="1"/>
    <col min="6153" max="6153" width="11.28515625" style="70" bestFit="1" customWidth="1"/>
    <col min="6154" max="6154" width="12.28515625" style="70" customWidth="1"/>
    <col min="6155" max="6155" width="6.42578125" style="70" customWidth="1"/>
    <col min="6156" max="6156" width="11.28515625" style="70" customWidth="1"/>
    <col min="6157" max="6157" width="12.42578125" style="70" customWidth="1"/>
    <col min="6158" max="6158" width="9.140625" style="70" customWidth="1"/>
    <col min="6159" max="6160" width="12.42578125" style="70" customWidth="1"/>
    <col min="6161" max="6161" width="8.85546875" style="70" customWidth="1"/>
    <col min="6162" max="6163" width="12.5703125" style="70" bestFit="1" customWidth="1"/>
    <col min="6164" max="6164" width="20.140625" style="70" customWidth="1"/>
    <col min="6165" max="6165" width="21" style="70" customWidth="1"/>
    <col min="6166" max="6403" width="9.140625" style="70"/>
    <col min="6404" max="6404" width="4.7109375" style="70" customWidth="1"/>
    <col min="6405" max="6405" width="46.42578125" style="70" customWidth="1"/>
    <col min="6406" max="6406" width="15" style="70" customWidth="1"/>
    <col min="6407" max="6408" width="6.5703125" style="70" bestFit="1" customWidth="1"/>
    <col min="6409" max="6409" width="11.28515625" style="70" bestFit="1" customWidth="1"/>
    <col min="6410" max="6410" width="12.28515625" style="70" customWidth="1"/>
    <col min="6411" max="6411" width="6.42578125" style="70" customWidth="1"/>
    <col min="6412" max="6412" width="11.28515625" style="70" customWidth="1"/>
    <col min="6413" max="6413" width="12.42578125" style="70" customWidth="1"/>
    <col min="6414" max="6414" width="9.140625" style="70" customWidth="1"/>
    <col min="6415" max="6416" width="12.42578125" style="70" customWidth="1"/>
    <col min="6417" max="6417" width="8.85546875" style="70" customWidth="1"/>
    <col min="6418" max="6419" width="12.5703125" style="70" bestFit="1" customWidth="1"/>
    <col min="6420" max="6420" width="20.140625" style="70" customWidth="1"/>
    <col min="6421" max="6421" width="21" style="70" customWidth="1"/>
    <col min="6422" max="6659" width="9.140625" style="70"/>
    <col min="6660" max="6660" width="4.7109375" style="70" customWidth="1"/>
    <col min="6661" max="6661" width="46.42578125" style="70" customWidth="1"/>
    <col min="6662" max="6662" width="15" style="70" customWidth="1"/>
    <col min="6663" max="6664" width="6.5703125" style="70" bestFit="1" customWidth="1"/>
    <col min="6665" max="6665" width="11.28515625" style="70" bestFit="1" customWidth="1"/>
    <col min="6666" max="6666" width="12.28515625" style="70" customWidth="1"/>
    <col min="6667" max="6667" width="6.42578125" style="70" customWidth="1"/>
    <col min="6668" max="6668" width="11.28515625" style="70" customWidth="1"/>
    <col min="6669" max="6669" width="12.42578125" style="70" customWidth="1"/>
    <col min="6670" max="6670" width="9.140625" style="70" customWidth="1"/>
    <col min="6671" max="6672" width="12.42578125" style="70" customWidth="1"/>
    <col min="6673" max="6673" width="8.85546875" style="70" customWidth="1"/>
    <col min="6674" max="6675" width="12.5703125" style="70" bestFit="1" customWidth="1"/>
    <col min="6676" max="6676" width="20.140625" style="70" customWidth="1"/>
    <col min="6677" max="6677" width="21" style="70" customWidth="1"/>
    <col min="6678" max="6915" width="9.140625" style="70"/>
    <col min="6916" max="6916" width="4.7109375" style="70" customWidth="1"/>
    <col min="6917" max="6917" width="46.42578125" style="70" customWidth="1"/>
    <col min="6918" max="6918" width="15" style="70" customWidth="1"/>
    <col min="6919" max="6920" width="6.5703125" style="70" bestFit="1" customWidth="1"/>
    <col min="6921" max="6921" width="11.28515625" style="70" bestFit="1" customWidth="1"/>
    <col min="6922" max="6922" width="12.28515625" style="70" customWidth="1"/>
    <col min="6923" max="6923" width="6.42578125" style="70" customWidth="1"/>
    <col min="6924" max="6924" width="11.28515625" style="70" customWidth="1"/>
    <col min="6925" max="6925" width="12.42578125" style="70" customWidth="1"/>
    <col min="6926" max="6926" width="9.140625" style="70" customWidth="1"/>
    <col min="6927" max="6928" width="12.42578125" style="70" customWidth="1"/>
    <col min="6929" max="6929" width="8.85546875" style="70" customWidth="1"/>
    <col min="6930" max="6931" width="12.5703125" style="70" bestFit="1" customWidth="1"/>
    <col min="6932" max="6932" width="20.140625" style="70" customWidth="1"/>
    <col min="6933" max="6933" width="21" style="70" customWidth="1"/>
    <col min="6934" max="7171" width="9.140625" style="70"/>
    <col min="7172" max="7172" width="4.7109375" style="70" customWidth="1"/>
    <col min="7173" max="7173" width="46.42578125" style="70" customWidth="1"/>
    <col min="7174" max="7174" width="15" style="70" customWidth="1"/>
    <col min="7175" max="7176" width="6.5703125" style="70" bestFit="1" customWidth="1"/>
    <col min="7177" max="7177" width="11.28515625" style="70" bestFit="1" customWidth="1"/>
    <col min="7178" max="7178" width="12.28515625" style="70" customWidth="1"/>
    <col min="7179" max="7179" width="6.42578125" style="70" customWidth="1"/>
    <col min="7180" max="7180" width="11.28515625" style="70" customWidth="1"/>
    <col min="7181" max="7181" width="12.42578125" style="70" customWidth="1"/>
    <col min="7182" max="7182" width="9.140625" style="70" customWidth="1"/>
    <col min="7183" max="7184" width="12.42578125" style="70" customWidth="1"/>
    <col min="7185" max="7185" width="8.85546875" style="70" customWidth="1"/>
    <col min="7186" max="7187" width="12.5703125" style="70" bestFit="1" customWidth="1"/>
    <col min="7188" max="7188" width="20.140625" style="70" customWidth="1"/>
    <col min="7189" max="7189" width="21" style="70" customWidth="1"/>
    <col min="7190" max="7427" width="9.140625" style="70"/>
    <col min="7428" max="7428" width="4.7109375" style="70" customWidth="1"/>
    <col min="7429" max="7429" width="46.42578125" style="70" customWidth="1"/>
    <col min="7430" max="7430" width="15" style="70" customWidth="1"/>
    <col min="7431" max="7432" width="6.5703125" style="70" bestFit="1" customWidth="1"/>
    <col min="7433" max="7433" width="11.28515625" style="70" bestFit="1" customWidth="1"/>
    <col min="7434" max="7434" width="12.28515625" style="70" customWidth="1"/>
    <col min="7435" max="7435" width="6.42578125" style="70" customWidth="1"/>
    <col min="7436" max="7436" width="11.28515625" style="70" customWidth="1"/>
    <col min="7437" max="7437" width="12.42578125" style="70" customWidth="1"/>
    <col min="7438" max="7438" width="9.140625" style="70" customWidth="1"/>
    <col min="7439" max="7440" width="12.42578125" style="70" customWidth="1"/>
    <col min="7441" max="7441" width="8.85546875" style="70" customWidth="1"/>
    <col min="7442" max="7443" width="12.5703125" style="70" bestFit="1" customWidth="1"/>
    <col min="7444" max="7444" width="20.140625" style="70" customWidth="1"/>
    <col min="7445" max="7445" width="21" style="70" customWidth="1"/>
    <col min="7446" max="7683" width="9.140625" style="70"/>
    <col min="7684" max="7684" width="4.7109375" style="70" customWidth="1"/>
    <col min="7685" max="7685" width="46.42578125" style="70" customWidth="1"/>
    <col min="7686" max="7686" width="15" style="70" customWidth="1"/>
    <col min="7687" max="7688" width="6.5703125" style="70" bestFit="1" customWidth="1"/>
    <col min="7689" max="7689" width="11.28515625" style="70" bestFit="1" customWidth="1"/>
    <col min="7690" max="7690" width="12.28515625" style="70" customWidth="1"/>
    <col min="7691" max="7691" width="6.42578125" style="70" customWidth="1"/>
    <col min="7692" max="7692" width="11.28515625" style="70" customWidth="1"/>
    <col min="7693" max="7693" width="12.42578125" style="70" customWidth="1"/>
    <col min="7694" max="7694" width="9.140625" style="70" customWidth="1"/>
    <col min="7695" max="7696" width="12.42578125" style="70" customWidth="1"/>
    <col min="7697" max="7697" width="8.85546875" style="70" customWidth="1"/>
    <col min="7698" max="7699" width="12.5703125" style="70" bestFit="1" customWidth="1"/>
    <col min="7700" max="7700" width="20.140625" style="70" customWidth="1"/>
    <col min="7701" max="7701" width="21" style="70" customWidth="1"/>
    <col min="7702" max="7939" width="9.140625" style="70"/>
    <col min="7940" max="7940" width="4.7109375" style="70" customWidth="1"/>
    <col min="7941" max="7941" width="46.42578125" style="70" customWidth="1"/>
    <col min="7942" max="7942" width="15" style="70" customWidth="1"/>
    <col min="7943" max="7944" width="6.5703125" style="70" bestFit="1" customWidth="1"/>
    <col min="7945" max="7945" width="11.28515625" style="70" bestFit="1" customWidth="1"/>
    <col min="7946" max="7946" width="12.28515625" style="70" customWidth="1"/>
    <col min="7947" max="7947" width="6.42578125" style="70" customWidth="1"/>
    <col min="7948" max="7948" width="11.28515625" style="70" customWidth="1"/>
    <col min="7949" max="7949" width="12.42578125" style="70" customWidth="1"/>
    <col min="7950" max="7950" width="9.140625" style="70" customWidth="1"/>
    <col min="7951" max="7952" width="12.42578125" style="70" customWidth="1"/>
    <col min="7953" max="7953" width="8.85546875" style="70" customWidth="1"/>
    <col min="7954" max="7955" width="12.5703125" style="70" bestFit="1" customWidth="1"/>
    <col min="7956" max="7956" width="20.140625" style="70" customWidth="1"/>
    <col min="7957" max="7957" width="21" style="70" customWidth="1"/>
    <col min="7958" max="8195" width="9.140625" style="70"/>
    <col min="8196" max="8196" width="4.7109375" style="70" customWidth="1"/>
    <col min="8197" max="8197" width="46.42578125" style="70" customWidth="1"/>
    <col min="8198" max="8198" width="15" style="70" customWidth="1"/>
    <col min="8199" max="8200" width="6.5703125" style="70" bestFit="1" customWidth="1"/>
    <col min="8201" max="8201" width="11.28515625" style="70" bestFit="1" customWidth="1"/>
    <col min="8202" max="8202" width="12.28515625" style="70" customWidth="1"/>
    <col min="8203" max="8203" width="6.42578125" style="70" customWidth="1"/>
    <col min="8204" max="8204" width="11.28515625" style="70" customWidth="1"/>
    <col min="8205" max="8205" width="12.42578125" style="70" customWidth="1"/>
    <col min="8206" max="8206" width="9.140625" style="70" customWidth="1"/>
    <col min="8207" max="8208" width="12.42578125" style="70" customWidth="1"/>
    <col min="8209" max="8209" width="8.85546875" style="70" customWidth="1"/>
    <col min="8210" max="8211" width="12.5703125" style="70" bestFit="1" customWidth="1"/>
    <col min="8212" max="8212" width="20.140625" style="70" customWidth="1"/>
    <col min="8213" max="8213" width="21" style="70" customWidth="1"/>
    <col min="8214" max="8451" width="9.140625" style="70"/>
    <col min="8452" max="8452" width="4.7109375" style="70" customWidth="1"/>
    <col min="8453" max="8453" width="46.42578125" style="70" customWidth="1"/>
    <col min="8454" max="8454" width="15" style="70" customWidth="1"/>
    <col min="8455" max="8456" width="6.5703125" style="70" bestFit="1" customWidth="1"/>
    <col min="8457" max="8457" width="11.28515625" style="70" bestFit="1" customWidth="1"/>
    <col min="8458" max="8458" width="12.28515625" style="70" customWidth="1"/>
    <col min="8459" max="8459" width="6.42578125" style="70" customWidth="1"/>
    <col min="8460" max="8460" width="11.28515625" style="70" customWidth="1"/>
    <col min="8461" max="8461" width="12.42578125" style="70" customWidth="1"/>
    <col min="8462" max="8462" width="9.140625" style="70" customWidth="1"/>
    <col min="8463" max="8464" width="12.42578125" style="70" customWidth="1"/>
    <col min="8465" max="8465" width="8.85546875" style="70" customWidth="1"/>
    <col min="8466" max="8467" width="12.5703125" style="70" bestFit="1" customWidth="1"/>
    <col min="8468" max="8468" width="20.140625" style="70" customWidth="1"/>
    <col min="8469" max="8469" width="21" style="70" customWidth="1"/>
    <col min="8470" max="8707" width="9.140625" style="70"/>
    <col min="8708" max="8708" width="4.7109375" style="70" customWidth="1"/>
    <col min="8709" max="8709" width="46.42578125" style="70" customWidth="1"/>
    <col min="8710" max="8710" width="15" style="70" customWidth="1"/>
    <col min="8711" max="8712" width="6.5703125" style="70" bestFit="1" customWidth="1"/>
    <col min="8713" max="8713" width="11.28515625" style="70" bestFit="1" customWidth="1"/>
    <col min="8714" max="8714" width="12.28515625" style="70" customWidth="1"/>
    <col min="8715" max="8715" width="6.42578125" style="70" customWidth="1"/>
    <col min="8716" max="8716" width="11.28515625" style="70" customWidth="1"/>
    <col min="8717" max="8717" width="12.42578125" style="70" customWidth="1"/>
    <col min="8718" max="8718" width="9.140625" style="70" customWidth="1"/>
    <col min="8719" max="8720" width="12.42578125" style="70" customWidth="1"/>
    <col min="8721" max="8721" width="8.85546875" style="70" customWidth="1"/>
    <col min="8722" max="8723" width="12.5703125" style="70" bestFit="1" customWidth="1"/>
    <col min="8724" max="8724" width="20.140625" style="70" customWidth="1"/>
    <col min="8725" max="8725" width="21" style="70" customWidth="1"/>
    <col min="8726" max="8963" width="9.140625" style="70"/>
    <col min="8964" max="8964" width="4.7109375" style="70" customWidth="1"/>
    <col min="8965" max="8965" width="46.42578125" style="70" customWidth="1"/>
    <col min="8966" max="8966" width="15" style="70" customWidth="1"/>
    <col min="8967" max="8968" width="6.5703125" style="70" bestFit="1" customWidth="1"/>
    <col min="8969" max="8969" width="11.28515625" style="70" bestFit="1" customWidth="1"/>
    <col min="8970" max="8970" width="12.28515625" style="70" customWidth="1"/>
    <col min="8971" max="8971" width="6.42578125" style="70" customWidth="1"/>
    <col min="8972" max="8972" width="11.28515625" style="70" customWidth="1"/>
    <col min="8973" max="8973" width="12.42578125" style="70" customWidth="1"/>
    <col min="8974" max="8974" width="9.140625" style="70" customWidth="1"/>
    <col min="8975" max="8976" width="12.42578125" style="70" customWidth="1"/>
    <col min="8977" max="8977" width="8.85546875" style="70" customWidth="1"/>
    <col min="8978" max="8979" width="12.5703125" style="70" bestFit="1" customWidth="1"/>
    <col min="8980" max="8980" width="20.140625" style="70" customWidth="1"/>
    <col min="8981" max="8981" width="21" style="70" customWidth="1"/>
    <col min="8982" max="9219" width="9.140625" style="70"/>
    <col min="9220" max="9220" width="4.7109375" style="70" customWidth="1"/>
    <col min="9221" max="9221" width="46.42578125" style="70" customWidth="1"/>
    <col min="9222" max="9222" width="15" style="70" customWidth="1"/>
    <col min="9223" max="9224" width="6.5703125" style="70" bestFit="1" customWidth="1"/>
    <col min="9225" max="9225" width="11.28515625" style="70" bestFit="1" customWidth="1"/>
    <col min="9226" max="9226" width="12.28515625" style="70" customWidth="1"/>
    <col min="9227" max="9227" width="6.42578125" style="70" customWidth="1"/>
    <col min="9228" max="9228" width="11.28515625" style="70" customWidth="1"/>
    <col min="9229" max="9229" width="12.42578125" style="70" customWidth="1"/>
    <col min="9230" max="9230" width="9.140625" style="70" customWidth="1"/>
    <col min="9231" max="9232" width="12.42578125" style="70" customWidth="1"/>
    <col min="9233" max="9233" width="8.85546875" style="70" customWidth="1"/>
    <col min="9234" max="9235" width="12.5703125" style="70" bestFit="1" customWidth="1"/>
    <col min="9236" max="9236" width="20.140625" style="70" customWidth="1"/>
    <col min="9237" max="9237" width="21" style="70" customWidth="1"/>
    <col min="9238" max="9475" width="9.140625" style="70"/>
    <col min="9476" max="9476" width="4.7109375" style="70" customWidth="1"/>
    <col min="9477" max="9477" width="46.42578125" style="70" customWidth="1"/>
    <col min="9478" max="9478" width="15" style="70" customWidth="1"/>
    <col min="9479" max="9480" width="6.5703125" style="70" bestFit="1" customWidth="1"/>
    <col min="9481" max="9481" width="11.28515625" style="70" bestFit="1" customWidth="1"/>
    <col min="9482" max="9482" width="12.28515625" style="70" customWidth="1"/>
    <col min="9483" max="9483" width="6.42578125" style="70" customWidth="1"/>
    <col min="9484" max="9484" width="11.28515625" style="70" customWidth="1"/>
    <col min="9485" max="9485" width="12.42578125" style="70" customWidth="1"/>
    <col min="9486" max="9486" width="9.140625" style="70" customWidth="1"/>
    <col min="9487" max="9488" width="12.42578125" style="70" customWidth="1"/>
    <col min="9489" max="9489" width="8.85546875" style="70" customWidth="1"/>
    <col min="9490" max="9491" width="12.5703125" style="70" bestFit="1" customWidth="1"/>
    <col min="9492" max="9492" width="20.140625" style="70" customWidth="1"/>
    <col min="9493" max="9493" width="21" style="70" customWidth="1"/>
    <col min="9494" max="9731" width="9.140625" style="70"/>
    <col min="9732" max="9732" width="4.7109375" style="70" customWidth="1"/>
    <col min="9733" max="9733" width="46.42578125" style="70" customWidth="1"/>
    <col min="9734" max="9734" width="15" style="70" customWidth="1"/>
    <col min="9735" max="9736" width="6.5703125" style="70" bestFit="1" customWidth="1"/>
    <col min="9737" max="9737" width="11.28515625" style="70" bestFit="1" customWidth="1"/>
    <col min="9738" max="9738" width="12.28515625" style="70" customWidth="1"/>
    <col min="9739" max="9739" width="6.42578125" style="70" customWidth="1"/>
    <col min="9740" max="9740" width="11.28515625" style="70" customWidth="1"/>
    <col min="9741" max="9741" width="12.42578125" style="70" customWidth="1"/>
    <col min="9742" max="9742" width="9.140625" style="70" customWidth="1"/>
    <col min="9743" max="9744" width="12.42578125" style="70" customWidth="1"/>
    <col min="9745" max="9745" width="8.85546875" style="70" customWidth="1"/>
    <col min="9746" max="9747" width="12.5703125" style="70" bestFit="1" customWidth="1"/>
    <col min="9748" max="9748" width="20.140625" style="70" customWidth="1"/>
    <col min="9749" max="9749" width="21" style="70" customWidth="1"/>
    <col min="9750" max="9987" width="9.140625" style="70"/>
    <col min="9988" max="9988" width="4.7109375" style="70" customWidth="1"/>
    <col min="9989" max="9989" width="46.42578125" style="70" customWidth="1"/>
    <col min="9990" max="9990" width="15" style="70" customWidth="1"/>
    <col min="9991" max="9992" width="6.5703125" style="70" bestFit="1" customWidth="1"/>
    <col min="9993" max="9993" width="11.28515625" style="70" bestFit="1" customWidth="1"/>
    <col min="9994" max="9994" width="12.28515625" style="70" customWidth="1"/>
    <col min="9995" max="9995" width="6.42578125" style="70" customWidth="1"/>
    <col min="9996" max="9996" width="11.28515625" style="70" customWidth="1"/>
    <col min="9997" max="9997" width="12.42578125" style="70" customWidth="1"/>
    <col min="9998" max="9998" width="9.140625" style="70" customWidth="1"/>
    <col min="9999" max="10000" width="12.42578125" style="70" customWidth="1"/>
    <col min="10001" max="10001" width="8.85546875" style="70" customWidth="1"/>
    <col min="10002" max="10003" width="12.5703125" style="70" bestFit="1" customWidth="1"/>
    <col min="10004" max="10004" width="20.140625" style="70" customWidth="1"/>
    <col min="10005" max="10005" width="21" style="70" customWidth="1"/>
    <col min="10006" max="10243" width="9.140625" style="70"/>
    <col min="10244" max="10244" width="4.7109375" style="70" customWidth="1"/>
    <col min="10245" max="10245" width="46.42578125" style="70" customWidth="1"/>
    <col min="10246" max="10246" width="15" style="70" customWidth="1"/>
    <col min="10247" max="10248" width="6.5703125" style="70" bestFit="1" customWidth="1"/>
    <col min="10249" max="10249" width="11.28515625" style="70" bestFit="1" customWidth="1"/>
    <col min="10250" max="10250" width="12.28515625" style="70" customWidth="1"/>
    <col min="10251" max="10251" width="6.42578125" style="70" customWidth="1"/>
    <col min="10252" max="10252" width="11.28515625" style="70" customWidth="1"/>
    <col min="10253" max="10253" width="12.42578125" style="70" customWidth="1"/>
    <col min="10254" max="10254" width="9.140625" style="70" customWidth="1"/>
    <col min="10255" max="10256" width="12.42578125" style="70" customWidth="1"/>
    <col min="10257" max="10257" width="8.85546875" style="70" customWidth="1"/>
    <col min="10258" max="10259" width="12.5703125" style="70" bestFit="1" customWidth="1"/>
    <col min="10260" max="10260" width="20.140625" style="70" customWidth="1"/>
    <col min="10261" max="10261" width="21" style="70" customWidth="1"/>
    <col min="10262" max="10499" width="9.140625" style="70"/>
    <col min="10500" max="10500" width="4.7109375" style="70" customWidth="1"/>
    <col min="10501" max="10501" width="46.42578125" style="70" customWidth="1"/>
    <col min="10502" max="10502" width="15" style="70" customWidth="1"/>
    <col min="10503" max="10504" width="6.5703125" style="70" bestFit="1" customWidth="1"/>
    <col min="10505" max="10505" width="11.28515625" style="70" bestFit="1" customWidth="1"/>
    <col min="10506" max="10506" width="12.28515625" style="70" customWidth="1"/>
    <col min="10507" max="10507" width="6.42578125" style="70" customWidth="1"/>
    <col min="10508" max="10508" width="11.28515625" style="70" customWidth="1"/>
    <col min="10509" max="10509" width="12.42578125" style="70" customWidth="1"/>
    <col min="10510" max="10510" width="9.140625" style="70" customWidth="1"/>
    <col min="10511" max="10512" width="12.42578125" style="70" customWidth="1"/>
    <col min="10513" max="10513" width="8.85546875" style="70" customWidth="1"/>
    <col min="10514" max="10515" width="12.5703125" style="70" bestFit="1" customWidth="1"/>
    <col min="10516" max="10516" width="20.140625" style="70" customWidth="1"/>
    <col min="10517" max="10517" width="21" style="70" customWidth="1"/>
    <col min="10518" max="10755" width="9.140625" style="70"/>
    <col min="10756" max="10756" width="4.7109375" style="70" customWidth="1"/>
    <col min="10757" max="10757" width="46.42578125" style="70" customWidth="1"/>
    <col min="10758" max="10758" width="15" style="70" customWidth="1"/>
    <col min="10759" max="10760" width="6.5703125" style="70" bestFit="1" customWidth="1"/>
    <col min="10761" max="10761" width="11.28515625" style="70" bestFit="1" customWidth="1"/>
    <col min="10762" max="10762" width="12.28515625" style="70" customWidth="1"/>
    <col min="10763" max="10763" width="6.42578125" style="70" customWidth="1"/>
    <col min="10764" max="10764" width="11.28515625" style="70" customWidth="1"/>
    <col min="10765" max="10765" width="12.42578125" style="70" customWidth="1"/>
    <col min="10766" max="10766" width="9.140625" style="70" customWidth="1"/>
    <col min="10767" max="10768" width="12.42578125" style="70" customWidth="1"/>
    <col min="10769" max="10769" width="8.85546875" style="70" customWidth="1"/>
    <col min="10770" max="10771" width="12.5703125" style="70" bestFit="1" customWidth="1"/>
    <col min="10772" max="10772" width="20.140625" style="70" customWidth="1"/>
    <col min="10773" max="10773" width="21" style="70" customWidth="1"/>
    <col min="10774" max="11011" width="9.140625" style="70"/>
    <col min="11012" max="11012" width="4.7109375" style="70" customWidth="1"/>
    <col min="11013" max="11013" width="46.42578125" style="70" customWidth="1"/>
    <col min="11014" max="11014" width="15" style="70" customWidth="1"/>
    <col min="11015" max="11016" width="6.5703125" style="70" bestFit="1" customWidth="1"/>
    <col min="11017" max="11017" width="11.28515625" style="70" bestFit="1" customWidth="1"/>
    <col min="11018" max="11018" width="12.28515625" style="70" customWidth="1"/>
    <col min="11019" max="11019" width="6.42578125" style="70" customWidth="1"/>
    <col min="11020" max="11020" width="11.28515625" style="70" customWidth="1"/>
    <col min="11021" max="11021" width="12.42578125" style="70" customWidth="1"/>
    <col min="11022" max="11022" width="9.140625" style="70" customWidth="1"/>
    <col min="11023" max="11024" width="12.42578125" style="70" customWidth="1"/>
    <col min="11025" max="11025" width="8.85546875" style="70" customWidth="1"/>
    <col min="11026" max="11027" width="12.5703125" style="70" bestFit="1" customWidth="1"/>
    <col min="11028" max="11028" width="20.140625" style="70" customWidth="1"/>
    <col min="11029" max="11029" width="21" style="70" customWidth="1"/>
    <col min="11030" max="11267" width="9.140625" style="70"/>
    <col min="11268" max="11268" width="4.7109375" style="70" customWidth="1"/>
    <col min="11269" max="11269" width="46.42578125" style="70" customWidth="1"/>
    <col min="11270" max="11270" width="15" style="70" customWidth="1"/>
    <col min="11271" max="11272" width="6.5703125" style="70" bestFit="1" customWidth="1"/>
    <col min="11273" max="11273" width="11.28515625" style="70" bestFit="1" customWidth="1"/>
    <col min="11274" max="11274" width="12.28515625" style="70" customWidth="1"/>
    <col min="11275" max="11275" width="6.42578125" style="70" customWidth="1"/>
    <col min="11276" max="11276" width="11.28515625" style="70" customWidth="1"/>
    <col min="11277" max="11277" width="12.42578125" style="70" customWidth="1"/>
    <col min="11278" max="11278" width="9.140625" style="70" customWidth="1"/>
    <col min="11279" max="11280" width="12.42578125" style="70" customWidth="1"/>
    <col min="11281" max="11281" width="8.85546875" style="70" customWidth="1"/>
    <col min="11282" max="11283" width="12.5703125" style="70" bestFit="1" customWidth="1"/>
    <col min="11284" max="11284" width="20.140625" style="70" customWidth="1"/>
    <col min="11285" max="11285" width="21" style="70" customWidth="1"/>
    <col min="11286" max="11523" width="9.140625" style="70"/>
    <col min="11524" max="11524" width="4.7109375" style="70" customWidth="1"/>
    <col min="11525" max="11525" width="46.42578125" style="70" customWidth="1"/>
    <col min="11526" max="11526" width="15" style="70" customWidth="1"/>
    <col min="11527" max="11528" width="6.5703125" style="70" bestFit="1" customWidth="1"/>
    <col min="11529" max="11529" width="11.28515625" style="70" bestFit="1" customWidth="1"/>
    <col min="11530" max="11530" width="12.28515625" style="70" customWidth="1"/>
    <col min="11531" max="11531" width="6.42578125" style="70" customWidth="1"/>
    <col min="11532" max="11532" width="11.28515625" style="70" customWidth="1"/>
    <col min="11533" max="11533" width="12.42578125" style="70" customWidth="1"/>
    <col min="11534" max="11534" width="9.140625" style="70" customWidth="1"/>
    <col min="11535" max="11536" width="12.42578125" style="70" customWidth="1"/>
    <col min="11537" max="11537" width="8.85546875" style="70" customWidth="1"/>
    <col min="11538" max="11539" width="12.5703125" style="70" bestFit="1" customWidth="1"/>
    <col min="11540" max="11540" width="20.140625" style="70" customWidth="1"/>
    <col min="11541" max="11541" width="21" style="70" customWidth="1"/>
    <col min="11542" max="11779" width="9.140625" style="70"/>
    <col min="11780" max="11780" width="4.7109375" style="70" customWidth="1"/>
    <col min="11781" max="11781" width="46.42578125" style="70" customWidth="1"/>
    <col min="11782" max="11782" width="15" style="70" customWidth="1"/>
    <col min="11783" max="11784" width="6.5703125" style="70" bestFit="1" customWidth="1"/>
    <col min="11785" max="11785" width="11.28515625" style="70" bestFit="1" customWidth="1"/>
    <col min="11786" max="11786" width="12.28515625" style="70" customWidth="1"/>
    <col min="11787" max="11787" width="6.42578125" style="70" customWidth="1"/>
    <col min="11788" max="11788" width="11.28515625" style="70" customWidth="1"/>
    <col min="11789" max="11789" width="12.42578125" style="70" customWidth="1"/>
    <col min="11790" max="11790" width="9.140625" style="70" customWidth="1"/>
    <col min="11791" max="11792" width="12.42578125" style="70" customWidth="1"/>
    <col min="11793" max="11793" width="8.85546875" style="70" customWidth="1"/>
    <col min="11794" max="11795" width="12.5703125" style="70" bestFit="1" customWidth="1"/>
    <col min="11796" max="11796" width="20.140625" style="70" customWidth="1"/>
    <col min="11797" max="11797" width="21" style="70" customWidth="1"/>
    <col min="11798" max="12035" width="9.140625" style="70"/>
    <col min="12036" max="12036" width="4.7109375" style="70" customWidth="1"/>
    <col min="12037" max="12037" width="46.42578125" style="70" customWidth="1"/>
    <col min="12038" max="12038" width="15" style="70" customWidth="1"/>
    <col min="12039" max="12040" width="6.5703125" style="70" bestFit="1" customWidth="1"/>
    <col min="12041" max="12041" width="11.28515625" style="70" bestFit="1" customWidth="1"/>
    <col min="12042" max="12042" width="12.28515625" style="70" customWidth="1"/>
    <col min="12043" max="12043" width="6.42578125" style="70" customWidth="1"/>
    <col min="12044" max="12044" width="11.28515625" style="70" customWidth="1"/>
    <col min="12045" max="12045" width="12.42578125" style="70" customWidth="1"/>
    <col min="12046" max="12046" width="9.140625" style="70" customWidth="1"/>
    <col min="12047" max="12048" width="12.42578125" style="70" customWidth="1"/>
    <col min="12049" max="12049" width="8.85546875" style="70" customWidth="1"/>
    <col min="12050" max="12051" width="12.5703125" style="70" bestFit="1" customWidth="1"/>
    <col min="12052" max="12052" width="20.140625" style="70" customWidth="1"/>
    <col min="12053" max="12053" width="21" style="70" customWidth="1"/>
    <col min="12054" max="12291" width="9.140625" style="70"/>
    <col min="12292" max="12292" width="4.7109375" style="70" customWidth="1"/>
    <col min="12293" max="12293" width="46.42578125" style="70" customWidth="1"/>
    <col min="12294" max="12294" width="15" style="70" customWidth="1"/>
    <col min="12295" max="12296" width="6.5703125" style="70" bestFit="1" customWidth="1"/>
    <col min="12297" max="12297" width="11.28515625" style="70" bestFit="1" customWidth="1"/>
    <col min="12298" max="12298" width="12.28515625" style="70" customWidth="1"/>
    <col min="12299" max="12299" width="6.42578125" style="70" customWidth="1"/>
    <col min="12300" max="12300" width="11.28515625" style="70" customWidth="1"/>
    <col min="12301" max="12301" width="12.42578125" style="70" customWidth="1"/>
    <col min="12302" max="12302" width="9.140625" style="70" customWidth="1"/>
    <col min="12303" max="12304" width="12.42578125" style="70" customWidth="1"/>
    <col min="12305" max="12305" width="8.85546875" style="70" customWidth="1"/>
    <col min="12306" max="12307" width="12.5703125" style="70" bestFit="1" customWidth="1"/>
    <col min="12308" max="12308" width="20.140625" style="70" customWidth="1"/>
    <col min="12309" max="12309" width="21" style="70" customWidth="1"/>
    <col min="12310" max="12547" width="9.140625" style="70"/>
    <col min="12548" max="12548" width="4.7109375" style="70" customWidth="1"/>
    <col min="12549" max="12549" width="46.42578125" style="70" customWidth="1"/>
    <col min="12550" max="12550" width="15" style="70" customWidth="1"/>
    <col min="12551" max="12552" width="6.5703125" style="70" bestFit="1" customWidth="1"/>
    <col min="12553" max="12553" width="11.28515625" style="70" bestFit="1" customWidth="1"/>
    <col min="12554" max="12554" width="12.28515625" style="70" customWidth="1"/>
    <col min="12555" max="12555" width="6.42578125" style="70" customWidth="1"/>
    <col min="12556" max="12556" width="11.28515625" style="70" customWidth="1"/>
    <col min="12557" max="12557" width="12.42578125" style="70" customWidth="1"/>
    <col min="12558" max="12558" width="9.140625" style="70" customWidth="1"/>
    <col min="12559" max="12560" width="12.42578125" style="70" customWidth="1"/>
    <col min="12561" max="12561" width="8.85546875" style="70" customWidth="1"/>
    <col min="12562" max="12563" width="12.5703125" style="70" bestFit="1" customWidth="1"/>
    <col min="12564" max="12564" width="20.140625" style="70" customWidth="1"/>
    <col min="12565" max="12565" width="21" style="70" customWidth="1"/>
    <col min="12566" max="12803" width="9.140625" style="70"/>
    <col min="12804" max="12804" width="4.7109375" style="70" customWidth="1"/>
    <col min="12805" max="12805" width="46.42578125" style="70" customWidth="1"/>
    <col min="12806" max="12806" width="15" style="70" customWidth="1"/>
    <col min="12807" max="12808" width="6.5703125" style="70" bestFit="1" customWidth="1"/>
    <col min="12809" max="12809" width="11.28515625" style="70" bestFit="1" customWidth="1"/>
    <col min="12810" max="12810" width="12.28515625" style="70" customWidth="1"/>
    <col min="12811" max="12811" width="6.42578125" style="70" customWidth="1"/>
    <col min="12812" max="12812" width="11.28515625" style="70" customWidth="1"/>
    <col min="12813" max="12813" width="12.42578125" style="70" customWidth="1"/>
    <col min="12814" max="12814" width="9.140625" style="70" customWidth="1"/>
    <col min="12815" max="12816" width="12.42578125" style="70" customWidth="1"/>
    <col min="12817" max="12817" width="8.85546875" style="70" customWidth="1"/>
    <col min="12818" max="12819" width="12.5703125" style="70" bestFit="1" customWidth="1"/>
    <col min="12820" max="12820" width="20.140625" style="70" customWidth="1"/>
    <col min="12821" max="12821" width="21" style="70" customWidth="1"/>
    <col min="12822" max="13059" width="9.140625" style="70"/>
    <col min="13060" max="13060" width="4.7109375" style="70" customWidth="1"/>
    <col min="13061" max="13061" width="46.42578125" style="70" customWidth="1"/>
    <col min="13062" max="13062" width="15" style="70" customWidth="1"/>
    <col min="13063" max="13064" width="6.5703125" style="70" bestFit="1" customWidth="1"/>
    <col min="13065" max="13065" width="11.28515625" style="70" bestFit="1" customWidth="1"/>
    <col min="13066" max="13066" width="12.28515625" style="70" customWidth="1"/>
    <col min="13067" max="13067" width="6.42578125" style="70" customWidth="1"/>
    <col min="13068" max="13068" width="11.28515625" style="70" customWidth="1"/>
    <col min="13069" max="13069" width="12.42578125" style="70" customWidth="1"/>
    <col min="13070" max="13070" width="9.140625" style="70" customWidth="1"/>
    <col min="13071" max="13072" width="12.42578125" style="70" customWidth="1"/>
    <col min="13073" max="13073" width="8.85546875" style="70" customWidth="1"/>
    <col min="13074" max="13075" width="12.5703125" style="70" bestFit="1" customWidth="1"/>
    <col min="13076" max="13076" width="20.140625" style="70" customWidth="1"/>
    <col min="13077" max="13077" width="21" style="70" customWidth="1"/>
    <col min="13078" max="13315" width="9.140625" style="70"/>
    <col min="13316" max="13316" width="4.7109375" style="70" customWidth="1"/>
    <col min="13317" max="13317" width="46.42578125" style="70" customWidth="1"/>
    <col min="13318" max="13318" width="15" style="70" customWidth="1"/>
    <col min="13319" max="13320" width="6.5703125" style="70" bestFit="1" customWidth="1"/>
    <col min="13321" max="13321" width="11.28515625" style="70" bestFit="1" customWidth="1"/>
    <col min="13322" max="13322" width="12.28515625" style="70" customWidth="1"/>
    <col min="13323" max="13323" width="6.42578125" style="70" customWidth="1"/>
    <col min="13324" max="13324" width="11.28515625" style="70" customWidth="1"/>
    <col min="13325" max="13325" width="12.42578125" style="70" customWidth="1"/>
    <col min="13326" max="13326" width="9.140625" style="70" customWidth="1"/>
    <col min="13327" max="13328" width="12.42578125" style="70" customWidth="1"/>
    <col min="13329" max="13329" width="8.85546875" style="70" customWidth="1"/>
    <col min="13330" max="13331" width="12.5703125" style="70" bestFit="1" customWidth="1"/>
    <col min="13332" max="13332" width="20.140625" style="70" customWidth="1"/>
    <col min="13333" max="13333" width="21" style="70" customWidth="1"/>
    <col min="13334" max="13571" width="9.140625" style="70"/>
    <col min="13572" max="13572" width="4.7109375" style="70" customWidth="1"/>
    <col min="13573" max="13573" width="46.42578125" style="70" customWidth="1"/>
    <col min="13574" max="13574" width="15" style="70" customWidth="1"/>
    <col min="13575" max="13576" width="6.5703125" style="70" bestFit="1" customWidth="1"/>
    <col min="13577" max="13577" width="11.28515625" style="70" bestFit="1" customWidth="1"/>
    <col min="13578" max="13578" width="12.28515625" style="70" customWidth="1"/>
    <col min="13579" max="13579" width="6.42578125" style="70" customWidth="1"/>
    <col min="13580" max="13580" width="11.28515625" style="70" customWidth="1"/>
    <col min="13581" max="13581" width="12.42578125" style="70" customWidth="1"/>
    <col min="13582" max="13582" width="9.140625" style="70" customWidth="1"/>
    <col min="13583" max="13584" width="12.42578125" style="70" customWidth="1"/>
    <col min="13585" max="13585" width="8.85546875" style="70" customWidth="1"/>
    <col min="13586" max="13587" width="12.5703125" style="70" bestFit="1" customWidth="1"/>
    <col min="13588" max="13588" width="20.140625" style="70" customWidth="1"/>
    <col min="13589" max="13589" width="21" style="70" customWidth="1"/>
    <col min="13590" max="13827" width="9.140625" style="70"/>
    <col min="13828" max="13828" width="4.7109375" style="70" customWidth="1"/>
    <col min="13829" max="13829" width="46.42578125" style="70" customWidth="1"/>
    <col min="13830" max="13830" width="15" style="70" customWidth="1"/>
    <col min="13831" max="13832" width="6.5703125" style="70" bestFit="1" customWidth="1"/>
    <col min="13833" max="13833" width="11.28515625" style="70" bestFit="1" customWidth="1"/>
    <col min="13834" max="13834" width="12.28515625" style="70" customWidth="1"/>
    <col min="13835" max="13835" width="6.42578125" style="70" customWidth="1"/>
    <col min="13836" max="13836" width="11.28515625" style="70" customWidth="1"/>
    <col min="13837" max="13837" width="12.42578125" style="70" customWidth="1"/>
    <col min="13838" max="13838" width="9.140625" style="70" customWidth="1"/>
    <col min="13839" max="13840" width="12.42578125" style="70" customWidth="1"/>
    <col min="13841" max="13841" width="8.85546875" style="70" customWidth="1"/>
    <col min="13842" max="13843" width="12.5703125" style="70" bestFit="1" customWidth="1"/>
    <col min="13844" max="13844" width="20.140625" style="70" customWidth="1"/>
    <col min="13845" max="13845" width="21" style="70" customWidth="1"/>
    <col min="13846" max="14083" width="9.140625" style="70"/>
    <col min="14084" max="14084" width="4.7109375" style="70" customWidth="1"/>
    <col min="14085" max="14085" width="46.42578125" style="70" customWidth="1"/>
    <col min="14086" max="14086" width="15" style="70" customWidth="1"/>
    <col min="14087" max="14088" width="6.5703125" style="70" bestFit="1" customWidth="1"/>
    <col min="14089" max="14089" width="11.28515625" style="70" bestFit="1" customWidth="1"/>
    <col min="14090" max="14090" width="12.28515625" style="70" customWidth="1"/>
    <col min="14091" max="14091" width="6.42578125" style="70" customWidth="1"/>
    <col min="14092" max="14092" width="11.28515625" style="70" customWidth="1"/>
    <col min="14093" max="14093" width="12.42578125" style="70" customWidth="1"/>
    <col min="14094" max="14094" width="9.140625" style="70" customWidth="1"/>
    <col min="14095" max="14096" width="12.42578125" style="70" customWidth="1"/>
    <col min="14097" max="14097" width="8.85546875" style="70" customWidth="1"/>
    <col min="14098" max="14099" width="12.5703125" style="70" bestFit="1" customWidth="1"/>
    <col min="14100" max="14100" width="20.140625" style="70" customWidth="1"/>
    <col min="14101" max="14101" width="21" style="70" customWidth="1"/>
    <col min="14102" max="14339" width="9.140625" style="70"/>
    <col min="14340" max="14340" width="4.7109375" style="70" customWidth="1"/>
    <col min="14341" max="14341" width="46.42578125" style="70" customWidth="1"/>
    <col min="14342" max="14342" width="15" style="70" customWidth="1"/>
    <col min="14343" max="14344" width="6.5703125" style="70" bestFit="1" customWidth="1"/>
    <col min="14345" max="14345" width="11.28515625" style="70" bestFit="1" customWidth="1"/>
    <col min="14346" max="14346" width="12.28515625" style="70" customWidth="1"/>
    <col min="14347" max="14347" width="6.42578125" style="70" customWidth="1"/>
    <col min="14348" max="14348" width="11.28515625" style="70" customWidth="1"/>
    <col min="14349" max="14349" width="12.42578125" style="70" customWidth="1"/>
    <col min="14350" max="14350" width="9.140625" style="70" customWidth="1"/>
    <col min="14351" max="14352" width="12.42578125" style="70" customWidth="1"/>
    <col min="14353" max="14353" width="8.85546875" style="70" customWidth="1"/>
    <col min="14354" max="14355" width="12.5703125" style="70" bestFit="1" customWidth="1"/>
    <col min="14356" max="14356" width="20.140625" style="70" customWidth="1"/>
    <col min="14357" max="14357" width="21" style="70" customWidth="1"/>
    <col min="14358" max="14595" width="9.140625" style="70"/>
    <col min="14596" max="14596" width="4.7109375" style="70" customWidth="1"/>
    <col min="14597" max="14597" width="46.42578125" style="70" customWidth="1"/>
    <col min="14598" max="14598" width="15" style="70" customWidth="1"/>
    <col min="14599" max="14600" width="6.5703125" style="70" bestFit="1" customWidth="1"/>
    <col min="14601" max="14601" width="11.28515625" style="70" bestFit="1" customWidth="1"/>
    <col min="14602" max="14602" width="12.28515625" style="70" customWidth="1"/>
    <col min="14603" max="14603" width="6.42578125" style="70" customWidth="1"/>
    <col min="14604" max="14604" width="11.28515625" style="70" customWidth="1"/>
    <col min="14605" max="14605" width="12.42578125" style="70" customWidth="1"/>
    <col min="14606" max="14606" width="9.140625" style="70" customWidth="1"/>
    <col min="14607" max="14608" width="12.42578125" style="70" customWidth="1"/>
    <col min="14609" max="14609" width="8.85546875" style="70" customWidth="1"/>
    <col min="14610" max="14611" width="12.5703125" style="70" bestFit="1" customWidth="1"/>
    <col min="14612" max="14612" width="20.140625" style="70" customWidth="1"/>
    <col min="14613" max="14613" width="21" style="70" customWidth="1"/>
    <col min="14614" max="14851" width="9.140625" style="70"/>
    <col min="14852" max="14852" width="4.7109375" style="70" customWidth="1"/>
    <col min="14853" max="14853" width="46.42578125" style="70" customWidth="1"/>
    <col min="14854" max="14854" width="15" style="70" customWidth="1"/>
    <col min="14855" max="14856" width="6.5703125" style="70" bestFit="1" customWidth="1"/>
    <col min="14857" max="14857" width="11.28515625" style="70" bestFit="1" customWidth="1"/>
    <col min="14858" max="14858" width="12.28515625" style="70" customWidth="1"/>
    <col min="14859" max="14859" width="6.42578125" style="70" customWidth="1"/>
    <col min="14860" max="14860" width="11.28515625" style="70" customWidth="1"/>
    <col min="14861" max="14861" width="12.42578125" style="70" customWidth="1"/>
    <col min="14862" max="14862" width="9.140625" style="70" customWidth="1"/>
    <col min="14863" max="14864" width="12.42578125" style="70" customWidth="1"/>
    <col min="14865" max="14865" width="8.85546875" style="70" customWidth="1"/>
    <col min="14866" max="14867" width="12.5703125" style="70" bestFit="1" customWidth="1"/>
    <col min="14868" max="14868" width="20.140625" style="70" customWidth="1"/>
    <col min="14869" max="14869" width="21" style="70" customWidth="1"/>
    <col min="14870" max="15107" width="9.140625" style="70"/>
    <col min="15108" max="15108" width="4.7109375" style="70" customWidth="1"/>
    <col min="15109" max="15109" width="46.42578125" style="70" customWidth="1"/>
    <col min="15110" max="15110" width="15" style="70" customWidth="1"/>
    <col min="15111" max="15112" width="6.5703125" style="70" bestFit="1" customWidth="1"/>
    <col min="15113" max="15113" width="11.28515625" style="70" bestFit="1" customWidth="1"/>
    <col min="15114" max="15114" width="12.28515625" style="70" customWidth="1"/>
    <col min="15115" max="15115" width="6.42578125" style="70" customWidth="1"/>
    <col min="15116" max="15116" width="11.28515625" style="70" customWidth="1"/>
    <col min="15117" max="15117" width="12.42578125" style="70" customWidth="1"/>
    <col min="15118" max="15118" width="9.140625" style="70" customWidth="1"/>
    <col min="15119" max="15120" width="12.42578125" style="70" customWidth="1"/>
    <col min="15121" max="15121" width="8.85546875" style="70" customWidth="1"/>
    <col min="15122" max="15123" width="12.5703125" style="70" bestFit="1" customWidth="1"/>
    <col min="15124" max="15124" width="20.140625" style="70" customWidth="1"/>
    <col min="15125" max="15125" width="21" style="70" customWidth="1"/>
    <col min="15126" max="15363" width="9.140625" style="70"/>
    <col min="15364" max="15364" width="4.7109375" style="70" customWidth="1"/>
    <col min="15365" max="15365" width="46.42578125" style="70" customWidth="1"/>
    <col min="15366" max="15366" width="15" style="70" customWidth="1"/>
    <col min="15367" max="15368" width="6.5703125" style="70" bestFit="1" customWidth="1"/>
    <col min="15369" max="15369" width="11.28515625" style="70" bestFit="1" customWidth="1"/>
    <col min="15370" max="15370" width="12.28515625" style="70" customWidth="1"/>
    <col min="15371" max="15371" width="6.42578125" style="70" customWidth="1"/>
    <col min="15372" max="15372" width="11.28515625" style="70" customWidth="1"/>
    <col min="15373" max="15373" width="12.42578125" style="70" customWidth="1"/>
    <col min="15374" max="15374" width="9.140625" style="70" customWidth="1"/>
    <col min="15375" max="15376" width="12.42578125" style="70" customWidth="1"/>
    <col min="15377" max="15377" width="8.85546875" style="70" customWidth="1"/>
    <col min="15378" max="15379" width="12.5703125" style="70" bestFit="1" customWidth="1"/>
    <col min="15380" max="15380" width="20.140625" style="70" customWidth="1"/>
    <col min="15381" max="15381" width="21" style="70" customWidth="1"/>
    <col min="15382" max="15619" width="9.140625" style="70"/>
    <col min="15620" max="15620" width="4.7109375" style="70" customWidth="1"/>
    <col min="15621" max="15621" width="46.42578125" style="70" customWidth="1"/>
    <col min="15622" max="15622" width="15" style="70" customWidth="1"/>
    <col min="15623" max="15624" width="6.5703125" style="70" bestFit="1" customWidth="1"/>
    <col min="15625" max="15625" width="11.28515625" style="70" bestFit="1" customWidth="1"/>
    <col min="15626" max="15626" width="12.28515625" style="70" customWidth="1"/>
    <col min="15627" max="15627" width="6.42578125" style="70" customWidth="1"/>
    <col min="15628" max="15628" width="11.28515625" style="70" customWidth="1"/>
    <col min="15629" max="15629" width="12.42578125" style="70" customWidth="1"/>
    <col min="15630" max="15630" width="9.140625" style="70" customWidth="1"/>
    <col min="15631" max="15632" width="12.42578125" style="70" customWidth="1"/>
    <col min="15633" max="15633" width="8.85546875" style="70" customWidth="1"/>
    <col min="15634" max="15635" width="12.5703125" style="70" bestFit="1" customWidth="1"/>
    <col min="15636" max="15636" width="20.140625" style="70" customWidth="1"/>
    <col min="15637" max="15637" width="21" style="70" customWidth="1"/>
    <col min="15638" max="15875" width="9.140625" style="70"/>
    <col min="15876" max="15876" width="4.7109375" style="70" customWidth="1"/>
    <col min="15877" max="15877" width="46.42578125" style="70" customWidth="1"/>
    <col min="15878" max="15878" width="15" style="70" customWidth="1"/>
    <col min="15879" max="15880" width="6.5703125" style="70" bestFit="1" customWidth="1"/>
    <col min="15881" max="15881" width="11.28515625" style="70" bestFit="1" customWidth="1"/>
    <col min="15882" max="15882" width="12.28515625" style="70" customWidth="1"/>
    <col min="15883" max="15883" width="6.42578125" style="70" customWidth="1"/>
    <col min="15884" max="15884" width="11.28515625" style="70" customWidth="1"/>
    <col min="15885" max="15885" width="12.42578125" style="70" customWidth="1"/>
    <col min="15886" max="15886" width="9.140625" style="70" customWidth="1"/>
    <col min="15887" max="15888" width="12.42578125" style="70" customWidth="1"/>
    <col min="15889" max="15889" width="8.85546875" style="70" customWidth="1"/>
    <col min="15890" max="15891" width="12.5703125" style="70" bestFit="1" customWidth="1"/>
    <col min="15892" max="15892" width="20.140625" style="70" customWidth="1"/>
    <col min="15893" max="15893" width="21" style="70" customWidth="1"/>
    <col min="15894" max="16131" width="9.140625" style="70"/>
    <col min="16132" max="16132" width="4.7109375" style="70" customWidth="1"/>
    <col min="16133" max="16133" width="46.42578125" style="70" customWidth="1"/>
    <col min="16134" max="16134" width="15" style="70" customWidth="1"/>
    <col min="16135" max="16136" width="6.5703125" style="70" bestFit="1" customWidth="1"/>
    <col min="16137" max="16137" width="11.28515625" style="70" bestFit="1" customWidth="1"/>
    <col min="16138" max="16138" width="12.28515625" style="70" customWidth="1"/>
    <col min="16139" max="16139" width="6.42578125" style="70" customWidth="1"/>
    <col min="16140" max="16140" width="11.28515625" style="70" customWidth="1"/>
    <col min="16141" max="16141" width="12.42578125" style="70" customWidth="1"/>
    <col min="16142" max="16142" width="9.140625" style="70" customWidth="1"/>
    <col min="16143" max="16144" width="12.42578125" style="70" customWidth="1"/>
    <col min="16145" max="16145" width="8.85546875" style="70" customWidth="1"/>
    <col min="16146" max="16147" width="12.5703125" style="70" bestFit="1" customWidth="1"/>
    <col min="16148" max="16148" width="20.140625" style="70" customWidth="1"/>
    <col min="16149" max="16149" width="21" style="70" customWidth="1"/>
    <col min="16150" max="16384" width="9.140625" style="70"/>
  </cols>
  <sheetData>
    <row r="1" spans="1:23" ht="21" customHeight="1">
      <c r="B1" s="597"/>
      <c r="C1" s="597"/>
      <c r="D1" s="597"/>
      <c r="E1" s="597"/>
      <c r="F1" s="3326" t="s">
        <v>2386</v>
      </c>
      <c r="G1" s="3326"/>
      <c r="H1" s="3326"/>
      <c r="I1" s="3326"/>
      <c r="J1" s="3326"/>
      <c r="K1" s="597"/>
      <c r="L1" s="597"/>
      <c r="M1" s="597"/>
      <c r="N1" s="597"/>
      <c r="O1" s="597"/>
      <c r="P1" s="597"/>
      <c r="Q1" s="597"/>
      <c r="R1" s="597"/>
      <c r="S1" s="597"/>
    </row>
    <row r="2" spans="1:23" ht="15.75" customHeight="1">
      <c r="A2" s="1960"/>
      <c r="B2" s="1961"/>
      <c r="C2" s="1962"/>
      <c r="D2" s="1906"/>
      <c r="E2" s="1960"/>
      <c r="F2" s="108"/>
      <c r="G2" s="108"/>
      <c r="H2" s="1960"/>
      <c r="I2" s="108"/>
      <c r="J2" s="108"/>
      <c r="K2" s="1960"/>
      <c r="L2" s="108"/>
      <c r="M2" s="108"/>
      <c r="N2" s="3334" t="s">
        <v>89</v>
      </c>
      <c r="O2" s="3334"/>
      <c r="P2" s="108"/>
      <c r="Q2" s="108"/>
      <c r="R2" s="108"/>
      <c r="S2" s="108"/>
    </row>
    <row r="3" spans="1:23" ht="37.5" customHeight="1">
      <c r="B3" s="3335" t="s">
        <v>2387</v>
      </c>
      <c r="C3" s="3335"/>
      <c r="D3" s="3335"/>
      <c r="E3" s="3335"/>
      <c r="F3" s="3335"/>
      <c r="G3" s="3335"/>
      <c r="H3" s="3335"/>
      <c r="I3" s="3335"/>
      <c r="J3" s="3335"/>
      <c r="K3" s="3335"/>
      <c r="L3" s="3335"/>
      <c r="M3" s="3335"/>
      <c r="N3" s="600"/>
      <c r="O3" s="600"/>
      <c r="P3" s="600"/>
      <c r="Q3" s="600"/>
      <c r="R3" s="600"/>
      <c r="S3" s="600"/>
    </row>
    <row r="4" spans="1:23" ht="9.75" customHeight="1">
      <c r="A4" s="1905"/>
      <c r="B4" s="1963"/>
      <c r="C4" s="1964"/>
      <c r="D4" s="1965"/>
      <c r="E4" s="1905"/>
      <c r="F4" s="627"/>
      <c r="G4" s="627"/>
      <c r="H4" s="1905"/>
      <c r="I4" s="627"/>
      <c r="J4" s="627"/>
      <c r="K4" s="1905"/>
      <c r="L4" s="627"/>
      <c r="M4" s="627"/>
      <c r="N4" s="1905"/>
      <c r="O4" s="627"/>
      <c r="P4" s="1966"/>
      <c r="Q4" s="1966"/>
      <c r="R4" s="1966"/>
      <c r="S4" s="1966"/>
    </row>
    <row r="5" spans="1:23" ht="15.75">
      <c r="A5" s="3124" t="s">
        <v>2</v>
      </c>
      <c r="B5" s="3124" t="s">
        <v>3</v>
      </c>
      <c r="C5" s="3028" t="s">
        <v>4</v>
      </c>
      <c r="D5" s="3336" t="s">
        <v>5</v>
      </c>
      <c r="E5" s="3336" t="s">
        <v>1664</v>
      </c>
      <c r="F5" s="3336"/>
      <c r="G5" s="3336"/>
      <c r="H5" s="3336" t="s">
        <v>1665</v>
      </c>
      <c r="I5" s="3336"/>
      <c r="J5" s="3336"/>
      <c r="K5" s="3336" t="s">
        <v>1666</v>
      </c>
      <c r="L5" s="3336"/>
      <c r="M5" s="3336"/>
      <c r="N5" s="3336" t="s">
        <v>1667</v>
      </c>
      <c r="O5" s="3336"/>
      <c r="P5" s="3336"/>
      <c r="Q5" s="3336" t="s">
        <v>1691</v>
      </c>
      <c r="R5" s="3336"/>
      <c r="S5" s="3336"/>
    </row>
    <row r="6" spans="1:23" ht="15.75">
      <c r="A6" s="3124"/>
      <c r="B6" s="3124"/>
      <c r="C6" s="3028"/>
      <c r="D6" s="3336"/>
      <c r="E6" s="1902" t="s">
        <v>143</v>
      </c>
      <c r="F6" s="1902" t="s">
        <v>9</v>
      </c>
      <c r="G6" s="1902" t="s">
        <v>1668</v>
      </c>
      <c r="H6" s="1902" t="s">
        <v>143</v>
      </c>
      <c r="I6" s="1902" t="s">
        <v>9</v>
      </c>
      <c r="J6" s="1902" t="s">
        <v>1668</v>
      </c>
      <c r="K6" s="1902" t="s">
        <v>143</v>
      </c>
      <c r="L6" s="1902" t="s">
        <v>9</v>
      </c>
      <c r="M6" s="1902" t="s">
        <v>1668</v>
      </c>
      <c r="N6" s="1902" t="s">
        <v>143</v>
      </c>
      <c r="O6" s="1902" t="s">
        <v>9</v>
      </c>
      <c r="P6" s="1902" t="s">
        <v>1668</v>
      </c>
      <c r="Q6" s="1902" t="s">
        <v>143</v>
      </c>
      <c r="R6" s="1902" t="s">
        <v>9</v>
      </c>
      <c r="S6" s="1902" t="s">
        <v>1668</v>
      </c>
    </row>
    <row r="7" spans="1:23" ht="15.75">
      <c r="A7" s="602" t="s">
        <v>1470</v>
      </c>
      <c r="B7" s="1967" t="s">
        <v>1425</v>
      </c>
      <c r="C7" s="1968">
        <v>3</v>
      </c>
      <c r="D7" s="1968">
        <v>4</v>
      </c>
      <c r="E7" s="1968">
        <v>5</v>
      </c>
      <c r="F7" s="1968">
        <v>6</v>
      </c>
      <c r="G7" s="1968">
        <v>7</v>
      </c>
      <c r="H7" s="1968">
        <v>8</v>
      </c>
      <c r="I7" s="1968">
        <v>9</v>
      </c>
      <c r="J7" s="1968">
        <v>10</v>
      </c>
      <c r="K7" s="1968">
        <v>11</v>
      </c>
      <c r="L7" s="1968">
        <v>12</v>
      </c>
      <c r="M7" s="1968">
        <v>13</v>
      </c>
      <c r="N7" s="1968">
        <v>14</v>
      </c>
      <c r="O7" s="1904">
        <v>15</v>
      </c>
      <c r="P7" s="1904">
        <v>16</v>
      </c>
      <c r="Q7" s="1968">
        <v>17</v>
      </c>
      <c r="R7" s="1904">
        <v>18</v>
      </c>
      <c r="S7" s="1904">
        <v>19</v>
      </c>
      <c r="T7" s="70" t="s">
        <v>181</v>
      </c>
    </row>
    <row r="8" spans="1:23" ht="36" customHeight="1">
      <c r="A8" s="3337">
        <v>1</v>
      </c>
      <c r="B8" s="2270" t="s">
        <v>2348</v>
      </c>
      <c r="C8" s="2271"/>
      <c r="D8" s="2272"/>
      <c r="E8" s="2272"/>
      <c r="F8" s="2272"/>
      <c r="G8" s="2272"/>
      <c r="H8" s="2272"/>
      <c r="I8" s="2272"/>
      <c r="J8" s="2272"/>
      <c r="K8" s="2272"/>
      <c r="L8" s="2272"/>
      <c r="M8" s="2272"/>
      <c r="N8" s="2272"/>
      <c r="O8" s="2272"/>
      <c r="P8" s="2272"/>
      <c r="Q8" s="2272"/>
      <c r="R8" s="2272"/>
      <c r="S8" s="2273"/>
    </row>
    <row r="9" spans="1:23" ht="17.25" customHeight="1">
      <c r="A9" s="3338"/>
      <c r="B9" s="1840" t="s">
        <v>2388</v>
      </c>
      <c r="C9" s="2274">
        <v>7132210018</v>
      </c>
      <c r="D9" s="1919" t="s">
        <v>33</v>
      </c>
      <c r="E9" s="1919">
        <v>1</v>
      </c>
      <c r="F9" s="2275">
        <f>VLOOKUP(C9,'[25]SOR RATE'!A:D,4,0)</f>
        <v>62449.99</v>
      </c>
      <c r="G9" s="2275">
        <f>F9*E9</f>
        <v>62449.99</v>
      </c>
      <c r="H9" s="1919"/>
      <c r="I9" s="2275"/>
      <c r="J9" s="2275"/>
      <c r="K9" s="1919"/>
      <c r="L9" s="2275"/>
      <c r="M9" s="2275"/>
      <c r="N9" s="1919"/>
      <c r="O9" s="2275"/>
      <c r="P9" s="2275"/>
      <c r="Q9" s="2275"/>
      <c r="R9" s="2275"/>
      <c r="S9" s="2275"/>
      <c r="T9" s="1969"/>
    </row>
    <row r="10" spans="1:23" ht="18.75" customHeight="1">
      <c r="A10" s="3338"/>
      <c r="B10" s="1840" t="s">
        <v>2389</v>
      </c>
      <c r="C10" s="1855">
        <v>7132210019</v>
      </c>
      <c r="D10" s="1080" t="s">
        <v>33</v>
      </c>
      <c r="E10" s="1080"/>
      <c r="F10" s="1081"/>
      <c r="G10" s="1081"/>
      <c r="H10" s="1080">
        <v>1</v>
      </c>
      <c r="I10" s="1081">
        <f>VLOOKUP(C10,'[25]SOR RATE'!A:D,4,0)</f>
        <v>120435.39</v>
      </c>
      <c r="J10" s="1081">
        <f>I10*H10</f>
        <v>120435.39</v>
      </c>
      <c r="K10" s="1080"/>
      <c r="L10" s="1081"/>
      <c r="M10" s="1081"/>
      <c r="N10" s="1080"/>
      <c r="O10" s="1081"/>
      <c r="P10" s="1081"/>
      <c r="Q10" s="1081"/>
      <c r="R10" s="1081"/>
      <c r="S10" s="1081"/>
      <c r="T10" s="1969"/>
      <c r="U10" s="364"/>
      <c r="V10" s="364"/>
      <c r="W10" s="364"/>
    </row>
    <row r="11" spans="1:23" ht="19.5" customHeight="1">
      <c r="A11" s="3338"/>
      <c r="B11" s="1840" t="s">
        <v>2351</v>
      </c>
      <c r="C11" s="1855">
        <v>7132210020</v>
      </c>
      <c r="D11" s="1080" t="s">
        <v>33</v>
      </c>
      <c r="E11" s="1080"/>
      <c r="F11" s="1081"/>
      <c r="G11" s="1081"/>
      <c r="H11" s="1080"/>
      <c r="I11" s="1081"/>
      <c r="J11" s="1081"/>
      <c r="K11" s="1080">
        <v>1</v>
      </c>
      <c r="L11" s="1081">
        <f>VLOOKUP(C11,'[25]SOR RATE'!A:D,4,0)</f>
        <v>158302.13</v>
      </c>
      <c r="M11" s="1081">
        <f>L11*K11</f>
        <v>158302.13</v>
      </c>
      <c r="N11" s="1080"/>
      <c r="O11" s="1081"/>
      <c r="P11" s="1081"/>
      <c r="Q11" s="1081"/>
      <c r="R11" s="1081"/>
      <c r="S11" s="1081"/>
      <c r="T11" s="1969"/>
    </row>
    <row r="12" spans="1:23" ht="21" customHeight="1">
      <c r="A12" s="3338"/>
      <c r="B12" s="1840" t="s">
        <v>2390</v>
      </c>
      <c r="C12" s="1855">
        <v>7132210021</v>
      </c>
      <c r="D12" s="1080" t="s">
        <v>33</v>
      </c>
      <c r="E12" s="1080"/>
      <c r="F12" s="1081"/>
      <c r="G12" s="1081"/>
      <c r="H12" s="1080"/>
      <c r="I12" s="1081"/>
      <c r="J12" s="1081"/>
      <c r="K12" s="1080"/>
      <c r="L12" s="1081"/>
      <c r="M12" s="1081"/>
      <c r="N12" s="1080">
        <v>1</v>
      </c>
      <c r="O12" s="1081">
        <f>VLOOKUP(C12,'[25]SOR RATE'!A:D,4,0)</f>
        <v>291828.78999999998</v>
      </c>
      <c r="P12" s="1081">
        <f>O12*N12</f>
        <v>291828.78999999998</v>
      </c>
      <c r="Q12" s="1081"/>
      <c r="R12" s="1081"/>
      <c r="S12" s="1081"/>
      <c r="T12" s="1969"/>
    </row>
    <row r="13" spans="1:23" ht="35.25" customHeight="1">
      <c r="A13" s="3339"/>
      <c r="B13" s="1840" t="s">
        <v>2391</v>
      </c>
      <c r="C13" s="1855">
        <v>7132220081</v>
      </c>
      <c r="D13" s="1080" t="s">
        <v>33</v>
      </c>
      <c r="E13" s="1080"/>
      <c r="F13" s="1081"/>
      <c r="G13" s="1081"/>
      <c r="H13" s="1080"/>
      <c r="I13" s="1081"/>
      <c r="J13" s="1081"/>
      <c r="K13" s="1080"/>
      <c r="L13" s="1081"/>
      <c r="M13" s="1081"/>
      <c r="N13" s="1080"/>
      <c r="O13" s="1081"/>
      <c r="P13" s="1081"/>
      <c r="Q13" s="1832">
        <v>1</v>
      </c>
      <c r="R13" s="1081">
        <f>VLOOKUP(C13,'[25]SOR RATE'!A:D,4,0)</f>
        <v>802876.84</v>
      </c>
      <c r="S13" s="1081">
        <f>Q13*R13</f>
        <v>802876.84</v>
      </c>
      <c r="T13" s="1970" t="s">
        <v>119</v>
      </c>
    </row>
    <row r="14" spans="1:23" ht="20.25" customHeight="1">
      <c r="A14" s="3337">
        <v>2</v>
      </c>
      <c r="B14" s="1840" t="s">
        <v>2392</v>
      </c>
      <c r="C14" s="1855">
        <v>7130800012</v>
      </c>
      <c r="D14" s="1080" t="s">
        <v>12</v>
      </c>
      <c r="E14" s="1080">
        <v>3</v>
      </c>
      <c r="F14" s="1081">
        <f>VLOOKUP(C14,'[25]SOR RATE'!A:D,4,0)</f>
        <v>2298.46</v>
      </c>
      <c r="G14" s="1081">
        <f>F14*E14</f>
        <v>6895.38</v>
      </c>
      <c r="H14" s="1080">
        <v>3</v>
      </c>
      <c r="I14" s="1081">
        <f>+F14</f>
        <v>2298.46</v>
      </c>
      <c r="J14" s="1081">
        <f>I14*H14</f>
        <v>6895.38</v>
      </c>
      <c r="K14" s="1831" t="s">
        <v>1534</v>
      </c>
      <c r="L14" s="1831" t="s">
        <v>1534</v>
      </c>
      <c r="M14" s="1831" t="s">
        <v>1534</v>
      </c>
      <c r="N14" s="1831" t="s">
        <v>1534</v>
      </c>
      <c r="O14" s="1831" t="s">
        <v>1534</v>
      </c>
      <c r="P14" s="1831" t="s">
        <v>1534</v>
      </c>
      <c r="Q14" s="1831" t="s">
        <v>1534</v>
      </c>
      <c r="R14" s="1831" t="s">
        <v>1534</v>
      </c>
      <c r="S14" s="1831" t="s">
        <v>1534</v>
      </c>
    </row>
    <row r="15" spans="1:23" ht="69" customHeight="1">
      <c r="A15" s="3339"/>
      <c r="B15" s="1840" t="s">
        <v>2355</v>
      </c>
      <c r="C15" s="1855">
        <v>7130600675</v>
      </c>
      <c r="D15" s="1080" t="s">
        <v>26</v>
      </c>
      <c r="E15" s="2276"/>
      <c r="F15" s="1081"/>
      <c r="G15" s="1081"/>
      <c r="H15" s="2276"/>
      <c r="I15" s="1849"/>
      <c r="J15" s="1081"/>
      <c r="K15" s="1080">
        <f>19.495*11*4</f>
        <v>857.78000000000009</v>
      </c>
      <c r="L15" s="1081">
        <f>VLOOKUP(C15,'[25]SOR RATE'!A:D,4,0)/1000</f>
        <v>68.748589999999993</v>
      </c>
      <c r="M15" s="1081">
        <f>L15*K15</f>
        <v>58971.1655302</v>
      </c>
      <c r="N15" s="1080">
        <f>+K15</f>
        <v>857.78000000000009</v>
      </c>
      <c r="O15" s="1081">
        <f>+L15</f>
        <v>68.748589999999993</v>
      </c>
      <c r="P15" s="1081">
        <f>O15*N15</f>
        <v>58971.1655302</v>
      </c>
      <c r="Q15" s="1080">
        <f>19.495*11*4</f>
        <v>857.78000000000009</v>
      </c>
      <c r="R15" s="1081">
        <f>VLOOKUP(C15,'[25]SOR RATE'!A:D,4,0)/1000</f>
        <v>68.748589999999993</v>
      </c>
      <c r="S15" s="1081">
        <f t="shared" ref="S15:S26" si="0">R15*Q15</f>
        <v>58971.1655302</v>
      </c>
    </row>
    <row r="16" spans="1:23" ht="18.75" customHeight="1">
      <c r="A16" s="1080">
        <v>3</v>
      </c>
      <c r="B16" s="1840" t="s">
        <v>1669</v>
      </c>
      <c r="C16" s="1855">
        <v>7130810517</v>
      </c>
      <c r="D16" s="1080" t="s">
        <v>40</v>
      </c>
      <c r="E16" s="1080">
        <v>1</v>
      </c>
      <c r="F16" s="1081">
        <f>VLOOKUP(C16,'[25]SOR RATE'!A:D,4,0)</f>
        <v>5987.84</v>
      </c>
      <c r="G16" s="1081">
        <f t="shared" ref="G16:G27" si="1">F16*E16</f>
        <v>5987.84</v>
      </c>
      <c r="H16" s="1080">
        <v>1</v>
      </c>
      <c r="I16" s="1081">
        <f t="shared" ref="I16:I29" si="2">+F16</f>
        <v>5987.84</v>
      </c>
      <c r="J16" s="1081">
        <f t="shared" ref="J16:J27" si="3">I16*H16</f>
        <v>5987.84</v>
      </c>
      <c r="K16" s="1080">
        <v>1</v>
      </c>
      <c r="L16" s="1081">
        <f t="shared" ref="L16:L29" si="4">+F16</f>
        <v>5987.84</v>
      </c>
      <c r="M16" s="1081">
        <f t="shared" ref="M16:M27" si="5">L16*K16</f>
        <v>5987.84</v>
      </c>
      <c r="N16" s="1080">
        <v>1</v>
      </c>
      <c r="O16" s="1081">
        <f t="shared" ref="O16:O26" si="6">+F16</f>
        <v>5987.84</v>
      </c>
      <c r="P16" s="1081">
        <f t="shared" ref="P16:P26" si="7">O16*N16</f>
        <v>5987.84</v>
      </c>
      <c r="Q16" s="1832">
        <v>1</v>
      </c>
      <c r="R16" s="1081">
        <f>VLOOKUP(C16,'[25]SOR RATE'!A:D,4,0)</f>
        <v>5987.84</v>
      </c>
      <c r="S16" s="1081">
        <f t="shared" si="0"/>
        <v>5987.84</v>
      </c>
    </row>
    <row r="17" spans="1:21" ht="18.75" customHeight="1">
      <c r="A17" s="1080">
        <v>4</v>
      </c>
      <c r="B17" s="1840" t="s">
        <v>67</v>
      </c>
      <c r="C17" s="1855">
        <v>7130820010</v>
      </c>
      <c r="D17" s="1080" t="s">
        <v>12</v>
      </c>
      <c r="E17" s="1080">
        <v>3</v>
      </c>
      <c r="F17" s="1081">
        <f>VLOOKUP(C17,'[25]SOR RATE'!A232:D232,4,0)</f>
        <v>118.97</v>
      </c>
      <c r="G17" s="1081">
        <f t="shared" si="1"/>
        <v>356.90999999999997</v>
      </c>
      <c r="H17" s="1080">
        <v>3</v>
      </c>
      <c r="I17" s="1081">
        <f t="shared" si="2"/>
        <v>118.97</v>
      </c>
      <c r="J17" s="1081">
        <f t="shared" si="3"/>
        <v>356.90999999999997</v>
      </c>
      <c r="K17" s="1080">
        <v>3</v>
      </c>
      <c r="L17" s="1081">
        <f t="shared" si="4"/>
        <v>118.97</v>
      </c>
      <c r="M17" s="1081">
        <f t="shared" si="5"/>
        <v>356.90999999999997</v>
      </c>
      <c r="N17" s="1080">
        <v>3</v>
      </c>
      <c r="O17" s="1081">
        <f t="shared" si="6"/>
        <v>118.97</v>
      </c>
      <c r="P17" s="1081">
        <f t="shared" si="7"/>
        <v>356.90999999999997</v>
      </c>
      <c r="Q17" s="1832">
        <v>3</v>
      </c>
      <c r="R17" s="1081">
        <f>VLOOKUP(C17,'[25]SOR RATE'!A:D,4,0)</f>
        <v>118.97</v>
      </c>
      <c r="S17" s="1081">
        <f t="shared" si="0"/>
        <v>356.90999999999997</v>
      </c>
      <c r="U17" s="622"/>
    </row>
    <row r="18" spans="1:21" ht="18.75" customHeight="1">
      <c r="A18" s="1080">
        <v>5</v>
      </c>
      <c r="B18" s="1840" t="s">
        <v>2393</v>
      </c>
      <c r="C18" s="1855">
        <v>7130820241</v>
      </c>
      <c r="D18" s="1080" t="s">
        <v>12</v>
      </c>
      <c r="E18" s="1080">
        <v>3</v>
      </c>
      <c r="F18" s="1081">
        <f>VLOOKUP(C18,'[25]SOR RATE'!A:D,4,0)</f>
        <v>153.49</v>
      </c>
      <c r="G18" s="1081">
        <f t="shared" si="1"/>
        <v>460.47</v>
      </c>
      <c r="H18" s="1080">
        <v>3</v>
      </c>
      <c r="I18" s="1081">
        <f t="shared" si="2"/>
        <v>153.49</v>
      </c>
      <c r="J18" s="1081">
        <f t="shared" si="3"/>
        <v>460.47</v>
      </c>
      <c r="K18" s="1080">
        <v>3</v>
      </c>
      <c r="L18" s="1081">
        <f t="shared" si="4"/>
        <v>153.49</v>
      </c>
      <c r="M18" s="1081">
        <f t="shared" si="5"/>
        <v>460.47</v>
      </c>
      <c r="N18" s="1080">
        <v>3</v>
      </c>
      <c r="O18" s="1081">
        <f t="shared" si="6"/>
        <v>153.49</v>
      </c>
      <c r="P18" s="1081">
        <f t="shared" si="7"/>
        <v>460.47</v>
      </c>
      <c r="Q18" s="1832">
        <v>3</v>
      </c>
      <c r="R18" s="1081">
        <f>VLOOKUP(C18,'[25]SOR RATE'!A:D,4,0)</f>
        <v>153.49</v>
      </c>
      <c r="S18" s="1081">
        <f t="shared" si="0"/>
        <v>460.47</v>
      </c>
      <c r="U18" s="622"/>
    </row>
    <row r="19" spans="1:21" ht="18.75" customHeight="1">
      <c r="A19" s="1918">
        <v>6</v>
      </c>
      <c r="B19" s="1851" t="s">
        <v>19</v>
      </c>
      <c r="C19" s="1826">
        <v>7130820008</v>
      </c>
      <c r="D19" s="1080" t="s">
        <v>12</v>
      </c>
      <c r="E19" s="1080">
        <v>6</v>
      </c>
      <c r="F19" s="1081">
        <f>VLOOKUP(C19,'[25]SOR RATE'!A:D,4,0)</f>
        <v>157.08000000000001</v>
      </c>
      <c r="G19" s="1081">
        <f t="shared" si="1"/>
        <v>942.48</v>
      </c>
      <c r="H19" s="1080">
        <v>6</v>
      </c>
      <c r="I19" s="1081">
        <f t="shared" si="2"/>
        <v>157.08000000000001</v>
      </c>
      <c r="J19" s="1081">
        <f t="shared" si="3"/>
        <v>942.48</v>
      </c>
      <c r="K19" s="1080">
        <v>6</v>
      </c>
      <c r="L19" s="1081">
        <f t="shared" si="4"/>
        <v>157.08000000000001</v>
      </c>
      <c r="M19" s="1081">
        <f t="shared" si="5"/>
        <v>942.48</v>
      </c>
      <c r="N19" s="1080">
        <v>6</v>
      </c>
      <c r="O19" s="1081">
        <f t="shared" si="6"/>
        <v>157.08000000000001</v>
      </c>
      <c r="P19" s="1081">
        <f t="shared" si="7"/>
        <v>942.48</v>
      </c>
      <c r="Q19" s="1832">
        <v>6</v>
      </c>
      <c r="R19" s="1081">
        <f>VLOOKUP(C19,'[25]SOR RATE'!A:D,4,0)</f>
        <v>157.08000000000001</v>
      </c>
      <c r="S19" s="1081">
        <f t="shared" si="0"/>
        <v>942.48</v>
      </c>
      <c r="T19" s="377"/>
      <c r="U19" s="1846"/>
    </row>
    <row r="20" spans="1:21" ht="34.5" customHeight="1">
      <c r="A20" s="1918">
        <v>7</v>
      </c>
      <c r="B20" s="1827" t="s">
        <v>2394</v>
      </c>
      <c r="C20" s="2277">
        <v>7130810509</v>
      </c>
      <c r="D20" s="1832" t="s">
        <v>12</v>
      </c>
      <c r="E20" s="1832">
        <v>1</v>
      </c>
      <c r="F20" s="1081">
        <f>VLOOKUP(C20,'[25]SOR RATE'!A:D,4,0)</f>
        <v>2187.33</v>
      </c>
      <c r="G20" s="1081">
        <f t="shared" si="1"/>
        <v>2187.33</v>
      </c>
      <c r="H20" s="1832">
        <v>1</v>
      </c>
      <c r="I20" s="1081">
        <f t="shared" si="2"/>
        <v>2187.33</v>
      </c>
      <c r="J20" s="1081">
        <f t="shared" si="3"/>
        <v>2187.33</v>
      </c>
      <c r="K20" s="1832">
        <v>1</v>
      </c>
      <c r="L20" s="1081">
        <f t="shared" si="4"/>
        <v>2187.33</v>
      </c>
      <c r="M20" s="1081">
        <f t="shared" si="5"/>
        <v>2187.33</v>
      </c>
      <c r="N20" s="1832">
        <v>1</v>
      </c>
      <c r="O20" s="1081">
        <f t="shared" si="6"/>
        <v>2187.33</v>
      </c>
      <c r="P20" s="1081">
        <f t="shared" si="7"/>
        <v>2187.33</v>
      </c>
      <c r="Q20" s="1832">
        <v>1</v>
      </c>
      <c r="R20" s="1081">
        <f>VLOOKUP(C20,'[25]SOR RATE'!A:D,4,0)</f>
        <v>2187.33</v>
      </c>
      <c r="S20" s="1081">
        <f t="shared" si="0"/>
        <v>2187.33</v>
      </c>
    </row>
    <row r="21" spans="1:21" ht="18.75" customHeight="1">
      <c r="A21" s="1080">
        <v>8</v>
      </c>
      <c r="B21" s="1840" t="s">
        <v>1672</v>
      </c>
      <c r="C21" s="1855">
        <v>7131930412</v>
      </c>
      <c r="D21" s="1080" t="s">
        <v>33</v>
      </c>
      <c r="E21" s="1080">
        <v>3</v>
      </c>
      <c r="F21" s="1081">
        <f>VLOOKUP(C21,'[25]SOR RATE'!A:D,4,0)</f>
        <v>1123.1500000000001</v>
      </c>
      <c r="G21" s="1081">
        <f t="shared" si="1"/>
        <v>3369.4500000000003</v>
      </c>
      <c r="H21" s="1080">
        <v>3</v>
      </c>
      <c r="I21" s="1081">
        <f t="shared" si="2"/>
        <v>1123.1500000000001</v>
      </c>
      <c r="J21" s="1081">
        <f t="shared" si="3"/>
        <v>3369.4500000000003</v>
      </c>
      <c r="K21" s="1080">
        <v>3</v>
      </c>
      <c r="L21" s="1081">
        <f t="shared" si="4"/>
        <v>1123.1500000000001</v>
      </c>
      <c r="M21" s="1081">
        <f t="shared" si="5"/>
        <v>3369.4500000000003</v>
      </c>
      <c r="N21" s="1080">
        <v>3</v>
      </c>
      <c r="O21" s="1081">
        <f t="shared" si="6"/>
        <v>1123.1500000000001</v>
      </c>
      <c r="P21" s="1081">
        <f t="shared" si="7"/>
        <v>3369.4500000000003</v>
      </c>
      <c r="Q21" s="1832">
        <v>3</v>
      </c>
      <c r="R21" s="1081">
        <f>VLOOKUP(C21,'[25]SOR RATE'!A:D,4,0)</f>
        <v>1123.1500000000001</v>
      </c>
      <c r="S21" s="1081">
        <f t="shared" si="0"/>
        <v>3369.4500000000003</v>
      </c>
    </row>
    <row r="22" spans="1:21" ht="33" customHeight="1">
      <c r="A22" s="1080">
        <v>9</v>
      </c>
      <c r="B22" s="1840" t="s">
        <v>2356</v>
      </c>
      <c r="C22" s="1855">
        <v>7130810216</v>
      </c>
      <c r="D22" s="1080" t="s">
        <v>15</v>
      </c>
      <c r="E22" s="1080"/>
      <c r="F22" s="1081"/>
      <c r="G22" s="1081"/>
      <c r="H22" s="1080"/>
      <c r="I22" s="1081"/>
      <c r="J22" s="1081"/>
      <c r="K22" s="1080">
        <v>8</v>
      </c>
      <c r="L22" s="1081">
        <f>VLOOKUP(C22,'[25]SOR RATE'!A:D,4,0)</f>
        <v>393.51</v>
      </c>
      <c r="M22" s="1081">
        <f t="shared" si="5"/>
        <v>3148.08</v>
      </c>
      <c r="N22" s="1080">
        <v>8</v>
      </c>
      <c r="O22" s="1081">
        <f>VLOOKUP(C22,'[25]SOR RATE'!A:D,4,0)</f>
        <v>393.51</v>
      </c>
      <c r="P22" s="1081">
        <f t="shared" si="7"/>
        <v>3148.08</v>
      </c>
      <c r="Q22" s="1832">
        <v>8</v>
      </c>
      <c r="R22" s="1081">
        <f>VLOOKUP(C22,'[25]SOR RATE'!A:D,4,0)</f>
        <v>393.51</v>
      </c>
      <c r="S22" s="1081">
        <f t="shared" si="0"/>
        <v>3148.08</v>
      </c>
      <c r="T22" s="1939" t="s">
        <v>119</v>
      </c>
    </row>
    <row r="23" spans="1:21" ht="21.75" customHeight="1">
      <c r="A23" s="1080">
        <v>10</v>
      </c>
      <c r="B23" s="1840" t="s">
        <v>2357</v>
      </c>
      <c r="C23" s="1855">
        <v>7130810026</v>
      </c>
      <c r="D23" s="1080" t="s">
        <v>15</v>
      </c>
      <c r="E23" s="1080">
        <v>8</v>
      </c>
      <c r="F23" s="1081">
        <f>VLOOKUP(C23,'[25]SOR RATE'!A:D,4,0)</f>
        <v>198.14</v>
      </c>
      <c r="G23" s="1081">
        <f t="shared" si="1"/>
        <v>1585.12</v>
      </c>
      <c r="H23" s="1080">
        <v>8</v>
      </c>
      <c r="I23" s="1081">
        <f>VLOOKUP(C23,'[25]SOR RATE'!A:D,4,0)</f>
        <v>198.14</v>
      </c>
      <c r="J23" s="1081">
        <f t="shared" si="3"/>
        <v>1585.12</v>
      </c>
      <c r="K23" s="1080"/>
      <c r="L23" s="1081"/>
      <c r="M23" s="1081"/>
      <c r="N23" s="1080"/>
      <c r="O23" s="1081"/>
      <c r="P23" s="1081"/>
      <c r="Q23" s="1832"/>
      <c r="R23" s="1081"/>
      <c r="S23" s="1081"/>
      <c r="T23" s="1939" t="s">
        <v>119</v>
      </c>
    </row>
    <row r="24" spans="1:21" ht="31.5" customHeight="1">
      <c r="A24" s="1080">
        <v>11</v>
      </c>
      <c r="B24" s="1840" t="s">
        <v>1688</v>
      </c>
      <c r="C24" s="1907">
        <v>7130600023</v>
      </c>
      <c r="D24" s="1907" t="s">
        <v>26</v>
      </c>
      <c r="E24" s="1080">
        <v>20</v>
      </c>
      <c r="F24" s="1081">
        <f>VLOOKUP(C24,'[25]SOR RATE'!A:D,4,0)/1000</f>
        <v>54.512970000000003</v>
      </c>
      <c r="G24" s="1081">
        <f t="shared" si="1"/>
        <v>1090.2594000000001</v>
      </c>
      <c r="H24" s="1080">
        <v>20</v>
      </c>
      <c r="I24" s="1081">
        <f t="shared" si="2"/>
        <v>54.512970000000003</v>
      </c>
      <c r="J24" s="1081">
        <f t="shared" si="3"/>
        <v>1090.2594000000001</v>
      </c>
      <c r="K24" s="1080">
        <v>20</v>
      </c>
      <c r="L24" s="1081">
        <f t="shared" si="4"/>
        <v>54.512970000000003</v>
      </c>
      <c r="M24" s="1081">
        <f t="shared" si="5"/>
        <v>1090.2594000000001</v>
      </c>
      <c r="N24" s="1080">
        <v>20</v>
      </c>
      <c r="O24" s="1081">
        <f t="shared" si="6"/>
        <v>54.512970000000003</v>
      </c>
      <c r="P24" s="1081">
        <f t="shared" si="7"/>
        <v>1090.2594000000001</v>
      </c>
      <c r="Q24" s="1832">
        <v>20</v>
      </c>
      <c r="R24" s="1081">
        <f>VLOOKUP(C24,'[25]SOR RATE'!A:D,4,0)/1000</f>
        <v>54.512970000000003</v>
      </c>
      <c r="S24" s="1081">
        <f t="shared" si="0"/>
        <v>1090.2594000000001</v>
      </c>
    </row>
    <row r="25" spans="1:21" ht="21.75" customHeight="1">
      <c r="A25" s="3337">
        <v>12</v>
      </c>
      <c r="B25" s="1840" t="s">
        <v>1673</v>
      </c>
      <c r="C25" s="1855">
        <v>7130860032</v>
      </c>
      <c r="D25" s="1080" t="s">
        <v>12</v>
      </c>
      <c r="E25" s="1080">
        <v>4</v>
      </c>
      <c r="F25" s="1081">
        <f>VLOOKUP(C25,'[25]SOR RATE'!A:D,4,0)</f>
        <v>566.19000000000005</v>
      </c>
      <c r="G25" s="1081">
        <f t="shared" si="1"/>
        <v>2264.7600000000002</v>
      </c>
      <c r="H25" s="1080">
        <v>4</v>
      </c>
      <c r="I25" s="1081">
        <f t="shared" si="2"/>
        <v>566.19000000000005</v>
      </c>
      <c r="J25" s="1081">
        <f t="shared" si="3"/>
        <v>2264.7600000000002</v>
      </c>
      <c r="K25" s="1080">
        <v>4</v>
      </c>
      <c r="L25" s="1081">
        <f t="shared" si="4"/>
        <v>566.19000000000005</v>
      </c>
      <c r="M25" s="1081">
        <f t="shared" si="5"/>
        <v>2264.7600000000002</v>
      </c>
      <c r="N25" s="1080">
        <v>4</v>
      </c>
      <c r="O25" s="1081">
        <f t="shared" si="6"/>
        <v>566.19000000000005</v>
      </c>
      <c r="P25" s="1081">
        <f t="shared" si="7"/>
        <v>2264.7600000000002</v>
      </c>
      <c r="Q25" s="1832">
        <v>4</v>
      </c>
      <c r="R25" s="1081">
        <f>VLOOKUP(C25,'[25]SOR RATE'!A:D,4,0)</f>
        <v>566.19000000000005</v>
      </c>
      <c r="S25" s="1081">
        <f t="shared" si="0"/>
        <v>2264.7600000000002</v>
      </c>
    </row>
    <row r="26" spans="1:21" ht="19.5" customHeight="1">
      <c r="A26" s="3338"/>
      <c r="B26" s="1840" t="s">
        <v>1674</v>
      </c>
      <c r="C26" s="1855">
        <v>7130860077</v>
      </c>
      <c r="D26" s="1080" t="s">
        <v>26</v>
      </c>
      <c r="E26" s="1080">
        <v>22</v>
      </c>
      <c r="F26" s="1081">
        <f>VLOOKUP(C26,'[25]SOR RATE'!A:D,4,0)/1000</f>
        <v>93.76643</v>
      </c>
      <c r="G26" s="1081">
        <f t="shared" si="1"/>
        <v>2062.8614600000001</v>
      </c>
      <c r="H26" s="1080">
        <v>22</v>
      </c>
      <c r="I26" s="1081">
        <f t="shared" si="2"/>
        <v>93.76643</v>
      </c>
      <c r="J26" s="1081">
        <f t="shared" si="3"/>
        <v>2062.8614600000001</v>
      </c>
      <c r="K26" s="1080">
        <v>22</v>
      </c>
      <c r="L26" s="1081">
        <f t="shared" si="4"/>
        <v>93.76643</v>
      </c>
      <c r="M26" s="1081">
        <f t="shared" si="5"/>
        <v>2062.8614600000001</v>
      </c>
      <c r="N26" s="1080">
        <v>22</v>
      </c>
      <c r="O26" s="1081">
        <f t="shared" si="6"/>
        <v>93.76643</v>
      </c>
      <c r="P26" s="1081">
        <f t="shared" si="7"/>
        <v>2062.8614600000001</v>
      </c>
      <c r="Q26" s="1832">
        <v>22</v>
      </c>
      <c r="R26" s="1081">
        <f>VLOOKUP(C26,'[25]SOR RATE'!A:D,4,0)/1000</f>
        <v>93.76643</v>
      </c>
      <c r="S26" s="1081">
        <f t="shared" si="0"/>
        <v>2062.8614600000001</v>
      </c>
    </row>
    <row r="27" spans="1:21" ht="18" customHeight="1">
      <c r="A27" s="3338"/>
      <c r="B27" s="1840" t="s">
        <v>74</v>
      </c>
      <c r="C27" s="2278">
        <v>7130810026</v>
      </c>
      <c r="D27" s="1080" t="s">
        <v>15</v>
      </c>
      <c r="E27" s="1080">
        <v>4</v>
      </c>
      <c r="F27" s="1081">
        <f>VLOOKUP(C27,'[25]SOR RATE'!A201:D201,4,0)</f>
        <v>198.14</v>
      </c>
      <c r="G27" s="1081">
        <f t="shared" si="1"/>
        <v>792.56</v>
      </c>
      <c r="H27" s="1080">
        <v>4</v>
      </c>
      <c r="I27" s="1081">
        <f t="shared" si="2"/>
        <v>198.14</v>
      </c>
      <c r="J27" s="1081">
        <f t="shared" si="3"/>
        <v>792.56</v>
      </c>
      <c r="K27" s="1080">
        <v>4</v>
      </c>
      <c r="L27" s="1081">
        <f t="shared" si="4"/>
        <v>198.14</v>
      </c>
      <c r="M27" s="1081">
        <f t="shared" si="5"/>
        <v>792.56</v>
      </c>
      <c r="N27" s="1080"/>
      <c r="O27" s="1081"/>
      <c r="P27" s="1081"/>
      <c r="Q27" s="1081"/>
      <c r="R27" s="1081"/>
      <c r="S27" s="1081"/>
    </row>
    <row r="28" spans="1:21" ht="48" customHeight="1">
      <c r="A28" s="1080">
        <v>13</v>
      </c>
      <c r="B28" s="1840" t="s">
        <v>2395</v>
      </c>
      <c r="C28" s="1855">
        <v>7130200202</v>
      </c>
      <c r="D28" s="1080" t="s">
        <v>76</v>
      </c>
      <c r="E28" s="1846">
        <f>(3*0.3)+(4*0.2)+(3*0.05)</f>
        <v>1.85</v>
      </c>
      <c r="F28" s="1081">
        <f>VLOOKUP(C28,'[25]SOR RATE'!A:D,4,0)</f>
        <v>2970</v>
      </c>
      <c r="G28" s="1081">
        <f>E28*F28</f>
        <v>5494.5</v>
      </c>
      <c r="H28" s="1846">
        <f>(3*0.3)+(4*0.2)+(3*0.05)</f>
        <v>1.85</v>
      </c>
      <c r="I28" s="1081">
        <f t="shared" si="2"/>
        <v>2970</v>
      </c>
      <c r="J28" s="1081">
        <f>H28*I28</f>
        <v>5494.5</v>
      </c>
      <c r="K28" s="1846">
        <f>(4*0.3)+(4*0.2)+(4*0.05)</f>
        <v>2.2000000000000002</v>
      </c>
      <c r="L28" s="1081">
        <f t="shared" si="4"/>
        <v>2970</v>
      </c>
      <c r="M28" s="1081">
        <f>K28*L28</f>
        <v>6534.0000000000009</v>
      </c>
      <c r="N28" s="1846">
        <f>(4*0.3)+(4*0.2)+(4*0.05)</f>
        <v>2.2000000000000002</v>
      </c>
      <c r="O28" s="1081">
        <f>+F28</f>
        <v>2970</v>
      </c>
      <c r="P28" s="1081">
        <f>N28*O28</f>
        <v>6534.0000000000009</v>
      </c>
      <c r="Q28" s="1846">
        <f>(4*0.3)+(4*0.2)+(4*0.05)</f>
        <v>2.2000000000000002</v>
      </c>
      <c r="R28" s="1081">
        <f>VLOOKUP(C28,'[25]SOR RATE'!A:D,4,0)</f>
        <v>2970</v>
      </c>
      <c r="S28" s="1081">
        <f>R28*Q28</f>
        <v>6534.0000000000009</v>
      </c>
      <c r="T28" s="1971" t="s">
        <v>47</v>
      </c>
    </row>
    <row r="29" spans="1:21" ht="33.75" customHeight="1">
      <c r="A29" s="1080">
        <v>14</v>
      </c>
      <c r="B29" s="1051" t="s">
        <v>2361</v>
      </c>
      <c r="C29" s="1855">
        <v>7130600023</v>
      </c>
      <c r="D29" s="2279" t="s">
        <v>26</v>
      </c>
      <c r="E29" s="1080">
        <v>34</v>
      </c>
      <c r="F29" s="1081">
        <f>VLOOKUP(C29,'[25]SOR RATE'!A:D,4,0)/1000</f>
        <v>54.512970000000003</v>
      </c>
      <c r="G29" s="1081">
        <f>F29*E29</f>
        <v>1853.4409800000001</v>
      </c>
      <c r="H29" s="1080">
        <v>34</v>
      </c>
      <c r="I29" s="1081">
        <f t="shared" si="2"/>
        <v>54.512970000000003</v>
      </c>
      <c r="J29" s="1081">
        <f>I29*H29</f>
        <v>1853.4409800000001</v>
      </c>
      <c r="K29" s="1080">
        <v>34</v>
      </c>
      <c r="L29" s="1081">
        <f t="shared" si="4"/>
        <v>54.512970000000003</v>
      </c>
      <c r="M29" s="1081">
        <f>L29*K29</f>
        <v>1853.4409800000001</v>
      </c>
      <c r="N29" s="1080">
        <v>34</v>
      </c>
      <c r="O29" s="1081">
        <f>+F29</f>
        <v>54.512970000000003</v>
      </c>
      <c r="P29" s="1081">
        <f>O29*N29</f>
        <v>1853.4409800000001</v>
      </c>
      <c r="Q29" s="1832">
        <v>34</v>
      </c>
      <c r="R29" s="1081">
        <f>VLOOKUP(C29,'[25]SOR RATE'!A:D,4,0)/1000</f>
        <v>54.512970000000003</v>
      </c>
      <c r="S29" s="1081">
        <f>R29*Q29</f>
        <v>1853.4409800000001</v>
      </c>
    </row>
    <row r="30" spans="1:21" ht="33.75" customHeight="1">
      <c r="A30" s="1080">
        <v>15</v>
      </c>
      <c r="B30" s="1840" t="s">
        <v>2396</v>
      </c>
      <c r="C30" s="1855">
        <v>7130850201</v>
      </c>
      <c r="D30" s="1080" t="s">
        <v>40</v>
      </c>
      <c r="E30" s="1080">
        <v>1</v>
      </c>
      <c r="F30" s="1081">
        <f>VLOOKUP(C30,'[25]SOR RATE'!A279:D279,4,0)</f>
        <v>5987.84</v>
      </c>
      <c r="G30" s="1081">
        <f>F30*E30</f>
        <v>5987.84</v>
      </c>
      <c r="H30" s="1080">
        <v>1</v>
      </c>
      <c r="I30" s="1081">
        <f>+F30</f>
        <v>5987.84</v>
      </c>
      <c r="J30" s="1081">
        <f>I30*H30</f>
        <v>5987.84</v>
      </c>
      <c r="K30" s="1080">
        <v>1</v>
      </c>
      <c r="L30" s="1081">
        <f>+F30</f>
        <v>5987.84</v>
      </c>
      <c r="M30" s="1081">
        <f>L30*K30</f>
        <v>5987.84</v>
      </c>
      <c r="N30" s="1080">
        <v>1</v>
      </c>
      <c r="O30" s="1081">
        <f>+F30</f>
        <v>5987.84</v>
      </c>
      <c r="P30" s="1081">
        <f>O30*N30</f>
        <v>5987.84</v>
      </c>
      <c r="Q30" s="1832">
        <v>1</v>
      </c>
      <c r="R30" s="1081">
        <f>VLOOKUP(C30,'[25]SOR RATE'!A:D,4,0)</f>
        <v>5987.84</v>
      </c>
      <c r="S30" s="1081">
        <f>R30*Q30</f>
        <v>5987.84</v>
      </c>
    </row>
    <row r="31" spans="1:21" ht="18.75" customHeight="1">
      <c r="A31" s="1080">
        <v>16</v>
      </c>
      <c r="B31" s="1840" t="s">
        <v>32</v>
      </c>
      <c r="C31" s="1855">
        <v>7130880041</v>
      </c>
      <c r="D31" s="1080" t="s">
        <v>33</v>
      </c>
      <c r="E31" s="1080">
        <v>1</v>
      </c>
      <c r="F31" s="1081">
        <f>VLOOKUP(C31,'[25]SOR RATE'!A:D,4,0)</f>
        <v>113.77</v>
      </c>
      <c r="G31" s="1081">
        <f>F31*E31</f>
        <v>113.77</v>
      </c>
      <c r="H31" s="1080">
        <v>1</v>
      </c>
      <c r="I31" s="1081">
        <f>+F31</f>
        <v>113.77</v>
      </c>
      <c r="J31" s="1081">
        <f>I31*H31</f>
        <v>113.77</v>
      </c>
      <c r="K31" s="1080">
        <v>1</v>
      </c>
      <c r="L31" s="1081">
        <f>+F31</f>
        <v>113.77</v>
      </c>
      <c r="M31" s="1081">
        <f>L31*K31</f>
        <v>113.77</v>
      </c>
      <c r="N31" s="1080">
        <v>1</v>
      </c>
      <c r="O31" s="1081">
        <f>+F31</f>
        <v>113.77</v>
      </c>
      <c r="P31" s="1081">
        <f>O31*N31</f>
        <v>113.77</v>
      </c>
      <c r="Q31" s="1832">
        <v>1</v>
      </c>
      <c r="R31" s="1081">
        <f>VLOOKUP(C31,'[25]SOR RATE'!A:D,4,0)</f>
        <v>113.77</v>
      </c>
      <c r="S31" s="1081">
        <f>R31*Q31</f>
        <v>113.77</v>
      </c>
    </row>
    <row r="32" spans="1:21" ht="36" customHeight="1">
      <c r="A32" s="3337">
        <v>17</v>
      </c>
      <c r="B32" s="1857" t="s">
        <v>2363</v>
      </c>
      <c r="C32" s="1852"/>
      <c r="D32" s="1853"/>
      <c r="E32" s="1853"/>
      <c r="F32" s="1853"/>
      <c r="G32" s="1853"/>
      <c r="H32" s="1853"/>
      <c r="I32" s="1853"/>
      <c r="J32" s="1853"/>
      <c r="K32" s="1853"/>
      <c r="L32" s="1853"/>
      <c r="M32" s="1853"/>
      <c r="N32" s="1853"/>
      <c r="O32" s="1853"/>
      <c r="P32" s="1854"/>
      <c r="Q32" s="1839"/>
      <c r="R32" s="1081"/>
      <c r="S32" s="1081"/>
    </row>
    <row r="33" spans="1:23" ht="18" customHeight="1">
      <c r="A33" s="3338"/>
      <c r="B33" s="1840" t="s">
        <v>1675</v>
      </c>
      <c r="C33" s="1855">
        <v>7130641396</v>
      </c>
      <c r="D33" s="1080" t="s">
        <v>21</v>
      </c>
      <c r="E33" s="1080">
        <v>9</v>
      </c>
      <c r="F33" s="1081">
        <f>VLOOKUP(C33,'[25]SOR RATE'!A:D,4,0)</f>
        <v>253.11</v>
      </c>
      <c r="G33" s="1081">
        <f t="shared" ref="G33:G38" si="8">F33*E33</f>
        <v>2277.9900000000002</v>
      </c>
      <c r="H33" s="1080">
        <v>9</v>
      </c>
      <c r="I33" s="1081">
        <f t="shared" ref="I33:I38" si="9">+F33</f>
        <v>253.11</v>
      </c>
      <c r="J33" s="1081">
        <f t="shared" ref="J33:J38" si="10">I33*H33</f>
        <v>2277.9900000000002</v>
      </c>
      <c r="K33" s="1080">
        <v>9</v>
      </c>
      <c r="L33" s="1081">
        <f t="shared" ref="L33:L38" si="11">+F33</f>
        <v>253.11</v>
      </c>
      <c r="M33" s="1081">
        <f t="shared" ref="M33:M38" si="12">L33*K33</f>
        <v>2277.9900000000002</v>
      </c>
      <c r="N33" s="1080">
        <v>9</v>
      </c>
      <c r="O33" s="1081">
        <f t="shared" ref="O33:O38" si="13">+F33</f>
        <v>253.11</v>
      </c>
      <c r="P33" s="1081">
        <f t="shared" ref="P33:P38" si="14">O33*N33</f>
        <v>2277.9900000000002</v>
      </c>
      <c r="Q33" s="1832">
        <v>9</v>
      </c>
      <c r="R33" s="1081">
        <f>VLOOKUP(C33,'[25]SOR RATE'!A:D,4,0)</f>
        <v>253.11</v>
      </c>
      <c r="S33" s="1081">
        <f t="shared" ref="S33:S43" si="15">R33*Q33</f>
        <v>2277.9900000000002</v>
      </c>
    </row>
    <row r="34" spans="1:23" ht="18" customHeight="1">
      <c r="A34" s="3339"/>
      <c r="B34" s="1840" t="s">
        <v>1676</v>
      </c>
      <c r="C34" s="1855">
        <v>7130870043</v>
      </c>
      <c r="D34" s="1080" t="s">
        <v>26</v>
      </c>
      <c r="E34" s="1080">
        <v>15</v>
      </c>
      <c r="F34" s="1081">
        <f>VLOOKUP(C34,'[25]SOR RATE'!A:D,4,0)/1000</f>
        <v>80.521839999999997</v>
      </c>
      <c r="G34" s="1081">
        <f t="shared" si="8"/>
        <v>1207.8276000000001</v>
      </c>
      <c r="H34" s="1080">
        <v>15</v>
      </c>
      <c r="I34" s="1081">
        <f t="shared" si="9"/>
        <v>80.521839999999997</v>
      </c>
      <c r="J34" s="1081">
        <f t="shared" si="10"/>
        <v>1207.8276000000001</v>
      </c>
      <c r="K34" s="1080">
        <v>15</v>
      </c>
      <c r="L34" s="1081">
        <f t="shared" si="11"/>
        <v>80.521839999999997</v>
      </c>
      <c r="M34" s="1081">
        <f t="shared" si="12"/>
        <v>1207.8276000000001</v>
      </c>
      <c r="N34" s="1080">
        <v>15</v>
      </c>
      <c r="O34" s="1081">
        <f t="shared" si="13"/>
        <v>80.521839999999997</v>
      </c>
      <c r="P34" s="1081">
        <f t="shared" si="14"/>
        <v>1207.8276000000001</v>
      </c>
      <c r="Q34" s="1832">
        <v>15</v>
      </c>
      <c r="R34" s="1081">
        <f>VLOOKUP(C34,'[25]SOR RATE'!A:D,4,0)/1000</f>
        <v>80.521839999999997</v>
      </c>
      <c r="S34" s="1081">
        <f t="shared" si="15"/>
        <v>1207.8276000000001</v>
      </c>
    </row>
    <row r="35" spans="1:23" ht="18" customHeight="1">
      <c r="A35" s="1080">
        <v>18</v>
      </c>
      <c r="B35" s="1051" t="s">
        <v>31</v>
      </c>
      <c r="C35" s="1052">
        <v>7130610206</v>
      </c>
      <c r="D35" s="1080" t="s">
        <v>26</v>
      </c>
      <c r="E35" s="1080">
        <v>6</v>
      </c>
      <c r="F35" s="1081">
        <f>VLOOKUP(C35,'[25]SOR RATE'!A:D,4,0)/1000</f>
        <v>97.233429999999998</v>
      </c>
      <c r="G35" s="1081">
        <f t="shared" si="8"/>
        <v>583.40057999999999</v>
      </c>
      <c r="H35" s="1080">
        <v>6</v>
      </c>
      <c r="I35" s="1081">
        <f t="shared" si="9"/>
        <v>97.233429999999998</v>
      </c>
      <c r="J35" s="1081">
        <f t="shared" si="10"/>
        <v>583.40057999999999</v>
      </c>
      <c r="K35" s="1080">
        <v>8</v>
      </c>
      <c r="L35" s="1081">
        <f t="shared" si="11"/>
        <v>97.233429999999998</v>
      </c>
      <c r="M35" s="1081">
        <f t="shared" si="12"/>
        <v>777.86743999999999</v>
      </c>
      <c r="N35" s="1080">
        <v>8</v>
      </c>
      <c r="O35" s="1081">
        <f t="shared" si="13"/>
        <v>97.233429999999998</v>
      </c>
      <c r="P35" s="1081">
        <f t="shared" si="14"/>
        <v>777.86743999999999</v>
      </c>
      <c r="Q35" s="1832">
        <v>8</v>
      </c>
      <c r="R35" s="1081">
        <f>VLOOKUP(C35,'[25]SOR RATE'!A:D,4,0)/1000</f>
        <v>97.233429999999998</v>
      </c>
      <c r="S35" s="1081">
        <f t="shared" si="15"/>
        <v>777.86743999999999</v>
      </c>
      <c r="T35" s="1972"/>
      <c r="U35" s="87"/>
      <c r="V35" s="85"/>
      <c r="W35" s="85"/>
    </row>
    <row r="36" spans="1:23" ht="18" customHeight="1">
      <c r="A36" s="1080">
        <v>19</v>
      </c>
      <c r="B36" s="1840" t="s">
        <v>28</v>
      </c>
      <c r="C36" s="1855">
        <v>7130211158</v>
      </c>
      <c r="D36" s="1080" t="s">
        <v>29</v>
      </c>
      <c r="E36" s="1080">
        <v>1</v>
      </c>
      <c r="F36" s="1081">
        <f>VLOOKUP(C36,'[25]SOR RATE'!A:D,4,0)</f>
        <v>193.62</v>
      </c>
      <c r="G36" s="1081">
        <f t="shared" si="8"/>
        <v>193.62</v>
      </c>
      <c r="H36" s="1080">
        <v>1</v>
      </c>
      <c r="I36" s="1081">
        <f t="shared" si="9"/>
        <v>193.62</v>
      </c>
      <c r="J36" s="1081">
        <f t="shared" si="10"/>
        <v>193.62</v>
      </c>
      <c r="K36" s="1080">
        <v>3</v>
      </c>
      <c r="L36" s="1081">
        <f t="shared" si="11"/>
        <v>193.62</v>
      </c>
      <c r="M36" s="1081">
        <f t="shared" si="12"/>
        <v>580.86</v>
      </c>
      <c r="N36" s="1080">
        <v>3</v>
      </c>
      <c r="O36" s="1081">
        <f t="shared" si="13"/>
        <v>193.62</v>
      </c>
      <c r="P36" s="1081">
        <f t="shared" si="14"/>
        <v>580.86</v>
      </c>
      <c r="Q36" s="1832">
        <v>3</v>
      </c>
      <c r="R36" s="1081">
        <f>VLOOKUP(C36,'[25]SOR RATE'!A:D,4,0)</f>
        <v>193.62</v>
      </c>
      <c r="S36" s="1081">
        <f t="shared" si="15"/>
        <v>580.86</v>
      </c>
    </row>
    <row r="37" spans="1:23" ht="18" customHeight="1">
      <c r="A37" s="1080">
        <v>20</v>
      </c>
      <c r="B37" s="1840" t="s">
        <v>30</v>
      </c>
      <c r="C37" s="1855">
        <v>7130210809</v>
      </c>
      <c r="D37" s="1080" t="s">
        <v>29</v>
      </c>
      <c r="E37" s="1080">
        <v>1</v>
      </c>
      <c r="F37" s="1081">
        <f>VLOOKUP(C37,'[25]SOR RATE'!A:D,4,0)</f>
        <v>432.63</v>
      </c>
      <c r="G37" s="1081">
        <f t="shared" si="8"/>
        <v>432.63</v>
      </c>
      <c r="H37" s="1080">
        <v>1</v>
      </c>
      <c r="I37" s="1081">
        <f t="shared" si="9"/>
        <v>432.63</v>
      </c>
      <c r="J37" s="1081">
        <f t="shared" si="10"/>
        <v>432.63</v>
      </c>
      <c r="K37" s="1080">
        <v>3</v>
      </c>
      <c r="L37" s="1081">
        <f t="shared" si="11"/>
        <v>432.63</v>
      </c>
      <c r="M37" s="1081">
        <f t="shared" si="12"/>
        <v>1297.8899999999999</v>
      </c>
      <c r="N37" s="1080">
        <v>3</v>
      </c>
      <c r="O37" s="1081">
        <f t="shared" si="13"/>
        <v>432.63</v>
      </c>
      <c r="P37" s="1081">
        <f t="shared" si="14"/>
        <v>1297.8899999999999</v>
      </c>
      <c r="Q37" s="1832">
        <v>3</v>
      </c>
      <c r="R37" s="1081">
        <f>VLOOKUP(C37,'[25]SOR RATE'!A:D,4,0)</f>
        <v>432.63</v>
      </c>
      <c r="S37" s="1081">
        <f t="shared" si="15"/>
        <v>1297.8899999999999</v>
      </c>
    </row>
    <row r="38" spans="1:23" ht="17.25" customHeight="1">
      <c r="A38" s="1080">
        <v>21</v>
      </c>
      <c r="B38" s="1840" t="s">
        <v>1677</v>
      </c>
      <c r="C38" s="1855">
        <v>7130840029</v>
      </c>
      <c r="D38" s="1080" t="s">
        <v>33</v>
      </c>
      <c r="E38" s="1080">
        <v>3</v>
      </c>
      <c r="F38" s="1081">
        <f>VLOOKUP(C38,'[25]SOR RATE'!A:D,4,0)</f>
        <v>368.52</v>
      </c>
      <c r="G38" s="1081">
        <f t="shared" si="8"/>
        <v>1105.56</v>
      </c>
      <c r="H38" s="1080">
        <v>3</v>
      </c>
      <c r="I38" s="1081">
        <f t="shared" si="9"/>
        <v>368.52</v>
      </c>
      <c r="J38" s="1081">
        <f t="shared" si="10"/>
        <v>1105.56</v>
      </c>
      <c r="K38" s="1080">
        <v>3</v>
      </c>
      <c r="L38" s="1081">
        <f t="shared" si="11"/>
        <v>368.52</v>
      </c>
      <c r="M38" s="1081">
        <f t="shared" si="12"/>
        <v>1105.56</v>
      </c>
      <c r="N38" s="1080">
        <v>3</v>
      </c>
      <c r="O38" s="1081">
        <f t="shared" si="13"/>
        <v>368.52</v>
      </c>
      <c r="P38" s="1081">
        <f t="shared" si="14"/>
        <v>1105.56</v>
      </c>
      <c r="Q38" s="1832">
        <v>3</v>
      </c>
      <c r="R38" s="1081">
        <f>VLOOKUP(C38,'[25]SOR RATE'!A:D,4,0)</f>
        <v>368.52</v>
      </c>
      <c r="S38" s="1081">
        <f t="shared" si="15"/>
        <v>1105.56</v>
      </c>
      <c r="U38" s="622"/>
    </row>
    <row r="39" spans="1:23" ht="15.75">
      <c r="A39" s="3337">
        <v>22</v>
      </c>
      <c r="B39" s="1840" t="s">
        <v>1678</v>
      </c>
      <c r="C39" s="1855"/>
      <c r="D39" s="1080" t="s">
        <v>26</v>
      </c>
      <c r="E39" s="1922">
        <v>14</v>
      </c>
      <c r="F39" s="1081"/>
      <c r="G39" s="1081"/>
      <c r="H39" s="1922">
        <v>14</v>
      </c>
      <c r="I39" s="1081"/>
      <c r="J39" s="1081"/>
      <c r="K39" s="1922">
        <v>14</v>
      </c>
      <c r="L39" s="1081"/>
      <c r="M39" s="1081"/>
      <c r="N39" s="1922">
        <v>14</v>
      </c>
      <c r="O39" s="1081"/>
      <c r="P39" s="1081"/>
      <c r="Q39" s="1081"/>
      <c r="R39" s="1081"/>
      <c r="S39" s="1081"/>
    </row>
    <row r="40" spans="1:23" ht="16.5">
      <c r="A40" s="3338"/>
      <c r="B40" s="2280" t="s">
        <v>79</v>
      </c>
      <c r="C40" s="1855">
        <v>7130620609</v>
      </c>
      <c r="D40" s="1080" t="s">
        <v>26</v>
      </c>
      <c r="E40" s="1080">
        <v>1</v>
      </c>
      <c r="F40" s="1081">
        <f>VLOOKUP(C40,'[25]SOR RATE'!A:D,4,0)</f>
        <v>87.23</v>
      </c>
      <c r="G40" s="1081">
        <f>F40*E40</f>
        <v>87.23</v>
      </c>
      <c r="H40" s="1080">
        <v>1</v>
      </c>
      <c r="I40" s="1081">
        <f>+F40</f>
        <v>87.23</v>
      </c>
      <c r="J40" s="1081">
        <f>I40*H40</f>
        <v>87.23</v>
      </c>
      <c r="K40" s="1080">
        <v>1</v>
      </c>
      <c r="L40" s="1081">
        <f>+F40</f>
        <v>87.23</v>
      </c>
      <c r="M40" s="1081">
        <f>L40*K40</f>
        <v>87.23</v>
      </c>
      <c r="N40" s="1080">
        <v>1</v>
      </c>
      <c r="O40" s="1081">
        <f>+F40</f>
        <v>87.23</v>
      </c>
      <c r="P40" s="1081">
        <f>O40*N40</f>
        <v>87.23</v>
      </c>
      <c r="Q40" s="1832">
        <v>1</v>
      </c>
      <c r="R40" s="1081">
        <f>VLOOKUP(C40,'[25]SOR RATE'!A:D,4,0)</f>
        <v>87.23</v>
      </c>
      <c r="S40" s="1081">
        <f t="shared" si="15"/>
        <v>87.23</v>
      </c>
    </row>
    <row r="41" spans="1:23" ht="16.5">
      <c r="A41" s="3338"/>
      <c r="B41" s="2280" t="s">
        <v>111</v>
      </c>
      <c r="C41" s="1855">
        <v>7130620614</v>
      </c>
      <c r="D41" s="1080" t="s">
        <v>26</v>
      </c>
      <c r="E41" s="1080">
        <v>4</v>
      </c>
      <c r="F41" s="1081">
        <f>VLOOKUP(C41,'[25]SOR RATE'!A:D,4,0)</f>
        <v>85.77</v>
      </c>
      <c r="G41" s="1081">
        <f>F41*E41</f>
        <v>343.08</v>
      </c>
      <c r="H41" s="1080">
        <v>4</v>
      </c>
      <c r="I41" s="1081">
        <f>+F41</f>
        <v>85.77</v>
      </c>
      <c r="J41" s="1081">
        <f>I41*H41</f>
        <v>343.08</v>
      </c>
      <c r="K41" s="1080">
        <v>4</v>
      </c>
      <c r="L41" s="1081">
        <f>+F41</f>
        <v>85.77</v>
      </c>
      <c r="M41" s="1081">
        <f>L41*K41</f>
        <v>343.08</v>
      </c>
      <c r="N41" s="1080">
        <v>4</v>
      </c>
      <c r="O41" s="1081">
        <f>+F41</f>
        <v>85.77</v>
      </c>
      <c r="P41" s="1081">
        <f>O41*N41</f>
        <v>343.08</v>
      </c>
      <c r="Q41" s="1832">
        <v>4</v>
      </c>
      <c r="R41" s="1081">
        <f>VLOOKUP(C41,'[25]SOR RATE'!A:D,4,0)</f>
        <v>85.77</v>
      </c>
      <c r="S41" s="1081">
        <f t="shared" si="15"/>
        <v>343.08</v>
      </c>
    </row>
    <row r="42" spans="1:23" ht="16.5">
      <c r="A42" s="3338"/>
      <c r="B42" s="2280" t="s">
        <v>112</v>
      </c>
      <c r="C42" s="1855">
        <v>7130620625</v>
      </c>
      <c r="D42" s="1080" t="s">
        <v>26</v>
      </c>
      <c r="E42" s="1080">
        <v>4</v>
      </c>
      <c r="F42" s="1081">
        <f>VLOOKUP(C42,'[25]SOR RATE'!A:D,4,0)</f>
        <v>84.32</v>
      </c>
      <c r="G42" s="1081">
        <f>F42*E42</f>
        <v>337.28</v>
      </c>
      <c r="H42" s="1080">
        <v>4</v>
      </c>
      <c r="I42" s="1081">
        <f>+F42</f>
        <v>84.32</v>
      </c>
      <c r="J42" s="1081">
        <f>I42*H42</f>
        <v>337.28</v>
      </c>
      <c r="K42" s="1080">
        <v>4</v>
      </c>
      <c r="L42" s="1081">
        <f>+F42</f>
        <v>84.32</v>
      </c>
      <c r="M42" s="1081">
        <f>L42*K42</f>
        <v>337.28</v>
      </c>
      <c r="N42" s="1080">
        <v>4</v>
      </c>
      <c r="O42" s="1081">
        <f>+F42</f>
        <v>84.32</v>
      </c>
      <c r="P42" s="1081">
        <f>O42*N42</f>
        <v>337.28</v>
      </c>
      <c r="Q42" s="1832">
        <v>4</v>
      </c>
      <c r="R42" s="1081">
        <f>VLOOKUP(C42,'[25]SOR RATE'!A:D,4,0)</f>
        <v>84.32</v>
      </c>
      <c r="S42" s="1081">
        <f t="shared" si="15"/>
        <v>337.28</v>
      </c>
    </row>
    <row r="43" spans="1:23" ht="16.5">
      <c r="A43" s="3339"/>
      <c r="B43" s="2280" t="s">
        <v>80</v>
      </c>
      <c r="C43" s="1855">
        <v>7130620631</v>
      </c>
      <c r="D43" s="1080" t="s">
        <v>26</v>
      </c>
      <c r="E43" s="1080">
        <v>5</v>
      </c>
      <c r="F43" s="1081">
        <f>VLOOKUP(C43,'[25]SOR RATE'!A:D,4,0)</f>
        <v>84.32</v>
      </c>
      <c r="G43" s="1081">
        <f>F43*E43</f>
        <v>421.59999999999997</v>
      </c>
      <c r="H43" s="1080">
        <v>5</v>
      </c>
      <c r="I43" s="1081">
        <f>+F43</f>
        <v>84.32</v>
      </c>
      <c r="J43" s="1081">
        <f>I43*H43</f>
        <v>421.59999999999997</v>
      </c>
      <c r="K43" s="1080">
        <v>5</v>
      </c>
      <c r="L43" s="1081">
        <f>+F43</f>
        <v>84.32</v>
      </c>
      <c r="M43" s="1081">
        <f>L43*K43</f>
        <v>421.59999999999997</v>
      </c>
      <c r="N43" s="1080">
        <v>5</v>
      </c>
      <c r="O43" s="1081">
        <f>+F43</f>
        <v>84.32</v>
      </c>
      <c r="P43" s="1081">
        <f>O43*N43</f>
        <v>421.59999999999997</v>
      </c>
      <c r="Q43" s="1832">
        <v>5</v>
      </c>
      <c r="R43" s="1081">
        <f>VLOOKUP(C43,'[25]SOR RATE'!A:D,4,0)</f>
        <v>84.32</v>
      </c>
      <c r="S43" s="1081">
        <f t="shared" si="15"/>
        <v>421.59999999999997</v>
      </c>
    </row>
    <row r="44" spans="1:23" ht="18" customHeight="1">
      <c r="A44" s="1080">
        <v>23</v>
      </c>
      <c r="B44" s="1840" t="s">
        <v>2364</v>
      </c>
      <c r="C44" s="1855">
        <v>7131920254</v>
      </c>
      <c r="D44" s="1080" t="s">
        <v>12</v>
      </c>
      <c r="E44" s="1080">
        <v>1</v>
      </c>
      <c r="F44" s="1081">
        <f>VLOOKUP(C44,'[25]SOR RATE'!A:D,4,0)</f>
        <v>2126.1</v>
      </c>
      <c r="G44" s="1081">
        <f>F44*E44</f>
        <v>2126.1</v>
      </c>
      <c r="H44" s="1831" t="s">
        <v>1534</v>
      </c>
      <c r="I44" s="1081"/>
      <c r="J44" s="1081"/>
      <c r="K44" s="1831" t="s">
        <v>1534</v>
      </c>
      <c r="L44" s="1081"/>
      <c r="M44" s="1081"/>
      <c r="N44" s="1831" t="s">
        <v>1534</v>
      </c>
      <c r="O44" s="1081"/>
      <c r="P44" s="1081"/>
      <c r="Q44" s="1831" t="s">
        <v>1534</v>
      </c>
      <c r="R44" s="1081"/>
      <c r="S44" s="1081"/>
    </row>
    <row r="45" spans="1:23" ht="18" customHeight="1">
      <c r="A45" s="1080">
        <v>24</v>
      </c>
      <c r="B45" s="1886" t="s">
        <v>2397</v>
      </c>
      <c r="C45" s="1852"/>
      <c r="D45" s="1853"/>
      <c r="E45" s="1853"/>
      <c r="F45" s="1853"/>
      <c r="G45" s="1853"/>
      <c r="H45" s="1853"/>
      <c r="I45" s="1853"/>
      <c r="J45" s="1853"/>
      <c r="K45" s="1853"/>
      <c r="L45" s="1853"/>
      <c r="M45" s="1853"/>
      <c r="N45" s="1853"/>
      <c r="O45" s="1853"/>
      <c r="P45" s="1854"/>
      <c r="Q45" s="1839"/>
      <c r="R45" s="1839"/>
      <c r="S45" s="1839"/>
    </row>
    <row r="46" spans="1:23" ht="18" customHeight="1">
      <c r="A46" s="1080" t="s">
        <v>1680</v>
      </c>
      <c r="B46" s="1840" t="s">
        <v>2365</v>
      </c>
      <c r="C46" s="1855">
        <v>7130311008</v>
      </c>
      <c r="D46" s="1080" t="s">
        <v>21</v>
      </c>
      <c r="E46" s="1080">
        <v>120</v>
      </c>
      <c r="F46" s="1081">
        <f>VLOOKUP(C46,'[25]SOR RATE'!A:D,4,0)/1000</f>
        <v>24.908200000000001</v>
      </c>
      <c r="G46" s="1081">
        <f>F46*E46</f>
        <v>2988.9839999999999</v>
      </c>
      <c r="H46" s="1831" t="s">
        <v>1534</v>
      </c>
      <c r="I46" s="1081"/>
      <c r="J46" s="1081"/>
      <c r="K46" s="1831" t="s">
        <v>1534</v>
      </c>
      <c r="L46" s="1081"/>
      <c r="M46" s="1081"/>
      <c r="N46" s="1831" t="s">
        <v>1534</v>
      </c>
      <c r="O46" s="1081"/>
      <c r="P46" s="1081"/>
      <c r="Q46" s="1831" t="s">
        <v>1534</v>
      </c>
      <c r="R46" s="1081"/>
      <c r="S46" s="1081"/>
    </row>
    <row r="47" spans="1:23" ht="18" customHeight="1">
      <c r="A47" s="1080" t="s">
        <v>1681</v>
      </c>
      <c r="B47" s="1840" t="s">
        <v>2398</v>
      </c>
      <c r="C47" s="1855">
        <v>7130310021</v>
      </c>
      <c r="D47" s="1080" t="s">
        <v>21</v>
      </c>
      <c r="E47" s="1080"/>
      <c r="F47" s="1081"/>
      <c r="G47" s="1081"/>
      <c r="H47" s="1831">
        <v>80</v>
      </c>
      <c r="I47" s="1081">
        <f>VLOOKUP(C47,'[25]SOR RATE'!A:D,4,0)/1000</f>
        <v>42.882390000000001</v>
      </c>
      <c r="J47" s="1081">
        <f>I47*H47</f>
        <v>3430.5911999999998</v>
      </c>
      <c r="K47" s="1831"/>
      <c r="L47" s="1081"/>
      <c r="M47" s="1081"/>
      <c r="N47" s="1831"/>
      <c r="O47" s="1081"/>
      <c r="P47" s="1081"/>
      <c r="Q47" s="1831" t="s">
        <v>1534</v>
      </c>
      <c r="R47" s="1081"/>
      <c r="S47" s="1081"/>
    </row>
    <row r="48" spans="1:23" ht="18" customHeight="1">
      <c r="A48" s="1080" t="s">
        <v>1682</v>
      </c>
      <c r="B48" s="1840" t="s">
        <v>2399</v>
      </c>
      <c r="C48" s="1855">
        <v>7130311009</v>
      </c>
      <c r="D48" s="1080" t="s">
        <v>21</v>
      </c>
      <c r="E48" s="1080"/>
      <c r="F48" s="1081"/>
      <c r="G48" s="1081"/>
      <c r="H48" s="1831">
        <v>40</v>
      </c>
      <c r="I48" s="1081">
        <f>VLOOKUP(C48,'[25]SOR RATE'!A:D,4,0)/1000</f>
        <v>58.80433</v>
      </c>
      <c r="J48" s="1081">
        <f>I48*H48</f>
        <v>2352.1732000000002</v>
      </c>
      <c r="K48" s="1831">
        <v>120</v>
      </c>
      <c r="L48" s="1081">
        <f>+I48</f>
        <v>58.80433</v>
      </c>
      <c r="M48" s="1081">
        <f>L48*K48</f>
        <v>7056.5195999999996</v>
      </c>
      <c r="N48" s="1831"/>
      <c r="O48" s="1081"/>
      <c r="P48" s="1081"/>
      <c r="Q48" s="1831" t="s">
        <v>1534</v>
      </c>
      <c r="R48" s="1081"/>
      <c r="S48" s="1081"/>
    </row>
    <row r="49" spans="1:21" ht="18" customHeight="1">
      <c r="A49" s="1080" t="s">
        <v>1684</v>
      </c>
      <c r="B49" s="1840" t="s">
        <v>2366</v>
      </c>
      <c r="C49" s="1855">
        <v>7130311010</v>
      </c>
      <c r="D49" s="1080" t="s">
        <v>21</v>
      </c>
      <c r="E49" s="1831" t="s">
        <v>1534</v>
      </c>
      <c r="F49" s="1081"/>
      <c r="G49" s="1081"/>
      <c r="H49" s="1080"/>
      <c r="I49" s="1081"/>
      <c r="J49" s="1081"/>
      <c r="K49" s="1080">
        <v>40</v>
      </c>
      <c r="L49" s="1081">
        <f>VLOOKUP(C49,'[25]SOR RATE'!A:D,4,0)/1000</f>
        <v>79.580550000000002</v>
      </c>
      <c r="M49" s="1081">
        <f>L49*K49</f>
        <v>3183.2220000000002</v>
      </c>
      <c r="N49" s="1831">
        <v>120</v>
      </c>
      <c r="O49" s="1081">
        <f>+L49</f>
        <v>79.580550000000002</v>
      </c>
      <c r="P49" s="1081">
        <f>O49*N49</f>
        <v>9549.6660000000011</v>
      </c>
      <c r="Q49" s="1831" t="s">
        <v>1534</v>
      </c>
      <c r="R49" s="1081"/>
      <c r="S49" s="1081"/>
    </row>
    <row r="50" spans="1:21" ht="18" customHeight="1">
      <c r="A50" s="1080" t="s">
        <v>1689</v>
      </c>
      <c r="B50" s="1840" t="s">
        <v>1683</v>
      </c>
      <c r="C50" s="1855">
        <v>7130311011</v>
      </c>
      <c r="D50" s="1080" t="s">
        <v>21</v>
      </c>
      <c r="E50" s="1831" t="s">
        <v>1534</v>
      </c>
      <c r="F50" s="1081"/>
      <c r="G50" s="1081"/>
      <c r="H50" s="1831"/>
      <c r="I50" s="1081"/>
      <c r="J50" s="1081"/>
      <c r="K50" s="1080"/>
      <c r="L50" s="1081"/>
      <c r="M50" s="1081"/>
      <c r="N50" s="1080">
        <v>40</v>
      </c>
      <c r="O50" s="1081">
        <f>VLOOKUP(C50,'[25]SOR RATE'!A:D,4,0)/1000</f>
        <v>155.45142000000001</v>
      </c>
      <c r="P50" s="1081">
        <f>O50*N50</f>
        <v>6218.0568000000003</v>
      </c>
      <c r="Q50" s="1832">
        <v>120</v>
      </c>
      <c r="R50" s="1081">
        <f>VLOOKUP(C50,'[25]SOR RATE'!A:D,4,0)/1000</f>
        <v>155.45142000000001</v>
      </c>
      <c r="S50" s="1081">
        <f>R50*Q50</f>
        <v>18654.170400000003</v>
      </c>
    </row>
    <row r="51" spans="1:21" ht="18" customHeight="1">
      <c r="A51" s="1080" t="s">
        <v>1825</v>
      </c>
      <c r="B51" s="1840" t="s">
        <v>1685</v>
      </c>
      <c r="C51" s="2277">
        <v>7130311012</v>
      </c>
      <c r="D51" s="1918" t="s">
        <v>21</v>
      </c>
      <c r="E51" s="2281" t="s">
        <v>1534</v>
      </c>
      <c r="F51" s="1848"/>
      <c r="G51" s="1848"/>
      <c r="H51" s="2281"/>
      <c r="I51" s="1848"/>
      <c r="J51" s="1848"/>
      <c r="K51" s="1918"/>
      <c r="L51" s="1848"/>
      <c r="M51" s="1848"/>
      <c r="N51" s="1918"/>
      <c r="O51" s="1848"/>
      <c r="P51" s="1848"/>
      <c r="Q51" s="2282">
        <v>40</v>
      </c>
      <c r="R51" s="1848">
        <f>VLOOKUP(C51,'[25]SOR RATE'!A:D,4,0)/1000</f>
        <v>305.83782000000002</v>
      </c>
      <c r="S51" s="1848">
        <f>R51*Q51</f>
        <v>12233.5128</v>
      </c>
      <c r="T51" s="1970" t="s">
        <v>119</v>
      </c>
    </row>
    <row r="52" spans="1:21" ht="49.5" customHeight="1">
      <c r="A52" s="1080">
        <v>25</v>
      </c>
      <c r="B52" s="2283" t="s">
        <v>2367</v>
      </c>
      <c r="C52" s="1852"/>
      <c r="D52" s="1853"/>
      <c r="E52" s="1853"/>
      <c r="F52" s="1853"/>
      <c r="G52" s="1853"/>
      <c r="H52" s="1853"/>
      <c r="I52" s="1853"/>
      <c r="J52" s="1853"/>
      <c r="K52" s="1853"/>
      <c r="L52" s="1853"/>
      <c r="M52" s="1853"/>
      <c r="N52" s="1853"/>
      <c r="O52" s="1853"/>
      <c r="P52" s="1853"/>
      <c r="Q52" s="1853"/>
      <c r="R52" s="1853"/>
      <c r="S52" s="1854"/>
    </row>
    <row r="53" spans="1:21" ht="19.5" customHeight="1">
      <c r="A53" s="1080" t="s">
        <v>1680</v>
      </c>
      <c r="B53" s="1840" t="s">
        <v>2368</v>
      </c>
      <c r="C53" s="2274">
        <v>7131950065</v>
      </c>
      <c r="D53" s="1919" t="s">
        <v>33</v>
      </c>
      <c r="E53" s="1919"/>
      <c r="F53" s="2275"/>
      <c r="G53" s="2275"/>
      <c r="H53" s="1919">
        <v>1</v>
      </c>
      <c r="I53" s="2275">
        <f>VLOOKUP(C53,'[25]SOR RATE'!A:D,4,0)</f>
        <v>18477.650000000001</v>
      </c>
      <c r="J53" s="2275">
        <f>I53*H53</f>
        <v>18477.650000000001</v>
      </c>
      <c r="K53" s="2284" t="s">
        <v>1534</v>
      </c>
      <c r="L53" s="2275"/>
      <c r="M53" s="2275"/>
      <c r="N53" s="2284"/>
      <c r="O53" s="2275"/>
      <c r="P53" s="2275"/>
      <c r="Q53" s="2275"/>
      <c r="R53" s="2275"/>
      <c r="S53" s="2275"/>
    </row>
    <row r="54" spans="1:21" ht="19.5" customHeight="1">
      <c r="A54" s="1080" t="s">
        <v>1681</v>
      </c>
      <c r="B54" s="1840" t="s">
        <v>2369</v>
      </c>
      <c r="C54" s="1855">
        <v>7131950105</v>
      </c>
      <c r="D54" s="1080" t="s">
        <v>33</v>
      </c>
      <c r="E54" s="1080"/>
      <c r="F54" s="1081"/>
      <c r="G54" s="1081"/>
      <c r="H54" s="1080"/>
      <c r="I54" s="1081"/>
      <c r="J54" s="2275"/>
      <c r="K54" s="1080">
        <v>1</v>
      </c>
      <c r="L54" s="1081">
        <f>VLOOKUP(C54,'[25]SOR RATE'!A:D,4,0)</f>
        <v>23098.03</v>
      </c>
      <c r="M54" s="1081">
        <f>L54*K54</f>
        <v>23098.03</v>
      </c>
      <c r="N54" s="1080"/>
      <c r="O54" s="1081"/>
      <c r="P54" s="1081"/>
      <c r="Q54" s="1081"/>
      <c r="R54" s="1081"/>
      <c r="S54" s="1081"/>
    </row>
    <row r="55" spans="1:21" ht="19.5" customHeight="1">
      <c r="A55" s="1080" t="s">
        <v>1682</v>
      </c>
      <c r="B55" s="1840" t="s">
        <v>2370</v>
      </c>
      <c r="C55" s="1855">
        <v>7131950200</v>
      </c>
      <c r="D55" s="1080" t="s">
        <v>33</v>
      </c>
      <c r="E55" s="1080"/>
      <c r="F55" s="1081"/>
      <c r="G55" s="1081"/>
      <c r="H55" s="1080"/>
      <c r="I55" s="1081"/>
      <c r="J55" s="1848"/>
      <c r="K55" s="1080"/>
      <c r="L55" s="1081"/>
      <c r="M55" s="1081"/>
      <c r="N55" s="1080">
        <v>1</v>
      </c>
      <c r="O55" s="1081">
        <f>VLOOKUP(C55,'[25]SOR RATE'!A:D,4,0)</f>
        <v>46194.13</v>
      </c>
      <c r="P55" s="1081">
        <f>O55*N55</f>
        <v>46194.13</v>
      </c>
      <c r="Q55" s="1081"/>
      <c r="R55" s="1081"/>
      <c r="S55" s="1081"/>
    </row>
    <row r="56" spans="1:21" ht="19.5" customHeight="1">
      <c r="A56" s="1080" t="s">
        <v>1684</v>
      </c>
      <c r="B56" s="1840" t="s">
        <v>1692</v>
      </c>
      <c r="C56" s="1855">
        <v>7131950207</v>
      </c>
      <c r="D56" s="1080" t="s">
        <v>33</v>
      </c>
      <c r="E56" s="1080"/>
      <c r="F56" s="1081"/>
      <c r="G56" s="1081"/>
      <c r="H56" s="1080"/>
      <c r="I56" s="1081"/>
      <c r="J56" s="1848"/>
      <c r="K56" s="1080"/>
      <c r="L56" s="1081"/>
      <c r="M56" s="1081"/>
      <c r="N56" s="1080"/>
      <c r="O56" s="1081"/>
      <c r="P56" s="1081"/>
      <c r="Q56" s="1832">
        <v>1</v>
      </c>
      <c r="R56" s="1081">
        <f>VLOOKUP(C56,'[25]SOR RATE'!A:D,4,0)</f>
        <v>39637.360000000001</v>
      </c>
      <c r="S56" s="1081">
        <f>R56*Q56</f>
        <v>39637.360000000001</v>
      </c>
      <c r="T56" s="1970" t="s">
        <v>119</v>
      </c>
    </row>
    <row r="57" spans="1:21" ht="19.5" customHeight="1">
      <c r="A57" s="1080">
        <v>26</v>
      </c>
      <c r="B57" s="1840" t="s">
        <v>1686</v>
      </c>
      <c r="C57" s="1855">
        <v>7131930221</v>
      </c>
      <c r="D57" s="1080" t="s">
        <v>33</v>
      </c>
      <c r="E57" s="1831" t="s">
        <v>1534</v>
      </c>
      <c r="F57" s="1081"/>
      <c r="G57" s="1081"/>
      <c r="H57" s="1831" t="s">
        <v>1534</v>
      </c>
      <c r="I57" s="1081"/>
      <c r="J57" s="1081"/>
      <c r="K57" s="1831">
        <v>1</v>
      </c>
      <c r="L57" s="1081">
        <f>VLOOKUP(C57,'[25]SOR RATE'!A:D,4,0)</f>
        <v>9934.19</v>
      </c>
      <c r="M57" s="1081">
        <f>L57*K57</f>
        <v>9934.19</v>
      </c>
      <c r="N57" s="1831">
        <v>1</v>
      </c>
      <c r="O57" s="1081">
        <f>VLOOKUP(C57,'[25]SOR RATE'!A:D,4,0)</f>
        <v>9934.19</v>
      </c>
      <c r="P57" s="1081">
        <f>O57*N57</f>
        <v>9934.19</v>
      </c>
      <c r="Q57" s="1832">
        <v>1</v>
      </c>
      <c r="R57" s="1081">
        <f>VLOOKUP(C57,'[25]SOR RATE'!A:D,4,0)</f>
        <v>9934.19</v>
      </c>
      <c r="S57" s="1081">
        <f>R57*Q57</f>
        <v>9934.19</v>
      </c>
    </row>
    <row r="58" spans="1:21" ht="33" customHeight="1">
      <c r="A58" s="1922">
        <v>27</v>
      </c>
      <c r="B58" s="1074" t="s">
        <v>48</v>
      </c>
      <c r="C58" s="2285"/>
      <c r="D58" s="1922"/>
      <c r="E58" s="1922"/>
      <c r="F58" s="1922"/>
      <c r="G58" s="1837">
        <f>SUM(G9:G57)</f>
        <v>116000.26401999999</v>
      </c>
      <c r="H58" s="1837"/>
      <c r="I58" s="1837"/>
      <c r="J58" s="1837">
        <f>SUM(J9:J57)</f>
        <v>193130.99441999997</v>
      </c>
      <c r="K58" s="1837"/>
      <c r="L58" s="1837"/>
      <c r="M58" s="1837">
        <f>SUM(M9:M57)</f>
        <v>306134.49401019997</v>
      </c>
      <c r="N58" s="1837"/>
      <c r="O58" s="1837"/>
      <c r="P58" s="1837">
        <f>SUM(P9:P57)</f>
        <v>467492.67521020008</v>
      </c>
      <c r="Q58" s="1837"/>
      <c r="R58" s="1837"/>
      <c r="S58" s="1837">
        <f>SUM(S9:S57)</f>
        <v>987103.91561019956</v>
      </c>
      <c r="T58" s="364"/>
      <c r="U58" s="108"/>
    </row>
    <row r="59" spans="1:21" ht="33" customHeight="1">
      <c r="A59" s="1924">
        <v>28</v>
      </c>
      <c r="B59" s="1074" t="s">
        <v>49</v>
      </c>
      <c r="C59" s="1836"/>
      <c r="D59" s="1922"/>
      <c r="E59" s="1922"/>
      <c r="F59" s="1922"/>
      <c r="G59" s="1837">
        <f>G58/1.18</f>
        <v>98305.308491525415</v>
      </c>
      <c r="H59" s="1893"/>
      <c r="I59" s="1837"/>
      <c r="J59" s="1837">
        <f>J58/1.18</f>
        <v>163670.33425423727</v>
      </c>
      <c r="K59" s="1893"/>
      <c r="L59" s="1837"/>
      <c r="M59" s="1837">
        <f>M58/1.18</f>
        <v>259436.01187305083</v>
      </c>
      <c r="N59" s="1893"/>
      <c r="O59" s="1837"/>
      <c r="P59" s="1837">
        <f>P58/1.18</f>
        <v>396180.23322898312</v>
      </c>
      <c r="Q59" s="1837"/>
      <c r="R59" s="1837"/>
      <c r="S59" s="1837">
        <f>S58/1.18</f>
        <v>836528.74204254209</v>
      </c>
      <c r="T59" s="85"/>
      <c r="U59" s="108"/>
    </row>
    <row r="60" spans="1:21" ht="34.5" customHeight="1">
      <c r="A60" s="1918">
        <v>29</v>
      </c>
      <c r="B60" s="1051" t="s">
        <v>50</v>
      </c>
      <c r="C60" s="1839"/>
      <c r="D60" s="1839"/>
      <c r="E60" s="1839"/>
      <c r="F60" s="1826">
        <v>7.4999999999999997E-2</v>
      </c>
      <c r="G60" s="1081">
        <f>G58*F60</f>
        <v>8700.0198014999987</v>
      </c>
      <c r="H60" s="2286"/>
      <c r="I60" s="1826">
        <v>7.4999999999999997E-2</v>
      </c>
      <c r="J60" s="1081">
        <f>J58*I60</f>
        <v>14484.824581499997</v>
      </c>
      <c r="K60" s="2286"/>
      <c r="L60" s="1826">
        <v>7.4999999999999997E-2</v>
      </c>
      <c r="M60" s="1081">
        <f>M58*L60</f>
        <v>22960.087050764996</v>
      </c>
      <c r="N60" s="2286"/>
      <c r="O60" s="1826">
        <v>7.4999999999999997E-2</v>
      </c>
      <c r="P60" s="1081">
        <f>P58*O60</f>
        <v>35061.950640765004</v>
      </c>
      <c r="Q60" s="1081"/>
      <c r="R60" s="1826">
        <v>7.4999999999999997E-2</v>
      </c>
      <c r="S60" s="1081">
        <f>S58*R60</f>
        <v>74032.793670764964</v>
      </c>
      <c r="T60" s="87"/>
      <c r="U60" s="364"/>
    </row>
    <row r="61" spans="1:21" ht="34.5" customHeight="1">
      <c r="A61" s="1918">
        <v>30</v>
      </c>
      <c r="B61" s="1840" t="s">
        <v>51</v>
      </c>
      <c r="C61" s="1052"/>
      <c r="D61" s="1907" t="s">
        <v>12</v>
      </c>
      <c r="E61" s="1826">
        <v>3</v>
      </c>
      <c r="F61" s="1054">
        <f>339.936450725958*1.043</f>
        <v>354.55371810717418</v>
      </c>
      <c r="G61" s="1081">
        <f>E61*F61</f>
        <v>1063.6611543215226</v>
      </c>
      <c r="H61" s="2286">
        <v>3</v>
      </c>
      <c r="I61" s="1081">
        <f>+F61</f>
        <v>354.55371810717418</v>
      </c>
      <c r="J61" s="1081">
        <f>H61*I61</f>
        <v>1063.6611543215226</v>
      </c>
      <c r="K61" s="2286">
        <v>0</v>
      </c>
      <c r="L61" s="1826">
        <v>0</v>
      </c>
      <c r="M61" s="1826">
        <v>0</v>
      </c>
      <c r="N61" s="2286">
        <v>0</v>
      </c>
      <c r="O61" s="1826">
        <v>0</v>
      </c>
      <c r="P61" s="1826">
        <v>0</v>
      </c>
      <c r="Q61" s="1826">
        <v>0</v>
      </c>
      <c r="R61" s="1826">
        <v>0</v>
      </c>
      <c r="S61" s="1826">
        <v>0</v>
      </c>
      <c r="T61" s="377"/>
      <c r="U61" s="381"/>
    </row>
    <row r="62" spans="1:21" ht="20.25" customHeight="1">
      <c r="A62" s="1918">
        <v>31</v>
      </c>
      <c r="B62" s="1908" t="s">
        <v>82</v>
      </c>
      <c r="C62" s="1080"/>
      <c r="D62" s="2287" t="s">
        <v>76</v>
      </c>
      <c r="E62" s="1080">
        <v>1.85</v>
      </c>
      <c r="F62" s="1054">
        <f>665.173187113158*1.043</f>
        <v>693.77563415902364</v>
      </c>
      <c r="G62" s="1081">
        <f>E62*F62</f>
        <v>1283.4849231941937</v>
      </c>
      <c r="H62" s="1080">
        <v>1.85</v>
      </c>
      <c r="I62" s="1054">
        <f>665.173187113158*1.043</f>
        <v>693.77563415902364</v>
      </c>
      <c r="J62" s="1081">
        <f>H62*I62</f>
        <v>1283.4849231941937</v>
      </c>
      <c r="K62" s="1846">
        <f>(4*0.3)+(4*0.2)+(4*0.05)</f>
        <v>2.2000000000000002</v>
      </c>
      <c r="L62" s="1054">
        <f>665.173187113158*1.043</f>
        <v>693.77563415902364</v>
      </c>
      <c r="M62" s="1081">
        <f>K62*L62</f>
        <v>1526.3063951498521</v>
      </c>
      <c r="N62" s="1846">
        <f>(4*0.3)+(4*0.2)+(4*0.05)</f>
        <v>2.2000000000000002</v>
      </c>
      <c r="O62" s="1054">
        <f>665.173187113158*1.043</f>
        <v>693.77563415902364</v>
      </c>
      <c r="P62" s="1081">
        <f>N62*O62</f>
        <v>1526.3063951498521</v>
      </c>
      <c r="Q62" s="1846">
        <f>(4*0.3)+(4*0.2)+(4*0.05)</f>
        <v>2.2000000000000002</v>
      </c>
      <c r="R62" s="1054">
        <f>665.173187113158*1.043</f>
        <v>693.77563415902364</v>
      </c>
      <c r="S62" s="1081">
        <f>R62*Q62</f>
        <v>1526.3063951498521</v>
      </c>
      <c r="T62" s="375"/>
    </row>
    <row r="63" spans="1:21" ht="19.5" customHeight="1">
      <c r="A63" s="1907">
        <v>32</v>
      </c>
      <c r="B63" s="1051" t="s">
        <v>1687</v>
      </c>
      <c r="C63" s="1860"/>
      <c r="D63" s="1907" t="s">
        <v>12</v>
      </c>
      <c r="E63" s="1907">
        <v>1</v>
      </c>
      <c r="F63" s="1090">
        <f>1119.45*3</f>
        <v>3358.3500000000004</v>
      </c>
      <c r="G63" s="1054">
        <f>F63*E63</f>
        <v>3358.3500000000004</v>
      </c>
      <c r="H63" s="1907">
        <v>1</v>
      </c>
      <c r="I63" s="1054">
        <f>+F63</f>
        <v>3358.3500000000004</v>
      </c>
      <c r="J63" s="1054">
        <f>I63*H63</f>
        <v>3358.3500000000004</v>
      </c>
      <c r="K63" s="1053">
        <v>1</v>
      </c>
      <c r="L63" s="1054">
        <f>+F63</f>
        <v>3358.3500000000004</v>
      </c>
      <c r="M63" s="1054">
        <f>L63*K63</f>
        <v>3358.3500000000004</v>
      </c>
      <c r="N63" s="1080">
        <v>1</v>
      </c>
      <c r="O63" s="1054">
        <f>+F63</f>
        <v>3358.3500000000004</v>
      </c>
      <c r="P63" s="1054">
        <f>O63*N63</f>
        <v>3358.3500000000004</v>
      </c>
      <c r="Q63" s="1053">
        <v>1</v>
      </c>
      <c r="R63" s="1090">
        <f>1119.45*3</f>
        <v>3358.3500000000004</v>
      </c>
      <c r="S63" s="1054">
        <f>R63*Q63</f>
        <v>3358.3500000000004</v>
      </c>
      <c r="T63" s="1973"/>
    </row>
    <row r="64" spans="1:21" ht="19.5" customHeight="1">
      <c r="A64" s="1080">
        <v>33</v>
      </c>
      <c r="B64" s="1840" t="s">
        <v>1690</v>
      </c>
      <c r="C64" s="1855"/>
      <c r="D64" s="1080"/>
      <c r="E64" s="1080"/>
      <c r="F64" s="1080"/>
      <c r="G64" s="1054">
        <v>12727.36</v>
      </c>
      <c r="H64" s="1054"/>
      <c r="I64" s="1054"/>
      <c r="J64" s="1054">
        <v>12997.24</v>
      </c>
      <c r="K64" s="1054"/>
      <c r="L64" s="1054"/>
      <c r="M64" s="1054">
        <f>+J64</f>
        <v>12997.24</v>
      </c>
      <c r="N64" s="1054"/>
      <c r="O64" s="1054"/>
      <c r="P64" s="1054">
        <v>16883.46</v>
      </c>
      <c r="Q64" s="1054"/>
      <c r="R64" s="1054"/>
      <c r="S64" s="1081">
        <v>16883.46</v>
      </c>
      <c r="T64" s="1974"/>
    </row>
    <row r="65" spans="1:21" ht="36.75" customHeight="1">
      <c r="A65" s="1080">
        <v>34</v>
      </c>
      <c r="B65" s="2288" t="s">
        <v>1716</v>
      </c>
      <c r="C65" s="1855"/>
      <c r="D65" s="1080"/>
      <c r="E65" s="1080"/>
      <c r="F65" s="1080">
        <v>0.02</v>
      </c>
      <c r="G65" s="1064">
        <f>(G9/1.18)*F65</f>
        <v>1058.4744067796612</v>
      </c>
      <c r="H65" s="1054"/>
      <c r="I65" s="1080">
        <v>0.02</v>
      </c>
      <c r="J65" s="1064">
        <f>(J10/1.18)*I65</f>
        <v>2041.2777966101696</v>
      </c>
      <c r="K65" s="1054"/>
      <c r="L65" s="1080">
        <v>0.02</v>
      </c>
      <c r="M65" s="1054">
        <f>(M11/1.18)*L65</f>
        <v>2683.0869491525427</v>
      </c>
      <c r="N65" s="1054"/>
      <c r="O65" s="1080">
        <v>0.02</v>
      </c>
      <c r="P65" s="1054">
        <f>(P12/1.18)*O65</f>
        <v>4946.2506779661016</v>
      </c>
      <c r="Q65" s="1054"/>
      <c r="R65" s="1054"/>
      <c r="S65" s="1081"/>
      <c r="T65" s="1975" t="s">
        <v>119</v>
      </c>
    </row>
    <row r="66" spans="1:21" ht="33" customHeight="1">
      <c r="A66" s="1080">
        <v>35</v>
      </c>
      <c r="B66" s="2288" t="s">
        <v>2373</v>
      </c>
      <c r="C66" s="1855"/>
      <c r="D66" s="1080"/>
      <c r="E66" s="1080"/>
      <c r="F66" s="1080"/>
      <c r="G66" s="1064"/>
      <c r="H66" s="1054"/>
      <c r="I66" s="1054"/>
      <c r="J66" s="1064"/>
      <c r="K66" s="1054"/>
      <c r="L66" s="1054"/>
      <c r="M66" s="1054"/>
      <c r="N66" s="1054"/>
      <c r="O66" s="1054"/>
      <c r="P66" s="1054"/>
      <c r="Q66" s="1054"/>
      <c r="R66" s="1080">
        <v>0.01</v>
      </c>
      <c r="S66" s="1081">
        <f>(S13/1.18)*R66</f>
        <v>6804.0410169491524</v>
      </c>
      <c r="T66" s="1975" t="s">
        <v>119</v>
      </c>
    </row>
    <row r="67" spans="1:21" ht="38.25" customHeight="1">
      <c r="A67" s="1080">
        <v>36</v>
      </c>
      <c r="B67" s="1840" t="s">
        <v>2400</v>
      </c>
      <c r="C67" s="2289"/>
      <c r="D67" s="1918"/>
      <c r="E67" s="1918"/>
      <c r="F67" s="1918">
        <v>0.04</v>
      </c>
      <c r="G67" s="2290">
        <f>((G58-G9)/1.18)*F67</f>
        <v>1815.2635261016949</v>
      </c>
      <c r="H67" s="1918"/>
      <c r="I67" s="1918">
        <v>0.04</v>
      </c>
      <c r="J67" s="2290">
        <f>((J58-J10)/1.18)*I67</f>
        <v>2464.2577769491518</v>
      </c>
      <c r="K67" s="1918"/>
      <c r="L67" s="1918">
        <v>0.04</v>
      </c>
      <c r="M67" s="1848">
        <f>((M58-M11)/1.18)*L67</f>
        <v>5011.2665766169484</v>
      </c>
      <c r="N67" s="1918"/>
      <c r="O67" s="1918">
        <v>0.04</v>
      </c>
      <c r="P67" s="1848">
        <f>((P58-P12)/1.18)*O67</f>
        <v>5954.7079732271222</v>
      </c>
      <c r="Q67" s="1848"/>
      <c r="R67" s="1918">
        <v>0.04</v>
      </c>
      <c r="S67" s="1848">
        <f>((S58-S13)/1.18)*R67</f>
        <v>6244.9856139050717</v>
      </c>
      <c r="T67" s="1976" t="s">
        <v>1827</v>
      </c>
      <c r="U67" s="1977"/>
    </row>
    <row r="68" spans="1:21" ht="50.25" customHeight="1">
      <c r="A68" s="1080">
        <v>37</v>
      </c>
      <c r="B68" s="2291" t="s">
        <v>2401</v>
      </c>
      <c r="C68" s="1860"/>
      <c r="D68" s="1859"/>
      <c r="E68" s="1859"/>
      <c r="F68" s="1859"/>
      <c r="G68" s="2292"/>
      <c r="H68" s="1859"/>
      <c r="I68" s="1859"/>
      <c r="J68" s="2292"/>
      <c r="K68" s="1859"/>
      <c r="L68" s="1859"/>
      <c r="M68" s="2292"/>
      <c r="N68" s="1859"/>
      <c r="O68" s="1859"/>
      <c r="P68" s="2292"/>
      <c r="Q68" s="2292"/>
      <c r="R68" s="2292"/>
      <c r="S68" s="1894"/>
      <c r="T68" s="1846"/>
      <c r="U68" s="1977"/>
    </row>
    <row r="69" spans="1:21" ht="32.25" customHeight="1">
      <c r="A69" s="2293" t="s">
        <v>1493</v>
      </c>
      <c r="B69" s="1079" t="s">
        <v>2402</v>
      </c>
      <c r="C69" s="2294"/>
      <c r="D69" s="1919"/>
      <c r="E69" s="1919"/>
      <c r="F69" s="1919"/>
      <c r="G69" s="2295">
        <f>(G58+G60+G61+G62+G63+G64+G65+G67)*0.125</f>
        <v>18250.859728987132</v>
      </c>
      <c r="H69" s="1919"/>
      <c r="I69" s="1919"/>
      <c r="J69" s="2295">
        <f>(J58+J60+J61+J62+J63+J64+J65+J67)*0.125</f>
        <v>28853.011331571874</v>
      </c>
      <c r="K69" s="1919"/>
      <c r="L69" s="1919"/>
      <c r="M69" s="2275">
        <f>(M58+M60+M62+M63+M64+M65+M67)*0.125</f>
        <v>44333.853872735534</v>
      </c>
      <c r="N69" s="1919"/>
      <c r="O69" s="1919"/>
      <c r="P69" s="2275">
        <f>(P58+P60+P62+P63+P64+P65+P67)*0.125</f>
        <v>66902.962612163508</v>
      </c>
      <c r="Q69" s="2275"/>
      <c r="R69" s="2275"/>
      <c r="S69" s="2275"/>
      <c r="T69" s="1975" t="s">
        <v>119</v>
      </c>
      <c r="U69" s="1977"/>
    </row>
    <row r="70" spans="1:21" ht="33.75" customHeight="1">
      <c r="A70" s="2293" t="s">
        <v>1494</v>
      </c>
      <c r="B70" s="1079" t="s">
        <v>2403</v>
      </c>
      <c r="C70" s="1860"/>
      <c r="D70" s="1080"/>
      <c r="E70" s="1080"/>
      <c r="F70" s="1080"/>
      <c r="G70" s="1894"/>
      <c r="H70" s="1080"/>
      <c r="I70" s="1080"/>
      <c r="J70" s="1894"/>
      <c r="K70" s="1080"/>
      <c r="L70" s="1080"/>
      <c r="M70" s="1081"/>
      <c r="N70" s="1080"/>
      <c r="O70" s="1080"/>
      <c r="P70" s="1081"/>
      <c r="Q70" s="1081"/>
      <c r="R70" s="1081"/>
      <c r="S70" s="1081">
        <f>(S58+S60+S62+S63+S64+S66+S67)*0.125</f>
        <v>136994.23153837107</v>
      </c>
      <c r="T70" s="1975" t="s">
        <v>119</v>
      </c>
      <c r="U70" s="1977"/>
    </row>
    <row r="71" spans="1:21" ht="81.75" customHeight="1">
      <c r="A71" s="1922">
        <v>38</v>
      </c>
      <c r="B71" s="1842" t="s">
        <v>2404</v>
      </c>
      <c r="C71" s="1860"/>
      <c r="D71" s="1080"/>
      <c r="E71" s="1080"/>
      <c r="F71" s="1080"/>
      <c r="G71" s="1837">
        <f>SUM(G59:G69)</f>
        <v>146562.78203240962</v>
      </c>
      <c r="H71" s="1922"/>
      <c r="I71" s="1922"/>
      <c r="J71" s="1837">
        <f>SUM(J59:J69)</f>
        <v>230216.44181838416</v>
      </c>
      <c r="K71" s="1837"/>
      <c r="L71" s="1837"/>
      <c r="M71" s="1837">
        <f>SUM(M59:M69)</f>
        <v>352306.20271747065</v>
      </c>
      <c r="N71" s="1837"/>
      <c r="O71" s="1837"/>
      <c r="P71" s="1837">
        <f>SUM(P59:P69)</f>
        <v>530814.22152825468</v>
      </c>
      <c r="Q71" s="1837"/>
      <c r="R71" s="1837"/>
      <c r="S71" s="1837">
        <f>SUM(S59:S70)</f>
        <v>1082372.9102776824</v>
      </c>
      <c r="T71" s="1976" t="s">
        <v>1827</v>
      </c>
    </row>
    <row r="72" spans="1:21" ht="21" customHeight="1">
      <c r="A72" s="1080">
        <v>39</v>
      </c>
      <c r="B72" s="1051" t="s">
        <v>2405</v>
      </c>
      <c r="C72" s="1860"/>
      <c r="D72" s="1080"/>
      <c r="E72" s="1080"/>
      <c r="F72" s="1080">
        <v>0.09</v>
      </c>
      <c r="G72" s="1081">
        <f>G71*F72</f>
        <v>13190.650382916865</v>
      </c>
      <c r="H72" s="1080"/>
      <c r="I72" s="1080">
        <v>0.09</v>
      </c>
      <c r="J72" s="1081">
        <f>J71*I72</f>
        <v>20719.479763654574</v>
      </c>
      <c r="K72" s="1081"/>
      <c r="L72" s="1081">
        <v>0.09</v>
      </c>
      <c r="M72" s="1081">
        <f>M71*L72</f>
        <v>31707.558244572356</v>
      </c>
      <c r="N72" s="1081"/>
      <c r="O72" s="1081">
        <v>0.09</v>
      </c>
      <c r="P72" s="1081">
        <f>P71*O72</f>
        <v>47773.279937542917</v>
      </c>
      <c r="Q72" s="1081"/>
      <c r="R72" s="1081">
        <v>0.09</v>
      </c>
      <c r="S72" s="1081">
        <f>S71*R72</f>
        <v>97413.561924991402</v>
      </c>
      <c r="T72" s="377"/>
    </row>
    <row r="73" spans="1:21" ht="21.75" customHeight="1">
      <c r="A73" s="1080">
        <v>40</v>
      </c>
      <c r="B73" s="1051" t="s">
        <v>2406</v>
      </c>
      <c r="C73" s="1860"/>
      <c r="D73" s="1080"/>
      <c r="E73" s="1080"/>
      <c r="F73" s="1080">
        <v>0.09</v>
      </c>
      <c r="G73" s="1081">
        <f>G71*F73</f>
        <v>13190.650382916865</v>
      </c>
      <c r="H73" s="1080"/>
      <c r="I73" s="1080">
        <v>0.09</v>
      </c>
      <c r="J73" s="1081">
        <f>J71*I73</f>
        <v>20719.479763654574</v>
      </c>
      <c r="K73" s="1080"/>
      <c r="L73" s="1080">
        <v>0.09</v>
      </c>
      <c r="M73" s="1081">
        <f>M71*L73</f>
        <v>31707.558244572356</v>
      </c>
      <c r="N73" s="1080"/>
      <c r="O73" s="1080">
        <v>0.09</v>
      </c>
      <c r="P73" s="1081">
        <f>P71*O73</f>
        <v>47773.279937542917</v>
      </c>
      <c r="Q73" s="1081"/>
      <c r="R73" s="1080">
        <v>0.09</v>
      </c>
      <c r="S73" s="1081">
        <f>S71*R73</f>
        <v>97413.561924991402</v>
      </c>
      <c r="T73" s="1978"/>
    </row>
    <row r="74" spans="1:21" ht="32.25" customHeight="1">
      <c r="A74" s="1080">
        <v>41</v>
      </c>
      <c r="B74" s="1841" t="s">
        <v>2407</v>
      </c>
      <c r="C74" s="1855"/>
      <c r="D74" s="1080"/>
      <c r="E74" s="1080"/>
      <c r="F74" s="1080"/>
      <c r="G74" s="1081">
        <f>G71+G72+G73</f>
        <v>172944.08279824333</v>
      </c>
      <c r="H74" s="1081"/>
      <c r="I74" s="1081"/>
      <c r="J74" s="1081">
        <f>J71+J72+J73</f>
        <v>271655.40134569333</v>
      </c>
      <c r="K74" s="1081"/>
      <c r="L74" s="1081"/>
      <c r="M74" s="1081">
        <f>M71+M72+M73</f>
        <v>415721.31920661539</v>
      </c>
      <c r="N74" s="1081"/>
      <c r="O74" s="1081"/>
      <c r="P74" s="1081">
        <f>P71+P72+P73</f>
        <v>626360.78140334063</v>
      </c>
      <c r="Q74" s="1081"/>
      <c r="R74" s="1081"/>
      <c r="S74" s="1837">
        <f>S71+S72+S73</f>
        <v>1277200.0341276652</v>
      </c>
    </row>
    <row r="75" spans="1:21" ht="36" customHeight="1">
      <c r="A75" s="1922">
        <v>42</v>
      </c>
      <c r="B75" s="1082" t="s">
        <v>59</v>
      </c>
      <c r="C75" s="1075"/>
      <c r="D75" s="1922"/>
      <c r="E75" s="1922"/>
      <c r="F75" s="1922"/>
      <c r="G75" s="356">
        <f>ROUND(G74,0)</f>
        <v>172944</v>
      </c>
      <c r="H75" s="356"/>
      <c r="I75" s="356"/>
      <c r="J75" s="356">
        <f>ROUND(J74,0)</f>
        <v>271655</v>
      </c>
      <c r="K75" s="356"/>
      <c r="L75" s="356"/>
      <c r="M75" s="356">
        <f>ROUND(M74,0)</f>
        <v>415721</v>
      </c>
      <c r="N75" s="356"/>
      <c r="O75" s="356"/>
      <c r="P75" s="356">
        <f>ROUND(P74,0)</f>
        <v>626361</v>
      </c>
      <c r="Q75" s="356"/>
      <c r="R75" s="356"/>
      <c r="S75" s="356">
        <f>ROUND(S74,0)</f>
        <v>1277200</v>
      </c>
    </row>
    <row r="76" spans="1:21" ht="15.75">
      <c r="A76" s="1979"/>
      <c r="B76" s="1979"/>
      <c r="C76" s="1979"/>
      <c r="D76" s="1979"/>
      <c r="E76" s="1979"/>
      <c r="F76" s="1979"/>
      <c r="G76" s="1979"/>
      <c r="H76" s="1979"/>
      <c r="I76" s="1979"/>
      <c r="J76" s="1979"/>
      <c r="K76" s="1979"/>
      <c r="L76" s="1979"/>
      <c r="M76" s="1979"/>
      <c r="N76" s="1979"/>
      <c r="O76" s="1979"/>
      <c r="P76" s="1979"/>
      <c r="Q76" s="572"/>
      <c r="R76" s="572"/>
      <c r="S76" s="572"/>
    </row>
    <row r="77" spans="1:21" ht="18" customHeight="1">
      <c r="A77" s="610"/>
      <c r="B77" s="3340" t="s">
        <v>2382</v>
      </c>
      <c r="C77" s="3340"/>
      <c r="D77" s="3340"/>
      <c r="E77" s="3340"/>
      <c r="F77" s="3340"/>
      <c r="G77" s="3340"/>
      <c r="H77" s="3340"/>
      <c r="I77" s="3340"/>
      <c r="J77" s="1961"/>
      <c r="K77" s="1961"/>
      <c r="L77" s="1961"/>
      <c r="M77" s="1961"/>
      <c r="N77" s="1961"/>
      <c r="O77" s="1961"/>
      <c r="P77" s="1961"/>
      <c r="Q77" s="1961"/>
      <c r="R77" s="1961"/>
      <c r="S77" s="1961"/>
    </row>
    <row r="78" spans="1:21" ht="18" customHeight="1">
      <c r="A78" s="1960"/>
      <c r="B78" s="3341" t="s">
        <v>2408</v>
      </c>
      <c r="C78" s="3341"/>
      <c r="D78" s="3341"/>
      <c r="E78" s="3341"/>
      <c r="F78" s="3341"/>
      <c r="G78" s="3341"/>
      <c r="H78" s="3341"/>
      <c r="I78" s="3341"/>
      <c r="J78" s="857"/>
      <c r="K78" s="857"/>
      <c r="L78" s="857"/>
      <c r="M78" s="857"/>
      <c r="N78" s="857"/>
      <c r="O78" s="857"/>
      <c r="P78" s="857"/>
      <c r="Q78" s="857"/>
      <c r="R78" s="857"/>
      <c r="S78" s="857"/>
    </row>
    <row r="79" spans="1:21" ht="15">
      <c r="A79" s="1960"/>
      <c r="B79" s="1961"/>
      <c r="C79" s="1962"/>
      <c r="D79" s="1906"/>
      <c r="E79" s="1960"/>
      <c r="F79" s="108"/>
      <c r="G79" s="108"/>
      <c r="H79" s="1960"/>
      <c r="I79" s="108"/>
      <c r="J79" s="108"/>
      <c r="K79" s="1960"/>
      <c r="L79" s="108"/>
      <c r="M79" s="108"/>
      <c r="N79" s="1960"/>
      <c r="O79" s="108"/>
      <c r="P79" s="857"/>
      <c r="Q79" s="857"/>
      <c r="R79" s="857"/>
      <c r="S79" s="857"/>
      <c r="T79" s="857"/>
    </row>
    <row r="80" spans="1:21" ht="33.75" customHeight="1">
      <c r="B80" s="3342" t="s">
        <v>2384</v>
      </c>
      <c r="C80" s="3342"/>
      <c r="D80" s="3342"/>
      <c r="E80" s="3342"/>
      <c r="F80" s="3342"/>
      <c r="G80" s="3342"/>
      <c r="H80" s="3342"/>
      <c r="I80" s="3342"/>
      <c r="P80" s="857"/>
      <c r="Q80" s="857"/>
      <c r="R80" s="857"/>
      <c r="S80" s="857"/>
      <c r="T80" s="857"/>
    </row>
    <row r="81" spans="1:20" ht="20.25">
      <c r="A81" s="1951" t="s">
        <v>62</v>
      </c>
      <c r="B81" s="622" t="s">
        <v>2385</v>
      </c>
      <c r="P81" s="857"/>
      <c r="Q81" s="857"/>
      <c r="R81" s="857"/>
      <c r="S81" s="857"/>
      <c r="T81" s="857"/>
    </row>
    <row r="82" spans="1:20" ht="15">
      <c r="P82" s="857"/>
      <c r="Q82" s="857"/>
      <c r="R82" s="857"/>
      <c r="S82" s="857"/>
      <c r="T82" s="857"/>
    </row>
    <row r="83" spans="1:20">
      <c r="A83" s="631"/>
      <c r="B83" s="1980"/>
      <c r="C83" s="631"/>
      <c r="D83" s="631"/>
      <c r="E83" s="605"/>
      <c r="F83" s="605"/>
      <c r="G83" s="605"/>
      <c r="H83" s="605"/>
      <c r="I83" s="605"/>
      <c r="J83" s="605"/>
      <c r="K83" s="605"/>
      <c r="L83" s="605"/>
      <c r="M83" s="605"/>
      <c r="N83" s="605"/>
      <c r="O83" s="605"/>
      <c r="P83" s="605"/>
      <c r="Q83" s="605"/>
      <c r="R83" s="605"/>
      <c r="S83" s="605"/>
    </row>
    <row r="84" spans="1:20">
      <c r="A84" s="631"/>
      <c r="B84" s="605"/>
      <c r="C84" s="631"/>
      <c r="D84" s="631"/>
      <c r="E84" s="605"/>
      <c r="F84" s="605"/>
      <c r="G84" s="605"/>
      <c r="H84" s="605"/>
      <c r="I84" s="605"/>
      <c r="J84" s="605"/>
      <c r="K84" s="605"/>
      <c r="L84" s="605"/>
      <c r="M84" s="605"/>
      <c r="N84" s="605"/>
      <c r="O84" s="605"/>
      <c r="P84" s="605"/>
      <c r="Q84" s="605"/>
      <c r="R84" s="605"/>
      <c r="S84" s="605"/>
    </row>
    <row r="85" spans="1:20" ht="15">
      <c r="A85" s="1977"/>
      <c r="B85" s="1978"/>
      <c r="C85" s="1981"/>
      <c r="D85" s="1977"/>
      <c r="E85" s="1977"/>
      <c r="F85" s="1982"/>
      <c r="G85" s="1982"/>
      <c r="H85" s="1983"/>
      <c r="I85" s="1982"/>
      <c r="J85" s="1982"/>
      <c r="K85" s="1983"/>
      <c r="L85" s="1982"/>
      <c r="M85" s="1982"/>
      <c r="N85" s="1983"/>
      <c r="O85" s="1982"/>
      <c r="P85" s="1982"/>
      <c r="Q85" s="1982"/>
      <c r="R85" s="1982"/>
      <c r="S85" s="1982"/>
    </row>
    <row r="86" spans="1:20">
      <c r="A86" s="631"/>
      <c r="B86" s="605"/>
      <c r="C86" s="631"/>
      <c r="D86" s="631"/>
      <c r="E86" s="605"/>
      <c r="F86" s="605"/>
      <c r="G86" s="605"/>
      <c r="H86" s="605"/>
      <c r="I86" s="605"/>
      <c r="J86" s="605"/>
      <c r="K86" s="605"/>
      <c r="L86" s="605"/>
      <c r="M86" s="605"/>
      <c r="N86" s="605"/>
      <c r="O86" s="605"/>
      <c r="P86" s="605"/>
      <c r="Q86" s="605"/>
      <c r="R86" s="605"/>
      <c r="S86" s="605"/>
    </row>
  </sheetData>
  <mergeCells count="20">
    <mergeCell ref="A39:A43"/>
    <mergeCell ref="B77:I77"/>
    <mergeCell ref="B78:I78"/>
    <mergeCell ref="B80:I80"/>
    <mergeCell ref="N5:P5"/>
    <mergeCell ref="Q5:S5"/>
    <mergeCell ref="A8:A13"/>
    <mergeCell ref="A14:A15"/>
    <mergeCell ref="A25:A27"/>
    <mergeCell ref="A32:A34"/>
    <mergeCell ref="F1:J1"/>
    <mergeCell ref="N2:O2"/>
    <mergeCell ref="B3:M3"/>
    <mergeCell ref="A5:A6"/>
    <mergeCell ref="B5:B6"/>
    <mergeCell ref="C5:C6"/>
    <mergeCell ref="D5:D6"/>
    <mergeCell ref="E5:G5"/>
    <mergeCell ref="H5:J5"/>
    <mergeCell ref="K5:M5"/>
  </mergeCells>
  <conditionalFormatting sqref="B58">
    <cfRule type="cellIs" dxfId="90" priority="2" stopIfTrue="1" operator="equal">
      <formula>"?"</formula>
    </cfRule>
  </conditionalFormatting>
  <conditionalFormatting sqref="B59">
    <cfRule type="cellIs" dxfId="89" priority="1" stopIfTrue="1" operator="equal">
      <formula>"?"</formula>
    </cfRule>
  </conditionalFormatting>
  <pageMargins left="0.70866141732283472" right="0.15748031496062992" top="0.6692913385826772" bottom="0.31496062992125984" header="0.39370078740157483" footer="0.19685039370078741"/>
  <pageSetup paperSize="9" scale="80" fitToHeight="3" orientation="landscape" r:id="rId1"/>
  <headerFooter alignWithMargins="0"/>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78"/>
  <sheetViews>
    <sheetView zoomScale="90" zoomScaleNormal="90" zoomScaleSheetLayoutView="70" workbookViewId="0">
      <pane xSplit="2" ySplit="9" topLeftCell="F67" activePane="bottomRight" state="frozen"/>
      <selection pane="topRight" activeCell="C1" sqref="C1"/>
      <selection pane="bottomLeft" activeCell="A10" sqref="A10"/>
      <selection pane="bottomRight" activeCell="T7" sqref="T7"/>
    </sheetView>
  </sheetViews>
  <sheetFormatPr defaultRowHeight="12.75"/>
  <cols>
    <col min="1" max="1" width="4.85546875" style="137" customWidth="1"/>
    <col min="2" max="2" width="43.140625" style="70" customWidth="1"/>
    <col min="3" max="3" width="13.42578125" style="70" customWidth="1"/>
    <col min="4" max="4" width="7.140625" style="70" customWidth="1"/>
    <col min="5" max="5" width="6.7109375" style="70" customWidth="1"/>
    <col min="6" max="6" width="9.85546875" style="70" bestFit="1" customWidth="1"/>
    <col min="7" max="7" width="11.140625" style="70" customWidth="1"/>
    <col min="8" max="8" width="6.7109375" style="70" customWidth="1"/>
    <col min="9" max="9" width="10.42578125" style="70" customWidth="1"/>
    <col min="10" max="10" width="11.140625" style="70" customWidth="1"/>
    <col min="11" max="11" width="6.7109375" style="70" customWidth="1"/>
    <col min="12" max="12" width="11" style="70" bestFit="1" customWidth="1"/>
    <col min="13" max="13" width="11.28515625" style="70" customWidth="1"/>
    <col min="14" max="14" width="6.7109375" style="70" customWidth="1"/>
    <col min="15" max="16" width="11" style="70" bestFit="1" customWidth="1"/>
    <col min="17" max="17" width="6.7109375" style="70" customWidth="1"/>
    <col min="18" max="18" width="11" style="70" customWidth="1"/>
    <col min="19" max="19" width="11.5703125" style="70" customWidth="1"/>
    <col min="20" max="20" width="25.28515625" style="70" customWidth="1"/>
    <col min="21" max="21" width="10" style="70" customWidth="1"/>
    <col min="22" max="259" width="9.140625" style="70"/>
    <col min="260" max="260" width="4.85546875" style="70" customWidth="1"/>
    <col min="261" max="261" width="42.5703125" style="70" customWidth="1"/>
    <col min="262" max="262" width="13.42578125" style="70" customWidth="1"/>
    <col min="263" max="263" width="5.85546875" style="70" bestFit="1" customWidth="1"/>
    <col min="264" max="264" width="6.7109375" style="70" customWidth="1"/>
    <col min="265" max="265" width="9.85546875" style="70" bestFit="1" customWidth="1"/>
    <col min="266" max="266" width="11.140625" style="70" customWidth="1"/>
    <col min="267" max="267" width="6.7109375" style="70" customWidth="1"/>
    <col min="268" max="268" width="9.85546875" style="70" bestFit="1" customWidth="1"/>
    <col min="269" max="269" width="11.140625" style="70" customWidth="1"/>
    <col min="270" max="270" width="6.7109375" style="70" customWidth="1"/>
    <col min="271" max="271" width="11" style="70" bestFit="1" customWidth="1"/>
    <col min="272" max="272" width="11.28515625" style="70" customWidth="1"/>
    <col min="273" max="273" width="6.7109375" style="70" customWidth="1"/>
    <col min="274" max="275" width="11" style="70" bestFit="1" customWidth="1"/>
    <col min="276" max="276" width="25.28515625" style="70" customWidth="1"/>
    <col min="277" max="277" width="21" style="70" customWidth="1"/>
    <col min="278" max="515" width="9.140625" style="70"/>
    <col min="516" max="516" width="4.85546875" style="70" customWidth="1"/>
    <col min="517" max="517" width="42.5703125" style="70" customWidth="1"/>
    <col min="518" max="518" width="13.42578125" style="70" customWidth="1"/>
    <col min="519" max="519" width="5.85546875" style="70" bestFit="1" customWidth="1"/>
    <col min="520" max="520" width="6.7109375" style="70" customWidth="1"/>
    <col min="521" max="521" width="9.85546875" style="70" bestFit="1" customWidth="1"/>
    <col min="522" max="522" width="11.140625" style="70" customWidth="1"/>
    <col min="523" max="523" width="6.7109375" style="70" customWidth="1"/>
    <col min="524" max="524" width="9.85546875" style="70" bestFit="1" customWidth="1"/>
    <col min="525" max="525" width="11.140625" style="70" customWidth="1"/>
    <col min="526" max="526" width="6.7109375" style="70" customWidth="1"/>
    <col min="527" max="527" width="11" style="70" bestFit="1" customWidth="1"/>
    <col min="528" max="528" width="11.28515625" style="70" customWidth="1"/>
    <col min="529" max="529" width="6.7109375" style="70" customWidth="1"/>
    <col min="530" max="531" width="11" style="70" bestFit="1" customWidth="1"/>
    <col min="532" max="532" width="25.28515625" style="70" customWidth="1"/>
    <col min="533" max="533" width="21" style="70" customWidth="1"/>
    <col min="534" max="771" width="9.140625" style="70"/>
    <col min="772" max="772" width="4.85546875" style="70" customWidth="1"/>
    <col min="773" max="773" width="42.5703125" style="70" customWidth="1"/>
    <col min="774" max="774" width="13.42578125" style="70" customWidth="1"/>
    <col min="775" max="775" width="5.85546875" style="70" bestFit="1" customWidth="1"/>
    <col min="776" max="776" width="6.7109375" style="70" customWidth="1"/>
    <col min="777" max="777" width="9.85546875" style="70" bestFit="1" customWidth="1"/>
    <col min="778" max="778" width="11.140625" style="70" customWidth="1"/>
    <col min="779" max="779" width="6.7109375" style="70" customWidth="1"/>
    <col min="780" max="780" width="9.85546875" style="70" bestFit="1" customWidth="1"/>
    <col min="781" max="781" width="11.140625" style="70" customWidth="1"/>
    <col min="782" max="782" width="6.7109375" style="70" customWidth="1"/>
    <col min="783" max="783" width="11" style="70" bestFit="1" customWidth="1"/>
    <col min="784" max="784" width="11.28515625" style="70" customWidth="1"/>
    <col min="785" max="785" width="6.7109375" style="70" customWidth="1"/>
    <col min="786" max="787" width="11" style="70" bestFit="1" customWidth="1"/>
    <col min="788" max="788" width="25.28515625" style="70" customWidth="1"/>
    <col min="789" max="789" width="21" style="70" customWidth="1"/>
    <col min="790" max="1027" width="9.140625" style="70"/>
    <col min="1028" max="1028" width="4.85546875" style="70" customWidth="1"/>
    <col min="1029" max="1029" width="42.5703125" style="70" customWidth="1"/>
    <col min="1030" max="1030" width="13.42578125" style="70" customWidth="1"/>
    <col min="1031" max="1031" width="5.85546875" style="70" bestFit="1" customWidth="1"/>
    <col min="1032" max="1032" width="6.7109375" style="70" customWidth="1"/>
    <col min="1033" max="1033" width="9.85546875" style="70" bestFit="1" customWidth="1"/>
    <col min="1034" max="1034" width="11.140625" style="70" customWidth="1"/>
    <col min="1035" max="1035" width="6.7109375" style="70" customWidth="1"/>
    <col min="1036" max="1036" width="9.85546875" style="70" bestFit="1" customWidth="1"/>
    <col min="1037" max="1037" width="11.140625" style="70" customWidth="1"/>
    <col min="1038" max="1038" width="6.7109375" style="70" customWidth="1"/>
    <col min="1039" max="1039" width="11" style="70" bestFit="1" customWidth="1"/>
    <col min="1040" max="1040" width="11.28515625" style="70" customWidth="1"/>
    <col min="1041" max="1041" width="6.7109375" style="70" customWidth="1"/>
    <col min="1042" max="1043" width="11" style="70" bestFit="1" customWidth="1"/>
    <col min="1044" max="1044" width="25.28515625" style="70" customWidth="1"/>
    <col min="1045" max="1045" width="21" style="70" customWidth="1"/>
    <col min="1046" max="1283" width="9.140625" style="70"/>
    <col min="1284" max="1284" width="4.85546875" style="70" customWidth="1"/>
    <col min="1285" max="1285" width="42.5703125" style="70" customWidth="1"/>
    <col min="1286" max="1286" width="13.42578125" style="70" customWidth="1"/>
    <col min="1287" max="1287" width="5.85546875" style="70" bestFit="1" customWidth="1"/>
    <col min="1288" max="1288" width="6.7109375" style="70" customWidth="1"/>
    <col min="1289" max="1289" width="9.85546875" style="70" bestFit="1" customWidth="1"/>
    <col min="1290" max="1290" width="11.140625" style="70" customWidth="1"/>
    <col min="1291" max="1291" width="6.7109375" style="70" customWidth="1"/>
    <col min="1292" max="1292" width="9.85546875" style="70" bestFit="1" customWidth="1"/>
    <col min="1293" max="1293" width="11.140625" style="70" customWidth="1"/>
    <col min="1294" max="1294" width="6.7109375" style="70" customWidth="1"/>
    <col min="1295" max="1295" width="11" style="70" bestFit="1" customWidth="1"/>
    <col min="1296" max="1296" width="11.28515625" style="70" customWidth="1"/>
    <col min="1297" max="1297" width="6.7109375" style="70" customWidth="1"/>
    <col min="1298" max="1299" width="11" style="70" bestFit="1" customWidth="1"/>
    <col min="1300" max="1300" width="25.28515625" style="70" customWidth="1"/>
    <col min="1301" max="1301" width="21" style="70" customWidth="1"/>
    <col min="1302" max="1539" width="9.140625" style="70"/>
    <col min="1540" max="1540" width="4.85546875" style="70" customWidth="1"/>
    <col min="1541" max="1541" width="42.5703125" style="70" customWidth="1"/>
    <col min="1542" max="1542" width="13.42578125" style="70" customWidth="1"/>
    <col min="1543" max="1543" width="5.85546875" style="70" bestFit="1" customWidth="1"/>
    <col min="1544" max="1544" width="6.7109375" style="70" customWidth="1"/>
    <col min="1545" max="1545" width="9.85546875" style="70" bestFit="1" customWidth="1"/>
    <col min="1546" max="1546" width="11.140625" style="70" customWidth="1"/>
    <col min="1547" max="1547" width="6.7109375" style="70" customWidth="1"/>
    <col min="1548" max="1548" width="9.85546875" style="70" bestFit="1" customWidth="1"/>
    <col min="1549" max="1549" width="11.140625" style="70" customWidth="1"/>
    <col min="1550" max="1550" width="6.7109375" style="70" customWidth="1"/>
    <col min="1551" max="1551" width="11" style="70" bestFit="1" customWidth="1"/>
    <col min="1552" max="1552" width="11.28515625" style="70" customWidth="1"/>
    <col min="1553" max="1553" width="6.7109375" style="70" customWidth="1"/>
    <col min="1554" max="1555" width="11" style="70" bestFit="1" customWidth="1"/>
    <col min="1556" max="1556" width="25.28515625" style="70" customWidth="1"/>
    <col min="1557" max="1557" width="21" style="70" customWidth="1"/>
    <col min="1558" max="1795" width="9.140625" style="70"/>
    <col min="1796" max="1796" width="4.85546875" style="70" customWidth="1"/>
    <col min="1797" max="1797" width="42.5703125" style="70" customWidth="1"/>
    <col min="1798" max="1798" width="13.42578125" style="70" customWidth="1"/>
    <col min="1799" max="1799" width="5.85546875" style="70" bestFit="1" customWidth="1"/>
    <col min="1800" max="1800" width="6.7109375" style="70" customWidth="1"/>
    <col min="1801" max="1801" width="9.85546875" style="70" bestFit="1" customWidth="1"/>
    <col min="1802" max="1802" width="11.140625" style="70" customWidth="1"/>
    <col min="1803" max="1803" width="6.7109375" style="70" customWidth="1"/>
    <col min="1804" max="1804" width="9.85546875" style="70" bestFit="1" customWidth="1"/>
    <col min="1805" max="1805" width="11.140625" style="70" customWidth="1"/>
    <col min="1806" max="1806" width="6.7109375" style="70" customWidth="1"/>
    <col min="1807" max="1807" width="11" style="70" bestFit="1" customWidth="1"/>
    <col min="1808" max="1808" width="11.28515625" style="70" customWidth="1"/>
    <col min="1809" max="1809" width="6.7109375" style="70" customWidth="1"/>
    <col min="1810" max="1811" width="11" style="70" bestFit="1" customWidth="1"/>
    <col min="1812" max="1812" width="25.28515625" style="70" customWidth="1"/>
    <col min="1813" max="1813" width="21" style="70" customWidth="1"/>
    <col min="1814" max="2051" width="9.140625" style="70"/>
    <col min="2052" max="2052" width="4.85546875" style="70" customWidth="1"/>
    <col min="2053" max="2053" width="42.5703125" style="70" customWidth="1"/>
    <col min="2054" max="2054" width="13.42578125" style="70" customWidth="1"/>
    <col min="2055" max="2055" width="5.85546875" style="70" bestFit="1" customWidth="1"/>
    <col min="2056" max="2056" width="6.7109375" style="70" customWidth="1"/>
    <col min="2057" max="2057" width="9.85546875" style="70" bestFit="1" customWidth="1"/>
    <col min="2058" max="2058" width="11.140625" style="70" customWidth="1"/>
    <col min="2059" max="2059" width="6.7109375" style="70" customWidth="1"/>
    <col min="2060" max="2060" width="9.85546875" style="70" bestFit="1" customWidth="1"/>
    <col min="2061" max="2061" width="11.140625" style="70" customWidth="1"/>
    <col min="2062" max="2062" width="6.7109375" style="70" customWidth="1"/>
    <col min="2063" max="2063" width="11" style="70" bestFit="1" customWidth="1"/>
    <col min="2064" max="2064" width="11.28515625" style="70" customWidth="1"/>
    <col min="2065" max="2065" width="6.7109375" style="70" customWidth="1"/>
    <col min="2066" max="2067" width="11" style="70" bestFit="1" customWidth="1"/>
    <col min="2068" max="2068" width="25.28515625" style="70" customWidth="1"/>
    <col min="2069" max="2069" width="21" style="70" customWidth="1"/>
    <col min="2070" max="2307" width="9.140625" style="70"/>
    <col min="2308" max="2308" width="4.85546875" style="70" customWidth="1"/>
    <col min="2309" max="2309" width="42.5703125" style="70" customWidth="1"/>
    <col min="2310" max="2310" width="13.42578125" style="70" customWidth="1"/>
    <col min="2311" max="2311" width="5.85546875" style="70" bestFit="1" customWidth="1"/>
    <col min="2312" max="2312" width="6.7109375" style="70" customWidth="1"/>
    <col min="2313" max="2313" width="9.85546875" style="70" bestFit="1" customWidth="1"/>
    <col min="2314" max="2314" width="11.140625" style="70" customWidth="1"/>
    <col min="2315" max="2315" width="6.7109375" style="70" customWidth="1"/>
    <col min="2316" max="2316" width="9.85546875" style="70" bestFit="1" customWidth="1"/>
    <col min="2317" max="2317" width="11.140625" style="70" customWidth="1"/>
    <col min="2318" max="2318" width="6.7109375" style="70" customWidth="1"/>
    <col min="2319" max="2319" width="11" style="70" bestFit="1" customWidth="1"/>
    <col min="2320" max="2320" width="11.28515625" style="70" customWidth="1"/>
    <col min="2321" max="2321" width="6.7109375" style="70" customWidth="1"/>
    <col min="2322" max="2323" width="11" style="70" bestFit="1" customWidth="1"/>
    <col min="2324" max="2324" width="25.28515625" style="70" customWidth="1"/>
    <col min="2325" max="2325" width="21" style="70" customWidth="1"/>
    <col min="2326" max="2563" width="9.140625" style="70"/>
    <col min="2564" max="2564" width="4.85546875" style="70" customWidth="1"/>
    <col min="2565" max="2565" width="42.5703125" style="70" customWidth="1"/>
    <col min="2566" max="2566" width="13.42578125" style="70" customWidth="1"/>
    <col min="2567" max="2567" width="5.85546875" style="70" bestFit="1" customWidth="1"/>
    <col min="2568" max="2568" width="6.7109375" style="70" customWidth="1"/>
    <col min="2569" max="2569" width="9.85546875" style="70" bestFit="1" customWidth="1"/>
    <col min="2570" max="2570" width="11.140625" style="70" customWidth="1"/>
    <col min="2571" max="2571" width="6.7109375" style="70" customWidth="1"/>
    <col min="2572" max="2572" width="9.85546875" style="70" bestFit="1" customWidth="1"/>
    <col min="2573" max="2573" width="11.140625" style="70" customWidth="1"/>
    <col min="2574" max="2574" width="6.7109375" style="70" customWidth="1"/>
    <col min="2575" max="2575" width="11" style="70" bestFit="1" customWidth="1"/>
    <col min="2576" max="2576" width="11.28515625" style="70" customWidth="1"/>
    <col min="2577" max="2577" width="6.7109375" style="70" customWidth="1"/>
    <col min="2578" max="2579" width="11" style="70" bestFit="1" customWidth="1"/>
    <col min="2580" max="2580" width="25.28515625" style="70" customWidth="1"/>
    <col min="2581" max="2581" width="21" style="70" customWidth="1"/>
    <col min="2582" max="2819" width="9.140625" style="70"/>
    <col min="2820" max="2820" width="4.85546875" style="70" customWidth="1"/>
    <col min="2821" max="2821" width="42.5703125" style="70" customWidth="1"/>
    <col min="2822" max="2822" width="13.42578125" style="70" customWidth="1"/>
    <col min="2823" max="2823" width="5.85546875" style="70" bestFit="1" customWidth="1"/>
    <col min="2824" max="2824" width="6.7109375" style="70" customWidth="1"/>
    <col min="2825" max="2825" width="9.85546875" style="70" bestFit="1" customWidth="1"/>
    <col min="2826" max="2826" width="11.140625" style="70" customWidth="1"/>
    <col min="2827" max="2827" width="6.7109375" style="70" customWidth="1"/>
    <col min="2828" max="2828" width="9.85546875" style="70" bestFit="1" customWidth="1"/>
    <col min="2829" max="2829" width="11.140625" style="70" customWidth="1"/>
    <col min="2830" max="2830" width="6.7109375" style="70" customWidth="1"/>
    <col min="2831" max="2831" width="11" style="70" bestFit="1" customWidth="1"/>
    <col min="2832" max="2832" width="11.28515625" style="70" customWidth="1"/>
    <col min="2833" max="2833" width="6.7109375" style="70" customWidth="1"/>
    <col min="2834" max="2835" width="11" style="70" bestFit="1" customWidth="1"/>
    <col min="2836" max="2836" width="25.28515625" style="70" customWidth="1"/>
    <col min="2837" max="2837" width="21" style="70" customWidth="1"/>
    <col min="2838" max="3075" width="9.140625" style="70"/>
    <col min="3076" max="3076" width="4.85546875" style="70" customWidth="1"/>
    <col min="3077" max="3077" width="42.5703125" style="70" customWidth="1"/>
    <col min="3078" max="3078" width="13.42578125" style="70" customWidth="1"/>
    <col min="3079" max="3079" width="5.85546875" style="70" bestFit="1" customWidth="1"/>
    <col min="3080" max="3080" width="6.7109375" style="70" customWidth="1"/>
    <col min="3081" max="3081" width="9.85546875" style="70" bestFit="1" customWidth="1"/>
    <col min="3082" max="3082" width="11.140625" style="70" customWidth="1"/>
    <col min="3083" max="3083" width="6.7109375" style="70" customWidth="1"/>
    <col min="3084" max="3084" width="9.85546875" style="70" bestFit="1" customWidth="1"/>
    <col min="3085" max="3085" width="11.140625" style="70" customWidth="1"/>
    <col min="3086" max="3086" width="6.7109375" style="70" customWidth="1"/>
    <col min="3087" max="3087" width="11" style="70" bestFit="1" customWidth="1"/>
    <col min="3088" max="3088" width="11.28515625" style="70" customWidth="1"/>
    <col min="3089" max="3089" width="6.7109375" style="70" customWidth="1"/>
    <col min="3090" max="3091" width="11" style="70" bestFit="1" customWidth="1"/>
    <col min="3092" max="3092" width="25.28515625" style="70" customWidth="1"/>
    <col min="3093" max="3093" width="21" style="70" customWidth="1"/>
    <col min="3094" max="3331" width="9.140625" style="70"/>
    <col min="3332" max="3332" width="4.85546875" style="70" customWidth="1"/>
    <col min="3333" max="3333" width="42.5703125" style="70" customWidth="1"/>
    <col min="3334" max="3334" width="13.42578125" style="70" customWidth="1"/>
    <col min="3335" max="3335" width="5.85546875" style="70" bestFit="1" customWidth="1"/>
    <col min="3336" max="3336" width="6.7109375" style="70" customWidth="1"/>
    <col min="3337" max="3337" width="9.85546875" style="70" bestFit="1" customWidth="1"/>
    <col min="3338" max="3338" width="11.140625" style="70" customWidth="1"/>
    <col min="3339" max="3339" width="6.7109375" style="70" customWidth="1"/>
    <col min="3340" max="3340" width="9.85546875" style="70" bestFit="1" customWidth="1"/>
    <col min="3341" max="3341" width="11.140625" style="70" customWidth="1"/>
    <col min="3342" max="3342" width="6.7109375" style="70" customWidth="1"/>
    <col min="3343" max="3343" width="11" style="70" bestFit="1" customWidth="1"/>
    <col min="3344" max="3344" width="11.28515625" style="70" customWidth="1"/>
    <col min="3345" max="3345" width="6.7109375" style="70" customWidth="1"/>
    <col min="3346" max="3347" width="11" style="70" bestFit="1" customWidth="1"/>
    <col min="3348" max="3348" width="25.28515625" style="70" customWidth="1"/>
    <col min="3349" max="3349" width="21" style="70" customWidth="1"/>
    <col min="3350" max="3587" width="9.140625" style="70"/>
    <col min="3588" max="3588" width="4.85546875" style="70" customWidth="1"/>
    <col min="3589" max="3589" width="42.5703125" style="70" customWidth="1"/>
    <col min="3590" max="3590" width="13.42578125" style="70" customWidth="1"/>
    <col min="3591" max="3591" width="5.85546875" style="70" bestFit="1" customWidth="1"/>
    <col min="3592" max="3592" width="6.7109375" style="70" customWidth="1"/>
    <col min="3593" max="3593" width="9.85546875" style="70" bestFit="1" customWidth="1"/>
    <col min="3594" max="3594" width="11.140625" style="70" customWidth="1"/>
    <col min="3595" max="3595" width="6.7109375" style="70" customWidth="1"/>
    <col min="3596" max="3596" width="9.85546875" style="70" bestFit="1" customWidth="1"/>
    <col min="3597" max="3597" width="11.140625" style="70" customWidth="1"/>
    <col min="3598" max="3598" width="6.7109375" style="70" customWidth="1"/>
    <col min="3599" max="3599" width="11" style="70" bestFit="1" customWidth="1"/>
    <col min="3600" max="3600" width="11.28515625" style="70" customWidth="1"/>
    <col min="3601" max="3601" width="6.7109375" style="70" customWidth="1"/>
    <col min="3602" max="3603" width="11" style="70" bestFit="1" customWidth="1"/>
    <col min="3604" max="3604" width="25.28515625" style="70" customWidth="1"/>
    <col min="3605" max="3605" width="21" style="70" customWidth="1"/>
    <col min="3606" max="3843" width="9.140625" style="70"/>
    <col min="3844" max="3844" width="4.85546875" style="70" customWidth="1"/>
    <col min="3845" max="3845" width="42.5703125" style="70" customWidth="1"/>
    <col min="3846" max="3846" width="13.42578125" style="70" customWidth="1"/>
    <col min="3847" max="3847" width="5.85546875" style="70" bestFit="1" customWidth="1"/>
    <col min="3848" max="3848" width="6.7109375" style="70" customWidth="1"/>
    <col min="3849" max="3849" width="9.85546875" style="70" bestFit="1" customWidth="1"/>
    <col min="3850" max="3850" width="11.140625" style="70" customWidth="1"/>
    <col min="3851" max="3851" width="6.7109375" style="70" customWidth="1"/>
    <col min="3852" max="3852" width="9.85546875" style="70" bestFit="1" customWidth="1"/>
    <col min="3853" max="3853" width="11.140625" style="70" customWidth="1"/>
    <col min="3854" max="3854" width="6.7109375" style="70" customWidth="1"/>
    <col min="3855" max="3855" width="11" style="70" bestFit="1" customWidth="1"/>
    <col min="3856" max="3856" width="11.28515625" style="70" customWidth="1"/>
    <col min="3857" max="3857" width="6.7109375" style="70" customWidth="1"/>
    <col min="3858" max="3859" width="11" style="70" bestFit="1" customWidth="1"/>
    <col min="3860" max="3860" width="25.28515625" style="70" customWidth="1"/>
    <col min="3861" max="3861" width="21" style="70" customWidth="1"/>
    <col min="3862" max="4099" width="9.140625" style="70"/>
    <col min="4100" max="4100" width="4.85546875" style="70" customWidth="1"/>
    <col min="4101" max="4101" width="42.5703125" style="70" customWidth="1"/>
    <col min="4102" max="4102" width="13.42578125" style="70" customWidth="1"/>
    <col min="4103" max="4103" width="5.85546875" style="70" bestFit="1" customWidth="1"/>
    <col min="4104" max="4104" width="6.7109375" style="70" customWidth="1"/>
    <col min="4105" max="4105" width="9.85546875" style="70" bestFit="1" customWidth="1"/>
    <col min="4106" max="4106" width="11.140625" style="70" customWidth="1"/>
    <col min="4107" max="4107" width="6.7109375" style="70" customWidth="1"/>
    <col min="4108" max="4108" width="9.85546875" style="70" bestFit="1" customWidth="1"/>
    <col min="4109" max="4109" width="11.140625" style="70" customWidth="1"/>
    <col min="4110" max="4110" width="6.7109375" style="70" customWidth="1"/>
    <col min="4111" max="4111" width="11" style="70" bestFit="1" customWidth="1"/>
    <col min="4112" max="4112" width="11.28515625" style="70" customWidth="1"/>
    <col min="4113" max="4113" width="6.7109375" style="70" customWidth="1"/>
    <col min="4114" max="4115" width="11" style="70" bestFit="1" customWidth="1"/>
    <col min="4116" max="4116" width="25.28515625" style="70" customWidth="1"/>
    <col min="4117" max="4117" width="21" style="70" customWidth="1"/>
    <col min="4118" max="4355" width="9.140625" style="70"/>
    <col min="4356" max="4356" width="4.85546875" style="70" customWidth="1"/>
    <col min="4357" max="4357" width="42.5703125" style="70" customWidth="1"/>
    <col min="4358" max="4358" width="13.42578125" style="70" customWidth="1"/>
    <col min="4359" max="4359" width="5.85546875" style="70" bestFit="1" customWidth="1"/>
    <col min="4360" max="4360" width="6.7109375" style="70" customWidth="1"/>
    <col min="4361" max="4361" width="9.85546875" style="70" bestFit="1" customWidth="1"/>
    <col min="4362" max="4362" width="11.140625" style="70" customWidth="1"/>
    <col min="4363" max="4363" width="6.7109375" style="70" customWidth="1"/>
    <col min="4364" max="4364" width="9.85546875" style="70" bestFit="1" customWidth="1"/>
    <col min="4365" max="4365" width="11.140625" style="70" customWidth="1"/>
    <col min="4366" max="4366" width="6.7109375" style="70" customWidth="1"/>
    <col min="4367" max="4367" width="11" style="70" bestFit="1" customWidth="1"/>
    <col min="4368" max="4368" width="11.28515625" style="70" customWidth="1"/>
    <col min="4369" max="4369" width="6.7109375" style="70" customWidth="1"/>
    <col min="4370" max="4371" width="11" style="70" bestFit="1" customWidth="1"/>
    <col min="4372" max="4372" width="25.28515625" style="70" customWidth="1"/>
    <col min="4373" max="4373" width="21" style="70" customWidth="1"/>
    <col min="4374" max="4611" width="9.140625" style="70"/>
    <col min="4612" max="4612" width="4.85546875" style="70" customWidth="1"/>
    <col min="4613" max="4613" width="42.5703125" style="70" customWidth="1"/>
    <col min="4614" max="4614" width="13.42578125" style="70" customWidth="1"/>
    <col min="4615" max="4615" width="5.85546875" style="70" bestFit="1" customWidth="1"/>
    <col min="4616" max="4616" width="6.7109375" style="70" customWidth="1"/>
    <col min="4617" max="4617" width="9.85546875" style="70" bestFit="1" customWidth="1"/>
    <col min="4618" max="4618" width="11.140625" style="70" customWidth="1"/>
    <col min="4619" max="4619" width="6.7109375" style="70" customWidth="1"/>
    <col min="4620" max="4620" width="9.85546875" style="70" bestFit="1" customWidth="1"/>
    <col min="4621" max="4621" width="11.140625" style="70" customWidth="1"/>
    <col min="4622" max="4622" width="6.7109375" style="70" customWidth="1"/>
    <col min="4623" max="4623" width="11" style="70" bestFit="1" customWidth="1"/>
    <col min="4624" max="4624" width="11.28515625" style="70" customWidth="1"/>
    <col min="4625" max="4625" width="6.7109375" style="70" customWidth="1"/>
    <col min="4626" max="4627" width="11" style="70" bestFit="1" customWidth="1"/>
    <col min="4628" max="4628" width="25.28515625" style="70" customWidth="1"/>
    <col min="4629" max="4629" width="21" style="70" customWidth="1"/>
    <col min="4630" max="4867" width="9.140625" style="70"/>
    <col min="4868" max="4868" width="4.85546875" style="70" customWidth="1"/>
    <col min="4869" max="4869" width="42.5703125" style="70" customWidth="1"/>
    <col min="4870" max="4870" width="13.42578125" style="70" customWidth="1"/>
    <col min="4871" max="4871" width="5.85546875" style="70" bestFit="1" customWidth="1"/>
    <col min="4872" max="4872" width="6.7109375" style="70" customWidth="1"/>
    <col min="4873" max="4873" width="9.85546875" style="70" bestFit="1" customWidth="1"/>
    <col min="4874" max="4874" width="11.140625" style="70" customWidth="1"/>
    <col min="4875" max="4875" width="6.7109375" style="70" customWidth="1"/>
    <col min="4876" max="4876" width="9.85546875" style="70" bestFit="1" customWidth="1"/>
    <col min="4877" max="4877" width="11.140625" style="70" customWidth="1"/>
    <col min="4878" max="4878" width="6.7109375" style="70" customWidth="1"/>
    <col min="4879" max="4879" width="11" style="70" bestFit="1" customWidth="1"/>
    <col min="4880" max="4880" width="11.28515625" style="70" customWidth="1"/>
    <col min="4881" max="4881" width="6.7109375" style="70" customWidth="1"/>
    <col min="4882" max="4883" width="11" style="70" bestFit="1" customWidth="1"/>
    <col min="4884" max="4884" width="25.28515625" style="70" customWidth="1"/>
    <col min="4885" max="4885" width="21" style="70" customWidth="1"/>
    <col min="4886" max="5123" width="9.140625" style="70"/>
    <col min="5124" max="5124" width="4.85546875" style="70" customWidth="1"/>
    <col min="5125" max="5125" width="42.5703125" style="70" customWidth="1"/>
    <col min="5126" max="5126" width="13.42578125" style="70" customWidth="1"/>
    <col min="5127" max="5127" width="5.85546875" style="70" bestFit="1" customWidth="1"/>
    <col min="5128" max="5128" width="6.7109375" style="70" customWidth="1"/>
    <col min="5129" max="5129" width="9.85546875" style="70" bestFit="1" customWidth="1"/>
    <col min="5130" max="5130" width="11.140625" style="70" customWidth="1"/>
    <col min="5131" max="5131" width="6.7109375" style="70" customWidth="1"/>
    <col min="5132" max="5132" width="9.85546875" style="70" bestFit="1" customWidth="1"/>
    <col min="5133" max="5133" width="11.140625" style="70" customWidth="1"/>
    <col min="5134" max="5134" width="6.7109375" style="70" customWidth="1"/>
    <col min="5135" max="5135" width="11" style="70" bestFit="1" customWidth="1"/>
    <col min="5136" max="5136" width="11.28515625" style="70" customWidth="1"/>
    <col min="5137" max="5137" width="6.7109375" style="70" customWidth="1"/>
    <col min="5138" max="5139" width="11" style="70" bestFit="1" customWidth="1"/>
    <col min="5140" max="5140" width="25.28515625" style="70" customWidth="1"/>
    <col min="5141" max="5141" width="21" style="70" customWidth="1"/>
    <col min="5142" max="5379" width="9.140625" style="70"/>
    <col min="5380" max="5380" width="4.85546875" style="70" customWidth="1"/>
    <col min="5381" max="5381" width="42.5703125" style="70" customWidth="1"/>
    <col min="5382" max="5382" width="13.42578125" style="70" customWidth="1"/>
    <col min="5383" max="5383" width="5.85546875" style="70" bestFit="1" customWidth="1"/>
    <col min="5384" max="5384" width="6.7109375" style="70" customWidth="1"/>
    <col min="5385" max="5385" width="9.85546875" style="70" bestFit="1" customWidth="1"/>
    <col min="5386" max="5386" width="11.140625" style="70" customWidth="1"/>
    <col min="5387" max="5387" width="6.7109375" style="70" customWidth="1"/>
    <col min="5388" max="5388" width="9.85546875" style="70" bestFit="1" customWidth="1"/>
    <col min="5389" max="5389" width="11.140625" style="70" customWidth="1"/>
    <col min="5390" max="5390" width="6.7109375" style="70" customWidth="1"/>
    <col min="5391" max="5391" width="11" style="70" bestFit="1" customWidth="1"/>
    <col min="5392" max="5392" width="11.28515625" style="70" customWidth="1"/>
    <col min="5393" max="5393" width="6.7109375" style="70" customWidth="1"/>
    <col min="5394" max="5395" width="11" style="70" bestFit="1" customWidth="1"/>
    <col min="5396" max="5396" width="25.28515625" style="70" customWidth="1"/>
    <col min="5397" max="5397" width="21" style="70" customWidth="1"/>
    <col min="5398" max="5635" width="9.140625" style="70"/>
    <col min="5636" max="5636" width="4.85546875" style="70" customWidth="1"/>
    <col min="5637" max="5637" width="42.5703125" style="70" customWidth="1"/>
    <col min="5638" max="5638" width="13.42578125" style="70" customWidth="1"/>
    <col min="5639" max="5639" width="5.85546875" style="70" bestFit="1" customWidth="1"/>
    <col min="5640" max="5640" width="6.7109375" style="70" customWidth="1"/>
    <col min="5641" max="5641" width="9.85546875" style="70" bestFit="1" customWidth="1"/>
    <col min="5642" max="5642" width="11.140625" style="70" customWidth="1"/>
    <col min="5643" max="5643" width="6.7109375" style="70" customWidth="1"/>
    <col min="5644" max="5644" width="9.85546875" style="70" bestFit="1" customWidth="1"/>
    <col min="5645" max="5645" width="11.140625" style="70" customWidth="1"/>
    <col min="5646" max="5646" width="6.7109375" style="70" customWidth="1"/>
    <col min="5647" max="5647" width="11" style="70" bestFit="1" customWidth="1"/>
    <col min="5648" max="5648" width="11.28515625" style="70" customWidth="1"/>
    <col min="5649" max="5649" width="6.7109375" style="70" customWidth="1"/>
    <col min="5650" max="5651" width="11" style="70" bestFit="1" customWidth="1"/>
    <col min="5652" max="5652" width="25.28515625" style="70" customWidth="1"/>
    <col min="5653" max="5653" width="21" style="70" customWidth="1"/>
    <col min="5654" max="5891" width="9.140625" style="70"/>
    <col min="5892" max="5892" width="4.85546875" style="70" customWidth="1"/>
    <col min="5893" max="5893" width="42.5703125" style="70" customWidth="1"/>
    <col min="5894" max="5894" width="13.42578125" style="70" customWidth="1"/>
    <col min="5895" max="5895" width="5.85546875" style="70" bestFit="1" customWidth="1"/>
    <col min="5896" max="5896" width="6.7109375" style="70" customWidth="1"/>
    <col min="5897" max="5897" width="9.85546875" style="70" bestFit="1" customWidth="1"/>
    <col min="5898" max="5898" width="11.140625" style="70" customWidth="1"/>
    <col min="5899" max="5899" width="6.7109375" style="70" customWidth="1"/>
    <col min="5900" max="5900" width="9.85546875" style="70" bestFit="1" customWidth="1"/>
    <col min="5901" max="5901" width="11.140625" style="70" customWidth="1"/>
    <col min="5902" max="5902" width="6.7109375" style="70" customWidth="1"/>
    <col min="5903" max="5903" width="11" style="70" bestFit="1" customWidth="1"/>
    <col min="5904" max="5904" width="11.28515625" style="70" customWidth="1"/>
    <col min="5905" max="5905" width="6.7109375" style="70" customWidth="1"/>
    <col min="5906" max="5907" width="11" style="70" bestFit="1" customWidth="1"/>
    <col min="5908" max="5908" width="25.28515625" style="70" customWidth="1"/>
    <col min="5909" max="5909" width="21" style="70" customWidth="1"/>
    <col min="5910" max="6147" width="9.140625" style="70"/>
    <col min="6148" max="6148" width="4.85546875" style="70" customWidth="1"/>
    <col min="6149" max="6149" width="42.5703125" style="70" customWidth="1"/>
    <col min="6150" max="6150" width="13.42578125" style="70" customWidth="1"/>
    <col min="6151" max="6151" width="5.85546875" style="70" bestFit="1" customWidth="1"/>
    <col min="6152" max="6152" width="6.7109375" style="70" customWidth="1"/>
    <col min="6153" max="6153" width="9.85546875" style="70" bestFit="1" customWidth="1"/>
    <col min="6154" max="6154" width="11.140625" style="70" customWidth="1"/>
    <col min="6155" max="6155" width="6.7109375" style="70" customWidth="1"/>
    <col min="6156" max="6156" width="9.85546875" style="70" bestFit="1" customWidth="1"/>
    <col min="6157" max="6157" width="11.140625" style="70" customWidth="1"/>
    <col min="6158" max="6158" width="6.7109375" style="70" customWidth="1"/>
    <col min="6159" max="6159" width="11" style="70" bestFit="1" customWidth="1"/>
    <col min="6160" max="6160" width="11.28515625" style="70" customWidth="1"/>
    <col min="6161" max="6161" width="6.7109375" style="70" customWidth="1"/>
    <col min="6162" max="6163" width="11" style="70" bestFit="1" customWidth="1"/>
    <col min="6164" max="6164" width="25.28515625" style="70" customWidth="1"/>
    <col min="6165" max="6165" width="21" style="70" customWidth="1"/>
    <col min="6166" max="6403" width="9.140625" style="70"/>
    <col min="6404" max="6404" width="4.85546875" style="70" customWidth="1"/>
    <col min="6405" max="6405" width="42.5703125" style="70" customWidth="1"/>
    <col min="6406" max="6406" width="13.42578125" style="70" customWidth="1"/>
    <col min="6407" max="6407" width="5.85546875" style="70" bestFit="1" customWidth="1"/>
    <col min="6408" max="6408" width="6.7109375" style="70" customWidth="1"/>
    <col min="6409" max="6409" width="9.85546875" style="70" bestFit="1" customWidth="1"/>
    <col min="6410" max="6410" width="11.140625" style="70" customWidth="1"/>
    <col min="6411" max="6411" width="6.7109375" style="70" customWidth="1"/>
    <col min="6412" max="6412" width="9.85546875" style="70" bestFit="1" customWidth="1"/>
    <col min="6413" max="6413" width="11.140625" style="70" customWidth="1"/>
    <col min="6414" max="6414" width="6.7109375" style="70" customWidth="1"/>
    <col min="6415" max="6415" width="11" style="70" bestFit="1" customWidth="1"/>
    <col min="6416" max="6416" width="11.28515625" style="70" customWidth="1"/>
    <col min="6417" max="6417" width="6.7109375" style="70" customWidth="1"/>
    <col min="6418" max="6419" width="11" style="70" bestFit="1" customWidth="1"/>
    <col min="6420" max="6420" width="25.28515625" style="70" customWidth="1"/>
    <col min="6421" max="6421" width="21" style="70" customWidth="1"/>
    <col min="6422" max="6659" width="9.140625" style="70"/>
    <col min="6660" max="6660" width="4.85546875" style="70" customWidth="1"/>
    <col min="6661" max="6661" width="42.5703125" style="70" customWidth="1"/>
    <col min="6662" max="6662" width="13.42578125" style="70" customWidth="1"/>
    <col min="6663" max="6663" width="5.85546875" style="70" bestFit="1" customWidth="1"/>
    <col min="6664" max="6664" width="6.7109375" style="70" customWidth="1"/>
    <col min="6665" max="6665" width="9.85546875" style="70" bestFit="1" customWidth="1"/>
    <col min="6666" max="6666" width="11.140625" style="70" customWidth="1"/>
    <col min="6667" max="6667" width="6.7109375" style="70" customWidth="1"/>
    <col min="6668" max="6668" width="9.85546875" style="70" bestFit="1" customWidth="1"/>
    <col min="6669" max="6669" width="11.140625" style="70" customWidth="1"/>
    <col min="6670" max="6670" width="6.7109375" style="70" customWidth="1"/>
    <col min="6671" max="6671" width="11" style="70" bestFit="1" customWidth="1"/>
    <col min="6672" max="6672" width="11.28515625" style="70" customWidth="1"/>
    <col min="6673" max="6673" width="6.7109375" style="70" customWidth="1"/>
    <col min="6674" max="6675" width="11" style="70" bestFit="1" customWidth="1"/>
    <col min="6676" max="6676" width="25.28515625" style="70" customWidth="1"/>
    <col min="6677" max="6677" width="21" style="70" customWidth="1"/>
    <col min="6678" max="6915" width="9.140625" style="70"/>
    <col min="6916" max="6916" width="4.85546875" style="70" customWidth="1"/>
    <col min="6917" max="6917" width="42.5703125" style="70" customWidth="1"/>
    <col min="6918" max="6918" width="13.42578125" style="70" customWidth="1"/>
    <col min="6919" max="6919" width="5.85546875" style="70" bestFit="1" customWidth="1"/>
    <col min="6920" max="6920" width="6.7109375" style="70" customWidth="1"/>
    <col min="6921" max="6921" width="9.85546875" style="70" bestFit="1" customWidth="1"/>
    <col min="6922" max="6922" width="11.140625" style="70" customWidth="1"/>
    <col min="6923" max="6923" width="6.7109375" style="70" customWidth="1"/>
    <col min="6924" max="6924" width="9.85546875" style="70" bestFit="1" customWidth="1"/>
    <col min="6925" max="6925" width="11.140625" style="70" customWidth="1"/>
    <col min="6926" max="6926" width="6.7109375" style="70" customWidth="1"/>
    <col min="6927" max="6927" width="11" style="70" bestFit="1" customWidth="1"/>
    <col min="6928" max="6928" width="11.28515625" style="70" customWidth="1"/>
    <col min="6929" max="6929" width="6.7109375" style="70" customWidth="1"/>
    <col min="6930" max="6931" width="11" style="70" bestFit="1" customWidth="1"/>
    <col min="6932" max="6932" width="25.28515625" style="70" customWidth="1"/>
    <col min="6933" max="6933" width="21" style="70" customWidth="1"/>
    <col min="6934" max="7171" width="9.140625" style="70"/>
    <col min="7172" max="7172" width="4.85546875" style="70" customWidth="1"/>
    <col min="7173" max="7173" width="42.5703125" style="70" customWidth="1"/>
    <col min="7174" max="7174" width="13.42578125" style="70" customWidth="1"/>
    <col min="7175" max="7175" width="5.85546875" style="70" bestFit="1" customWidth="1"/>
    <col min="7176" max="7176" width="6.7109375" style="70" customWidth="1"/>
    <col min="7177" max="7177" width="9.85546875" style="70" bestFit="1" customWidth="1"/>
    <col min="7178" max="7178" width="11.140625" style="70" customWidth="1"/>
    <col min="7179" max="7179" width="6.7109375" style="70" customWidth="1"/>
    <col min="7180" max="7180" width="9.85546875" style="70" bestFit="1" customWidth="1"/>
    <col min="7181" max="7181" width="11.140625" style="70" customWidth="1"/>
    <col min="7182" max="7182" width="6.7109375" style="70" customWidth="1"/>
    <col min="7183" max="7183" width="11" style="70" bestFit="1" customWidth="1"/>
    <col min="7184" max="7184" width="11.28515625" style="70" customWidth="1"/>
    <col min="7185" max="7185" width="6.7109375" style="70" customWidth="1"/>
    <col min="7186" max="7187" width="11" style="70" bestFit="1" customWidth="1"/>
    <col min="7188" max="7188" width="25.28515625" style="70" customWidth="1"/>
    <col min="7189" max="7189" width="21" style="70" customWidth="1"/>
    <col min="7190" max="7427" width="9.140625" style="70"/>
    <col min="7428" max="7428" width="4.85546875" style="70" customWidth="1"/>
    <col min="7429" max="7429" width="42.5703125" style="70" customWidth="1"/>
    <col min="7430" max="7430" width="13.42578125" style="70" customWidth="1"/>
    <col min="7431" max="7431" width="5.85546875" style="70" bestFit="1" customWidth="1"/>
    <col min="7432" max="7432" width="6.7109375" style="70" customWidth="1"/>
    <col min="7433" max="7433" width="9.85546875" style="70" bestFit="1" customWidth="1"/>
    <col min="7434" max="7434" width="11.140625" style="70" customWidth="1"/>
    <col min="7435" max="7435" width="6.7109375" style="70" customWidth="1"/>
    <col min="7436" max="7436" width="9.85546875" style="70" bestFit="1" customWidth="1"/>
    <col min="7437" max="7437" width="11.140625" style="70" customWidth="1"/>
    <col min="7438" max="7438" width="6.7109375" style="70" customWidth="1"/>
    <col min="7439" max="7439" width="11" style="70" bestFit="1" customWidth="1"/>
    <col min="7440" max="7440" width="11.28515625" style="70" customWidth="1"/>
    <col min="7441" max="7441" width="6.7109375" style="70" customWidth="1"/>
    <col min="7442" max="7443" width="11" style="70" bestFit="1" customWidth="1"/>
    <col min="7444" max="7444" width="25.28515625" style="70" customWidth="1"/>
    <col min="7445" max="7445" width="21" style="70" customWidth="1"/>
    <col min="7446" max="7683" width="9.140625" style="70"/>
    <col min="7684" max="7684" width="4.85546875" style="70" customWidth="1"/>
    <col min="7685" max="7685" width="42.5703125" style="70" customWidth="1"/>
    <col min="7686" max="7686" width="13.42578125" style="70" customWidth="1"/>
    <col min="7687" max="7687" width="5.85546875" style="70" bestFit="1" customWidth="1"/>
    <col min="7688" max="7688" width="6.7109375" style="70" customWidth="1"/>
    <col min="7689" max="7689" width="9.85546875" style="70" bestFit="1" customWidth="1"/>
    <col min="7690" max="7690" width="11.140625" style="70" customWidth="1"/>
    <col min="7691" max="7691" width="6.7109375" style="70" customWidth="1"/>
    <col min="7692" max="7692" width="9.85546875" style="70" bestFit="1" customWidth="1"/>
    <col min="7693" max="7693" width="11.140625" style="70" customWidth="1"/>
    <col min="7694" max="7694" width="6.7109375" style="70" customWidth="1"/>
    <col min="7695" max="7695" width="11" style="70" bestFit="1" customWidth="1"/>
    <col min="7696" max="7696" width="11.28515625" style="70" customWidth="1"/>
    <col min="7697" max="7697" width="6.7109375" style="70" customWidth="1"/>
    <col min="7698" max="7699" width="11" style="70" bestFit="1" customWidth="1"/>
    <col min="7700" max="7700" width="25.28515625" style="70" customWidth="1"/>
    <col min="7701" max="7701" width="21" style="70" customWidth="1"/>
    <col min="7702" max="7939" width="9.140625" style="70"/>
    <col min="7940" max="7940" width="4.85546875" style="70" customWidth="1"/>
    <col min="7941" max="7941" width="42.5703125" style="70" customWidth="1"/>
    <col min="7942" max="7942" width="13.42578125" style="70" customWidth="1"/>
    <col min="7943" max="7943" width="5.85546875" style="70" bestFit="1" customWidth="1"/>
    <col min="7944" max="7944" width="6.7109375" style="70" customWidth="1"/>
    <col min="7945" max="7945" width="9.85546875" style="70" bestFit="1" customWidth="1"/>
    <col min="7946" max="7946" width="11.140625" style="70" customWidth="1"/>
    <col min="7947" max="7947" width="6.7109375" style="70" customWidth="1"/>
    <col min="7948" max="7948" width="9.85546875" style="70" bestFit="1" customWidth="1"/>
    <col min="7949" max="7949" width="11.140625" style="70" customWidth="1"/>
    <col min="7950" max="7950" width="6.7109375" style="70" customWidth="1"/>
    <col min="7951" max="7951" width="11" style="70" bestFit="1" customWidth="1"/>
    <col min="7952" max="7952" width="11.28515625" style="70" customWidth="1"/>
    <col min="7953" max="7953" width="6.7109375" style="70" customWidth="1"/>
    <col min="7954" max="7955" width="11" style="70" bestFit="1" customWidth="1"/>
    <col min="7956" max="7956" width="25.28515625" style="70" customWidth="1"/>
    <col min="7957" max="7957" width="21" style="70" customWidth="1"/>
    <col min="7958" max="8195" width="9.140625" style="70"/>
    <col min="8196" max="8196" width="4.85546875" style="70" customWidth="1"/>
    <col min="8197" max="8197" width="42.5703125" style="70" customWidth="1"/>
    <col min="8198" max="8198" width="13.42578125" style="70" customWidth="1"/>
    <col min="8199" max="8199" width="5.85546875" style="70" bestFit="1" customWidth="1"/>
    <col min="8200" max="8200" width="6.7109375" style="70" customWidth="1"/>
    <col min="8201" max="8201" width="9.85546875" style="70" bestFit="1" customWidth="1"/>
    <col min="8202" max="8202" width="11.140625" style="70" customWidth="1"/>
    <col min="8203" max="8203" width="6.7109375" style="70" customWidth="1"/>
    <col min="8204" max="8204" width="9.85546875" style="70" bestFit="1" customWidth="1"/>
    <col min="8205" max="8205" width="11.140625" style="70" customWidth="1"/>
    <col min="8206" max="8206" width="6.7109375" style="70" customWidth="1"/>
    <col min="8207" max="8207" width="11" style="70" bestFit="1" customWidth="1"/>
    <col min="8208" max="8208" width="11.28515625" style="70" customWidth="1"/>
    <col min="8209" max="8209" width="6.7109375" style="70" customWidth="1"/>
    <col min="8210" max="8211" width="11" style="70" bestFit="1" customWidth="1"/>
    <col min="8212" max="8212" width="25.28515625" style="70" customWidth="1"/>
    <col min="8213" max="8213" width="21" style="70" customWidth="1"/>
    <col min="8214" max="8451" width="9.140625" style="70"/>
    <col min="8452" max="8452" width="4.85546875" style="70" customWidth="1"/>
    <col min="8453" max="8453" width="42.5703125" style="70" customWidth="1"/>
    <col min="8454" max="8454" width="13.42578125" style="70" customWidth="1"/>
    <col min="8455" max="8455" width="5.85546875" style="70" bestFit="1" customWidth="1"/>
    <col min="8456" max="8456" width="6.7109375" style="70" customWidth="1"/>
    <col min="8457" max="8457" width="9.85546875" style="70" bestFit="1" customWidth="1"/>
    <col min="8458" max="8458" width="11.140625" style="70" customWidth="1"/>
    <col min="8459" max="8459" width="6.7109375" style="70" customWidth="1"/>
    <col min="8460" max="8460" width="9.85546875" style="70" bestFit="1" customWidth="1"/>
    <col min="8461" max="8461" width="11.140625" style="70" customWidth="1"/>
    <col min="8462" max="8462" width="6.7109375" style="70" customWidth="1"/>
    <col min="8463" max="8463" width="11" style="70" bestFit="1" customWidth="1"/>
    <col min="8464" max="8464" width="11.28515625" style="70" customWidth="1"/>
    <col min="8465" max="8465" width="6.7109375" style="70" customWidth="1"/>
    <col min="8466" max="8467" width="11" style="70" bestFit="1" customWidth="1"/>
    <col min="8468" max="8468" width="25.28515625" style="70" customWidth="1"/>
    <col min="8469" max="8469" width="21" style="70" customWidth="1"/>
    <col min="8470" max="8707" width="9.140625" style="70"/>
    <col min="8708" max="8708" width="4.85546875" style="70" customWidth="1"/>
    <col min="8709" max="8709" width="42.5703125" style="70" customWidth="1"/>
    <col min="8710" max="8710" width="13.42578125" style="70" customWidth="1"/>
    <col min="8711" max="8711" width="5.85546875" style="70" bestFit="1" customWidth="1"/>
    <col min="8712" max="8712" width="6.7109375" style="70" customWidth="1"/>
    <col min="8713" max="8713" width="9.85546875" style="70" bestFit="1" customWidth="1"/>
    <col min="8714" max="8714" width="11.140625" style="70" customWidth="1"/>
    <col min="8715" max="8715" width="6.7109375" style="70" customWidth="1"/>
    <col min="8716" max="8716" width="9.85546875" style="70" bestFit="1" customWidth="1"/>
    <col min="8717" max="8717" width="11.140625" style="70" customWidth="1"/>
    <col min="8718" max="8718" width="6.7109375" style="70" customWidth="1"/>
    <col min="8719" max="8719" width="11" style="70" bestFit="1" customWidth="1"/>
    <col min="8720" max="8720" width="11.28515625" style="70" customWidth="1"/>
    <col min="8721" max="8721" width="6.7109375" style="70" customWidth="1"/>
    <col min="8722" max="8723" width="11" style="70" bestFit="1" customWidth="1"/>
    <col min="8724" max="8724" width="25.28515625" style="70" customWidth="1"/>
    <col min="8725" max="8725" width="21" style="70" customWidth="1"/>
    <col min="8726" max="8963" width="9.140625" style="70"/>
    <col min="8964" max="8964" width="4.85546875" style="70" customWidth="1"/>
    <col min="8965" max="8965" width="42.5703125" style="70" customWidth="1"/>
    <col min="8966" max="8966" width="13.42578125" style="70" customWidth="1"/>
    <col min="8967" max="8967" width="5.85546875" style="70" bestFit="1" customWidth="1"/>
    <col min="8968" max="8968" width="6.7109375" style="70" customWidth="1"/>
    <col min="8969" max="8969" width="9.85546875" style="70" bestFit="1" customWidth="1"/>
    <col min="8970" max="8970" width="11.140625" style="70" customWidth="1"/>
    <col min="8971" max="8971" width="6.7109375" style="70" customWidth="1"/>
    <col min="8972" max="8972" width="9.85546875" style="70" bestFit="1" customWidth="1"/>
    <col min="8973" max="8973" width="11.140625" style="70" customWidth="1"/>
    <col min="8974" max="8974" width="6.7109375" style="70" customWidth="1"/>
    <col min="8975" max="8975" width="11" style="70" bestFit="1" customWidth="1"/>
    <col min="8976" max="8976" width="11.28515625" style="70" customWidth="1"/>
    <col min="8977" max="8977" width="6.7109375" style="70" customWidth="1"/>
    <col min="8978" max="8979" width="11" style="70" bestFit="1" customWidth="1"/>
    <col min="8980" max="8980" width="25.28515625" style="70" customWidth="1"/>
    <col min="8981" max="8981" width="21" style="70" customWidth="1"/>
    <col min="8982" max="9219" width="9.140625" style="70"/>
    <col min="9220" max="9220" width="4.85546875" style="70" customWidth="1"/>
    <col min="9221" max="9221" width="42.5703125" style="70" customWidth="1"/>
    <col min="9222" max="9222" width="13.42578125" style="70" customWidth="1"/>
    <col min="9223" max="9223" width="5.85546875" style="70" bestFit="1" customWidth="1"/>
    <col min="9224" max="9224" width="6.7109375" style="70" customWidth="1"/>
    <col min="9225" max="9225" width="9.85546875" style="70" bestFit="1" customWidth="1"/>
    <col min="9226" max="9226" width="11.140625" style="70" customWidth="1"/>
    <col min="9227" max="9227" width="6.7109375" style="70" customWidth="1"/>
    <col min="9228" max="9228" width="9.85546875" style="70" bestFit="1" customWidth="1"/>
    <col min="9229" max="9229" width="11.140625" style="70" customWidth="1"/>
    <col min="9230" max="9230" width="6.7109375" style="70" customWidth="1"/>
    <col min="9231" max="9231" width="11" style="70" bestFit="1" customWidth="1"/>
    <col min="9232" max="9232" width="11.28515625" style="70" customWidth="1"/>
    <col min="9233" max="9233" width="6.7109375" style="70" customWidth="1"/>
    <col min="9234" max="9235" width="11" style="70" bestFit="1" customWidth="1"/>
    <col min="9236" max="9236" width="25.28515625" style="70" customWidth="1"/>
    <col min="9237" max="9237" width="21" style="70" customWidth="1"/>
    <col min="9238" max="9475" width="9.140625" style="70"/>
    <col min="9476" max="9476" width="4.85546875" style="70" customWidth="1"/>
    <col min="9477" max="9477" width="42.5703125" style="70" customWidth="1"/>
    <col min="9478" max="9478" width="13.42578125" style="70" customWidth="1"/>
    <col min="9479" max="9479" width="5.85546875" style="70" bestFit="1" customWidth="1"/>
    <col min="9480" max="9480" width="6.7109375" style="70" customWidth="1"/>
    <col min="9481" max="9481" width="9.85546875" style="70" bestFit="1" customWidth="1"/>
    <col min="9482" max="9482" width="11.140625" style="70" customWidth="1"/>
    <col min="9483" max="9483" width="6.7109375" style="70" customWidth="1"/>
    <col min="9484" max="9484" width="9.85546875" style="70" bestFit="1" customWidth="1"/>
    <col min="9485" max="9485" width="11.140625" style="70" customWidth="1"/>
    <col min="9486" max="9486" width="6.7109375" style="70" customWidth="1"/>
    <col min="9487" max="9487" width="11" style="70" bestFit="1" customWidth="1"/>
    <col min="9488" max="9488" width="11.28515625" style="70" customWidth="1"/>
    <col min="9489" max="9489" width="6.7109375" style="70" customWidth="1"/>
    <col min="9490" max="9491" width="11" style="70" bestFit="1" customWidth="1"/>
    <col min="9492" max="9492" width="25.28515625" style="70" customWidth="1"/>
    <col min="9493" max="9493" width="21" style="70" customWidth="1"/>
    <col min="9494" max="9731" width="9.140625" style="70"/>
    <col min="9732" max="9732" width="4.85546875" style="70" customWidth="1"/>
    <col min="9733" max="9733" width="42.5703125" style="70" customWidth="1"/>
    <col min="9734" max="9734" width="13.42578125" style="70" customWidth="1"/>
    <col min="9735" max="9735" width="5.85546875" style="70" bestFit="1" customWidth="1"/>
    <col min="9736" max="9736" width="6.7109375" style="70" customWidth="1"/>
    <col min="9737" max="9737" width="9.85546875" style="70" bestFit="1" customWidth="1"/>
    <col min="9738" max="9738" width="11.140625" style="70" customWidth="1"/>
    <col min="9739" max="9739" width="6.7109375" style="70" customWidth="1"/>
    <col min="9740" max="9740" width="9.85546875" style="70" bestFit="1" customWidth="1"/>
    <col min="9741" max="9741" width="11.140625" style="70" customWidth="1"/>
    <col min="9742" max="9742" width="6.7109375" style="70" customWidth="1"/>
    <col min="9743" max="9743" width="11" style="70" bestFit="1" customWidth="1"/>
    <col min="9744" max="9744" width="11.28515625" style="70" customWidth="1"/>
    <col min="9745" max="9745" width="6.7109375" style="70" customWidth="1"/>
    <col min="9746" max="9747" width="11" style="70" bestFit="1" customWidth="1"/>
    <col min="9748" max="9748" width="25.28515625" style="70" customWidth="1"/>
    <col min="9749" max="9749" width="21" style="70" customWidth="1"/>
    <col min="9750" max="9987" width="9.140625" style="70"/>
    <col min="9988" max="9988" width="4.85546875" style="70" customWidth="1"/>
    <col min="9989" max="9989" width="42.5703125" style="70" customWidth="1"/>
    <col min="9990" max="9990" width="13.42578125" style="70" customWidth="1"/>
    <col min="9991" max="9991" width="5.85546875" style="70" bestFit="1" customWidth="1"/>
    <col min="9992" max="9992" width="6.7109375" style="70" customWidth="1"/>
    <col min="9993" max="9993" width="9.85546875" style="70" bestFit="1" customWidth="1"/>
    <col min="9994" max="9994" width="11.140625" style="70" customWidth="1"/>
    <col min="9995" max="9995" width="6.7109375" style="70" customWidth="1"/>
    <col min="9996" max="9996" width="9.85546875" style="70" bestFit="1" customWidth="1"/>
    <col min="9997" max="9997" width="11.140625" style="70" customWidth="1"/>
    <col min="9998" max="9998" width="6.7109375" style="70" customWidth="1"/>
    <col min="9999" max="9999" width="11" style="70" bestFit="1" customWidth="1"/>
    <col min="10000" max="10000" width="11.28515625" style="70" customWidth="1"/>
    <col min="10001" max="10001" width="6.7109375" style="70" customWidth="1"/>
    <col min="10002" max="10003" width="11" style="70" bestFit="1" customWidth="1"/>
    <col min="10004" max="10004" width="25.28515625" style="70" customWidth="1"/>
    <col min="10005" max="10005" width="21" style="70" customWidth="1"/>
    <col min="10006" max="10243" width="9.140625" style="70"/>
    <col min="10244" max="10244" width="4.85546875" style="70" customWidth="1"/>
    <col min="10245" max="10245" width="42.5703125" style="70" customWidth="1"/>
    <col min="10246" max="10246" width="13.42578125" style="70" customWidth="1"/>
    <col min="10247" max="10247" width="5.85546875" style="70" bestFit="1" customWidth="1"/>
    <col min="10248" max="10248" width="6.7109375" style="70" customWidth="1"/>
    <col min="10249" max="10249" width="9.85546875" style="70" bestFit="1" customWidth="1"/>
    <col min="10250" max="10250" width="11.140625" style="70" customWidth="1"/>
    <col min="10251" max="10251" width="6.7109375" style="70" customWidth="1"/>
    <col min="10252" max="10252" width="9.85546875" style="70" bestFit="1" customWidth="1"/>
    <col min="10253" max="10253" width="11.140625" style="70" customWidth="1"/>
    <col min="10254" max="10254" width="6.7109375" style="70" customWidth="1"/>
    <col min="10255" max="10255" width="11" style="70" bestFit="1" customWidth="1"/>
    <col min="10256" max="10256" width="11.28515625" style="70" customWidth="1"/>
    <col min="10257" max="10257" width="6.7109375" style="70" customWidth="1"/>
    <col min="10258" max="10259" width="11" style="70" bestFit="1" customWidth="1"/>
    <col min="10260" max="10260" width="25.28515625" style="70" customWidth="1"/>
    <col min="10261" max="10261" width="21" style="70" customWidth="1"/>
    <col min="10262" max="10499" width="9.140625" style="70"/>
    <col min="10500" max="10500" width="4.85546875" style="70" customWidth="1"/>
    <col min="10501" max="10501" width="42.5703125" style="70" customWidth="1"/>
    <col min="10502" max="10502" width="13.42578125" style="70" customWidth="1"/>
    <col min="10503" max="10503" width="5.85546875" style="70" bestFit="1" customWidth="1"/>
    <col min="10504" max="10504" width="6.7109375" style="70" customWidth="1"/>
    <col min="10505" max="10505" width="9.85546875" style="70" bestFit="1" customWidth="1"/>
    <col min="10506" max="10506" width="11.140625" style="70" customWidth="1"/>
    <col min="10507" max="10507" width="6.7109375" style="70" customWidth="1"/>
    <col min="10508" max="10508" width="9.85546875" style="70" bestFit="1" customWidth="1"/>
    <col min="10509" max="10509" width="11.140625" style="70" customWidth="1"/>
    <col min="10510" max="10510" width="6.7109375" style="70" customWidth="1"/>
    <col min="10511" max="10511" width="11" style="70" bestFit="1" customWidth="1"/>
    <col min="10512" max="10512" width="11.28515625" style="70" customWidth="1"/>
    <col min="10513" max="10513" width="6.7109375" style="70" customWidth="1"/>
    <col min="10514" max="10515" width="11" style="70" bestFit="1" customWidth="1"/>
    <col min="10516" max="10516" width="25.28515625" style="70" customWidth="1"/>
    <col min="10517" max="10517" width="21" style="70" customWidth="1"/>
    <col min="10518" max="10755" width="9.140625" style="70"/>
    <col min="10756" max="10756" width="4.85546875" style="70" customWidth="1"/>
    <col min="10757" max="10757" width="42.5703125" style="70" customWidth="1"/>
    <col min="10758" max="10758" width="13.42578125" style="70" customWidth="1"/>
    <col min="10759" max="10759" width="5.85546875" style="70" bestFit="1" customWidth="1"/>
    <col min="10760" max="10760" width="6.7109375" style="70" customWidth="1"/>
    <col min="10761" max="10761" width="9.85546875" style="70" bestFit="1" customWidth="1"/>
    <col min="10762" max="10762" width="11.140625" style="70" customWidth="1"/>
    <col min="10763" max="10763" width="6.7109375" style="70" customWidth="1"/>
    <col min="10764" max="10764" width="9.85546875" style="70" bestFit="1" customWidth="1"/>
    <col min="10765" max="10765" width="11.140625" style="70" customWidth="1"/>
    <col min="10766" max="10766" width="6.7109375" style="70" customWidth="1"/>
    <col min="10767" max="10767" width="11" style="70" bestFit="1" customWidth="1"/>
    <col min="10768" max="10768" width="11.28515625" style="70" customWidth="1"/>
    <col min="10769" max="10769" width="6.7109375" style="70" customWidth="1"/>
    <col min="10770" max="10771" width="11" style="70" bestFit="1" customWidth="1"/>
    <col min="10772" max="10772" width="25.28515625" style="70" customWidth="1"/>
    <col min="10773" max="10773" width="21" style="70" customWidth="1"/>
    <col min="10774" max="11011" width="9.140625" style="70"/>
    <col min="11012" max="11012" width="4.85546875" style="70" customWidth="1"/>
    <col min="11013" max="11013" width="42.5703125" style="70" customWidth="1"/>
    <col min="11014" max="11014" width="13.42578125" style="70" customWidth="1"/>
    <col min="11015" max="11015" width="5.85546875" style="70" bestFit="1" customWidth="1"/>
    <col min="11016" max="11016" width="6.7109375" style="70" customWidth="1"/>
    <col min="11017" max="11017" width="9.85546875" style="70" bestFit="1" customWidth="1"/>
    <col min="11018" max="11018" width="11.140625" style="70" customWidth="1"/>
    <col min="11019" max="11019" width="6.7109375" style="70" customWidth="1"/>
    <col min="11020" max="11020" width="9.85546875" style="70" bestFit="1" customWidth="1"/>
    <col min="11021" max="11021" width="11.140625" style="70" customWidth="1"/>
    <col min="11022" max="11022" width="6.7109375" style="70" customWidth="1"/>
    <col min="11023" max="11023" width="11" style="70" bestFit="1" customWidth="1"/>
    <col min="11024" max="11024" width="11.28515625" style="70" customWidth="1"/>
    <col min="11025" max="11025" width="6.7109375" style="70" customWidth="1"/>
    <col min="11026" max="11027" width="11" style="70" bestFit="1" customWidth="1"/>
    <col min="11028" max="11028" width="25.28515625" style="70" customWidth="1"/>
    <col min="11029" max="11029" width="21" style="70" customWidth="1"/>
    <col min="11030" max="11267" width="9.140625" style="70"/>
    <col min="11268" max="11268" width="4.85546875" style="70" customWidth="1"/>
    <col min="11269" max="11269" width="42.5703125" style="70" customWidth="1"/>
    <col min="11270" max="11270" width="13.42578125" style="70" customWidth="1"/>
    <col min="11271" max="11271" width="5.85546875" style="70" bestFit="1" customWidth="1"/>
    <col min="11272" max="11272" width="6.7109375" style="70" customWidth="1"/>
    <col min="11273" max="11273" width="9.85546875" style="70" bestFit="1" customWidth="1"/>
    <col min="11274" max="11274" width="11.140625" style="70" customWidth="1"/>
    <col min="11275" max="11275" width="6.7109375" style="70" customWidth="1"/>
    <col min="11276" max="11276" width="9.85546875" style="70" bestFit="1" customWidth="1"/>
    <col min="11277" max="11277" width="11.140625" style="70" customWidth="1"/>
    <col min="11278" max="11278" width="6.7109375" style="70" customWidth="1"/>
    <col min="11279" max="11279" width="11" style="70" bestFit="1" customWidth="1"/>
    <col min="11280" max="11280" width="11.28515625" style="70" customWidth="1"/>
    <col min="11281" max="11281" width="6.7109375" style="70" customWidth="1"/>
    <col min="11282" max="11283" width="11" style="70" bestFit="1" customWidth="1"/>
    <col min="11284" max="11284" width="25.28515625" style="70" customWidth="1"/>
    <col min="11285" max="11285" width="21" style="70" customWidth="1"/>
    <col min="11286" max="11523" width="9.140625" style="70"/>
    <col min="11524" max="11524" width="4.85546875" style="70" customWidth="1"/>
    <col min="11525" max="11525" width="42.5703125" style="70" customWidth="1"/>
    <col min="11526" max="11526" width="13.42578125" style="70" customWidth="1"/>
    <col min="11527" max="11527" width="5.85546875" style="70" bestFit="1" customWidth="1"/>
    <col min="11528" max="11528" width="6.7109375" style="70" customWidth="1"/>
    <col min="11529" max="11529" width="9.85546875" style="70" bestFit="1" customWidth="1"/>
    <col min="11530" max="11530" width="11.140625" style="70" customWidth="1"/>
    <col min="11531" max="11531" width="6.7109375" style="70" customWidth="1"/>
    <col min="11532" max="11532" width="9.85546875" style="70" bestFit="1" customWidth="1"/>
    <col min="11533" max="11533" width="11.140625" style="70" customWidth="1"/>
    <col min="11534" max="11534" width="6.7109375" style="70" customWidth="1"/>
    <col min="11535" max="11535" width="11" style="70" bestFit="1" customWidth="1"/>
    <col min="11536" max="11536" width="11.28515625" style="70" customWidth="1"/>
    <col min="11537" max="11537" width="6.7109375" style="70" customWidth="1"/>
    <col min="11538" max="11539" width="11" style="70" bestFit="1" customWidth="1"/>
    <col min="11540" max="11540" width="25.28515625" style="70" customWidth="1"/>
    <col min="11541" max="11541" width="21" style="70" customWidth="1"/>
    <col min="11542" max="11779" width="9.140625" style="70"/>
    <col min="11780" max="11780" width="4.85546875" style="70" customWidth="1"/>
    <col min="11781" max="11781" width="42.5703125" style="70" customWidth="1"/>
    <col min="11782" max="11782" width="13.42578125" style="70" customWidth="1"/>
    <col min="11783" max="11783" width="5.85546875" style="70" bestFit="1" customWidth="1"/>
    <col min="11784" max="11784" width="6.7109375" style="70" customWidth="1"/>
    <col min="11785" max="11785" width="9.85546875" style="70" bestFit="1" customWidth="1"/>
    <col min="11786" max="11786" width="11.140625" style="70" customWidth="1"/>
    <col min="11787" max="11787" width="6.7109375" style="70" customWidth="1"/>
    <col min="11788" max="11788" width="9.85546875" style="70" bestFit="1" customWidth="1"/>
    <col min="11789" max="11789" width="11.140625" style="70" customWidth="1"/>
    <col min="11790" max="11790" width="6.7109375" style="70" customWidth="1"/>
    <col min="11791" max="11791" width="11" style="70" bestFit="1" customWidth="1"/>
    <col min="11792" max="11792" width="11.28515625" style="70" customWidth="1"/>
    <col min="11793" max="11793" width="6.7109375" style="70" customWidth="1"/>
    <col min="11794" max="11795" width="11" style="70" bestFit="1" customWidth="1"/>
    <col min="11796" max="11796" width="25.28515625" style="70" customWidth="1"/>
    <col min="11797" max="11797" width="21" style="70" customWidth="1"/>
    <col min="11798" max="12035" width="9.140625" style="70"/>
    <col min="12036" max="12036" width="4.85546875" style="70" customWidth="1"/>
    <col min="12037" max="12037" width="42.5703125" style="70" customWidth="1"/>
    <col min="12038" max="12038" width="13.42578125" style="70" customWidth="1"/>
    <col min="12039" max="12039" width="5.85546875" style="70" bestFit="1" customWidth="1"/>
    <col min="12040" max="12040" width="6.7109375" style="70" customWidth="1"/>
    <col min="12041" max="12041" width="9.85546875" style="70" bestFit="1" customWidth="1"/>
    <col min="12042" max="12042" width="11.140625" style="70" customWidth="1"/>
    <col min="12043" max="12043" width="6.7109375" style="70" customWidth="1"/>
    <col min="12044" max="12044" width="9.85546875" style="70" bestFit="1" customWidth="1"/>
    <col min="12045" max="12045" width="11.140625" style="70" customWidth="1"/>
    <col min="12046" max="12046" width="6.7109375" style="70" customWidth="1"/>
    <col min="12047" max="12047" width="11" style="70" bestFit="1" customWidth="1"/>
    <col min="12048" max="12048" width="11.28515625" style="70" customWidth="1"/>
    <col min="12049" max="12049" width="6.7109375" style="70" customWidth="1"/>
    <col min="12050" max="12051" width="11" style="70" bestFit="1" customWidth="1"/>
    <col min="12052" max="12052" width="25.28515625" style="70" customWidth="1"/>
    <col min="12053" max="12053" width="21" style="70" customWidth="1"/>
    <col min="12054" max="12291" width="9.140625" style="70"/>
    <col min="12292" max="12292" width="4.85546875" style="70" customWidth="1"/>
    <col min="12293" max="12293" width="42.5703125" style="70" customWidth="1"/>
    <col min="12294" max="12294" width="13.42578125" style="70" customWidth="1"/>
    <col min="12295" max="12295" width="5.85546875" style="70" bestFit="1" customWidth="1"/>
    <col min="12296" max="12296" width="6.7109375" style="70" customWidth="1"/>
    <col min="12297" max="12297" width="9.85546875" style="70" bestFit="1" customWidth="1"/>
    <col min="12298" max="12298" width="11.140625" style="70" customWidth="1"/>
    <col min="12299" max="12299" width="6.7109375" style="70" customWidth="1"/>
    <col min="12300" max="12300" width="9.85546875" style="70" bestFit="1" customWidth="1"/>
    <col min="12301" max="12301" width="11.140625" style="70" customWidth="1"/>
    <col min="12302" max="12302" width="6.7109375" style="70" customWidth="1"/>
    <col min="12303" max="12303" width="11" style="70" bestFit="1" customWidth="1"/>
    <col min="12304" max="12304" width="11.28515625" style="70" customWidth="1"/>
    <col min="12305" max="12305" width="6.7109375" style="70" customWidth="1"/>
    <col min="12306" max="12307" width="11" style="70" bestFit="1" customWidth="1"/>
    <col min="12308" max="12308" width="25.28515625" style="70" customWidth="1"/>
    <col min="12309" max="12309" width="21" style="70" customWidth="1"/>
    <col min="12310" max="12547" width="9.140625" style="70"/>
    <col min="12548" max="12548" width="4.85546875" style="70" customWidth="1"/>
    <col min="12549" max="12549" width="42.5703125" style="70" customWidth="1"/>
    <col min="12550" max="12550" width="13.42578125" style="70" customWidth="1"/>
    <col min="12551" max="12551" width="5.85546875" style="70" bestFit="1" customWidth="1"/>
    <col min="12552" max="12552" width="6.7109375" style="70" customWidth="1"/>
    <col min="12553" max="12553" width="9.85546875" style="70" bestFit="1" customWidth="1"/>
    <col min="12554" max="12554" width="11.140625" style="70" customWidth="1"/>
    <col min="12555" max="12555" width="6.7109375" style="70" customWidth="1"/>
    <col min="12556" max="12556" width="9.85546875" style="70" bestFit="1" customWidth="1"/>
    <col min="12557" max="12557" width="11.140625" style="70" customWidth="1"/>
    <col min="12558" max="12558" width="6.7109375" style="70" customWidth="1"/>
    <col min="12559" max="12559" width="11" style="70" bestFit="1" customWidth="1"/>
    <col min="12560" max="12560" width="11.28515625" style="70" customWidth="1"/>
    <col min="12561" max="12561" width="6.7109375" style="70" customWidth="1"/>
    <col min="12562" max="12563" width="11" style="70" bestFit="1" customWidth="1"/>
    <col min="12564" max="12564" width="25.28515625" style="70" customWidth="1"/>
    <col min="12565" max="12565" width="21" style="70" customWidth="1"/>
    <col min="12566" max="12803" width="9.140625" style="70"/>
    <col min="12804" max="12804" width="4.85546875" style="70" customWidth="1"/>
    <col min="12805" max="12805" width="42.5703125" style="70" customWidth="1"/>
    <col min="12806" max="12806" width="13.42578125" style="70" customWidth="1"/>
    <col min="12807" max="12807" width="5.85546875" style="70" bestFit="1" customWidth="1"/>
    <col min="12808" max="12808" width="6.7109375" style="70" customWidth="1"/>
    <col min="12809" max="12809" width="9.85546875" style="70" bestFit="1" customWidth="1"/>
    <col min="12810" max="12810" width="11.140625" style="70" customWidth="1"/>
    <col min="12811" max="12811" width="6.7109375" style="70" customWidth="1"/>
    <col min="12812" max="12812" width="9.85546875" style="70" bestFit="1" customWidth="1"/>
    <col min="12813" max="12813" width="11.140625" style="70" customWidth="1"/>
    <col min="12814" max="12814" width="6.7109375" style="70" customWidth="1"/>
    <col min="12815" max="12815" width="11" style="70" bestFit="1" customWidth="1"/>
    <col min="12816" max="12816" width="11.28515625" style="70" customWidth="1"/>
    <col min="12817" max="12817" width="6.7109375" style="70" customWidth="1"/>
    <col min="12818" max="12819" width="11" style="70" bestFit="1" customWidth="1"/>
    <col min="12820" max="12820" width="25.28515625" style="70" customWidth="1"/>
    <col min="12821" max="12821" width="21" style="70" customWidth="1"/>
    <col min="12822" max="13059" width="9.140625" style="70"/>
    <col min="13060" max="13060" width="4.85546875" style="70" customWidth="1"/>
    <col min="13061" max="13061" width="42.5703125" style="70" customWidth="1"/>
    <col min="13062" max="13062" width="13.42578125" style="70" customWidth="1"/>
    <col min="13063" max="13063" width="5.85546875" style="70" bestFit="1" customWidth="1"/>
    <col min="13064" max="13064" width="6.7109375" style="70" customWidth="1"/>
    <col min="13065" max="13065" width="9.85546875" style="70" bestFit="1" customWidth="1"/>
    <col min="13066" max="13066" width="11.140625" style="70" customWidth="1"/>
    <col min="13067" max="13067" width="6.7109375" style="70" customWidth="1"/>
    <col min="13068" max="13068" width="9.85546875" style="70" bestFit="1" customWidth="1"/>
    <col min="13069" max="13069" width="11.140625" style="70" customWidth="1"/>
    <col min="13070" max="13070" width="6.7109375" style="70" customWidth="1"/>
    <col min="13071" max="13071" width="11" style="70" bestFit="1" customWidth="1"/>
    <col min="13072" max="13072" width="11.28515625" style="70" customWidth="1"/>
    <col min="13073" max="13073" width="6.7109375" style="70" customWidth="1"/>
    <col min="13074" max="13075" width="11" style="70" bestFit="1" customWidth="1"/>
    <col min="13076" max="13076" width="25.28515625" style="70" customWidth="1"/>
    <col min="13077" max="13077" width="21" style="70" customWidth="1"/>
    <col min="13078" max="13315" width="9.140625" style="70"/>
    <col min="13316" max="13316" width="4.85546875" style="70" customWidth="1"/>
    <col min="13317" max="13317" width="42.5703125" style="70" customWidth="1"/>
    <col min="13318" max="13318" width="13.42578125" style="70" customWidth="1"/>
    <col min="13319" max="13319" width="5.85546875" style="70" bestFit="1" customWidth="1"/>
    <col min="13320" max="13320" width="6.7109375" style="70" customWidth="1"/>
    <col min="13321" max="13321" width="9.85546875" style="70" bestFit="1" customWidth="1"/>
    <col min="13322" max="13322" width="11.140625" style="70" customWidth="1"/>
    <col min="13323" max="13323" width="6.7109375" style="70" customWidth="1"/>
    <col min="13324" max="13324" width="9.85546875" style="70" bestFit="1" customWidth="1"/>
    <col min="13325" max="13325" width="11.140625" style="70" customWidth="1"/>
    <col min="13326" max="13326" width="6.7109375" style="70" customWidth="1"/>
    <col min="13327" max="13327" width="11" style="70" bestFit="1" customWidth="1"/>
    <col min="13328" max="13328" width="11.28515625" style="70" customWidth="1"/>
    <col min="13329" max="13329" width="6.7109375" style="70" customWidth="1"/>
    <col min="13330" max="13331" width="11" style="70" bestFit="1" customWidth="1"/>
    <col min="13332" max="13332" width="25.28515625" style="70" customWidth="1"/>
    <col min="13333" max="13333" width="21" style="70" customWidth="1"/>
    <col min="13334" max="13571" width="9.140625" style="70"/>
    <col min="13572" max="13572" width="4.85546875" style="70" customWidth="1"/>
    <col min="13573" max="13573" width="42.5703125" style="70" customWidth="1"/>
    <col min="13574" max="13574" width="13.42578125" style="70" customWidth="1"/>
    <col min="13575" max="13575" width="5.85546875" style="70" bestFit="1" customWidth="1"/>
    <col min="13576" max="13576" width="6.7109375" style="70" customWidth="1"/>
    <col min="13577" max="13577" width="9.85546875" style="70" bestFit="1" customWidth="1"/>
    <col min="13578" max="13578" width="11.140625" style="70" customWidth="1"/>
    <col min="13579" max="13579" width="6.7109375" style="70" customWidth="1"/>
    <col min="13580" max="13580" width="9.85546875" style="70" bestFit="1" customWidth="1"/>
    <col min="13581" max="13581" width="11.140625" style="70" customWidth="1"/>
    <col min="13582" max="13582" width="6.7109375" style="70" customWidth="1"/>
    <col min="13583" max="13583" width="11" style="70" bestFit="1" customWidth="1"/>
    <col min="13584" max="13584" width="11.28515625" style="70" customWidth="1"/>
    <col min="13585" max="13585" width="6.7109375" style="70" customWidth="1"/>
    <col min="13586" max="13587" width="11" style="70" bestFit="1" customWidth="1"/>
    <col min="13588" max="13588" width="25.28515625" style="70" customWidth="1"/>
    <col min="13589" max="13589" width="21" style="70" customWidth="1"/>
    <col min="13590" max="13827" width="9.140625" style="70"/>
    <col min="13828" max="13828" width="4.85546875" style="70" customWidth="1"/>
    <col min="13829" max="13829" width="42.5703125" style="70" customWidth="1"/>
    <col min="13830" max="13830" width="13.42578125" style="70" customWidth="1"/>
    <col min="13831" max="13831" width="5.85546875" style="70" bestFit="1" customWidth="1"/>
    <col min="13832" max="13832" width="6.7109375" style="70" customWidth="1"/>
    <col min="13833" max="13833" width="9.85546875" style="70" bestFit="1" customWidth="1"/>
    <col min="13834" max="13834" width="11.140625" style="70" customWidth="1"/>
    <col min="13835" max="13835" width="6.7109375" style="70" customWidth="1"/>
    <col min="13836" max="13836" width="9.85546875" style="70" bestFit="1" customWidth="1"/>
    <col min="13837" max="13837" width="11.140625" style="70" customWidth="1"/>
    <col min="13838" max="13838" width="6.7109375" style="70" customWidth="1"/>
    <col min="13839" max="13839" width="11" style="70" bestFit="1" customWidth="1"/>
    <col min="13840" max="13840" width="11.28515625" style="70" customWidth="1"/>
    <col min="13841" max="13841" width="6.7109375" style="70" customWidth="1"/>
    <col min="13842" max="13843" width="11" style="70" bestFit="1" customWidth="1"/>
    <col min="13844" max="13844" width="25.28515625" style="70" customWidth="1"/>
    <col min="13845" max="13845" width="21" style="70" customWidth="1"/>
    <col min="13846" max="14083" width="9.140625" style="70"/>
    <col min="14084" max="14084" width="4.85546875" style="70" customWidth="1"/>
    <col min="14085" max="14085" width="42.5703125" style="70" customWidth="1"/>
    <col min="14086" max="14086" width="13.42578125" style="70" customWidth="1"/>
    <col min="14087" max="14087" width="5.85546875" style="70" bestFit="1" customWidth="1"/>
    <col min="14088" max="14088" width="6.7109375" style="70" customWidth="1"/>
    <col min="14089" max="14089" width="9.85546875" style="70" bestFit="1" customWidth="1"/>
    <col min="14090" max="14090" width="11.140625" style="70" customWidth="1"/>
    <col min="14091" max="14091" width="6.7109375" style="70" customWidth="1"/>
    <col min="14092" max="14092" width="9.85546875" style="70" bestFit="1" customWidth="1"/>
    <col min="14093" max="14093" width="11.140625" style="70" customWidth="1"/>
    <col min="14094" max="14094" width="6.7109375" style="70" customWidth="1"/>
    <col min="14095" max="14095" width="11" style="70" bestFit="1" customWidth="1"/>
    <col min="14096" max="14096" width="11.28515625" style="70" customWidth="1"/>
    <col min="14097" max="14097" width="6.7109375" style="70" customWidth="1"/>
    <col min="14098" max="14099" width="11" style="70" bestFit="1" customWidth="1"/>
    <col min="14100" max="14100" width="25.28515625" style="70" customWidth="1"/>
    <col min="14101" max="14101" width="21" style="70" customWidth="1"/>
    <col min="14102" max="14339" width="9.140625" style="70"/>
    <col min="14340" max="14340" width="4.85546875" style="70" customWidth="1"/>
    <col min="14341" max="14341" width="42.5703125" style="70" customWidth="1"/>
    <col min="14342" max="14342" width="13.42578125" style="70" customWidth="1"/>
    <col min="14343" max="14343" width="5.85546875" style="70" bestFit="1" customWidth="1"/>
    <col min="14344" max="14344" width="6.7109375" style="70" customWidth="1"/>
    <col min="14345" max="14345" width="9.85546875" style="70" bestFit="1" customWidth="1"/>
    <col min="14346" max="14346" width="11.140625" style="70" customWidth="1"/>
    <col min="14347" max="14347" width="6.7109375" style="70" customWidth="1"/>
    <col min="14348" max="14348" width="9.85546875" style="70" bestFit="1" customWidth="1"/>
    <col min="14349" max="14349" width="11.140625" style="70" customWidth="1"/>
    <col min="14350" max="14350" width="6.7109375" style="70" customWidth="1"/>
    <col min="14351" max="14351" width="11" style="70" bestFit="1" customWidth="1"/>
    <col min="14352" max="14352" width="11.28515625" style="70" customWidth="1"/>
    <col min="14353" max="14353" width="6.7109375" style="70" customWidth="1"/>
    <col min="14354" max="14355" width="11" style="70" bestFit="1" customWidth="1"/>
    <col min="14356" max="14356" width="25.28515625" style="70" customWidth="1"/>
    <col min="14357" max="14357" width="21" style="70" customWidth="1"/>
    <col min="14358" max="14595" width="9.140625" style="70"/>
    <col min="14596" max="14596" width="4.85546875" style="70" customWidth="1"/>
    <col min="14597" max="14597" width="42.5703125" style="70" customWidth="1"/>
    <col min="14598" max="14598" width="13.42578125" style="70" customWidth="1"/>
    <col min="14599" max="14599" width="5.85546875" style="70" bestFit="1" customWidth="1"/>
    <col min="14600" max="14600" width="6.7109375" style="70" customWidth="1"/>
    <col min="14601" max="14601" width="9.85546875" style="70" bestFit="1" customWidth="1"/>
    <col min="14602" max="14602" width="11.140625" style="70" customWidth="1"/>
    <col min="14603" max="14603" width="6.7109375" style="70" customWidth="1"/>
    <col min="14604" max="14604" width="9.85546875" style="70" bestFit="1" customWidth="1"/>
    <col min="14605" max="14605" width="11.140625" style="70" customWidth="1"/>
    <col min="14606" max="14606" width="6.7109375" style="70" customWidth="1"/>
    <col min="14607" max="14607" width="11" style="70" bestFit="1" customWidth="1"/>
    <col min="14608" max="14608" width="11.28515625" style="70" customWidth="1"/>
    <col min="14609" max="14609" width="6.7109375" style="70" customWidth="1"/>
    <col min="14610" max="14611" width="11" style="70" bestFit="1" customWidth="1"/>
    <col min="14612" max="14612" width="25.28515625" style="70" customWidth="1"/>
    <col min="14613" max="14613" width="21" style="70" customWidth="1"/>
    <col min="14614" max="14851" width="9.140625" style="70"/>
    <col min="14852" max="14852" width="4.85546875" style="70" customWidth="1"/>
    <col min="14853" max="14853" width="42.5703125" style="70" customWidth="1"/>
    <col min="14854" max="14854" width="13.42578125" style="70" customWidth="1"/>
    <col min="14855" max="14855" width="5.85546875" style="70" bestFit="1" customWidth="1"/>
    <col min="14856" max="14856" width="6.7109375" style="70" customWidth="1"/>
    <col min="14857" max="14857" width="9.85546875" style="70" bestFit="1" customWidth="1"/>
    <col min="14858" max="14858" width="11.140625" style="70" customWidth="1"/>
    <col min="14859" max="14859" width="6.7109375" style="70" customWidth="1"/>
    <col min="14860" max="14860" width="9.85546875" style="70" bestFit="1" customWidth="1"/>
    <col min="14861" max="14861" width="11.140625" style="70" customWidth="1"/>
    <col min="14862" max="14862" width="6.7109375" style="70" customWidth="1"/>
    <col min="14863" max="14863" width="11" style="70" bestFit="1" customWidth="1"/>
    <col min="14864" max="14864" width="11.28515625" style="70" customWidth="1"/>
    <col min="14865" max="14865" width="6.7109375" style="70" customWidth="1"/>
    <col min="14866" max="14867" width="11" style="70" bestFit="1" customWidth="1"/>
    <col min="14868" max="14868" width="25.28515625" style="70" customWidth="1"/>
    <col min="14869" max="14869" width="21" style="70" customWidth="1"/>
    <col min="14870" max="15107" width="9.140625" style="70"/>
    <col min="15108" max="15108" width="4.85546875" style="70" customWidth="1"/>
    <col min="15109" max="15109" width="42.5703125" style="70" customWidth="1"/>
    <col min="15110" max="15110" width="13.42578125" style="70" customWidth="1"/>
    <col min="15111" max="15111" width="5.85546875" style="70" bestFit="1" customWidth="1"/>
    <col min="15112" max="15112" width="6.7109375" style="70" customWidth="1"/>
    <col min="15113" max="15113" width="9.85546875" style="70" bestFit="1" customWidth="1"/>
    <col min="15114" max="15114" width="11.140625" style="70" customWidth="1"/>
    <col min="15115" max="15115" width="6.7109375" style="70" customWidth="1"/>
    <col min="15116" max="15116" width="9.85546875" style="70" bestFit="1" customWidth="1"/>
    <col min="15117" max="15117" width="11.140625" style="70" customWidth="1"/>
    <col min="15118" max="15118" width="6.7109375" style="70" customWidth="1"/>
    <col min="15119" max="15119" width="11" style="70" bestFit="1" customWidth="1"/>
    <col min="15120" max="15120" width="11.28515625" style="70" customWidth="1"/>
    <col min="15121" max="15121" width="6.7109375" style="70" customWidth="1"/>
    <col min="15122" max="15123" width="11" style="70" bestFit="1" customWidth="1"/>
    <col min="15124" max="15124" width="25.28515625" style="70" customWidth="1"/>
    <col min="15125" max="15125" width="21" style="70" customWidth="1"/>
    <col min="15126" max="15363" width="9.140625" style="70"/>
    <col min="15364" max="15364" width="4.85546875" style="70" customWidth="1"/>
    <col min="15365" max="15365" width="42.5703125" style="70" customWidth="1"/>
    <col min="15366" max="15366" width="13.42578125" style="70" customWidth="1"/>
    <col min="15367" max="15367" width="5.85546875" style="70" bestFit="1" customWidth="1"/>
    <col min="15368" max="15368" width="6.7109375" style="70" customWidth="1"/>
    <col min="15369" max="15369" width="9.85546875" style="70" bestFit="1" customWidth="1"/>
    <col min="15370" max="15370" width="11.140625" style="70" customWidth="1"/>
    <col min="15371" max="15371" width="6.7109375" style="70" customWidth="1"/>
    <col min="15372" max="15372" width="9.85546875" style="70" bestFit="1" customWidth="1"/>
    <col min="15373" max="15373" width="11.140625" style="70" customWidth="1"/>
    <col min="15374" max="15374" width="6.7109375" style="70" customWidth="1"/>
    <col min="15375" max="15375" width="11" style="70" bestFit="1" customWidth="1"/>
    <col min="15376" max="15376" width="11.28515625" style="70" customWidth="1"/>
    <col min="15377" max="15377" width="6.7109375" style="70" customWidth="1"/>
    <col min="15378" max="15379" width="11" style="70" bestFit="1" customWidth="1"/>
    <col min="15380" max="15380" width="25.28515625" style="70" customWidth="1"/>
    <col min="15381" max="15381" width="21" style="70" customWidth="1"/>
    <col min="15382" max="15619" width="9.140625" style="70"/>
    <col min="15620" max="15620" width="4.85546875" style="70" customWidth="1"/>
    <col min="15621" max="15621" width="42.5703125" style="70" customWidth="1"/>
    <col min="15622" max="15622" width="13.42578125" style="70" customWidth="1"/>
    <col min="15623" max="15623" width="5.85546875" style="70" bestFit="1" customWidth="1"/>
    <col min="15624" max="15624" width="6.7109375" style="70" customWidth="1"/>
    <col min="15625" max="15625" width="9.85546875" style="70" bestFit="1" customWidth="1"/>
    <col min="15626" max="15626" width="11.140625" style="70" customWidth="1"/>
    <col min="15627" max="15627" width="6.7109375" style="70" customWidth="1"/>
    <col min="15628" max="15628" width="9.85546875" style="70" bestFit="1" customWidth="1"/>
    <col min="15629" max="15629" width="11.140625" style="70" customWidth="1"/>
    <col min="15630" max="15630" width="6.7109375" style="70" customWidth="1"/>
    <col min="15631" max="15631" width="11" style="70" bestFit="1" customWidth="1"/>
    <col min="15632" max="15632" width="11.28515625" style="70" customWidth="1"/>
    <col min="15633" max="15633" width="6.7109375" style="70" customWidth="1"/>
    <col min="15634" max="15635" width="11" style="70" bestFit="1" customWidth="1"/>
    <col min="15636" max="15636" width="25.28515625" style="70" customWidth="1"/>
    <col min="15637" max="15637" width="21" style="70" customWidth="1"/>
    <col min="15638" max="15875" width="9.140625" style="70"/>
    <col min="15876" max="15876" width="4.85546875" style="70" customWidth="1"/>
    <col min="15877" max="15877" width="42.5703125" style="70" customWidth="1"/>
    <col min="15878" max="15878" width="13.42578125" style="70" customWidth="1"/>
    <col min="15879" max="15879" width="5.85546875" style="70" bestFit="1" customWidth="1"/>
    <col min="15880" max="15880" width="6.7109375" style="70" customWidth="1"/>
    <col min="15881" max="15881" width="9.85546875" style="70" bestFit="1" customWidth="1"/>
    <col min="15882" max="15882" width="11.140625" style="70" customWidth="1"/>
    <col min="15883" max="15883" width="6.7109375" style="70" customWidth="1"/>
    <col min="15884" max="15884" width="9.85546875" style="70" bestFit="1" customWidth="1"/>
    <col min="15885" max="15885" width="11.140625" style="70" customWidth="1"/>
    <col min="15886" max="15886" width="6.7109375" style="70" customWidth="1"/>
    <col min="15887" max="15887" width="11" style="70" bestFit="1" customWidth="1"/>
    <col min="15888" max="15888" width="11.28515625" style="70" customWidth="1"/>
    <col min="15889" max="15889" width="6.7109375" style="70" customWidth="1"/>
    <col min="15890" max="15891" width="11" style="70" bestFit="1" customWidth="1"/>
    <col min="15892" max="15892" width="25.28515625" style="70" customWidth="1"/>
    <col min="15893" max="15893" width="21" style="70" customWidth="1"/>
    <col min="15894" max="16131" width="9.140625" style="70"/>
    <col min="16132" max="16132" width="4.85546875" style="70" customWidth="1"/>
    <col min="16133" max="16133" width="42.5703125" style="70" customWidth="1"/>
    <col min="16134" max="16134" width="13.42578125" style="70" customWidth="1"/>
    <col min="16135" max="16135" width="5.85546875" style="70" bestFit="1" customWidth="1"/>
    <col min="16136" max="16136" width="6.7109375" style="70" customWidth="1"/>
    <col min="16137" max="16137" width="9.85546875" style="70" bestFit="1" customWidth="1"/>
    <col min="16138" max="16138" width="11.140625" style="70" customWidth="1"/>
    <col min="16139" max="16139" width="6.7109375" style="70" customWidth="1"/>
    <col min="16140" max="16140" width="9.85546875" style="70" bestFit="1" customWidth="1"/>
    <col min="16141" max="16141" width="11.140625" style="70" customWidth="1"/>
    <col min="16142" max="16142" width="6.7109375" style="70" customWidth="1"/>
    <col min="16143" max="16143" width="11" style="70" bestFit="1" customWidth="1"/>
    <col min="16144" max="16144" width="11.28515625" style="70" customWidth="1"/>
    <col min="16145" max="16145" width="6.7109375" style="70" customWidth="1"/>
    <col min="16146" max="16147" width="11" style="70" bestFit="1" customWidth="1"/>
    <col min="16148" max="16148" width="25.28515625" style="70" customWidth="1"/>
    <col min="16149" max="16149" width="21" style="70" customWidth="1"/>
    <col min="16150" max="16384" width="9.140625" style="70"/>
  </cols>
  <sheetData>
    <row r="1" spans="1:23" ht="18">
      <c r="B1" s="597"/>
      <c r="C1" s="597"/>
      <c r="D1" s="597"/>
      <c r="E1" s="597"/>
      <c r="F1" s="3115" t="s">
        <v>2423</v>
      </c>
      <c r="G1" s="3115"/>
      <c r="H1" s="3115"/>
      <c r="I1" s="3115"/>
      <c r="J1" s="3115"/>
      <c r="K1" s="597"/>
      <c r="L1" s="597"/>
      <c r="M1" s="597"/>
      <c r="N1" s="597"/>
      <c r="O1" s="597"/>
      <c r="P1" s="597"/>
      <c r="Q1" s="597"/>
      <c r="R1" s="597"/>
      <c r="S1" s="597"/>
    </row>
    <row r="2" spans="1:23" ht="13.5" customHeight="1">
      <c r="A2" s="1960"/>
      <c r="B2" s="1961"/>
      <c r="C2" s="109"/>
      <c r="D2" s="1995"/>
      <c r="E2" s="1960"/>
      <c r="F2" s="108"/>
      <c r="G2" s="108"/>
      <c r="H2" s="1960"/>
      <c r="I2" s="108"/>
      <c r="J2" s="108"/>
      <c r="K2" s="1960"/>
      <c r="L2" s="108"/>
      <c r="M2" s="108"/>
      <c r="N2" s="1960"/>
      <c r="O2" s="108"/>
      <c r="P2" s="108"/>
      <c r="Q2" s="108"/>
      <c r="R2" s="108"/>
      <c r="S2" s="108"/>
    </row>
    <row r="3" spans="1:23" ht="15.75">
      <c r="B3" s="3343" t="s">
        <v>2424</v>
      </c>
      <c r="C3" s="3343"/>
      <c r="D3" s="3343"/>
      <c r="E3" s="3343"/>
      <c r="F3" s="3343"/>
      <c r="G3" s="3343"/>
      <c r="H3" s="3343"/>
      <c r="I3" s="3343"/>
      <c r="J3" s="3343"/>
      <c r="K3" s="3343"/>
      <c r="L3" s="3343"/>
      <c r="M3" s="3343"/>
      <c r="N3" s="3343"/>
      <c r="O3" s="600"/>
      <c r="P3" s="600"/>
      <c r="Q3" s="600"/>
      <c r="R3" s="600"/>
      <c r="S3" s="600"/>
    </row>
    <row r="4" spans="1:23" ht="15.75">
      <c r="A4" s="1997"/>
      <c r="B4" s="1997"/>
      <c r="C4" s="1997"/>
      <c r="D4" s="1997"/>
      <c r="E4" s="1997"/>
      <c r="F4" s="1997"/>
      <c r="G4" s="1997"/>
      <c r="H4" s="1997"/>
      <c r="I4" s="1997"/>
      <c r="J4" s="1997"/>
      <c r="K4" s="1997"/>
      <c r="L4" s="1997"/>
      <c r="M4" s="1997"/>
      <c r="N4" s="1997"/>
      <c r="O4" s="1996" t="s">
        <v>89</v>
      </c>
      <c r="P4" s="1997"/>
      <c r="Q4" s="1997"/>
      <c r="R4" s="1997"/>
      <c r="S4" s="1997"/>
    </row>
    <row r="5" spans="1:23" ht="15">
      <c r="A5" s="1998"/>
      <c r="B5" s="1999"/>
      <c r="C5" s="2000"/>
      <c r="D5" s="2001"/>
      <c r="E5" s="1998"/>
      <c r="F5" s="2002"/>
      <c r="G5" s="2002"/>
      <c r="H5" s="1998"/>
      <c r="I5" s="2002"/>
      <c r="J5" s="2002"/>
      <c r="K5" s="1998"/>
      <c r="L5" s="2002"/>
      <c r="M5" s="2002"/>
      <c r="N5" s="1998"/>
      <c r="O5" s="2002"/>
    </row>
    <row r="6" spans="1:23" ht="15">
      <c r="A6" s="3097" t="s">
        <v>2</v>
      </c>
      <c r="B6" s="3273" t="s">
        <v>3</v>
      </c>
      <c r="C6" s="3274" t="s">
        <v>4</v>
      </c>
      <c r="D6" s="3345" t="s">
        <v>5</v>
      </c>
      <c r="E6" s="3346" t="s">
        <v>1664</v>
      </c>
      <c r="F6" s="3346"/>
      <c r="G6" s="3346"/>
      <c r="H6" s="3346" t="s">
        <v>1665</v>
      </c>
      <c r="I6" s="3346"/>
      <c r="J6" s="3346"/>
      <c r="K6" s="3346" t="s">
        <v>1666</v>
      </c>
      <c r="L6" s="3346"/>
      <c r="M6" s="3346"/>
      <c r="N6" s="3346" t="s">
        <v>1667</v>
      </c>
      <c r="O6" s="3346"/>
      <c r="P6" s="3346"/>
      <c r="Q6" s="3346" t="s">
        <v>1691</v>
      </c>
      <c r="R6" s="3346"/>
      <c r="S6" s="3346"/>
    </row>
    <row r="7" spans="1:23" ht="15">
      <c r="A7" s="3098"/>
      <c r="B7" s="3273"/>
      <c r="C7" s="3344"/>
      <c r="D7" s="3345"/>
      <c r="E7" s="1900" t="s">
        <v>143</v>
      </c>
      <c r="F7" s="1900" t="s">
        <v>9</v>
      </c>
      <c r="G7" s="1900" t="s">
        <v>1668</v>
      </c>
      <c r="H7" s="1900" t="s">
        <v>143</v>
      </c>
      <c r="I7" s="1900" t="s">
        <v>9</v>
      </c>
      <c r="J7" s="1900" t="s">
        <v>1668</v>
      </c>
      <c r="K7" s="1900" t="s">
        <v>143</v>
      </c>
      <c r="L7" s="1900" t="s">
        <v>9</v>
      </c>
      <c r="M7" s="1900" t="s">
        <v>1668</v>
      </c>
      <c r="N7" s="1900" t="s">
        <v>143</v>
      </c>
      <c r="O7" s="1900" t="s">
        <v>9</v>
      </c>
      <c r="P7" s="1900" t="s">
        <v>1668</v>
      </c>
      <c r="Q7" s="1900" t="s">
        <v>143</v>
      </c>
      <c r="R7" s="1900" t="s">
        <v>9</v>
      </c>
      <c r="S7" s="1900" t="s">
        <v>1668</v>
      </c>
    </row>
    <row r="8" spans="1:23" ht="15">
      <c r="A8" s="575">
        <v>1</v>
      </c>
      <c r="B8" s="2004">
        <v>2</v>
      </c>
      <c r="C8" s="2005">
        <v>3</v>
      </c>
      <c r="D8" s="2006">
        <v>4</v>
      </c>
      <c r="E8" s="2005">
        <v>5</v>
      </c>
      <c r="F8" s="2006">
        <v>6</v>
      </c>
      <c r="G8" s="2005">
        <v>7</v>
      </c>
      <c r="H8" s="2006">
        <v>8</v>
      </c>
      <c r="I8" s="2005">
        <v>9</v>
      </c>
      <c r="J8" s="2006">
        <v>10</v>
      </c>
      <c r="K8" s="2005">
        <v>11</v>
      </c>
      <c r="L8" s="2006">
        <v>12</v>
      </c>
      <c r="M8" s="2005">
        <v>13</v>
      </c>
      <c r="N8" s="2006">
        <v>14</v>
      </c>
      <c r="O8" s="2005">
        <v>15</v>
      </c>
      <c r="P8" s="2006">
        <v>16</v>
      </c>
      <c r="Q8" s="2005">
        <v>17</v>
      </c>
      <c r="R8" s="1643">
        <v>18</v>
      </c>
      <c r="S8" s="1643">
        <v>19</v>
      </c>
    </row>
    <row r="9" spans="1:23" ht="17.25" customHeight="1">
      <c r="A9" s="3266">
        <v>1</v>
      </c>
      <c r="B9" s="2296" t="s">
        <v>2425</v>
      </c>
      <c r="C9" s="1808"/>
      <c r="D9" s="1809"/>
      <c r="E9" s="1809"/>
      <c r="F9" s="1809"/>
      <c r="G9" s="1809"/>
      <c r="H9" s="1809"/>
      <c r="I9" s="1809"/>
      <c r="J9" s="1809"/>
      <c r="K9" s="1809"/>
      <c r="L9" s="1809"/>
      <c r="M9" s="1809"/>
      <c r="N9" s="1809"/>
      <c r="O9" s="1809"/>
      <c r="P9" s="1809"/>
      <c r="Q9" s="1809"/>
      <c r="R9" s="1809"/>
      <c r="S9" s="1810"/>
    </row>
    <row r="10" spans="1:23" ht="14.25" customHeight="1">
      <c r="A10" s="3267"/>
      <c r="B10" s="1290" t="s">
        <v>2388</v>
      </c>
      <c r="C10" s="2297">
        <v>7132210018</v>
      </c>
      <c r="D10" s="1912" t="s">
        <v>33</v>
      </c>
      <c r="E10" s="1912">
        <v>1</v>
      </c>
      <c r="F10" s="2298">
        <f>VLOOKUP(C10,'[25]SOR RATE'!A:D,4,0)</f>
        <v>62449.99</v>
      </c>
      <c r="G10" s="2298">
        <f>F10*E10</f>
        <v>62449.99</v>
      </c>
      <c r="H10" s="1912"/>
      <c r="I10" s="2298"/>
      <c r="J10" s="2298"/>
      <c r="K10" s="1912"/>
      <c r="L10" s="2298"/>
      <c r="M10" s="2298"/>
      <c r="N10" s="1912"/>
      <c r="O10" s="2298"/>
      <c r="P10" s="2298"/>
      <c r="Q10" s="2298"/>
      <c r="R10" s="2298"/>
      <c r="S10" s="2298"/>
      <c r="T10" s="1935"/>
    </row>
    <row r="11" spans="1:23" ht="15">
      <c r="A11" s="3267"/>
      <c r="B11" s="1290" t="s">
        <v>2389</v>
      </c>
      <c r="C11" s="2299">
        <v>7132210019</v>
      </c>
      <c r="D11" s="1914" t="s">
        <v>33</v>
      </c>
      <c r="E11" s="1914"/>
      <c r="F11" s="1132"/>
      <c r="G11" s="1132"/>
      <c r="H11" s="1914">
        <v>1</v>
      </c>
      <c r="I11" s="1132">
        <f>VLOOKUP(C11,'[25]SOR RATE'!A:D,4,0)</f>
        <v>120435.39</v>
      </c>
      <c r="J11" s="1132">
        <f>I11*H11</f>
        <v>120435.39</v>
      </c>
      <c r="K11" s="1914"/>
      <c r="L11" s="1132"/>
      <c r="M11" s="1132"/>
      <c r="N11" s="1914"/>
      <c r="O11" s="1132"/>
      <c r="P11" s="1132"/>
      <c r="Q11" s="1132"/>
      <c r="R11" s="1132"/>
      <c r="S11" s="1132"/>
      <c r="T11" s="1935"/>
      <c r="U11" s="85"/>
      <c r="V11" s="364"/>
      <c r="W11" s="364"/>
    </row>
    <row r="12" spans="1:23" ht="15">
      <c r="A12" s="3267"/>
      <c r="B12" s="1290" t="s">
        <v>2351</v>
      </c>
      <c r="C12" s="2299">
        <v>7132210020</v>
      </c>
      <c r="D12" s="1914" t="s">
        <v>33</v>
      </c>
      <c r="E12" s="1914"/>
      <c r="F12" s="1132"/>
      <c r="G12" s="1132"/>
      <c r="H12" s="1914"/>
      <c r="I12" s="1132"/>
      <c r="J12" s="1132"/>
      <c r="K12" s="1914">
        <v>1</v>
      </c>
      <c r="L12" s="1132">
        <f>VLOOKUP(C12,'[25]SOR RATE'!A:D,4,0)</f>
        <v>158302.13</v>
      </c>
      <c r="M12" s="1132">
        <f>L12*K12</f>
        <v>158302.13</v>
      </c>
      <c r="N12" s="1914"/>
      <c r="O12" s="1132"/>
      <c r="P12" s="1132"/>
      <c r="Q12" s="1132"/>
      <c r="R12" s="1132"/>
      <c r="S12" s="1132"/>
      <c r="T12" s="1935"/>
    </row>
    <row r="13" spans="1:23" ht="15">
      <c r="A13" s="3267"/>
      <c r="B13" s="1290" t="s">
        <v>2390</v>
      </c>
      <c r="C13" s="2299">
        <v>7132210021</v>
      </c>
      <c r="D13" s="1914" t="s">
        <v>33</v>
      </c>
      <c r="E13" s="1914"/>
      <c r="F13" s="1132"/>
      <c r="G13" s="1132"/>
      <c r="H13" s="1914"/>
      <c r="I13" s="1132"/>
      <c r="J13" s="1132"/>
      <c r="K13" s="1914"/>
      <c r="L13" s="1132"/>
      <c r="M13" s="1132"/>
      <c r="N13" s="1914">
        <v>1</v>
      </c>
      <c r="O13" s="1132">
        <f>VLOOKUP(C13,'[25]SOR RATE'!A:D,4,0)</f>
        <v>291828.78999999998</v>
      </c>
      <c r="P13" s="1132">
        <f t="shared" ref="P13" si="0">O13*N13</f>
        <v>291828.78999999998</v>
      </c>
      <c r="Q13" s="1132"/>
      <c r="R13" s="1132"/>
      <c r="S13" s="1132"/>
      <c r="T13" s="1935"/>
    </row>
    <row r="14" spans="1:23" ht="28.5">
      <c r="A14" s="3268"/>
      <c r="B14" s="1290" t="s">
        <v>2391</v>
      </c>
      <c r="C14" s="2299">
        <v>7132220081</v>
      </c>
      <c r="D14" s="1914" t="s">
        <v>33</v>
      </c>
      <c r="E14" s="1914"/>
      <c r="F14" s="1132"/>
      <c r="G14" s="1132"/>
      <c r="H14" s="1914"/>
      <c r="I14" s="1132"/>
      <c r="J14" s="1132"/>
      <c r="K14" s="1914"/>
      <c r="L14" s="1132"/>
      <c r="M14" s="1132"/>
      <c r="N14" s="1914"/>
      <c r="O14" s="1132"/>
      <c r="P14" s="1132"/>
      <c r="Q14" s="1621">
        <v>1</v>
      </c>
      <c r="R14" s="1132">
        <f>VLOOKUP(C14,'[25]SOR RATE'!A:D,4,0)</f>
        <v>802876.84</v>
      </c>
      <c r="S14" s="1132">
        <f t="shared" ref="S14:S31" si="1">R14*Q14</f>
        <v>802876.84</v>
      </c>
      <c r="T14" s="1939" t="s">
        <v>119</v>
      </c>
    </row>
    <row r="15" spans="1:23" ht="31.5" customHeight="1">
      <c r="A15" s="1914">
        <v>2</v>
      </c>
      <c r="B15" s="1290" t="s">
        <v>2426</v>
      </c>
      <c r="C15" s="1291">
        <v>7130601965</v>
      </c>
      <c r="D15" s="1291" t="s">
        <v>26</v>
      </c>
      <c r="E15" s="1914">
        <v>816.2</v>
      </c>
      <c r="F15" s="1132">
        <f>VLOOKUP(C15,'[25]SOR RATE'!A:D,4,0)/1000</f>
        <v>63.913519999999998</v>
      </c>
      <c r="G15" s="1132">
        <f t="shared" ref="G15:G27" si="2">F15*E15</f>
        <v>52166.215024000005</v>
      </c>
      <c r="H15" s="1914">
        <f>+E15</f>
        <v>816.2</v>
      </c>
      <c r="I15" s="1132">
        <f>+F15</f>
        <v>63.913519999999998</v>
      </c>
      <c r="J15" s="1132">
        <f t="shared" ref="J15:J27" si="3">I15*H15</f>
        <v>52166.215024000005</v>
      </c>
      <c r="K15" s="1811">
        <f>+H15</f>
        <v>816.2</v>
      </c>
      <c r="L15" s="2300">
        <f>+I15</f>
        <v>63.913519999999998</v>
      </c>
      <c r="M15" s="1132">
        <f t="shared" ref="M15:M27" si="4">L15*K15</f>
        <v>52166.215024000005</v>
      </c>
      <c r="N15" s="1811">
        <f>+K15</f>
        <v>816.2</v>
      </c>
      <c r="O15" s="2300">
        <f>+L15</f>
        <v>63.913519999999998</v>
      </c>
      <c r="P15" s="1132">
        <f t="shared" ref="P15:P27" si="5">O15*N15</f>
        <v>52166.215024000005</v>
      </c>
      <c r="Q15" s="1914">
        <v>816.2</v>
      </c>
      <c r="R15" s="1132">
        <f>VLOOKUP(C15,'[25]SOR RATE'!A:D,4,0)/1000</f>
        <v>63.913519999999998</v>
      </c>
      <c r="S15" s="1132">
        <f t="shared" si="1"/>
        <v>52166.215024000005</v>
      </c>
      <c r="T15" s="83"/>
      <c r="U15" s="83"/>
    </row>
    <row r="16" spans="1:23" ht="18" customHeight="1">
      <c r="A16" s="1914">
        <v>3</v>
      </c>
      <c r="B16" s="1290" t="s">
        <v>1669</v>
      </c>
      <c r="C16" s="2299">
        <v>7130810517</v>
      </c>
      <c r="D16" s="1914" t="s">
        <v>40</v>
      </c>
      <c r="E16" s="1914">
        <v>1</v>
      </c>
      <c r="F16" s="1132">
        <f>VLOOKUP(C16,'[25]SOR RATE'!A:D,4,0)</f>
        <v>5987.84</v>
      </c>
      <c r="G16" s="1132">
        <f t="shared" si="2"/>
        <v>5987.84</v>
      </c>
      <c r="H16" s="1914">
        <v>1</v>
      </c>
      <c r="I16" s="1132">
        <f t="shared" ref="I16:I31" si="6">+F16</f>
        <v>5987.84</v>
      </c>
      <c r="J16" s="1132">
        <f t="shared" si="3"/>
        <v>5987.84</v>
      </c>
      <c r="K16" s="1914">
        <v>1</v>
      </c>
      <c r="L16" s="1132">
        <f>+F16</f>
        <v>5987.84</v>
      </c>
      <c r="M16" s="1132">
        <f t="shared" si="4"/>
        <v>5987.84</v>
      </c>
      <c r="N16" s="1914">
        <v>1</v>
      </c>
      <c r="O16" s="1132">
        <f t="shared" ref="O16:O25" si="7">+F16</f>
        <v>5987.84</v>
      </c>
      <c r="P16" s="1132">
        <f t="shared" si="5"/>
        <v>5987.84</v>
      </c>
      <c r="Q16" s="1621">
        <v>1</v>
      </c>
      <c r="R16" s="1132">
        <f>VLOOKUP(C16,'[25]SOR RATE'!A:D,4,0)</f>
        <v>5987.84</v>
      </c>
      <c r="S16" s="1132">
        <f t="shared" si="1"/>
        <v>5987.84</v>
      </c>
    </row>
    <row r="17" spans="1:21" ht="18" customHeight="1">
      <c r="A17" s="3266">
        <v>4</v>
      </c>
      <c r="B17" s="1290" t="s">
        <v>67</v>
      </c>
      <c r="C17" s="2299">
        <v>7130820010</v>
      </c>
      <c r="D17" s="1914" t="s">
        <v>12</v>
      </c>
      <c r="E17" s="1914">
        <v>3</v>
      </c>
      <c r="F17" s="1132">
        <f>VLOOKUP(C17,'[25]SOR RATE'!A:D,4,0)</f>
        <v>118.97</v>
      </c>
      <c r="G17" s="1132">
        <f t="shared" si="2"/>
        <v>356.90999999999997</v>
      </c>
      <c r="H17" s="1914">
        <v>3</v>
      </c>
      <c r="I17" s="1132">
        <f>+F17</f>
        <v>118.97</v>
      </c>
      <c r="J17" s="1132">
        <f t="shared" si="3"/>
        <v>356.90999999999997</v>
      </c>
      <c r="K17" s="1914">
        <v>3</v>
      </c>
      <c r="L17" s="1132">
        <f>+F17</f>
        <v>118.97</v>
      </c>
      <c r="M17" s="1132">
        <f t="shared" si="4"/>
        <v>356.90999999999997</v>
      </c>
      <c r="N17" s="1914">
        <v>3</v>
      </c>
      <c r="O17" s="1132">
        <f t="shared" si="7"/>
        <v>118.97</v>
      </c>
      <c r="P17" s="1132">
        <f t="shared" si="5"/>
        <v>356.90999999999997</v>
      </c>
      <c r="Q17" s="1621">
        <v>3</v>
      </c>
      <c r="R17" s="1132">
        <f>VLOOKUP(C17,'[25]SOR RATE'!A:D,4,0)</f>
        <v>118.97</v>
      </c>
      <c r="S17" s="1132">
        <f t="shared" si="1"/>
        <v>356.90999999999997</v>
      </c>
      <c r="U17" s="105"/>
    </row>
    <row r="18" spans="1:21" ht="18" customHeight="1">
      <c r="A18" s="3268"/>
      <c r="B18" s="1290" t="s">
        <v>2393</v>
      </c>
      <c r="C18" s="2299">
        <v>7130820241</v>
      </c>
      <c r="D18" s="1914" t="s">
        <v>68</v>
      </c>
      <c r="E18" s="1914">
        <v>3</v>
      </c>
      <c r="F18" s="1132">
        <f>VLOOKUP(C18,'[25]SOR RATE'!A:D,4,0)</f>
        <v>153.49</v>
      </c>
      <c r="G18" s="1132">
        <f t="shared" si="2"/>
        <v>460.47</v>
      </c>
      <c r="H18" s="1914">
        <v>3</v>
      </c>
      <c r="I18" s="1132">
        <f>+F18</f>
        <v>153.49</v>
      </c>
      <c r="J18" s="1132">
        <f t="shared" si="3"/>
        <v>460.47</v>
      </c>
      <c r="K18" s="1914">
        <v>3</v>
      </c>
      <c r="L18" s="1132">
        <f t="shared" ref="L18:L31" si="8">+F18</f>
        <v>153.49</v>
      </c>
      <c r="M18" s="1132">
        <f t="shared" si="4"/>
        <v>460.47</v>
      </c>
      <c r="N18" s="1914">
        <v>3</v>
      </c>
      <c r="O18" s="1132">
        <f t="shared" si="7"/>
        <v>153.49</v>
      </c>
      <c r="P18" s="1132">
        <f t="shared" si="5"/>
        <v>460.47</v>
      </c>
      <c r="Q18" s="1621">
        <v>3</v>
      </c>
      <c r="R18" s="1132">
        <f>VLOOKUP(C18,'[25]SOR RATE'!A:D,4,0)</f>
        <v>153.49</v>
      </c>
      <c r="S18" s="1132">
        <f t="shared" si="1"/>
        <v>460.47</v>
      </c>
    </row>
    <row r="19" spans="1:21" ht="18" customHeight="1">
      <c r="A19" s="1914">
        <v>5</v>
      </c>
      <c r="B19" s="1634" t="s">
        <v>19</v>
      </c>
      <c r="C19" s="1616">
        <v>7130820008</v>
      </c>
      <c r="D19" s="1914" t="s">
        <v>12</v>
      </c>
      <c r="E19" s="1914">
        <v>6</v>
      </c>
      <c r="F19" s="1132">
        <f>VLOOKUP(C19,'[25]SOR RATE'!A:D,4,0)</f>
        <v>157.08000000000001</v>
      </c>
      <c r="G19" s="1132">
        <f t="shared" si="2"/>
        <v>942.48</v>
      </c>
      <c r="H19" s="1914">
        <v>6</v>
      </c>
      <c r="I19" s="1132">
        <f t="shared" si="6"/>
        <v>157.08000000000001</v>
      </c>
      <c r="J19" s="1132">
        <f t="shared" si="3"/>
        <v>942.48</v>
      </c>
      <c r="K19" s="1914">
        <v>6</v>
      </c>
      <c r="L19" s="1132">
        <f t="shared" si="8"/>
        <v>157.08000000000001</v>
      </c>
      <c r="M19" s="1132">
        <f t="shared" si="4"/>
        <v>942.48</v>
      </c>
      <c r="N19" s="1914">
        <v>6</v>
      </c>
      <c r="O19" s="1132">
        <f t="shared" si="7"/>
        <v>157.08000000000001</v>
      </c>
      <c r="P19" s="1132">
        <f t="shared" si="5"/>
        <v>942.48</v>
      </c>
      <c r="Q19" s="1621">
        <v>6</v>
      </c>
      <c r="R19" s="1132">
        <f>VLOOKUP(C19,'[25]SOR RATE'!A:D,4,0)</f>
        <v>157.08000000000001</v>
      </c>
      <c r="S19" s="1132">
        <f t="shared" si="1"/>
        <v>942.48</v>
      </c>
      <c r="T19" s="624"/>
      <c r="U19" s="105"/>
    </row>
    <row r="20" spans="1:21" ht="33.75" customHeight="1">
      <c r="A20" s="1911">
        <v>6</v>
      </c>
      <c r="B20" s="1807" t="s">
        <v>1671</v>
      </c>
      <c r="C20" s="2301">
        <v>7130810509</v>
      </c>
      <c r="D20" s="1621" t="s">
        <v>12</v>
      </c>
      <c r="E20" s="1621">
        <v>1</v>
      </c>
      <c r="F20" s="1132">
        <f>VLOOKUP(C20,'[25]SOR RATE'!A:D,4,0)</f>
        <v>2187.33</v>
      </c>
      <c r="G20" s="1132">
        <f t="shared" si="2"/>
        <v>2187.33</v>
      </c>
      <c r="H20" s="1621">
        <v>1</v>
      </c>
      <c r="I20" s="1132">
        <f t="shared" si="6"/>
        <v>2187.33</v>
      </c>
      <c r="J20" s="1132">
        <f t="shared" si="3"/>
        <v>2187.33</v>
      </c>
      <c r="K20" s="1621">
        <v>1</v>
      </c>
      <c r="L20" s="1132">
        <f t="shared" si="8"/>
        <v>2187.33</v>
      </c>
      <c r="M20" s="1132">
        <f t="shared" si="4"/>
        <v>2187.33</v>
      </c>
      <c r="N20" s="1621">
        <v>1</v>
      </c>
      <c r="O20" s="1132">
        <f t="shared" si="7"/>
        <v>2187.33</v>
      </c>
      <c r="P20" s="1132">
        <f t="shared" si="5"/>
        <v>2187.33</v>
      </c>
      <c r="Q20" s="1621">
        <v>1</v>
      </c>
      <c r="R20" s="1132">
        <f>VLOOKUP(C20,'[25]SOR RATE'!A:D,4,0)</f>
        <v>2187.33</v>
      </c>
      <c r="S20" s="1132">
        <f t="shared" si="1"/>
        <v>2187.33</v>
      </c>
    </row>
    <row r="21" spans="1:21" ht="18" customHeight="1">
      <c r="A21" s="1914">
        <v>7</v>
      </c>
      <c r="B21" s="1290" t="s">
        <v>1700</v>
      </c>
      <c r="C21" s="2299">
        <v>7131930412</v>
      </c>
      <c r="D21" s="1914" t="s">
        <v>33</v>
      </c>
      <c r="E21" s="1914">
        <v>3</v>
      </c>
      <c r="F21" s="1132">
        <f>VLOOKUP(C21,'[25]SOR RATE'!A:D,4,0)</f>
        <v>1123.1500000000001</v>
      </c>
      <c r="G21" s="1132">
        <f t="shared" si="2"/>
        <v>3369.4500000000003</v>
      </c>
      <c r="H21" s="1914">
        <v>3</v>
      </c>
      <c r="I21" s="1132">
        <f t="shared" si="6"/>
        <v>1123.1500000000001</v>
      </c>
      <c r="J21" s="1132">
        <f t="shared" si="3"/>
        <v>3369.4500000000003</v>
      </c>
      <c r="K21" s="1914">
        <v>3</v>
      </c>
      <c r="L21" s="1132">
        <f t="shared" si="8"/>
        <v>1123.1500000000001</v>
      </c>
      <c r="M21" s="1132">
        <f t="shared" si="4"/>
        <v>3369.4500000000003</v>
      </c>
      <c r="N21" s="1914">
        <v>3</v>
      </c>
      <c r="O21" s="1132">
        <f t="shared" si="7"/>
        <v>1123.1500000000001</v>
      </c>
      <c r="P21" s="1132">
        <f t="shared" si="5"/>
        <v>3369.4500000000003</v>
      </c>
      <c r="Q21" s="1621">
        <v>3</v>
      </c>
      <c r="R21" s="1132">
        <f>VLOOKUP(C21,'[25]SOR RATE'!A:D,4,0)</f>
        <v>1123.1500000000001</v>
      </c>
      <c r="S21" s="1132">
        <f t="shared" si="1"/>
        <v>3369.4500000000003</v>
      </c>
    </row>
    <row r="22" spans="1:21" ht="18" customHeight="1">
      <c r="A22" s="1914">
        <v>8</v>
      </c>
      <c r="B22" s="1290" t="s">
        <v>2427</v>
      </c>
      <c r="C22" s="2299">
        <v>7130810692</v>
      </c>
      <c r="D22" s="1914" t="s">
        <v>15</v>
      </c>
      <c r="E22" s="1914">
        <v>8</v>
      </c>
      <c r="F22" s="1132">
        <f>VLOOKUP(C22,'[25]SOR RATE'!A:D,4,0)</f>
        <v>410.25</v>
      </c>
      <c r="G22" s="1132">
        <f>F22*E22</f>
        <v>3282</v>
      </c>
      <c r="H22" s="1914">
        <v>8</v>
      </c>
      <c r="I22" s="1132">
        <f>VLOOKUP(C22,'[25]SOR RATE'!A:D,4,0)</f>
        <v>410.25</v>
      </c>
      <c r="J22" s="1132">
        <f t="shared" si="3"/>
        <v>3282</v>
      </c>
      <c r="K22" s="1914">
        <v>8</v>
      </c>
      <c r="L22" s="1132">
        <f>VLOOKUP(C22,'[25]SOR RATE'!A:D,4,0)</f>
        <v>410.25</v>
      </c>
      <c r="M22" s="1132">
        <f t="shared" si="4"/>
        <v>3282</v>
      </c>
      <c r="N22" s="1914">
        <v>8</v>
      </c>
      <c r="O22" s="1132">
        <f>VLOOKUP(C22,'[25]SOR RATE'!A:D,4,0)</f>
        <v>410.25</v>
      </c>
      <c r="P22" s="1132">
        <f t="shared" si="5"/>
        <v>3282</v>
      </c>
      <c r="Q22" s="1621">
        <v>8</v>
      </c>
      <c r="R22" s="1132">
        <f>VLOOKUP(C22,'[25]SOR RATE'!A:D,4,0)</f>
        <v>410.25</v>
      </c>
      <c r="S22" s="1132">
        <f>R22*Q22</f>
        <v>3282</v>
      </c>
      <c r="T22" s="1939" t="s">
        <v>119</v>
      </c>
    </row>
    <row r="23" spans="1:21" ht="31.5" customHeight="1">
      <c r="A23" s="1914">
        <v>9</v>
      </c>
      <c r="B23" s="1290" t="s">
        <v>1688</v>
      </c>
      <c r="C23" s="1291">
        <v>7130600023</v>
      </c>
      <c r="D23" s="1291" t="s">
        <v>26</v>
      </c>
      <c r="E23" s="1914">
        <v>20</v>
      </c>
      <c r="F23" s="1132">
        <f>VLOOKUP(C23,'[25]SOR RATE'!A:D,4,0)/1000</f>
        <v>54.512970000000003</v>
      </c>
      <c r="G23" s="1132">
        <f t="shared" si="2"/>
        <v>1090.2594000000001</v>
      </c>
      <c r="H23" s="1914">
        <v>20</v>
      </c>
      <c r="I23" s="1132">
        <f t="shared" si="6"/>
        <v>54.512970000000003</v>
      </c>
      <c r="J23" s="1132">
        <f t="shared" si="3"/>
        <v>1090.2594000000001</v>
      </c>
      <c r="K23" s="1914">
        <v>20</v>
      </c>
      <c r="L23" s="1132">
        <f t="shared" si="8"/>
        <v>54.512970000000003</v>
      </c>
      <c r="M23" s="1132">
        <f t="shared" si="4"/>
        <v>1090.2594000000001</v>
      </c>
      <c r="N23" s="1914">
        <v>20</v>
      </c>
      <c r="O23" s="1132">
        <f t="shared" si="7"/>
        <v>54.512970000000003</v>
      </c>
      <c r="P23" s="1132">
        <f t="shared" si="5"/>
        <v>1090.2594000000001</v>
      </c>
      <c r="Q23" s="1621">
        <v>20</v>
      </c>
      <c r="R23" s="1132">
        <f>VLOOKUP(C23,'[25]SOR RATE'!A:D,4,0)/1000</f>
        <v>54.512970000000003</v>
      </c>
      <c r="S23" s="1132">
        <f t="shared" si="1"/>
        <v>1090.2594000000001</v>
      </c>
    </row>
    <row r="24" spans="1:21" ht="19.5" customHeight="1">
      <c r="A24" s="3266">
        <v>10</v>
      </c>
      <c r="B24" s="1290" t="s">
        <v>1673</v>
      </c>
      <c r="C24" s="2299">
        <v>7130860032</v>
      </c>
      <c r="D24" s="1914" t="s">
        <v>12</v>
      </c>
      <c r="E24" s="1914">
        <v>4</v>
      </c>
      <c r="F24" s="1132">
        <f>VLOOKUP(C24,'[25]SOR RATE'!A:D,4,0)</f>
        <v>566.19000000000005</v>
      </c>
      <c r="G24" s="1132">
        <f t="shared" si="2"/>
        <v>2264.7600000000002</v>
      </c>
      <c r="H24" s="1914">
        <v>4</v>
      </c>
      <c r="I24" s="1132">
        <f t="shared" si="6"/>
        <v>566.19000000000005</v>
      </c>
      <c r="J24" s="1132">
        <f t="shared" si="3"/>
        <v>2264.7600000000002</v>
      </c>
      <c r="K24" s="1914">
        <v>4</v>
      </c>
      <c r="L24" s="1132">
        <f t="shared" si="8"/>
        <v>566.19000000000005</v>
      </c>
      <c r="M24" s="1132">
        <f t="shared" si="4"/>
        <v>2264.7600000000002</v>
      </c>
      <c r="N24" s="1914">
        <v>4</v>
      </c>
      <c r="O24" s="1132">
        <f t="shared" si="7"/>
        <v>566.19000000000005</v>
      </c>
      <c r="P24" s="1132">
        <f t="shared" si="5"/>
        <v>2264.7600000000002</v>
      </c>
      <c r="Q24" s="1621">
        <v>4</v>
      </c>
      <c r="R24" s="1132">
        <f>VLOOKUP(C24,'[25]SOR RATE'!A:D,4,0)</f>
        <v>566.19000000000005</v>
      </c>
      <c r="S24" s="1132">
        <f t="shared" si="1"/>
        <v>2264.7600000000002</v>
      </c>
    </row>
    <row r="25" spans="1:21" ht="19.5" customHeight="1">
      <c r="A25" s="3267"/>
      <c r="B25" s="1290" t="s">
        <v>1674</v>
      </c>
      <c r="C25" s="2299">
        <v>7130860077</v>
      </c>
      <c r="D25" s="1914" t="s">
        <v>26</v>
      </c>
      <c r="E25" s="1914">
        <v>22</v>
      </c>
      <c r="F25" s="1132">
        <f>VLOOKUP(C25,'[25]SOR RATE'!A:D,4,0)/1000</f>
        <v>93.76643</v>
      </c>
      <c r="G25" s="1132">
        <f t="shared" si="2"/>
        <v>2062.8614600000001</v>
      </c>
      <c r="H25" s="1914">
        <v>22</v>
      </c>
      <c r="I25" s="1132">
        <f t="shared" si="6"/>
        <v>93.76643</v>
      </c>
      <c r="J25" s="1132">
        <f t="shared" si="3"/>
        <v>2062.8614600000001</v>
      </c>
      <c r="K25" s="1914">
        <v>22</v>
      </c>
      <c r="L25" s="1132">
        <f t="shared" si="8"/>
        <v>93.76643</v>
      </c>
      <c r="M25" s="1132">
        <f t="shared" si="4"/>
        <v>2062.8614600000001</v>
      </c>
      <c r="N25" s="1914">
        <v>22</v>
      </c>
      <c r="O25" s="1132">
        <f t="shared" si="7"/>
        <v>93.76643</v>
      </c>
      <c r="P25" s="1132">
        <f t="shared" si="5"/>
        <v>2062.8614600000001</v>
      </c>
      <c r="Q25" s="1621">
        <v>22</v>
      </c>
      <c r="R25" s="1132">
        <f>VLOOKUP(C25,'[25]SOR RATE'!A:D,4,0)/1000</f>
        <v>93.76643</v>
      </c>
      <c r="S25" s="1132">
        <f t="shared" si="1"/>
        <v>2062.8614600000001</v>
      </c>
    </row>
    <row r="26" spans="1:21" ht="19.5" customHeight="1">
      <c r="A26" s="3267"/>
      <c r="B26" s="1290" t="s">
        <v>2428</v>
      </c>
      <c r="C26" s="1625">
        <v>7130810692</v>
      </c>
      <c r="D26" s="1620" t="s">
        <v>15</v>
      </c>
      <c r="E26" s="1914">
        <v>8</v>
      </c>
      <c r="F26" s="1132">
        <f>VLOOKUP(C26,'[25]SOR RATE'!A:D,4,0)</f>
        <v>410.25</v>
      </c>
      <c r="G26" s="1132">
        <f>F26*E26</f>
        <v>3282</v>
      </c>
      <c r="H26" s="1914">
        <v>8</v>
      </c>
      <c r="I26" s="1132">
        <f>VLOOKUP(C26,'[25]SOR RATE'!A:D,4,0)</f>
        <v>410.25</v>
      </c>
      <c r="J26" s="1132">
        <f t="shared" si="3"/>
        <v>3282</v>
      </c>
      <c r="K26" s="1914">
        <v>8</v>
      </c>
      <c r="L26" s="1132">
        <f>VLOOKUP(C26,'[25]SOR RATE'!A:D,4,0)</f>
        <v>410.25</v>
      </c>
      <c r="M26" s="1132">
        <f t="shared" si="4"/>
        <v>3282</v>
      </c>
      <c r="N26" s="1914">
        <v>8</v>
      </c>
      <c r="O26" s="1132">
        <f>VLOOKUP(C26,'[25]SOR RATE'!A:D,4,0)</f>
        <v>410.25</v>
      </c>
      <c r="P26" s="1132">
        <f t="shared" si="5"/>
        <v>3282</v>
      </c>
      <c r="Q26" s="1621">
        <v>8</v>
      </c>
      <c r="R26" s="1132">
        <f>VLOOKUP(C26,'[25]SOR RATE'!A:D,4,0)</f>
        <v>410.25</v>
      </c>
      <c r="S26" s="1132">
        <f>R26*Q26</f>
        <v>3282</v>
      </c>
      <c r="T26" s="1939" t="s">
        <v>119</v>
      </c>
    </row>
    <row r="27" spans="1:21" ht="19.5" customHeight="1">
      <c r="A27" s="3267"/>
      <c r="B27" s="1624" t="s">
        <v>2429</v>
      </c>
      <c r="C27" s="1625">
        <v>7130810692</v>
      </c>
      <c r="D27" s="1620" t="s">
        <v>15</v>
      </c>
      <c r="E27" s="1914">
        <v>4</v>
      </c>
      <c r="F27" s="1132">
        <f>VLOOKUP(C27,'[25]SOR RATE'!A:D,4,0)</f>
        <v>410.25</v>
      </c>
      <c r="G27" s="1132">
        <f t="shared" si="2"/>
        <v>1641</v>
      </c>
      <c r="H27" s="1914">
        <v>4</v>
      </c>
      <c r="I27" s="1132">
        <f t="shared" si="6"/>
        <v>410.25</v>
      </c>
      <c r="J27" s="1132">
        <f t="shared" si="3"/>
        <v>1641</v>
      </c>
      <c r="K27" s="1914">
        <v>4</v>
      </c>
      <c r="L27" s="1132">
        <f t="shared" si="8"/>
        <v>410.25</v>
      </c>
      <c r="M27" s="1132">
        <f t="shared" si="4"/>
        <v>1641</v>
      </c>
      <c r="N27" s="1914">
        <v>4</v>
      </c>
      <c r="O27" s="1132">
        <f>+I27</f>
        <v>410.25</v>
      </c>
      <c r="P27" s="1132">
        <f t="shared" si="5"/>
        <v>1641</v>
      </c>
      <c r="Q27" s="1621">
        <v>4</v>
      </c>
      <c r="R27" s="1132">
        <f>VLOOKUP(C27,'[25]SOR RATE'!A:D,4,0)</f>
        <v>410.25</v>
      </c>
      <c r="S27" s="1132">
        <f t="shared" si="1"/>
        <v>1641</v>
      </c>
    </row>
    <row r="28" spans="1:21" ht="45.75" customHeight="1">
      <c r="A28" s="1914">
        <v>11</v>
      </c>
      <c r="B28" s="1290" t="s">
        <v>2430</v>
      </c>
      <c r="C28" s="2299">
        <v>7130200202</v>
      </c>
      <c r="D28" s="1914" t="s">
        <v>76</v>
      </c>
      <c r="E28" s="92">
        <f>(2*0.6)+(4*0.2)+(2*0.05)</f>
        <v>2.1</v>
      </c>
      <c r="F28" s="1132">
        <f>VLOOKUP(C28,'[25]SOR RATE'!A:D,4,0)</f>
        <v>2970</v>
      </c>
      <c r="G28" s="1132">
        <f>E28*F28</f>
        <v>6237</v>
      </c>
      <c r="H28" s="1637">
        <f>+E28</f>
        <v>2.1</v>
      </c>
      <c r="I28" s="1132">
        <f t="shared" si="6"/>
        <v>2970</v>
      </c>
      <c r="J28" s="1132">
        <f>H28*I28</f>
        <v>6237</v>
      </c>
      <c r="K28" s="1637">
        <f>+H28</f>
        <v>2.1</v>
      </c>
      <c r="L28" s="1132">
        <f t="shared" si="8"/>
        <v>2970</v>
      </c>
      <c r="M28" s="1132">
        <f>K28*L28</f>
        <v>6237</v>
      </c>
      <c r="N28" s="1637">
        <f>+K28</f>
        <v>2.1</v>
      </c>
      <c r="O28" s="1132">
        <f>+I28</f>
        <v>2970</v>
      </c>
      <c r="P28" s="1132">
        <f>N28*O28</f>
        <v>6237</v>
      </c>
      <c r="Q28" s="92">
        <f>(2*0.6)+(4*0.2)+(2*0.05)</f>
        <v>2.1</v>
      </c>
      <c r="R28" s="1132">
        <f>VLOOKUP(C28,'[25]SOR RATE'!A:D,4,0)</f>
        <v>2970</v>
      </c>
      <c r="S28" s="1132">
        <f t="shared" si="1"/>
        <v>6237</v>
      </c>
      <c r="T28" s="2007" t="s">
        <v>47</v>
      </c>
    </row>
    <row r="29" spans="1:21" ht="29.25" customHeight="1">
      <c r="A29" s="1914">
        <v>12</v>
      </c>
      <c r="B29" s="1619" t="s">
        <v>2361</v>
      </c>
      <c r="C29" s="2299">
        <v>7130600023</v>
      </c>
      <c r="D29" s="1914" t="s">
        <v>26</v>
      </c>
      <c r="E29" s="1914">
        <v>34</v>
      </c>
      <c r="F29" s="1132">
        <f>VLOOKUP(C29,'[25]SOR RATE'!A:D,4,0)/1000</f>
        <v>54.512970000000003</v>
      </c>
      <c r="G29" s="1132">
        <f>F29*E29</f>
        <v>1853.4409800000001</v>
      </c>
      <c r="H29" s="1914">
        <v>34</v>
      </c>
      <c r="I29" s="1132">
        <f t="shared" si="6"/>
        <v>54.512970000000003</v>
      </c>
      <c r="J29" s="1132">
        <f>I29*H29</f>
        <v>1853.4409800000001</v>
      </c>
      <c r="K29" s="1914">
        <v>34</v>
      </c>
      <c r="L29" s="1132">
        <f t="shared" si="8"/>
        <v>54.512970000000003</v>
      </c>
      <c r="M29" s="1132">
        <f>L29*K29</f>
        <v>1853.4409800000001</v>
      </c>
      <c r="N29" s="1914">
        <v>34</v>
      </c>
      <c r="O29" s="1132">
        <f>+F29</f>
        <v>54.512970000000003</v>
      </c>
      <c r="P29" s="1132">
        <f>O29*N29</f>
        <v>1853.4409800000001</v>
      </c>
      <c r="Q29" s="1621">
        <v>34</v>
      </c>
      <c r="R29" s="1132">
        <f>VLOOKUP(C29,'[25]SOR RATE'!A:D,4,0)/1000</f>
        <v>54.512970000000003</v>
      </c>
      <c r="S29" s="1132">
        <f t="shared" si="1"/>
        <v>1853.4409800000001</v>
      </c>
    </row>
    <row r="30" spans="1:21" ht="29.25" customHeight="1">
      <c r="A30" s="1914">
        <v>13</v>
      </c>
      <c r="B30" s="1290" t="s">
        <v>2362</v>
      </c>
      <c r="C30" s="2299">
        <v>7130850201</v>
      </c>
      <c r="D30" s="1914" t="s">
        <v>40</v>
      </c>
      <c r="E30" s="1914">
        <v>1</v>
      </c>
      <c r="F30" s="1132">
        <f>VLOOKUP(C30,'[25]SOR RATE'!A279:D279,4,0)</f>
        <v>5987.84</v>
      </c>
      <c r="G30" s="1132">
        <f>F30*E30</f>
        <v>5987.84</v>
      </c>
      <c r="H30" s="1914">
        <v>1</v>
      </c>
      <c r="I30" s="1132">
        <f t="shared" si="6"/>
        <v>5987.84</v>
      </c>
      <c r="J30" s="1132">
        <f>I30*H30</f>
        <v>5987.84</v>
      </c>
      <c r="K30" s="1914">
        <v>1</v>
      </c>
      <c r="L30" s="1132">
        <f t="shared" si="8"/>
        <v>5987.84</v>
      </c>
      <c r="M30" s="1132">
        <f>L30*K30</f>
        <v>5987.84</v>
      </c>
      <c r="N30" s="1914">
        <v>1</v>
      </c>
      <c r="O30" s="1132">
        <f>+F30</f>
        <v>5987.84</v>
      </c>
      <c r="P30" s="1132">
        <f>O30*N30</f>
        <v>5987.84</v>
      </c>
      <c r="Q30" s="1621">
        <v>1</v>
      </c>
      <c r="R30" s="1132">
        <f>VLOOKUP(C30,'[25]SOR RATE'!A279:D279,4,0)</f>
        <v>5987.84</v>
      </c>
      <c r="S30" s="1132">
        <f t="shared" si="1"/>
        <v>5987.84</v>
      </c>
    </row>
    <row r="31" spans="1:21" ht="18" customHeight="1">
      <c r="A31" s="1914">
        <v>14</v>
      </c>
      <c r="B31" s="1290" t="s">
        <v>32</v>
      </c>
      <c r="C31" s="2301">
        <v>7130880041</v>
      </c>
      <c r="D31" s="1911" t="s">
        <v>33</v>
      </c>
      <c r="E31" s="1911">
        <v>1</v>
      </c>
      <c r="F31" s="2302">
        <f>VLOOKUP(C31,'[25]SOR RATE'!A:D,4,0)</f>
        <v>113.77</v>
      </c>
      <c r="G31" s="2302">
        <f>F31*E31</f>
        <v>113.77</v>
      </c>
      <c r="H31" s="1911">
        <v>1</v>
      </c>
      <c r="I31" s="2302">
        <f t="shared" si="6"/>
        <v>113.77</v>
      </c>
      <c r="J31" s="2302">
        <f>I31*H31</f>
        <v>113.77</v>
      </c>
      <c r="K31" s="1911">
        <v>1</v>
      </c>
      <c r="L31" s="2302">
        <f t="shared" si="8"/>
        <v>113.77</v>
      </c>
      <c r="M31" s="2302">
        <f>L31*K31</f>
        <v>113.77</v>
      </c>
      <c r="N31" s="1911">
        <v>1</v>
      </c>
      <c r="O31" s="2302">
        <f>+F31</f>
        <v>113.77</v>
      </c>
      <c r="P31" s="2302">
        <f>O31*N31</f>
        <v>113.77</v>
      </c>
      <c r="Q31" s="2303">
        <v>1</v>
      </c>
      <c r="R31" s="2302">
        <f>VLOOKUP(C31,'[25]SOR RATE'!A:D,4,0)</f>
        <v>113.77</v>
      </c>
      <c r="S31" s="2302">
        <f t="shared" si="1"/>
        <v>113.77</v>
      </c>
    </row>
    <row r="32" spans="1:21" ht="30.75" customHeight="1">
      <c r="A32" s="3266">
        <v>15</v>
      </c>
      <c r="B32" s="2296" t="s">
        <v>1704</v>
      </c>
      <c r="C32" s="1622"/>
      <c r="D32" s="1623"/>
      <c r="E32" s="1623"/>
      <c r="F32" s="1623"/>
      <c r="G32" s="1623"/>
      <c r="H32" s="1623"/>
      <c r="I32" s="1623"/>
      <c r="J32" s="1623"/>
      <c r="K32" s="1623"/>
      <c r="L32" s="1623"/>
      <c r="M32" s="1623"/>
      <c r="N32" s="1623"/>
      <c r="O32" s="1623"/>
      <c r="P32" s="1623"/>
      <c r="Q32" s="1623"/>
      <c r="R32" s="2304"/>
      <c r="S32" s="1676"/>
    </row>
    <row r="33" spans="1:25" ht="15.75" customHeight="1">
      <c r="A33" s="3267"/>
      <c r="B33" s="1290" t="s">
        <v>1675</v>
      </c>
      <c r="C33" s="2297">
        <v>7130641396</v>
      </c>
      <c r="D33" s="1912" t="s">
        <v>21</v>
      </c>
      <c r="E33" s="1912">
        <v>9</v>
      </c>
      <c r="F33" s="2298">
        <f>VLOOKUP(C33,'[25]SOR RATE'!A:D,4,0)</f>
        <v>253.11</v>
      </c>
      <c r="G33" s="2298">
        <f>F33*E33</f>
        <v>2277.9900000000002</v>
      </c>
      <c r="H33" s="1912">
        <v>9</v>
      </c>
      <c r="I33" s="2298">
        <f>+F33</f>
        <v>253.11</v>
      </c>
      <c r="J33" s="2298">
        <f>I33*H33</f>
        <v>2277.9900000000002</v>
      </c>
      <c r="K33" s="1912">
        <v>9</v>
      </c>
      <c r="L33" s="2298">
        <f>+F33</f>
        <v>253.11</v>
      </c>
      <c r="M33" s="2298">
        <f t="shared" ref="M33:M38" si="9">L33*K33</f>
        <v>2277.9900000000002</v>
      </c>
      <c r="N33" s="1912">
        <v>9</v>
      </c>
      <c r="O33" s="2298">
        <f t="shared" ref="O33:O38" si="10">+F33</f>
        <v>253.11</v>
      </c>
      <c r="P33" s="2298">
        <f t="shared" ref="P33:P38" si="11">O33*N33</f>
        <v>2277.9900000000002</v>
      </c>
      <c r="Q33" s="2305">
        <v>9</v>
      </c>
      <c r="R33" s="2298">
        <f>VLOOKUP(C33,'[25]SOR RATE'!A:D,4,0)</f>
        <v>253.11</v>
      </c>
      <c r="S33" s="2298">
        <f t="shared" ref="S33:S38" si="12">R33*Q33</f>
        <v>2277.9900000000002</v>
      </c>
    </row>
    <row r="34" spans="1:25" ht="15.75" customHeight="1">
      <c r="A34" s="3268"/>
      <c r="B34" s="1290" t="s">
        <v>1676</v>
      </c>
      <c r="C34" s="2299">
        <v>7130870043</v>
      </c>
      <c r="D34" s="1914" t="s">
        <v>26</v>
      </c>
      <c r="E34" s="1914">
        <v>15</v>
      </c>
      <c r="F34" s="1132">
        <f>VLOOKUP(C34,'[25]SOR RATE'!A:D,4,0)/1000</f>
        <v>80.521839999999997</v>
      </c>
      <c r="G34" s="1132">
        <f>F34*E34</f>
        <v>1207.8276000000001</v>
      </c>
      <c r="H34" s="1914">
        <v>15</v>
      </c>
      <c r="I34" s="1132">
        <f>+F34</f>
        <v>80.521839999999997</v>
      </c>
      <c r="J34" s="1132">
        <f>I34*H34</f>
        <v>1207.8276000000001</v>
      </c>
      <c r="K34" s="1914">
        <v>15</v>
      </c>
      <c r="L34" s="1132">
        <f>+F34</f>
        <v>80.521839999999997</v>
      </c>
      <c r="M34" s="1132">
        <f t="shared" si="9"/>
        <v>1207.8276000000001</v>
      </c>
      <c r="N34" s="1914">
        <v>15</v>
      </c>
      <c r="O34" s="1132">
        <f t="shared" si="10"/>
        <v>80.521839999999997</v>
      </c>
      <c r="P34" s="1132">
        <f t="shared" si="11"/>
        <v>1207.8276000000001</v>
      </c>
      <c r="Q34" s="1621">
        <v>15</v>
      </c>
      <c r="R34" s="1132">
        <f>VLOOKUP(C34,'[25]SOR RATE'!A:D,4,0)/1000</f>
        <v>80.521839999999997</v>
      </c>
      <c r="S34" s="1132">
        <f t="shared" si="12"/>
        <v>1207.8276000000001</v>
      </c>
    </row>
    <row r="35" spans="1:25" ht="18" customHeight="1">
      <c r="A35" s="1914">
        <v>16</v>
      </c>
      <c r="B35" s="1619" t="s">
        <v>31</v>
      </c>
      <c r="C35" s="1625">
        <v>7130610206</v>
      </c>
      <c r="D35" s="1914" t="s">
        <v>26</v>
      </c>
      <c r="E35" s="1914">
        <v>4</v>
      </c>
      <c r="F35" s="1132">
        <f>VLOOKUP(C35,'[25]SOR RATE'!A:D,4,0)/1000</f>
        <v>97.233429999999998</v>
      </c>
      <c r="G35" s="1132">
        <f>F35*E35</f>
        <v>388.93371999999999</v>
      </c>
      <c r="H35" s="1914">
        <v>4</v>
      </c>
      <c r="I35" s="1132">
        <f>+F35</f>
        <v>97.233429999999998</v>
      </c>
      <c r="J35" s="1132">
        <f>I35*H35</f>
        <v>388.93371999999999</v>
      </c>
      <c r="K35" s="1914">
        <v>4</v>
      </c>
      <c r="L35" s="1132">
        <f>+F35</f>
        <v>97.233429999999998</v>
      </c>
      <c r="M35" s="1132">
        <f t="shared" si="9"/>
        <v>388.93371999999999</v>
      </c>
      <c r="N35" s="1914">
        <v>8</v>
      </c>
      <c r="O35" s="1132">
        <f t="shared" si="10"/>
        <v>97.233429999999998</v>
      </c>
      <c r="P35" s="1132">
        <f t="shared" si="11"/>
        <v>777.86743999999999</v>
      </c>
      <c r="Q35" s="1621">
        <v>8</v>
      </c>
      <c r="R35" s="1132">
        <f>VLOOKUP(C35,'[25]SOR RATE'!A:D,4,0)/1000</f>
        <v>97.233429999999998</v>
      </c>
      <c r="S35" s="1132">
        <f t="shared" si="12"/>
        <v>777.86743999999999</v>
      </c>
      <c r="T35" s="1972"/>
      <c r="U35" s="87"/>
      <c r="V35" s="85"/>
    </row>
    <row r="36" spans="1:25" ht="14.25">
      <c r="A36" s="1914">
        <v>17</v>
      </c>
      <c r="B36" s="1290" t="s">
        <v>28</v>
      </c>
      <c r="C36" s="2299">
        <v>7130211158</v>
      </c>
      <c r="D36" s="1914" t="s">
        <v>29</v>
      </c>
      <c r="E36" s="1914">
        <v>1</v>
      </c>
      <c r="F36" s="1132">
        <f>VLOOKUP(C36,'[25]SOR RATE'!A:D,4,0)</f>
        <v>193.62</v>
      </c>
      <c r="G36" s="1132">
        <f>F36*E36</f>
        <v>193.62</v>
      </c>
      <c r="H36" s="1914">
        <v>1</v>
      </c>
      <c r="I36" s="1132">
        <f>+F36</f>
        <v>193.62</v>
      </c>
      <c r="J36" s="1132">
        <f>I36*H36</f>
        <v>193.62</v>
      </c>
      <c r="K36" s="1914">
        <v>3</v>
      </c>
      <c r="L36" s="1132">
        <f>+F36</f>
        <v>193.62</v>
      </c>
      <c r="M36" s="1132">
        <f t="shared" si="9"/>
        <v>580.86</v>
      </c>
      <c r="N36" s="1914">
        <v>3</v>
      </c>
      <c r="O36" s="1132">
        <f t="shared" si="10"/>
        <v>193.62</v>
      </c>
      <c r="P36" s="1132">
        <f t="shared" si="11"/>
        <v>580.86</v>
      </c>
      <c r="Q36" s="1621">
        <v>3</v>
      </c>
      <c r="R36" s="1132">
        <f>VLOOKUP(C36,'[25]SOR RATE'!A:D,4,0)</f>
        <v>193.62</v>
      </c>
      <c r="S36" s="1132">
        <f t="shared" si="12"/>
        <v>580.86</v>
      </c>
    </row>
    <row r="37" spans="1:25" ht="14.25">
      <c r="A37" s="1914">
        <v>18</v>
      </c>
      <c r="B37" s="1290" t="s">
        <v>30</v>
      </c>
      <c r="C37" s="2299">
        <v>7130210809</v>
      </c>
      <c r="D37" s="1914" t="s">
        <v>29</v>
      </c>
      <c r="E37" s="1914">
        <v>1</v>
      </c>
      <c r="F37" s="1132">
        <f>VLOOKUP(C37,'[25]SOR RATE'!A:D,4,0)</f>
        <v>432.63</v>
      </c>
      <c r="G37" s="1132">
        <f t="shared" ref="G37" si="13">F37*E37</f>
        <v>432.63</v>
      </c>
      <c r="H37" s="1914">
        <v>1</v>
      </c>
      <c r="I37" s="1132">
        <f t="shared" ref="I37:I43" si="14">+F37</f>
        <v>432.63</v>
      </c>
      <c r="J37" s="1132">
        <f t="shared" ref="J37" si="15">I37*H37</f>
        <v>432.63</v>
      </c>
      <c r="K37" s="1914">
        <v>3</v>
      </c>
      <c r="L37" s="1132">
        <f t="shared" ref="L37:L40" si="16">+F37</f>
        <v>432.63</v>
      </c>
      <c r="M37" s="1132">
        <f t="shared" si="9"/>
        <v>1297.8899999999999</v>
      </c>
      <c r="N37" s="1914">
        <v>3</v>
      </c>
      <c r="O37" s="1132">
        <f t="shared" si="10"/>
        <v>432.63</v>
      </c>
      <c r="P37" s="1132">
        <f t="shared" si="11"/>
        <v>1297.8899999999999</v>
      </c>
      <c r="Q37" s="1621">
        <v>3</v>
      </c>
      <c r="R37" s="1132">
        <f>VLOOKUP(C37,'[25]SOR RATE'!A:D,4,0)</f>
        <v>432.63</v>
      </c>
      <c r="S37" s="1132">
        <f t="shared" si="12"/>
        <v>1297.8899999999999</v>
      </c>
    </row>
    <row r="38" spans="1:25" ht="14.25">
      <c r="A38" s="1914">
        <v>19</v>
      </c>
      <c r="B38" s="1290" t="s">
        <v>712</v>
      </c>
      <c r="C38" s="2299">
        <v>7130840029</v>
      </c>
      <c r="D38" s="1914" t="s">
        <v>33</v>
      </c>
      <c r="E38" s="1914">
        <v>3</v>
      </c>
      <c r="F38" s="1132">
        <f>VLOOKUP(C38,'[25]SOR RATE'!A:D,4,0)</f>
        <v>368.52</v>
      </c>
      <c r="G38" s="1132">
        <f>F38*E38</f>
        <v>1105.56</v>
      </c>
      <c r="H38" s="1914">
        <v>3</v>
      </c>
      <c r="I38" s="1132">
        <f t="shared" si="14"/>
        <v>368.52</v>
      </c>
      <c r="J38" s="1132">
        <f>I38*H38</f>
        <v>1105.56</v>
      </c>
      <c r="K38" s="1914">
        <v>3</v>
      </c>
      <c r="L38" s="1132">
        <f>+F38</f>
        <v>368.52</v>
      </c>
      <c r="M38" s="1132">
        <f t="shared" si="9"/>
        <v>1105.56</v>
      </c>
      <c r="N38" s="1914">
        <v>3</v>
      </c>
      <c r="O38" s="1132">
        <f t="shared" si="10"/>
        <v>368.52</v>
      </c>
      <c r="P38" s="1132">
        <f t="shared" si="11"/>
        <v>1105.56</v>
      </c>
      <c r="Q38" s="1621">
        <v>3</v>
      </c>
      <c r="R38" s="1132">
        <f>VLOOKUP(C38,'[25]SOR RATE'!A:D,4,0)</f>
        <v>368.52</v>
      </c>
      <c r="S38" s="1132">
        <f t="shared" si="12"/>
        <v>1105.56</v>
      </c>
      <c r="U38" s="105"/>
    </row>
    <row r="39" spans="1:25" ht="15">
      <c r="A39" s="3266">
        <v>20</v>
      </c>
      <c r="B39" s="1290" t="s">
        <v>1678</v>
      </c>
      <c r="C39" s="2299"/>
      <c r="D39" s="1914" t="s">
        <v>26</v>
      </c>
      <c r="E39" s="1917">
        <v>14</v>
      </c>
      <c r="F39" s="1132"/>
      <c r="G39" s="1132"/>
      <c r="H39" s="1917">
        <v>14</v>
      </c>
      <c r="I39" s="1132"/>
      <c r="J39" s="1132"/>
      <c r="K39" s="1917">
        <v>14</v>
      </c>
      <c r="L39" s="1132"/>
      <c r="M39" s="1132"/>
      <c r="N39" s="1917">
        <v>14</v>
      </c>
      <c r="O39" s="1132"/>
      <c r="P39" s="1132"/>
      <c r="Q39" s="2306">
        <v>14</v>
      </c>
      <c r="R39" s="1132"/>
      <c r="S39" s="1132"/>
    </row>
    <row r="40" spans="1:25" ht="14.25">
      <c r="A40" s="3267"/>
      <c r="B40" s="1624" t="s">
        <v>79</v>
      </c>
      <c r="C40" s="2299">
        <v>7130620609</v>
      </c>
      <c r="D40" s="1620" t="s">
        <v>1705</v>
      </c>
      <c r="E40" s="1914">
        <v>1</v>
      </c>
      <c r="F40" s="1132">
        <f>VLOOKUP(C40,'[25]SOR RATE'!A:D,4,0)</f>
        <v>87.23</v>
      </c>
      <c r="G40" s="1132">
        <f>F40*E40</f>
        <v>87.23</v>
      </c>
      <c r="H40" s="1914">
        <v>1</v>
      </c>
      <c r="I40" s="1132">
        <f>+F40</f>
        <v>87.23</v>
      </c>
      <c r="J40" s="1132">
        <f>I40*H40</f>
        <v>87.23</v>
      </c>
      <c r="K40" s="1914">
        <v>1</v>
      </c>
      <c r="L40" s="1132">
        <f t="shared" si="16"/>
        <v>87.23</v>
      </c>
      <c r="M40" s="1132">
        <f>L40*K40</f>
        <v>87.23</v>
      </c>
      <c r="N40" s="1914">
        <v>1</v>
      </c>
      <c r="O40" s="1132">
        <f t="shared" ref="O40" si="17">+F40</f>
        <v>87.23</v>
      </c>
      <c r="P40" s="1132">
        <f>O40*N40</f>
        <v>87.23</v>
      </c>
      <c r="Q40" s="1621">
        <v>1</v>
      </c>
      <c r="R40" s="1132">
        <f>VLOOKUP(C40,'[25]SOR RATE'!A:D,4,0)</f>
        <v>87.23</v>
      </c>
      <c r="S40" s="1132">
        <f>R40*Q40</f>
        <v>87.23</v>
      </c>
    </row>
    <row r="41" spans="1:25" ht="14.25">
      <c r="A41" s="3267"/>
      <c r="B41" s="1624" t="s">
        <v>111</v>
      </c>
      <c r="C41" s="2299">
        <v>7130620614</v>
      </c>
      <c r="D41" s="1620" t="s">
        <v>1705</v>
      </c>
      <c r="E41" s="1914">
        <v>4</v>
      </c>
      <c r="F41" s="1132">
        <f>VLOOKUP(C41,'[25]SOR RATE'!A:D,4,0)</f>
        <v>85.77</v>
      </c>
      <c r="G41" s="1132">
        <f>F41*E41</f>
        <v>343.08</v>
      </c>
      <c r="H41" s="1914">
        <v>4</v>
      </c>
      <c r="I41" s="1132">
        <f>+F41</f>
        <v>85.77</v>
      </c>
      <c r="J41" s="1132">
        <f>I41*H41</f>
        <v>343.08</v>
      </c>
      <c r="K41" s="1914">
        <v>4</v>
      </c>
      <c r="L41" s="1132">
        <f>+F41</f>
        <v>85.77</v>
      </c>
      <c r="M41" s="1132">
        <f>L41*K41</f>
        <v>343.08</v>
      </c>
      <c r="N41" s="1914">
        <v>4</v>
      </c>
      <c r="O41" s="1132">
        <f>+F41</f>
        <v>85.77</v>
      </c>
      <c r="P41" s="1132">
        <f>O41*N41</f>
        <v>343.08</v>
      </c>
      <c r="Q41" s="1621">
        <v>4</v>
      </c>
      <c r="R41" s="1132">
        <f>VLOOKUP(C41,'[25]SOR RATE'!A:D,4,0)</f>
        <v>85.77</v>
      </c>
      <c r="S41" s="1132">
        <f>R41*Q41</f>
        <v>343.08</v>
      </c>
    </row>
    <row r="42" spans="1:25" ht="14.25">
      <c r="A42" s="3267"/>
      <c r="B42" s="1624" t="s">
        <v>112</v>
      </c>
      <c r="C42" s="2299">
        <v>7130620625</v>
      </c>
      <c r="D42" s="1620" t="s">
        <v>1705</v>
      </c>
      <c r="E42" s="1914">
        <v>4</v>
      </c>
      <c r="F42" s="1132">
        <f>VLOOKUP(C42,'[25]SOR RATE'!A:D,4,0)</f>
        <v>84.32</v>
      </c>
      <c r="G42" s="1132">
        <f>F42*E42</f>
        <v>337.28</v>
      </c>
      <c r="H42" s="1914">
        <v>4</v>
      </c>
      <c r="I42" s="1132">
        <f>+F42</f>
        <v>84.32</v>
      </c>
      <c r="J42" s="1132">
        <f>I42*H42</f>
        <v>337.28</v>
      </c>
      <c r="K42" s="1914">
        <v>4</v>
      </c>
      <c r="L42" s="1132">
        <f>+F42</f>
        <v>84.32</v>
      </c>
      <c r="M42" s="1132">
        <f>L42*K42</f>
        <v>337.28</v>
      </c>
      <c r="N42" s="1914">
        <v>4</v>
      </c>
      <c r="O42" s="1132">
        <f>+F42</f>
        <v>84.32</v>
      </c>
      <c r="P42" s="1132">
        <f>O42*N42</f>
        <v>337.28</v>
      </c>
      <c r="Q42" s="1621">
        <v>4</v>
      </c>
      <c r="R42" s="1132">
        <f>VLOOKUP(C42,'[25]SOR RATE'!A:D,4,0)</f>
        <v>84.32</v>
      </c>
      <c r="S42" s="1132">
        <f>R42*Q42</f>
        <v>337.28</v>
      </c>
    </row>
    <row r="43" spans="1:25" ht="14.25">
      <c r="A43" s="3268"/>
      <c r="B43" s="1624" t="s">
        <v>80</v>
      </c>
      <c r="C43" s="2299">
        <v>7130620631</v>
      </c>
      <c r="D43" s="1620" t="s">
        <v>1705</v>
      </c>
      <c r="E43" s="1914">
        <v>5</v>
      </c>
      <c r="F43" s="1132">
        <f>VLOOKUP(C43,'[25]SOR RATE'!A:D,4,0)</f>
        <v>84.32</v>
      </c>
      <c r="G43" s="1132">
        <f>F43*E43</f>
        <v>421.59999999999997</v>
      </c>
      <c r="H43" s="1914">
        <v>5</v>
      </c>
      <c r="I43" s="1132">
        <f t="shared" si="14"/>
        <v>84.32</v>
      </c>
      <c r="J43" s="1132">
        <f>I43*H43</f>
        <v>421.59999999999997</v>
      </c>
      <c r="K43" s="1914">
        <v>5</v>
      </c>
      <c r="L43" s="1132">
        <f>+F43</f>
        <v>84.32</v>
      </c>
      <c r="M43" s="1132">
        <f>L43*K43</f>
        <v>421.59999999999997</v>
      </c>
      <c r="N43" s="1914">
        <v>5</v>
      </c>
      <c r="O43" s="1132">
        <f>+F43</f>
        <v>84.32</v>
      </c>
      <c r="P43" s="1132">
        <f>O43*N43</f>
        <v>421.59999999999997</v>
      </c>
      <c r="Q43" s="1621">
        <v>5</v>
      </c>
      <c r="R43" s="1132">
        <f>VLOOKUP(C43,'[25]SOR RATE'!A:D,4,0)</f>
        <v>84.32</v>
      </c>
      <c r="S43" s="1132">
        <f>R43*Q43</f>
        <v>421.59999999999997</v>
      </c>
    </row>
    <row r="44" spans="1:25" ht="14.25">
      <c r="A44" s="1914">
        <v>21</v>
      </c>
      <c r="B44" s="1290" t="s">
        <v>2364</v>
      </c>
      <c r="C44" s="2301">
        <v>7131920254</v>
      </c>
      <c r="D44" s="1911" t="s">
        <v>12</v>
      </c>
      <c r="E44" s="1911">
        <v>1</v>
      </c>
      <c r="F44" s="2302">
        <f>VLOOKUP(C44,'[25]SOR RATE'!A:D,4,0)</f>
        <v>2126.1</v>
      </c>
      <c r="G44" s="2302">
        <f>F44*E44</f>
        <v>2126.1</v>
      </c>
      <c r="H44" s="2307" t="s">
        <v>1534</v>
      </c>
      <c r="I44" s="2302"/>
      <c r="J44" s="2302"/>
      <c r="K44" s="2307" t="s">
        <v>1534</v>
      </c>
      <c r="L44" s="2302"/>
      <c r="M44" s="2302"/>
      <c r="N44" s="2307" t="s">
        <v>1534</v>
      </c>
      <c r="O44" s="2302"/>
      <c r="P44" s="2302"/>
      <c r="Q44" s="2307" t="s">
        <v>1534</v>
      </c>
      <c r="R44" s="2302"/>
      <c r="S44" s="2302"/>
    </row>
    <row r="45" spans="1:25" ht="17.25" customHeight="1">
      <c r="A45" s="1914">
        <v>22</v>
      </c>
      <c r="B45" s="2308" t="s">
        <v>1679</v>
      </c>
      <c r="C45" s="1622"/>
      <c r="D45" s="1623"/>
      <c r="E45" s="1623"/>
      <c r="F45" s="1623"/>
      <c r="G45" s="1623"/>
      <c r="H45" s="1623"/>
      <c r="I45" s="1623"/>
      <c r="J45" s="1623"/>
      <c r="K45" s="1623"/>
      <c r="L45" s="1623"/>
      <c r="M45" s="1623"/>
      <c r="N45" s="1623"/>
      <c r="O45" s="1623"/>
      <c r="P45" s="1623"/>
      <c r="Q45" s="1623"/>
      <c r="R45" s="1623"/>
      <c r="S45" s="2309"/>
    </row>
    <row r="46" spans="1:25" ht="14.25">
      <c r="A46" s="1914" t="s">
        <v>1680</v>
      </c>
      <c r="B46" s="1290" t="s">
        <v>2365</v>
      </c>
      <c r="C46" s="2297">
        <v>7130311008</v>
      </c>
      <c r="D46" s="1912" t="s">
        <v>21</v>
      </c>
      <c r="E46" s="1912">
        <v>120</v>
      </c>
      <c r="F46" s="2298">
        <f>VLOOKUP(C46,'[25]SOR RATE'!A:D,4,0)/1000</f>
        <v>24.908200000000001</v>
      </c>
      <c r="G46" s="2298">
        <f>F46*E46</f>
        <v>2988.9839999999999</v>
      </c>
      <c r="H46" s="2310" t="s">
        <v>1534</v>
      </c>
      <c r="I46" s="2298"/>
      <c r="J46" s="2298"/>
      <c r="K46" s="2310"/>
      <c r="L46" s="2298"/>
      <c r="M46" s="2298"/>
      <c r="N46" s="2310" t="s">
        <v>1534</v>
      </c>
      <c r="O46" s="2298"/>
      <c r="P46" s="2298"/>
      <c r="Q46" s="2310" t="s">
        <v>1534</v>
      </c>
      <c r="R46" s="2298"/>
      <c r="S46" s="2298"/>
      <c r="T46" s="1937"/>
      <c r="U46" s="2008"/>
      <c r="V46" s="2008"/>
      <c r="W46" s="2008"/>
      <c r="X46" s="2008"/>
      <c r="Y46" s="2008"/>
    </row>
    <row r="47" spans="1:25" ht="14.25">
      <c r="A47" s="1914" t="s">
        <v>1681</v>
      </c>
      <c r="B47" s="1290" t="s">
        <v>2366</v>
      </c>
      <c r="C47" s="2299">
        <v>7130311010</v>
      </c>
      <c r="D47" s="1914" t="s">
        <v>21</v>
      </c>
      <c r="E47" s="1811" t="s">
        <v>1534</v>
      </c>
      <c r="F47" s="1132"/>
      <c r="G47" s="1132"/>
      <c r="H47" s="1914">
        <v>120</v>
      </c>
      <c r="I47" s="1132">
        <f>VLOOKUP(C47,'[25]SOR RATE'!A:D,4,0)/1000</f>
        <v>79.580550000000002</v>
      </c>
      <c r="J47" s="1132">
        <f>I47*H47</f>
        <v>9549.6660000000011</v>
      </c>
      <c r="K47" s="1914">
        <v>120</v>
      </c>
      <c r="L47" s="1132">
        <f>+I47</f>
        <v>79.580550000000002</v>
      </c>
      <c r="M47" s="1132">
        <f>L47*K47</f>
        <v>9549.6660000000011</v>
      </c>
      <c r="N47" s="1811" t="s">
        <v>1534</v>
      </c>
      <c r="O47" s="1132"/>
      <c r="P47" s="1132"/>
      <c r="Q47" s="1811" t="s">
        <v>1534</v>
      </c>
      <c r="R47" s="1132"/>
      <c r="S47" s="1132"/>
      <c r="T47" s="1937"/>
    </row>
    <row r="48" spans="1:25" ht="14.25">
      <c r="A48" s="1914" t="s">
        <v>1682</v>
      </c>
      <c r="B48" s="1290" t="s">
        <v>1683</v>
      </c>
      <c r="C48" s="2299">
        <v>7130311011</v>
      </c>
      <c r="D48" s="1914" t="s">
        <v>21</v>
      </c>
      <c r="E48" s="1811" t="s">
        <v>1534</v>
      </c>
      <c r="F48" s="1132"/>
      <c r="G48" s="1132"/>
      <c r="H48" s="1811" t="s">
        <v>1534</v>
      </c>
      <c r="I48" s="1132"/>
      <c r="J48" s="1132"/>
      <c r="K48" s="1914">
        <v>40</v>
      </c>
      <c r="L48" s="1132">
        <f>VLOOKUP(C48,'[25]SOR RATE'!A:D,4,0)/1000</f>
        <v>155.45142000000001</v>
      </c>
      <c r="M48" s="1132">
        <f>L48*K48</f>
        <v>6218.0568000000003</v>
      </c>
      <c r="N48" s="1914">
        <v>120</v>
      </c>
      <c r="O48" s="1132">
        <f>+L48</f>
        <v>155.45142000000001</v>
      </c>
      <c r="P48" s="1132">
        <f>O48*N48</f>
        <v>18654.170400000003</v>
      </c>
      <c r="Q48" s="1621">
        <v>120</v>
      </c>
      <c r="R48" s="1132">
        <f>VLOOKUP(C48,'[25]SOR RATE'!A:D,4,0)/1000</f>
        <v>155.45142000000001</v>
      </c>
      <c r="S48" s="1132">
        <f>R48*Q48</f>
        <v>18654.170400000003</v>
      </c>
      <c r="T48" s="1937"/>
    </row>
    <row r="49" spans="1:22" ht="14.25">
      <c r="A49" s="1914" t="s">
        <v>1684</v>
      </c>
      <c r="B49" s="1290" t="s">
        <v>1685</v>
      </c>
      <c r="C49" s="2301">
        <v>7130311012</v>
      </c>
      <c r="D49" s="1911" t="s">
        <v>21</v>
      </c>
      <c r="E49" s="2307" t="s">
        <v>1534</v>
      </c>
      <c r="F49" s="2302"/>
      <c r="G49" s="2302"/>
      <c r="H49" s="2307" t="s">
        <v>1534</v>
      </c>
      <c r="I49" s="2302"/>
      <c r="J49" s="2302"/>
      <c r="K49" s="2307" t="s">
        <v>1534</v>
      </c>
      <c r="L49" s="2302"/>
      <c r="M49" s="2302"/>
      <c r="N49" s="1911">
        <v>40</v>
      </c>
      <c r="O49" s="2302">
        <f>VLOOKUP(C49,'[25]SOR RATE'!A:D,4,0)/1000</f>
        <v>305.83782000000002</v>
      </c>
      <c r="P49" s="2302">
        <f>O49*N49</f>
        <v>12233.5128</v>
      </c>
      <c r="Q49" s="2303">
        <v>40</v>
      </c>
      <c r="R49" s="2302">
        <f>VLOOKUP(C49,'[25]SOR RATE'!A:D,4,0)/1000</f>
        <v>305.83782000000002</v>
      </c>
      <c r="S49" s="2302">
        <f>R49*Q49</f>
        <v>12233.5128</v>
      </c>
      <c r="T49" s="1937"/>
    </row>
    <row r="50" spans="1:22" ht="46.5" customHeight="1">
      <c r="A50" s="1914">
        <v>23</v>
      </c>
      <c r="B50" s="2308" t="s">
        <v>1708</v>
      </c>
      <c r="C50" s="1622"/>
      <c r="D50" s="1623"/>
      <c r="E50" s="1623"/>
      <c r="F50" s="1623"/>
      <c r="G50" s="1623"/>
      <c r="H50" s="1623"/>
      <c r="I50" s="1623"/>
      <c r="J50" s="1623"/>
      <c r="K50" s="1623"/>
      <c r="L50" s="1623"/>
      <c r="M50" s="1623"/>
      <c r="N50" s="1623"/>
      <c r="O50" s="1623"/>
      <c r="P50" s="1623"/>
      <c r="Q50" s="1623"/>
      <c r="R50" s="1623"/>
      <c r="S50" s="2309"/>
    </row>
    <row r="51" spans="1:22" ht="14.25">
      <c r="A51" s="1914" t="s">
        <v>1680</v>
      </c>
      <c r="B51" s="1290" t="s">
        <v>2368</v>
      </c>
      <c r="C51" s="2297">
        <v>7131950065</v>
      </c>
      <c r="D51" s="1912" t="s">
        <v>33</v>
      </c>
      <c r="E51" s="1912"/>
      <c r="F51" s="2298"/>
      <c r="G51" s="2298"/>
      <c r="H51" s="1912">
        <v>1</v>
      </c>
      <c r="I51" s="2298">
        <f>VLOOKUP(C51,'[25]SOR RATE'!A:D,4,0)</f>
        <v>18477.650000000001</v>
      </c>
      <c r="J51" s="2298">
        <f>I51*H51</f>
        <v>18477.650000000001</v>
      </c>
      <c r="K51" s="2310" t="s">
        <v>1534</v>
      </c>
      <c r="L51" s="2298"/>
      <c r="M51" s="2298"/>
      <c r="N51" s="2310" t="s">
        <v>1534</v>
      </c>
      <c r="O51" s="2298"/>
      <c r="P51" s="2298"/>
      <c r="Q51" s="2310" t="s">
        <v>1534</v>
      </c>
      <c r="R51" s="2298"/>
      <c r="S51" s="2298"/>
    </row>
    <row r="52" spans="1:22" ht="14.25">
      <c r="A52" s="1914" t="s">
        <v>1681</v>
      </c>
      <c r="B52" s="1290" t="s">
        <v>2369</v>
      </c>
      <c r="C52" s="2299">
        <v>7131950105</v>
      </c>
      <c r="D52" s="1914" t="s">
        <v>33</v>
      </c>
      <c r="E52" s="1914"/>
      <c r="F52" s="1132"/>
      <c r="G52" s="1132"/>
      <c r="H52" s="1914"/>
      <c r="I52" s="1132"/>
      <c r="J52" s="2298"/>
      <c r="K52" s="1914">
        <v>1</v>
      </c>
      <c r="L52" s="1132">
        <f>VLOOKUP(C52,'[25]SOR RATE'!A:D,4,0)</f>
        <v>23098.03</v>
      </c>
      <c r="M52" s="1132">
        <f>L52*K52</f>
        <v>23098.03</v>
      </c>
      <c r="N52" s="1811" t="s">
        <v>1534</v>
      </c>
      <c r="O52" s="1132"/>
      <c r="P52" s="1132"/>
      <c r="Q52" s="1811" t="s">
        <v>1534</v>
      </c>
      <c r="R52" s="1132"/>
      <c r="S52" s="1132"/>
    </row>
    <row r="53" spans="1:22" ht="14.25">
      <c r="A53" s="1914" t="s">
        <v>1682</v>
      </c>
      <c r="B53" s="1290" t="s">
        <v>2370</v>
      </c>
      <c r="C53" s="2299">
        <v>7131950200</v>
      </c>
      <c r="D53" s="1914" t="s">
        <v>33</v>
      </c>
      <c r="E53" s="1914"/>
      <c r="F53" s="1132"/>
      <c r="G53" s="1132"/>
      <c r="H53" s="1811" t="s">
        <v>1534</v>
      </c>
      <c r="I53" s="1132"/>
      <c r="J53" s="2302"/>
      <c r="K53" s="1914"/>
      <c r="L53" s="1132"/>
      <c r="M53" s="1132"/>
      <c r="N53" s="1914">
        <v>1</v>
      </c>
      <c r="O53" s="1132">
        <f>VLOOKUP(C53,'[25]SOR RATE'!A:D,4,0)</f>
        <v>46194.13</v>
      </c>
      <c r="P53" s="1132">
        <f>O53*N53</f>
        <v>46194.13</v>
      </c>
      <c r="Q53" s="1811" t="s">
        <v>1534</v>
      </c>
      <c r="R53" s="1132"/>
      <c r="S53" s="1132"/>
    </row>
    <row r="54" spans="1:22" ht="15.75">
      <c r="A54" s="1914" t="s">
        <v>1684</v>
      </c>
      <c r="B54" s="1290" t="s">
        <v>1692</v>
      </c>
      <c r="C54" s="2299">
        <v>7131950207</v>
      </c>
      <c r="D54" s="1914" t="s">
        <v>33</v>
      </c>
      <c r="E54" s="1914"/>
      <c r="F54" s="1132"/>
      <c r="G54" s="1132"/>
      <c r="H54" s="1811" t="s">
        <v>1534</v>
      </c>
      <c r="I54" s="1132"/>
      <c r="J54" s="2302"/>
      <c r="K54" s="1914"/>
      <c r="L54" s="1132"/>
      <c r="M54" s="1132"/>
      <c r="N54" s="1914"/>
      <c r="O54" s="1132"/>
      <c r="P54" s="1132"/>
      <c r="Q54" s="1621">
        <v>1</v>
      </c>
      <c r="R54" s="1132">
        <f>VLOOKUP(C54,'[25]SOR RATE'!A:D,4,0)</f>
        <v>39637.360000000001</v>
      </c>
      <c r="S54" s="1132">
        <f>R54*Q54</f>
        <v>39637.360000000001</v>
      </c>
      <c r="T54" s="1970" t="s">
        <v>119</v>
      </c>
    </row>
    <row r="55" spans="1:22" ht="15" customHeight="1">
      <c r="A55" s="1914">
        <v>24</v>
      </c>
      <c r="B55" s="1290" t="s">
        <v>1686</v>
      </c>
      <c r="C55" s="2299">
        <v>7131930221</v>
      </c>
      <c r="D55" s="1914" t="s">
        <v>33</v>
      </c>
      <c r="E55" s="1811" t="s">
        <v>1534</v>
      </c>
      <c r="F55" s="1132"/>
      <c r="G55" s="1132"/>
      <c r="H55" s="1811" t="s">
        <v>1534</v>
      </c>
      <c r="I55" s="1132"/>
      <c r="J55" s="1132"/>
      <c r="K55" s="1811">
        <v>1</v>
      </c>
      <c r="L55" s="1132">
        <f>VLOOKUP(C55,'[25]SOR RATE'!A:D,4,0)</f>
        <v>9934.19</v>
      </c>
      <c r="M55" s="1132">
        <f>L55*K55</f>
        <v>9934.19</v>
      </c>
      <c r="N55" s="1811">
        <v>1</v>
      </c>
      <c r="O55" s="1132">
        <f>+L55</f>
        <v>9934.19</v>
      </c>
      <c r="P55" s="1132">
        <f>O55*N55</f>
        <v>9934.19</v>
      </c>
      <c r="Q55" s="1621">
        <v>1</v>
      </c>
      <c r="R55" s="1132">
        <f>VLOOKUP(C55,'[25]SOR RATE'!A:D,4,0)</f>
        <v>9934.19</v>
      </c>
      <c r="S55" s="1132">
        <f>R55*Q55</f>
        <v>9934.19</v>
      </c>
    </row>
    <row r="56" spans="1:22" ht="30">
      <c r="A56" s="1917">
        <v>25</v>
      </c>
      <c r="B56" s="1639" t="s">
        <v>48</v>
      </c>
      <c r="C56" s="2311"/>
      <c r="D56" s="1917"/>
      <c r="E56" s="1917"/>
      <c r="F56" s="1917"/>
      <c r="G56" s="1642">
        <f>SUM(G10:G55)</f>
        <v>167646.45218400002</v>
      </c>
      <c r="H56" s="1642"/>
      <c r="I56" s="1642"/>
      <c r="J56" s="1642">
        <f>SUM(J10:J55)</f>
        <v>248544.08418399998</v>
      </c>
      <c r="K56" s="1642"/>
      <c r="L56" s="1642"/>
      <c r="M56" s="1642">
        <f>SUM(M10:M55)</f>
        <v>308435.95098400005</v>
      </c>
      <c r="N56" s="1642"/>
      <c r="O56" s="1642"/>
      <c r="P56" s="1642">
        <f>SUM(P10:P55)</f>
        <v>480567.60510400002</v>
      </c>
      <c r="Q56" s="1642"/>
      <c r="R56" s="1642"/>
      <c r="S56" s="1642">
        <f>SUM(S10:S55)</f>
        <v>985058.88510399964</v>
      </c>
      <c r="T56" s="85"/>
      <c r="U56" s="102"/>
    </row>
    <row r="57" spans="1:22" ht="30">
      <c r="A57" s="2052">
        <v>26</v>
      </c>
      <c r="B57" s="1639" t="s">
        <v>49</v>
      </c>
      <c r="C57" s="1640"/>
      <c r="D57" s="1917"/>
      <c r="E57" s="1917"/>
      <c r="F57" s="1917"/>
      <c r="G57" s="1642">
        <f>G56/1.18</f>
        <v>142073.26456271191</v>
      </c>
      <c r="H57" s="2312"/>
      <c r="I57" s="1642"/>
      <c r="J57" s="1642">
        <f>J56/1.18</f>
        <v>210630.57981694915</v>
      </c>
      <c r="K57" s="2312"/>
      <c r="L57" s="1642"/>
      <c r="M57" s="1642">
        <f>M56/1.18</f>
        <v>261386.39913898311</v>
      </c>
      <c r="N57" s="2312"/>
      <c r="O57" s="1642"/>
      <c r="P57" s="1642">
        <f>P56/1.18</f>
        <v>407260.68229152547</v>
      </c>
      <c r="Q57" s="1642"/>
      <c r="R57" s="1642"/>
      <c r="S57" s="1642">
        <f>S56/1.18</f>
        <v>834795.66534237261</v>
      </c>
      <c r="T57" s="364"/>
      <c r="U57" s="102"/>
    </row>
    <row r="58" spans="1:22" ht="18.75" customHeight="1">
      <c r="A58" s="1911">
        <v>27</v>
      </c>
      <c r="B58" s="1619" t="s">
        <v>50</v>
      </c>
      <c r="C58" s="1645"/>
      <c r="D58" s="1645"/>
      <c r="E58" s="1645"/>
      <c r="F58" s="1616">
        <v>7.4999999999999997E-2</v>
      </c>
      <c r="G58" s="1132">
        <f>G56*F58</f>
        <v>12573.483913800001</v>
      </c>
      <c r="H58" s="1819"/>
      <c r="I58" s="1616">
        <v>7.4999999999999997E-2</v>
      </c>
      <c r="J58" s="1132">
        <f>J56*I58</f>
        <v>18640.806313799996</v>
      </c>
      <c r="K58" s="1819"/>
      <c r="L58" s="1616">
        <v>7.4999999999999997E-2</v>
      </c>
      <c r="M58" s="1132">
        <f>M56*L58</f>
        <v>23132.696323800003</v>
      </c>
      <c r="N58" s="1819"/>
      <c r="O58" s="1616">
        <v>7.4999999999999997E-2</v>
      </c>
      <c r="P58" s="1132">
        <f>P56*O58</f>
        <v>36042.570382799997</v>
      </c>
      <c r="Q58" s="1132"/>
      <c r="R58" s="1616">
        <v>7.4999999999999997E-2</v>
      </c>
      <c r="S58" s="1132">
        <f>S56*R58</f>
        <v>73879.416382799973</v>
      </c>
      <c r="T58" s="87"/>
      <c r="U58" s="1940"/>
    </row>
    <row r="59" spans="1:22" ht="18" customHeight="1">
      <c r="A59" s="1291">
        <v>28</v>
      </c>
      <c r="B59" s="1619" t="s">
        <v>1687</v>
      </c>
      <c r="C59" s="2313"/>
      <c r="D59" s="1291" t="s">
        <v>12</v>
      </c>
      <c r="E59" s="1291">
        <v>1</v>
      </c>
      <c r="F59" s="735">
        <f>1119.45*3</f>
        <v>3358.3500000000004</v>
      </c>
      <c r="G59" s="1202">
        <f>F59*E59</f>
        <v>3358.3500000000004</v>
      </c>
      <c r="H59" s="1291">
        <v>1</v>
      </c>
      <c r="I59" s="1202">
        <f>+F59</f>
        <v>3358.3500000000004</v>
      </c>
      <c r="J59" s="1202">
        <f>I59*H59</f>
        <v>3358.3500000000004</v>
      </c>
      <c r="K59" s="2041">
        <v>1</v>
      </c>
      <c r="L59" s="1202">
        <f>+F59</f>
        <v>3358.3500000000004</v>
      </c>
      <c r="M59" s="1202">
        <f>L59*K59</f>
        <v>3358.3500000000004</v>
      </c>
      <c r="N59" s="1914">
        <v>1</v>
      </c>
      <c r="O59" s="1202">
        <f>+F59</f>
        <v>3358.3500000000004</v>
      </c>
      <c r="P59" s="1202">
        <f>O59*N59</f>
        <v>3358.3500000000004</v>
      </c>
      <c r="Q59" s="2041">
        <v>1</v>
      </c>
      <c r="R59" s="735">
        <f>1119.45*3</f>
        <v>3358.3500000000004</v>
      </c>
      <c r="S59" s="1202">
        <f>R59*Q59</f>
        <v>3358.3500000000004</v>
      </c>
      <c r="T59" s="2009"/>
      <c r="U59" s="1940"/>
      <c r="V59" s="1937"/>
    </row>
    <row r="60" spans="1:22" ht="17.25" customHeight="1">
      <c r="A60" s="1914">
        <v>29</v>
      </c>
      <c r="B60" s="1290" t="s">
        <v>1690</v>
      </c>
      <c r="C60" s="2299"/>
      <c r="D60" s="1914"/>
      <c r="E60" s="1914"/>
      <c r="F60" s="1914"/>
      <c r="G60" s="1202">
        <v>12727.36</v>
      </c>
      <c r="H60" s="1202"/>
      <c r="I60" s="1202"/>
      <c r="J60" s="1202">
        <v>12997.24</v>
      </c>
      <c r="K60" s="1202"/>
      <c r="L60" s="1202"/>
      <c r="M60" s="1202">
        <f>+J60</f>
        <v>12997.24</v>
      </c>
      <c r="N60" s="1202"/>
      <c r="O60" s="1202"/>
      <c r="P60" s="1202">
        <v>16883.46</v>
      </c>
      <c r="Q60" s="1202"/>
      <c r="R60" s="1202"/>
      <c r="S60" s="1202">
        <v>16883.46</v>
      </c>
      <c r="T60" s="1974"/>
      <c r="U60" s="1940"/>
      <c r="V60" s="1937"/>
    </row>
    <row r="61" spans="1:22" ht="17.25" customHeight="1">
      <c r="A61" s="1914">
        <v>30</v>
      </c>
      <c r="B61" s="1624" t="s">
        <v>82</v>
      </c>
      <c r="C61" s="2299"/>
      <c r="D61" s="1817" t="s">
        <v>76</v>
      </c>
      <c r="E61" s="1914">
        <v>2.1</v>
      </c>
      <c r="F61" s="1202">
        <f>665.173187113158*1.043</f>
        <v>693.77563415902364</v>
      </c>
      <c r="G61" s="1132">
        <f>E61*F61</f>
        <v>1456.9288317339497</v>
      </c>
      <c r="H61" s="1914">
        <v>2.1</v>
      </c>
      <c r="I61" s="1202">
        <f>665.173187113158*1.043</f>
        <v>693.77563415902364</v>
      </c>
      <c r="J61" s="1132">
        <f>H61*I61</f>
        <v>1456.9288317339497</v>
      </c>
      <c r="K61" s="1914">
        <v>2.1</v>
      </c>
      <c r="L61" s="1202">
        <f>665.173187113158*1.043</f>
        <v>693.77563415902364</v>
      </c>
      <c r="M61" s="1132">
        <f>K61*L61</f>
        <v>1456.9288317339497</v>
      </c>
      <c r="N61" s="1914">
        <v>2.1</v>
      </c>
      <c r="O61" s="1202">
        <f>665.173187113158*1.043</f>
        <v>693.77563415902364</v>
      </c>
      <c r="P61" s="1132">
        <f>N61*O61</f>
        <v>1456.9288317339497</v>
      </c>
      <c r="Q61" s="1637">
        <v>2.1</v>
      </c>
      <c r="R61" s="1202">
        <f>665.173187113158*1.043</f>
        <v>693.77563415902364</v>
      </c>
      <c r="S61" s="1132">
        <f>R61*Q61</f>
        <v>1456.9288317339497</v>
      </c>
      <c r="T61" s="91"/>
    </row>
    <row r="62" spans="1:22" ht="32.25" customHeight="1">
      <c r="A62" s="1914">
        <v>31</v>
      </c>
      <c r="B62" s="564" t="s">
        <v>1716</v>
      </c>
      <c r="C62" s="2299"/>
      <c r="D62" s="1817"/>
      <c r="E62" s="1914"/>
      <c r="F62" s="1914">
        <v>0.02</v>
      </c>
      <c r="G62" s="1676">
        <f>(G10/1.18)*F62</f>
        <v>1058.4744067796612</v>
      </c>
      <c r="H62" s="1914"/>
      <c r="I62" s="1914">
        <v>0.02</v>
      </c>
      <c r="J62" s="1676">
        <f>(J11/1.18)*I62</f>
        <v>2041.2777966101696</v>
      </c>
      <c r="K62" s="1914"/>
      <c r="L62" s="1914">
        <v>0.02</v>
      </c>
      <c r="M62" s="1132">
        <f>(M12/1.18)*L62</f>
        <v>2683.0869491525427</v>
      </c>
      <c r="N62" s="1914"/>
      <c r="O62" s="1914">
        <v>0.02</v>
      </c>
      <c r="P62" s="1132">
        <f>(P13/1.18)*O62</f>
        <v>4946.2506779661016</v>
      </c>
      <c r="Q62" s="1132"/>
      <c r="R62" s="1132"/>
      <c r="S62" s="1132"/>
      <c r="T62" s="1975" t="s">
        <v>119</v>
      </c>
      <c r="U62" s="1997"/>
    </row>
    <row r="63" spans="1:22" ht="33.75" customHeight="1">
      <c r="A63" s="1914">
        <v>32</v>
      </c>
      <c r="B63" s="564" t="s">
        <v>2373</v>
      </c>
      <c r="C63" s="2299"/>
      <c r="D63" s="1817"/>
      <c r="E63" s="1914"/>
      <c r="F63" s="1132"/>
      <c r="G63" s="1676"/>
      <c r="H63" s="1914"/>
      <c r="I63" s="1132"/>
      <c r="J63" s="1676"/>
      <c r="K63" s="1914"/>
      <c r="L63" s="1132"/>
      <c r="M63" s="1132"/>
      <c r="N63" s="1914"/>
      <c r="O63" s="1132"/>
      <c r="P63" s="1132"/>
      <c r="Q63" s="1132"/>
      <c r="R63" s="1132">
        <v>0.01</v>
      </c>
      <c r="S63" s="1132">
        <f>(S14/1.18)*R63</f>
        <v>6804.0410169491524</v>
      </c>
      <c r="T63" s="1975" t="s">
        <v>119</v>
      </c>
      <c r="U63" s="1997"/>
    </row>
    <row r="64" spans="1:22" ht="32.25" customHeight="1">
      <c r="A64" s="1914">
        <v>33</v>
      </c>
      <c r="B64" s="1290" t="s">
        <v>2374</v>
      </c>
      <c r="C64" s="2314"/>
      <c r="D64" s="1911"/>
      <c r="E64" s="1911"/>
      <c r="F64" s="1911">
        <v>0.04</v>
      </c>
      <c r="G64" s="2315">
        <f>((G56-G10)/1.18)*F64</f>
        <v>3565.9817689491542</v>
      </c>
      <c r="H64" s="1911"/>
      <c r="I64" s="1911">
        <v>0.04</v>
      </c>
      <c r="J64" s="2315">
        <f>((J56-J11)/1.18)*I64</f>
        <v>4342.6675994576262</v>
      </c>
      <c r="K64" s="1911"/>
      <c r="L64" s="1911">
        <v>0.04</v>
      </c>
      <c r="M64" s="2302">
        <f>((M56-M12)/1.18)*L64</f>
        <v>5089.2820672542393</v>
      </c>
      <c r="N64" s="1911"/>
      <c r="O64" s="1911">
        <v>0.04</v>
      </c>
      <c r="P64" s="2302">
        <f>((P56-P13)/1.18)*O64</f>
        <v>6397.9259357288156</v>
      </c>
      <c r="Q64" s="2302"/>
      <c r="R64" s="1911">
        <v>0.04</v>
      </c>
      <c r="S64" s="2302">
        <f>((S56-S14)/1.18)*R64</f>
        <v>6175.6625458982953</v>
      </c>
      <c r="T64" s="1976" t="s">
        <v>1827</v>
      </c>
      <c r="U64" s="2010"/>
    </row>
    <row r="65" spans="1:21" ht="45" customHeight="1">
      <c r="A65" s="1914">
        <v>34</v>
      </c>
      <c r="B65" s="2316" t="s">
        <v>2431</v>
      </c>
      <c r="C65" s="2313"/>
      <c r="D65" s="1818"/>
      <c r="E65" s="1818"/>
      <c r="F65" s="1818"/>
      <c r="G65" s="2304"/>
      <c r="H65" s="1818"/>
      <c r="I65" s="1818"/>
      <c r="J65" s="2304"/>
      <c r="K65" s="1818"/>
      <c r="L65" s="1818"/>
      <c r="M65" s="2304"/>
      <c r="N65" s="1818"/>
      <c r="O65" s="1818"/>
      <c r="P65" s="2304"/>
      <c r="Q65" s="2304"/>
      <c r="R65" s="2304"/>
      <c r="S65" s="1676"/>
      <c r="T65" s="1846"/>
      <c r="U65" s="1977"/>
    </row>
    <row r="66" spans="1:21" ht="19.5" customHeight="1">
      <c r="A66" s="2317" t="s">
        <v>1493</v>
      </c>
      <c r="B66" s="1646" t="s">
        <v>2432</v>
      </c>
      <c r="C66" s="2318"/>
      <c r="D66" s="1912"/>
      <c r="E66" s="1912"/>
      <c r="F66" s="1912"/>
      <c r="G66" s="2319">
        <f>(G56+G58+G59+G60+G61+G62+G64)*0.125</f>
        <v>25298.378888157851</v>
      </c>
      <c r="H66" s="1912"/>
      <c r="I66" s="1912"/>
      <c r="J66" s="2319">
        <f>(J56+J58+J59+J60+J61+J62+J64)*0.125</f>
        <v>36422.669340700202</v>
      </c>
      <c r="K66" s="1912"/>
      <c r="L66" s="1912"/>
      <c r="M66" s="2298">
        <f>(M56+M58+M59+M60+M61+M62+M64)*0.125</f>
        <v>44644.191894492593</v>
      </c>
      <c r="N66" s="1912"/>
      <c r="O66" s="1912"/>
      <c r="P66" s="2298">
        <f>(P56+P58+P59+P60+P61+P62+P64)*0.125</f>
        <v>68706.636366528604</v>
      </c>
      <c r="Q66" s="2298"/>
      <c r="R66" s="2298"/>
      <c r="S66" s="2298"/>
      <c r="T66" s="1975" t="s">
        <v>119</v>
      </c>
      <c r="U66" s="1977"/>
    </row>
    <row r="67" spans="1:21" ht="29.25" customHeight="1">
      <c r="A67" s="2317" t="s">
        <v>1494</v>
      </c>
      <c r="B67" s="1646" t="s">
        <v>2433</v>
      </c>
      <c r="C67" s="2313"/>
      <c r="D67" s="1914"/>
      <c r="E67" s="1914"/>
      <c r="F67" s="1914"/>
      <c r="G67" s="1676"/>
      <c r="H67" s="1914"/>
      <c r="I67" s="1914"/>
      <c r="J67" s="1676"/>
      <c r="K67" s="1914"/>
      <c r="L67" s="1914"/>
      <c r="M67" s="1132"/>
      <c r="N67" s="1914"/>
      <c r="O67" s="1914"/>
      <c r="P67" s="1132"/>
      <c r="Q67" s="1132"/>
      <c r="R67" s="1132"/>
      <c r="S67" s="1132">
        <f>(S56+S58+S59+S60+S61+S63+S64)*0.125</f>
        <v>136702.09298517261</v>
      </c>
      <c r="T67" s="1975" t="s">
        <v>119</v>
      </c>
      <c r="U67" s="1977"/>
    </row>
    <row r="68" spans="1:21" ht="78" customHeight="1">
      <c r="A68" s="1917">
        <v>35</v>
      </c>
      <c r="B68" s="2320" t="s">
        <v>2434</v>
      </c>
      <c r="C68" s="2313"/>
      <c r="D68" s="1914"/>
      <c r="E68" s="1914"/>
      <c r="F68" s="1914"/>
      <c r="G68" s="1642">
        <f>SUM(G57:G66)</f>
        <v>202112.22237213253</v>
      </c>
      <c r="H68" s="1917"/>
      <c r="I68" s="1917"/>
      <c r="J68" s="1642">
        <f>SUM(J57:J66)</f>
        <v>289890.51969925105</v>
      </c>
      <c r="K68" s="1917"/>
      <c r="L68" s="1917"/>
      <c r="M68" s="1642">
        <f>SUM(M57:M66)</f>
        <v>354748.1752054164</v>
      </c>
      <c r="N68" s="1917"/>
      <c r="O68" s="1917"/>
      <c r="P68" s="1642">
        <f>SUM(P57:P66)</f>
        <v>545052.80448628298</v>
      </c>
      <c r="Q68" s="1642"/>
      <c r="R68" s="1642"/>
      <c r="S68" s="1642">
        <f>SUM(S57:S67)</f>
        <v>1080055.6171049266</v>
      </c>
      <c r="T68" s="1976" t="s">
        <v>1827</v>
      </c>
    </row>
    <row r="69" spans="1:21" ht="16.5" customHeight="1">
      <c r="A69" s="1914">
        <v>36</v>
      </c>
      <c r="B69" s="1619" t="s">
        <v>2435</v>
      </c>
      <c r="C69" s="2313"/>
      <c r="D69" s="1914"/>
      <c r="E69" s="1914"/>
      <c r="F69" s="1914">
        <v>0.09</v>
      </c>
      <c r="G69" s="1132">
        <f>G68*F69</f>
        <v>18190.100013491927</v>
      </c>
      <c r="H69" s="1914"/>
      <c r="I69" s="1914">
        <v>0.09</v>
      </c>
      <c r="J69" s="1132">
        <f>J68*I69</f>
        <v>26090.146772932592</v>
      </c>
      <c r="K69" s="1914"/>
      <c r="L69" s="1914">
        <v>0.09</v>
      </c>
      <c r="M69" s="1132">
        <f>M68*L69</f>
        <v>31927.335768487475</v>
      </c>
      <c r="N69" s="1914"/>
      <c r="O69" s="1914">
        <v>0.09</v>
      </c>
      <c r="P69" s="1132">
        <f>P68*O69</f>
        <v>49054.752403765466</v>
      </c>
      <c r="Q69" s="1132"/>
      <c r="R69" s="1132">
        <v>0.09</v>
      </c>
      <c r="S69" s="1132">
        <f>S68*R69</f>
        <v>97205.005539443388</v>
      </c>
      <c r="T69" s="624"/>
    </row>
    <row r="70" spans="1:21" ht="18" customHeight="1">
      <c r="A70" s="1914">
        <v>37</v>
      </c>
      <c r="B70" s="1619" t="s">
        <v>2436</v>
      </c>
      <c r="C70" s="2313"/>
      <c r="D70" s="1914"/>
      <c r="E70" s="1914"/>
      <c r="F70" s="1914">
        <v>0.09</v>
      </c>
      <c r="G70" s="1132">
        <f>G68*F70</f>
        <v>18190.100013491927</v>
      </c>
      <c r="H70" s="1914"/>
      <c r="I70" s="1914">
        <v>0.09</v>
      </c>
      <c r="J70" s="1132">
        <f>J68*I70</f>
        <v>26090.146772932592</v>
      </c>
      <c r="K70" s="1914"/>
      <c r="L70" s="1914">
        <v>0.09</v>
      </c>
      <c r="M70" s="1132">
        <f>M68*L70</f>
        <v>31927.335768487475</v>
      </c>
      <c r="N70" s="1914"/>
      <c r="O70" s="1914">
        <v>0.09</v>
      </c>
      <c r="P70" s="1132">
        <f>P68*O70</f>
        <v>49054.752403765466</v>
      </c>
      <c r="Q70" s="1132"/>
      <c r="R70" s="1132">
        <v>0.09</v>
      </c>
      <c r="S70" s="1132">
        <f>S68*R70</f>
        <v>97205.005539443388</v>
      </c>
      <c r="T70" s="2008"/>
    </row>
    <row r="71" spans="1:21" ht="28.5" customHeight="1">
      <c r="A71" s="1914">
        <v>38</v>
      </c>
      <c r="B71" s="1626" t="s">
        <v>2437</v>
      </c>
      <c r="C71" s="2299"/>
      <c r="D71" s="1914"/>
      <c r="E71" s="1914"/>
      <c r="F71" s="1914"/>
      <c r="G71" s="1132">
        <f>G68+G69+G70</f>
        <v>238492.42239911639</v>
      </c>
      <c r="H71" s="1132"/>
      <c r="I71" s="1132"/>
      <c r="J71" s="1132">
        <f>J68+J69+J70</f>
        <v>342070.81324511627</v>
      </c>
      <c r="K71" s="1132"/>
      <c r="L71" s="1132"/>
      <c r="M71" s="1132">
        <f>M68+M69+M70</f>
        <v>418602.84674239135</v>
      </c>
      <c r="N71" s="1132"/>
      <c r="O71" s="1132"/>
      <c r="P71" s="1132">
        <f>P68+P69+P70</f>
        <v>643162.30929381389</v>
      </c>
      <c r="Q71" s="1132"/>
      <c r="R71" s="1132"/>
      <c r="S71" s="1132">
        <f>S68+S69+S70</f>
        <v>1274465.6281838133</v>
      </c>
    </row>
    <row r="72" spans="1:21" ht="30">
      <c r="A72" s="1917">
        <v>39</v>
      </c>
      <c r="B72" s="1647" t="s">
        <v>59</v>
      </c>
      <c r="C72" s="2321"/>
      <c r="D72" s="1917"/>
      <c r="E72" s="1917"/>
      <c r="F72" s="1917"/>
      <c r="G72" s="1916">
        <f>ROUND(G71,0)</f>
        <v>238492</v>
      </c>
      <c r="H72" s="1916"/>
      <c r="I72" s="1916"/>
      <c r="J72" s="1916">
        <f>ROUND(J71,0)</f>
        <v>342071</v>
      </c>
      <c r="K72" s="1916"/>
      <c r="L72" s="1916"/>
      <c r="M72" s="1916">
        <f>ROUND(M71,0)</f>
        <v>418603</v>
      </c>
      <c r="N72" s="1916"/>
      <c r="O72" s="1916"/>
      <c r="P72" s="1916">
        <f>ROUND(P71,0)</f>
        <v>643162</v>
      </c>
      <c r="Q72" s="1916"/>
      <c r="R72" s="1916"/>
      <c r="S72" s="1916">
        <f>ROUND(S71,0)</f>
        <v>1274466</v>
      </c>
    </row>
    <row r="73" spans="1:21" ht="15">
      <c r="A73" s="2011"/>
      <c r="B73" s="2011"/>
      <c r="C73" s="2011"/>
      <c r="D73" s="2011"/>
      <c r="E73" s="2011"/>
      <c r="F73" s="2011"/>
      <c r="G73" s="2011"/>
      <c r="H73" s="2011"/>
      <c r="I73" s="2011"/>
      <c r="J73" s="2011"/>
      <c r="K73" s="2011"/>
      <c r="L73" s="2011"/>
      <c r="M73" s="2011"/>
      <c r="N73" s="2011"/>
      <c r="O73" s="2011"/>
      <c r="P73" s="2011"/>
      <c r="Q73" s="809"/>
      <c r="R73" s="809"/>
      <c r="S73" s="809"/>
    </row>
    <row r="74" spans="1:21" ht="15" customHeight="1">
      <c r="A74" s="2012"/>
      <c r="B74" s="3347" t="s">
        <v>2438</v>
      </c>
      <c r="C74" s="3347"/>
      <c r="D74" s="3347"/>
      <c r="E74" s="3347"/>
      <c r="F74" s="3347"/>
      <c r="G74" s="3347"/>
      <c r="H74" s="2013"/>
      <c r="I74" s="2013"/>
      <c r="J74" s="2013"/>
      <c r="K74" s="2013"/>
      <c r="L74" s="2013"/>
      <c r="M74" s="2013"/>
      <c r="N74" s="2013"/>
      <c r="O74" s="2013"/>
      <c r="P74" s="2013"/>
      <c r="Q74" s="2013"/>
      <c r="R74" s="2013"/>
      <c r="S74" s="2013"/>
    </row>
    <row r="75" spans="1:21" ht="14.25">
      <c r="A75" s="2014"/>
      <c r="B75" s="3348" t="s">
        <v>2439</v>
      </c>
      <c r="C75" s="3348"/>
      <c r="D75" s="3348"/>
      <c r="E75" s="3348"/>
      <c r="F75" s="3348"/>
      <c r="G75" s="3348"/>
      <c r="H75" s="102"/>
      <c r="I75" s="102"/>
      <c r="J75" s="102"/>
      <c r="K75" s="102"/>
      <c r="L75" s="102"/>
      <c r="M75" s="102"/>
      <c r="N75" s="102"/>
      <c r="O75" s="102"/>
      <c r="P75" s="102"/>
      <c r="Q75" s="102"/>
      <c r="R75" s="102"/>
      <c r="S75" s="102"/>
    </row>
    <row r="76" spans="1:21" ht="10.5" customHeight="1">
      <c r="A76" s="2015"/>
      <c r="B76" s="102"/>
      <c r="C76" s="102"/>
      <c r="D76" s="102"/>
      <c r="E76" s="102"/>
      <c r="F76" s="102"/>
      <c r="G76" s="102"/>
      <c r="H76" s="102"/>
      <c r="I76" s="102"/>
      <c r="J76" s="102"/>
      <c r="K76" s="102"/>
      <c r="L76" s="102"/>
      <c r="M76" s="102"/>
      <c r="N76" s="102"/>
      <c r="O76" s="102"/>
      <c r="P76" s="102"/>
      <c r="Q76" s="102"/>
      <c r="R76" s="102"/>
      <c r="S76" s="102"/>
    </row>
    <row r="77" spans="1:21" ht="32.25" customHeight="1">
      <c r="B77" s="3349" t="s">
        <v>2384</v>
      </c>
      <c r="C77" s="3349"/>
      <c r="D77" s="3349"/>
      <c r="E77" s="3349"/>
      <c r="F77" s="3349"/>
      <c r="G77" s="3349"/>
      <c r="H77" s="2013"/>
      <c r="I77" s="2013"/>
      <c r="P77" s="102"/>
      <c r="Q77" s="102"/>
      <c r="R77" s="102"/>
      <c r="S77" s="102"/>
      <c r="T77" s="102"/>
    </row>
    <row r="78" spans="1:21" ht="17.25" customHeight="1">
      <c r="A78" s="1951" t="s">
        <v>62</v>
      </c>
      <c r="B78" s="105" t="s">
        <v>2180</v>
      </c>
      <c r="P78" s="102"/>
      <c r="Q78" s="102"/>
      <c r="R78" s="102"/>
      <c r="S78" s="102"/>
      <c r="T78" s="102"/>
    </row>
  </sheetData>
  <mergeCells count="19">
    <mergeCell ref="B74:G74"/>
    <mergeCell ref="B75:G75"/>
    <mergeCell ref="B77:G77"/>
    <mergeCell ref="Q6:S6"/>
    <mergeCell ref="A9:A14"/>
    <mergeCell ref="A17:A18"/>
    <mergeCell ref="A24:A27"/>
    <mergeCell ref="A32:A34"/>
    <mergeCell ref="A39:A43"/>
    <mergeCell ref="F1:J1"/>
    <mergeCell ref="B3:N3"/>
    <mergeCell ref="A6:A7"/>
    <mergeCell ref="B6:B7"/>
    <mergeCell ref="C6:C7"/>
    <mergeCell ref="D6:D7"/>
    <mergeCell ref="E6:G6"/>
    <mergeCell ref="H6:J6"/>
    <mergeCell ref="K6:M6"/>
    <mergeCell ref="N6:P6"/>
  </mergeCells>
  <conditionalFormatting sqref="B56">
    <cfRule type="cellIs" dxfId="88" priority="2" stopIfTrue="1" operator="equal">
      <formula>"?"</formula>
    </cfRule>
  </conditionalFormatting>
  <conditionalFormatting sqref="B57">
    <cfRule type="cellIs" dxfId="87" priority="1" stopIfTrue="1" operator="equal">
      <formula>"?"</formula>
    </cfRule>
  </conditionalFormatting>
  <pageMargins left="0.6692913385826772" right="0.51181102362204722" top="0.59055118110236227" bottom="0.35433070866141736" header="0.43307086614173229" footer="0.27559055118110237"/>
  <pageSetup paperSize="9" scale="87" fitToHeight="3" orientation="landscape" verticalDpi="300" r:id="rId1"/>
  <headerFooter alignWithMargins="0"/>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73"/>
  <sheetViews>
    <sheetView zoomScale="91" zoomScaleNormal="91" workbookViewId="0">
      <pane xSplit="2" ySplit="9" topLeftCell="C59" activePane="bottomRight" state="frozen"/>
      <selection pane="topRight" activeCell="C1" sqref="C1"/>
      <selection pane="bottomLeft" activeCell="A10" sqref="A10"/>
      <selection pane="bottomRight" activeCell="F5" sqref="F5"/>
    </sheetView>
  </sheetViews>
  <sheetFormatPr defaultRowHeight="12.75"/>
  <cols>
    <col min="1" max="1" width="4.42578125" style="2954" customWidth="1"/>
    <col min="2" max="2" width="37.5703125" style="4" customWidth="1"/>
    <col min="3" max="3" width="13.7109375" style="4" customWidth="1"/>
    <col min="4" max="4" width="6.140625" style="4" customWidth="1"/>
    <col min="5" max="5" width="6.5703125" style="4" customWidth="1"/>
    <col min="6" max="6" width="9.5703125" style="4" bestFit="1" customWidth="1"/>
    <col min="7" max="7" width="10.5703125" style="4" customWidth="1"/>
    <col min="8" max="8" width="6.42578125" style="4" customWidth="1"/>
    <col min="9" max="9" width="9.5703125" style="4" customWidth="1"/>
    <col min="10" max="10" width="10.7109375" style="4" customWidth="1"/>
    <col min="11" max="11" width="6.42578125" style="4" customWidth="1"/>
    <col min="12" max="13" width="10.7109375" style="4" bestFit="1" customWidth="1"/>
    <col min="14" max="14" width="7.140625" style="4" customWidth="1"/>
    <col min="15" max="16" width="10.7109375" style="4" bestFit="1" customWidth="1"/>
    <col min="17" max="17" width="7.140625" style="4" customWidth="1"/>
    <col min="18" max="19" width="11" style="4" customWidth="1"/>
    <col min="20" max="20" width="26" style="4" customWidth="1"/>
    <col min="21" max="21" width="21" style="4" customWidth="1"/>
    <col min="22" max="22" width="13.5703125" style="4" customWidth="1"/>
    <col min="23" max="259" width="9.140625" style="4"/>
    <col min="260" max="260" width="4.28515625" style="4" customWidth="1"/>
    <col min="261" max="261" width="35" style="4" customWidth="1"/>
    <col min="262" max="262" width="12.7109375" style="4" customWidth="1"/>
    <col min="263" max="263" width="5.85546875" style="4" bestFit="1" customWidth="1"/>
    <col min="264" max="264" width="6.5703125" style="4" customWidth="1"/>
    <col min="265" max="265" width="9.5703125" style="4" bestFit="1" customWidth="1"/>
    <col min="266" max="266" width="10.5703125" style="4" customWidth="1"/>
    <col min="267" max="267" width="6.42578125" style="4" customWidth="1"/>
    <col min="268" max="268" width="9.5703125" style="4" customWidth="1"/>
    <col min="269" max="269" width="10.7109375" style="4" customWidth="1"/>
    <col min="270" max="270" width="6.42578125" style="4" customWidth="1"/>
    <col min="271" max="272" width="10.7109375" style="4" bestFit="1" customWidth="1"/>
    <col min="273" max="273" width="6.42578125" style="4" customWidth="1"/>
    <col min="274" max="275" width="10.7109375" style="4" bestFit="1" customWidth="1"/>
    <col min="276" max="276" width="26" style="4" customWidth="1"/>
    <col min="277" max="277" width="21" style="4" customWidth="1"/>
    <col min="278" max="278" width="13.5703125" style="4" customWidth="1"/>
    <col min="279" max="515" width="9.140625" style="4"/>
    <col min="516" max="516" width="4.28515625" style="4" customWidth="1"/>
    <col min="517" max="517" width="35" style="4" customWidth="1"/>
    <col min="518" max="518" width="12.7109375" style="4" customWidth="1"/>
    <col min="519" max="519" width="5.85546875" style="4" bestFit="1" customWidth="1"/>
    <col min="520" max="520" width="6.5703125" style="4" customWidth="1"/>
    <col min="521" max="521" width="9.5703125" style="4" bestFit="1" customWidth="1"/>
    <col min="522" max="522" width="10.5703125" style="4" customWidth="1"/>
    <col min="523" max="523" width="6.42578125" style="4" customWidth="1"/>
    <col min="524" max="524" width="9.5703125" style="4" customWidth="1"/>
    <col min="525" max="525" width="10.7109375" style="4" customWidth="1"/>
    <col min="526" max="526" width="6.42578125" style="4" customWidth="1"/>
    <col min="527" max="528" width="10.7109375" style="4" bestFit="1" customWidth="1"/>
    <col min="529" max="529" width="6.42578125" style="4" customWidth="1"/>
    <col min="530" max="531" width="10.7109375" style="4" bestFit="1" customWidth="1"/>
    <col min="532" max="532" width="26" style="4" customWidth="1"/>
    <col min="533" max="533" width="21" style="4" customWidth="1"/>
    <col min="534" max="534" width="13.5703125" style="4" customWidth="1"/>
    <col min="535" max="771" width="9.140625" style="4"/>
    <col min="772" max="772" width="4.28515625" style="4" customWidth="1"/>
    <col min="773" max="773" width="35" style="4" customWidth="1"/>
    <col min="774" max="774" width="12.7109375" style="4" customWidth="1"/>
    <col min="775" max="775" width="5.85546875" style="4" bestFit="1" customWidth="1"/>
    <col min="776" max="776" width="6.5703125" style="4" customWidth="1"/>
    <col min="777" max="777" width="9.5703125" style="4" bestFit="1" customWidth="1"/>
    <col min="778" max="778" width="10.5703125" style="4" customWidth="1"/>
    <col min="779" max="779" width="6.42578125" style="4" customWidth="1"/>
    <col min="780" max="780" width="9.5703125" style="4" customWidth="1"/>
    <col min="781" max="781" width="10.7109375" style="4" customWidth="1"/>
    <col min="782" max="782" width="6.42578125" style="4" customWidth="1"/>
    <col min="783" max="784" width="10.7109375" style="4" bestFit="1" customWidth="1"/>
    <col min="785" max="785" width="6.42578125" style="4" customWidth="1"/>
    <col min="786" max="787" width="10.7109375" style="4" bestFit="1" customWidth="1"/>
    <col min="788" max="788" width="26" style="4" customWidth="1"/>
    <col min="789" max="789" width="21" style="4" customWidth="1"/>
    <col min="790" max="790" width="13.5703125" style="4" customWidth="1"/>
    <col min="791" max="1027" width="9.140625" style="4"/>
    <col min="1028" max="1028" width="4.28515625" style="4" customWidth="1"/>
    <col min="1029" max="1029" width="35" style="4" customWidth="1"/>
    <col min="1030" max="1030" width="12.7109375" style="4" customWidth="1"/>
    <col min="1031" max="1031" width="5.85546875" style="4" bestFit="1" customWidth="1"/>
    <col min="1032" max="1032" width="6.5703125" style="4" customWidth="1"/>
    <col min="1033" max="1033" width="9.5703125" style="4" bestFit="1" customWidth="1"/>
    <col min="1034" max="1034" width="10.5703125" style="4" customWidth="1"/>
    <col min="1035" max="1035" width="6.42578125" style="4" customWidth="1"/>
    <col min="1036" max="1036" width="9.5703125" style="4" customWidth="1"/>
    <col min="1037" max="1037" width="10.7109375" style="4" customWidth="1"/>
    <col min="1038" max="1038" width="6.42578125" style="4" customWidth="1"/>
    <col min="1039" max="1040" width="10.7109375" style="4" bestFit="1" customWidth="1"/>
    <col min="1041" max="1041" width="6.42578125" style="4" customWidth="1"/>
    <col min="1042" max="1043" width="10.7109375" style="4" bestFit="1" customWidth="1"/>
    <col min="1044" max="1044" width="26" style="4" customWidth="1"/>
    <col min="1045" max="1045" width="21" style="4" customWidth="1"/>
    <col min="1046" max="1046" width="13.5703125" style="4" customWidth="1"/>
    <col min="1047" max="1283" width="9.140625" style="4"/>
    <col min="1284" max="1284" width="4.28515625" style="4" customWidth="1"/>
    <col min="1285" max="1285" width="35" style="4" customWidth="1"/>
    <col min="1286" max="1286" width="12.7109375" style="4" customWidth="1"/>
    <col min="1287" max="1287" width="5.85546875" style="4" bestFit="1" customWidth="1"/>
    <col min="1288" max="1288" width="6.5703125" style="4" customWidth="1"/>
    <col min="1289" max="1289" width="9.5703125" style="4" bestFit="1" customWidth="1"/>
    <col min="1290" max="1290" width="10.5703125" style="4" customWidth="1"/>
    <col min="1291" max="1291" width="6.42578125" style="4" customWidth="1"/>
    <col min="1292" max="1292" width="9.5703125" style="4" customWidth="1"/>
    <col min="1293" max="1293" width="10.7109375" style="4" customWidth="1"/>
    <col min="1294" max="1294" width="6.42578125" style="4" customWidth="1"/>
    <col min="1295" max="1296" width="10.7109375" style="4" bestFit="1" customWidth="1"/>
    <col min="1297" max="1297" width="6.42578125" style="4" customWidth="1"/>
    <col min="1298" max="1299" width="10.7109375" style="4" bestFit="1" customWidth="1"/>
    <col min="1300" max="1300" width="26" style="4" customWidth="1"/>
    <col min="1301" max="1301" width="21" style="4" customWidth="1"/>
    <col min="1302" max="1302" width="13.5703125" style="4" customWidth="1"/>
    <col min="1303" max="1539" width="9.140625" style="4"/>
    <col min="1540" max="1540" width="4.28515625" style="4" customWidth="1"/>
    <col min="1541" max="1541" width="35" style="4" customWidth="1"/>
    <col min="1542" max="1542" width="12.7109375" style="4" customWidth="1"/>
    <col min="1543" max="1543" width="5.85546875" style="4" bestFit="1" customWidth="1"/>
    <col min="1544" max="1544" width="6.5703125" style="4" customWidth="1"/>
    <col min="1545" max="1545" width="9.5703125" style="4" bestFit="1" customWidth="1"/>
    <col min="1546" max="1546" width="10.5703125" style="4" customWidth="1"/>
    <col min="1547" max="1547" width="6.42578125" style="4" customWidth="1"/>
    <col min="1548" max="1548" width="9.5703125" style="4" customWidth="1"/>
    <col min="1549" max="1549" width="10.7109375" style="4" customWidth="1"/>
    <col min="1550" max="1550" width="6.42578125" style="4" customWidth="1"/>
    <col min="1551" max="1552" width="10.7109375" style="4" bestFit="1" customWidth="1"/>
    <col min="1553" max="1553" width="6.42578125" style="4" customWidth="1"/>
    <col min="1554" max="1555" width="10.7109375" style="4" bestFit="1" customWidth="1"/>
    <col min="1556" max="1556" width="26" style="4" customWidth="1"/>
    <col min="1557" max="1557" width="21" style="4" customWidth="1"/>
    <col min="1558" max="1558" width="13.5703125" style="4" customWidth="1"/>
    <col min="1559" max="1795" width="9.140625" style="4"/>
    <col min="1796" max="1796" width="4.28515625" style="4" customWidth="1"/>
    <col min="1797" max="1797" width="35" style="4" customWidth="1"/>
    <col min="1798" max="1798" width="12.7109375" style="4" customWidth="1"/>
    <col min="1799" max="1799" width="5.85546875" style="4" bestFit="1" customWidth="1"/>
    <col min="1800" max="1800" width="6.5703125" style="4" customWidth="1"/>
    <col min="1801" max="1801" width="9.5703125" style="4" bestFit="1" customWidth="1"/>
    <col min="1802" max="1802" width="10.5703125" style="4" customWidth="1"/>
    <col min="1803" max="1803" width="6.42578125" style="4" customWidth="1"/>
    <col min="1804" max="1804" width="9.5703125" style="4" customWidth="1"/>
    <col min="1805" max="1805" width="10.7109375" style="4" customWidth="1"/>
    <col min="1806" max="1806" width="6.42578125" style="4" customWidth="1"/>
    <col min="1807" max="1808" width="10.7109375" style="4" bestFit="1" customWidth="1"/>
    <col min="1809" max="1809" width="6.42578125" style="4" customWidth="1"/>
    <col min="1810" max="1811" width="10.7109375" style="4" bestFit="1" customWidth="1"/>
    <col min="1812" max="1812" width="26" style="4" customWidth="1"/>
    <col min="1813" max="1813" width="21" style="4" customWidth="1"/>
    <col min="1814" max="1814" width="13.5703125" style="4" customWidth="1"/>
    <col min="1815" max="2051" width="9.140625" style="4"/>
    <col min="2052" max="2052" width="4.28515625" style="4" customWidth="1"/>
    <col min="2053" max="2053" width="35" style="4" customWidth="1"/>
    <col min="2054" max="2054" width="12.7109375" style="4" customWidth="1"/>
    <col min="2055" max="2055" width="5.85546875" style="4" bestFit="1" customWidth="1"/>
    <col min="2056" max="2056" width="6.5703125" style="4" customWidth="1"/>
    <col min="2057" max="2057" width="9.5703125" style="4" bestFit="1" customWidth="1"/>
    <col min="2058" max="2058" width="10.5703125" style="4" customWidth="1"/>
    <col min="2059" max="2059" width="6.42578125" style="4" customWidth="1"/>
    <col min="2060" max="2060" width="9.5703125" style="4" customWidth="1"/>
    <col min="2061" max="2061" width="10.7109375" style="4" customWidth="1"/>
    <col min="2062" max="2062" width="6.42578125" style="4" customWidth="1"/>
    <col min="2063" max="2064" width="10.7109375" style="4" bestFit="1" customWidth="1"/>
    <col min="2065" max="2065" width="6.42578125" style="4" customWidth="1"/>
    <col min="2066" max="2067" width="10.7109375" style="4" bestFit="1" customWidth="1"/>
    <col min="2068" max="2068" width="26" style="4" customWidth="1"/>
    <col min="2069" max="2069" width="21" style="4" customWidth="1"/>
    <col min="2070" max="2070" width="13.5703125" style="4" customWidth="1"/>
    <col min="2071" max="2307" width="9.140625" style="4"/>
    <col min="2308" max="2308" width="4.28515625" style="4" customWidth="1"/>
    <col min="2309" max="2309" width="35" style="4" customWidth="1"/>
    <col min="2310" max="2310" width="12.7109375" style="4" customWidth="1"/>
    <col min="2311" max="2311" width="5.85546875" style="4" bestFit="1" customWidth="1"/>
    <col min="2312" max="2312" width="6.5703125" style="4" customWidth="1"/>
    <col min="2313" max="2313" width="9.5703125" style="4" bestFit="1" customWidth="1"/>
    <col min="2314" max="2314" width="10.5703125" style="4" customWidth="1"/>
    <col min="2315" max="2315" width="6.42578125" style="4" customWidth="1"/>
    <col min="2316" max="2316" width="9.5703125" style="4" customWidth="1"/>
    <col min="2317" max="2317" width="10.7109375" style="4" customWidth="1"/>
    <col min="2318" max="2318" width="6.42578125" style="4" customWidth="1"/>
    <col min="2319" max="2320" width="10.7109375" style="4" bestFit="1" customWidth="1"/>
    <col min="2321" max="2321" width="6.42578125" style="4" customWidth="1"/>
    <col min="2322" max="2323" width="10.7109375" style="4" bestFit="1" customWidth="1"/>
    <col min="2324" max="2324" width="26" style="4" customWidth="1"/>
    <col min="2325" max="2325" width="21" style="4" customWidth="1"/>
    <col min="2326" max="2326" width="13.5703125" style="4" customWidth="1"/>
    <col min="2327" max="2563" width="9.140625" style="4"/>
    <col min="2564" max="2564" width="4.28515625" style="4" customWidth="1"/>
    <col min="2565" max="2565" width="35" style="4" customWidth="1"/>
    <col min="2566" max="2566" width="12.7109375" style="4" customWidth="1"/>
    <col min="2567" max="2567" width="5.85546875" style="4" bestFit="1" customWidth="1"/>
    <col min="2568" max="2568" width="6.5703125" style="4" customWidth="1"/>
    <col min="2569" max="2569" width="9.5703125" style="4" bestFit="1" customWidth="1"/>
    <col min="2570" max="2570" width="10.5703125" style="4" customWidth="1"/>
    <col min="2571" max="2571" width="6.42578125" style="4" customWidth="1"/>
    <col min="2572" max="2572" width="9.5703125" style="4" customWidth="1"/>
    <col min="2573" max="2573" width="10.7109375" style="4" customWidth="1"/>
    <col min="2574" max="2574" width="6.42578125" style="4" customWidth="1"/>
    <col min="2575" max="2576" width="10.7109375" style="4" bestFit="1" customWidth="1"/>
    <col min="2577" max="2577" width="6.42578125" style="4" customWidth="1"/>
    <col min="2578" max="2579" width="10.7109375" style="4" bestFit="1" customWidth="1"/>
    <col min="2580" max="2580" width="26" style="4" customWidth="1"/>
    <col min="2581" max="2581" width="21" style="4" customWidth="1"/>
    <col min="2582" max="2582" width="13.5703125" style="4" customWidth="1"/>
    <col min="2583" max="2819" width="9.140625" style="4"/>
    <col min="2820" max="2820" width="4.28515625" style="4" customWidth="1"/>
    <col min="2821" max="2821" width="35" style="4" customWidth="1"/>
    <col min="2822" max="2822" width="12.7109375" style="4" customWidth="1"/>
    <col min="2823" max="2823" width="5.85546875" style="4" bestFit="1" customWidth="1"/>
    <col min="2824" max="2824" width="6.5703125" style="4" customWidth="1"/>
    <col min="2825" max="2825" width="9.5703125" style="4" bestFit="1" customWidth="1"/>
    <col min="2826" max="2826" width="10.5703125" style="4" customWidth="1"/>
    <col min="2827" max="2827" width="6.42578125" style="4" customWidth="1"/>
    <col min="2828" max="2828" width="9.5703125" style="4" customWidth="1"/>
    <col min="2829" max="2829" width="10.7109375" style="4" customWidth="1"/>
    <col min="2830" max="2830" width="6.42578125" style="4" customWidth="1"/>
    <col min="2831" max="2832" width="10.7109375" style="4" bestFit="1" customWidth="1"/>
    <col min="2833" max="2833" width="6.42578125" style="4" customWidth="1"/>
    <col min="2834" max="2835" width="10.7109375" style="4" bestFit="1" customWidth="1"/>
    <col min="2836" max="2836" width="26" style="4" customWidth="1"/>
    <col min="2837" max="2837" width="21" style="4" customWidth="1"/>
    <col min="2838" max="2838" width="13.5703125" style="4" customWidth="1"/>
    <col min="2839" max="3075" width="9.140625" style="4"/>
    <col min="3076" max="3076" width="4.28515625" style="4" customWidth="1"/>
    <col min="3077" max="3077" width="35" style="4" customWidth="1"/>
    <col min="3078" max="3078" width="12.7109375" style="4" customWidth="1"/>
    <col min="3079" max="3079" width="5.85546875" style="4" bestFit="1" customWidth="1"/>
    <col min="3080" max="3080" width="6.5703125" style="4" customWidth="1"/>
    <col min="3081" max="3081" width="9.5703125" style="4" bestFit="1" customWidth="1"/>
    <col min="3082" max="3082" width="10.5703125" style="4" customWidth="1"/>
    <col min="3083" max="3083" width="6.42578125" style="4" customWidth="1"/>
    <col min="3084" max="3084" width="9.5703125" style="4" customWidth="1"/>
    <col min="3085" max="3085" width="10.7109375" style="4" customWidth="1"/>
    <col min="3086" max="3086" width="6.42578125" style="4" customWidth="1"/>
    <col min="3087" max="3088" width="10.7109375" style="4" bestFit="1" customWidth="1"/>
    <col min="3089" max="3089" width="6.42578125" style="4" customWidth="1"/>
    <col min="3090" max="3091" width="10.7109375" style="4" bestFit="1" customWidth="1"/>
    <col min="3092" max="3092" width="26" style="4" customWidth="1"/>
    <col min="3093" max="3093" width="21" style="4" customWidth="1"/>
    <col min="3094" max="3094" width="13.5703125" style="4" customWidth="1"/>
    <col min="3095" max="3331" width="9.140625" style="4"/>
    <col min="3332" max="3332" width="4.28515625" style="4" customWidth="1"/>
    <col min="3333" max="3333" width="35" style="4" customWidth="1"/>
    <col min="3334" max="3334" width="12.7109375" style="4" customWidth="1"/>
    <col min="3335" max="3335" width="5.85546875" style="4" bestFit="1" customWidth="1"/>
    <col min="3336" max="3336" width="6.5703125" style="4" customWidth="1"/>
    <col min="3337" max="3337" width="9.5703125" style="4" bestFit="1" customWidth="1"/>
    <col min="3338" max="3338" width="10.5703125" style="4" customWidth="1"/>
    <col min="3339" max="3339" width="6.42578125" style="4" customWidth="1"/>
    <col min="3340" max="3340" width="9.5703125" style="4" customWidth="1"/>
    <col min="3341" max="3341" width="10.7109375" style="4" customWidth="1"/>
    <col min="3342" max="3342" width="6.42578125" style="4" customWidth="1"/>
    <col min="3343" max="3344" width="10.7109375" style="4" bestFit="1" customWidth="1"/>
    <col min="3345" max="3345" width="6.42578125" style="4" customWidth="1"/>
    <col min="3346" max="3347" width="10.7109375" style="4" bestFit="1" customWidth="1"/>
    <col min="3348" max="3348" width="26" style="4" customWidth="1"/>
    <col min="3349" max="3349" width="21" style="4" customWidth="1"/>
    <col min="3350" max="3350" width="13.5703125" style="4" customWidth="1"/>
    <col min="3351" max="3587" width="9.140625" style="4"/>
    <col min="3588" max="3588" width="4.28515625" style="4" customWidth="1"/>
    <col min="3589" max="3589" width="35" style="4" customWidth="1"/>
    <col min="3590" max="3590" width="12.7109375" style="4" customWidth="1"/>
    <col min="3591" max="3591" width="5.85546875" style="4" bestFit="1" customWidth="1"/>
    <col min="3592" max="3592" width="6.5703125" style="4" customWidth="1"/>
    <col min="3593" max="3593" width="9.5703125" style="4" bestFit="1" customWidth="1"/>
    <col min="3594" max="3594" width="10.5703125" style="4" customWidth="1"/>
    <col min="3595" max="3595" width="6.42578125" style="4" customWidth="1"/>
    <col min="3596" max="3596" width="9.5703125" style="4" customWidth="1"/>
    <col min="3597" max="3597" width="10.7109375" style="4" customWidth="1"/>
    <col min="3598" max="3598" width="6.42578125" style="4" customWidth="1"/>
    <col min="3599" max="3600" width="10.7109375" style="4" bestFit="1" customWidth="1"/>
    <col min="3601" max="3601" width="6.42578125" style="4" customWidth="1"/>
    <col min="3602" max="3603" width="10.7109375" style="4" bestFit="1" customWidth="1"/>
    <col min="3604" max="3604" width="26" style="4" customWidth="1"/>
    <col min="3605" max="3605" width="21" style="4" customWidth="1"/>
    <col min="3606" max="3606" width="13.5703125" style="4" customWidth="1"/>
    <col min="3607" max="3843" width="9.140625" style="4"/>
    <col min="3844" max="3844" width="4.28515625" style="4" customWidth="1"/>
    <col min="3845" max="3845" width="35" style="4" customWidth="1"/>
    <col min="3846" max="3846" width="12.7109375" style="4" customWidth="1"/>
    <col min="3847" max="3847" width="5.85546875" style="4" bestFit="1" customWidth="1"/>
    <col min="3848" max="3848" width="6.5703125" style="4" customWidth="1"/>
    <col min="3849" max="3849" width="9.5703125" style="4" bestFit="1" customWidth="1"/>
    <col min="3850" max="3850" width="10.5703125" style="4" customWidth="1"/>
    <col min="3851" max="3851" width="6.42578125" style="4" customWidth="1"/>
    <col min="3852" max="3852" width="9.5703125" style="4" customWidth="1"/>
    <col min="3853" max="3853" width="10.7109375" style="4" customWidth="1"/>
    <col min="3854" max="3854" width="6.42578125" style="4" customWidth="1"/>
    <col min="3855" max="3856" width="10.7109375" style="4" bestFit="1" customWidth="1"/>
    <col min="3857" max="3857" width="6.42578125" style="4" customWidth="1"/>
    <col min="3858" max="3859" width="10.7109375" style="4" bestFit="1" customWidth="1"/>
    <col min="3860" max="3860" width="26" style="4" customWidth="1"/>
    <col min="3861" max="3861" width="21" style="4" customWidth="1"/>
    <col min="3862" max="3862" width="13.5703125" style="4" customWidth="1"/>
    <col min="3863" max="4099" width="9.140625" style="4"/>
    <col min="4100" max="4100" width="4.28515625" style="4" customWidth="1"/>
    <col min="4101" max="4101" width="35" style="4" customWidth="1"/>
    <col min="4102" max="4102" width="12.7109375" style="4" customWidth="1"/>
    <col min="4103" max="4103" width="5.85546875" style="4" bestFit="1" customWidth="1"/>
    <col min="4104" max="4104" width="6.5703125" style="4" customWidth="1"/>
    <col min="4105" max="4105" width="9.5703125" style="4" bestFit="1" customWidth="1"/>
    <col min="4106" max="4106" width="10.5703125" style="4" customWidth="1"/>
    <col min="4107" max="4107" width="6.42578125" style="4" customWidth="1"/>
    <col min="4108" max="4108" width="9.5703125" style="4" customWidth="1"/>
    <col min="4109" max="4109" width="10.7109375" style="4" customWidth="1"/>
    <col min="4110" max="4110" width="6.42578125" style="4" customWidth="1"/>
    <col min="4111" max="4112" width="10.7109375" style="4" bestFit="1" customWidth="1"/>
    <col min="4113" max="4113" width="6.42578125" style="4" customWidth="1"/>
    <col min="4114" max="4115" width="10.7109375" style="4" bestFit="1" customWidth="1"/>
    <col min="4116" max="4116" width="26" style="4" customWidth="1"/>
    <col min="4117" max="4117" width="21" style="4" customWidth="1"/>
    <col min="4118" max="4118" width="13.5703125" style="4" customWidth="1"/>
    <col min="4119" max="4355" width="9.140625" style="4"/>
    <col min="4356" max="4356" width="4.28515625" style="4" customWidth="1"/>
    <col min="4357" max="4357" width="35" style="4" customWidth="1"/>
    <col min="4358" max="4358" width="12.7109375" style="4" customWidth="1"/>
    <col min="4359" max="4359" width="5.85546875" style="4" bestFit="1" customWidth="1"/>
    <col min="4360" max="4360" width="6.5703125" style="4" customWidth="1"/>
    <col min="4361" max="4361" width="9.5703125" style="4" bestFit="1" customWidth="1"/>
    <col min="4362" max="4362" width="10.5703125" style="4" customWidth="1"/>
    <col min="4363" max="4363" width="6.42578125" style="4" customWidth="1"/>
    <col min="4364" max="4364" width="9.5703125" style="4" customWidth="1"/>
    <col min="4365" max="4365" width="10.7109375" style="4" customWidth="1"/>
    <col min="4366" max="4366" width="6.42578125" style="4" customWidth="1"/>
    <col min="4367" max="4368" width="10.7109375" style="4" bestFit="1" customWidth="1"/>
    <col min="4369" max="4369" width="6.42578125" style="4" customWidth="1"/>
    <col min="4370" max="4371" width="10.7109375" style="4" bestFit="1" customWidth="1"/>
    <col min="4372" max="4372" width="26" style="4" customWidth="1"/>
    <col min="4373" max="4373" width="21" style="4" customWidth="1"/>
    <col min="4374" max="4374" width="13.5703125" style="4" customWidth="1"/>
    <col min="4375" max="4611" width="9.140625" style="4"/>
    <col min="4612" max="4612" width="4.28515625" style="4" customWidth="1"/>
    <col min="4613" max="4613" width="35" style="4" customWidth="1"/>
    <col min="4614" max="4614" width="12.7109375" style="4" customWidth="1"/>
    <col min="4615" max="4615" width="5.85546875" style="4" bestFit="1" customWidth="1"/>
    <col min="4616" max="4616" width="6.5703125" style="4" customWidth="1"/>
    <col min="4617" max="4617" width="9.5703125" style="4" bestFit="1" customWidth="1"/>
    <col min="4618" max="4618" width="10.5703125" style="4" customWidth="1"/>
    <col min="4619" max="4619" width="6.42578125" style="4" customWidth="1"/>
    <col min="4620" max="4620" width="9.5703125" style="4" customWidth="1"/>
    <col min="4621" max="4621" width="10.7109375" style="4" customWidth="1"/>
    <col min="4622" max="4622" width="6.42578125" style="4" customWidth="1"/>
    <col min="4623" max="4624" width="10.7109375" style="4" bestFit="1" customWidth="1"/>
    <col min="4625" max="4625" width="6.42578125" style="4" customWidth="1"/>
    <col min="4626" max="4627" width="10.7109375" style="4" bestFit="1" customWidth="1"/>
    <col min="4628" max="4628" width="26" style="4" customWidth="1"/>
    <col min="4629" max="4629" width="21" style="4" customWidth="1"/>
    <col min="4630" max="4630" width="13.5703125" style="4" customWidth="1"/>
    <col min="4631" max="4867" width="9.140625" style="4"/>
    <col min="4868" max="4868" width="4.28515625" style="4" customWidth="1"/>
    <col min="4869" max="4869" width="35" style="4" customWidth="1"/>
    <col min="4870" max="4870" width="12.7109375" style="4" customWidth="1"/>
    <col min="4871" max="4871" width="5.85546875" style="4" bestFit="1" customWidth="1"/>
    <col min="4872" max="4872" width="6.5703125" style="4" customWidth="1"/>
    <col min="4873" max="4873" width="9.5703125" style="4" bestFit="1" customWidth="1"/>
    <col min="4874" max="4874" width="10.5703125" style="4" customWidth="1"/>
    <col min="4875" max="4875" width="6.42578125" style="4" customWidth="1"/>
    <col min="4876" max="4876" width="9.5703125" style="4" customWidth="1"/>
    <col min="4877" max="4877" width="10.7109375" style="4" customWidth="1"/>
    <col min="4878" max="4878" width="6.42578125" style="4" customWidth="1"/>
    <col min="4879" max="4880" width="10.7109375" style="4" bestFit="1" customWidth="1"/>
    <col min="4881" max="4881" width="6.42578125" style="4" customWidth="1"/>
    <col min="4882" max="4883" width="10.7109375" style="4" bestFit="1" customWidth="1"/>
    <col min="4884" max="4884" width="26" style="4" customWidth="1"/>
    <col min="4885" max="4885" width="21" style="4" customWidth="1"/>
    <col min="4886" max="4886" width="13.5703125" style="4" customWidth="1"/>
    <col min="4887" max="5123" width="9.140625" style="4"/>
    <col min="5124" max="5124" width="4.28515625" style="4" customWidth="1"/>
    <col min="5125" max="5125" width="35" style="4" customWidth="1"/>
    <col min="5126" max="5126" width="12.7109375" style="4" customWidth="1"/>
    <col min="5127" max="5127" width="5.85546875" style="4" bestFit="1" customWidth="1"/>
    <col min="5128" max="5128" width="6.5703125" style="4" customWidth="1"/>
    <col min="5129" max="5129" width="9.5703125" style="4" bestFit="1" customWidth="1"/>
    <col min="5130" max="5130" width="10.5703125" style="4" customWidth="1"/>
    <col min="5131" max="5131" width="6.42578125" style="4" customWidth="1"/>
    <col min="5132" max="5132" width="9.5703125" style="4" customWidth="1"/>
    <col min="5133" max="5133" width="10.7109375" style="4" customWidth="1"/>
    <col min="5134" max="5134" width="6.42578125" style="4" customWidth="1"/>
    <col min="5135" max="5136" width="10.7109375" style="4" bestFit="1" customWidth="1"/>
    <col min="5137" max="5137" width="6.42578125" style="4" customWidth="1"/>
    <col min="5138" max="5139" width="10.7109375" style="4" bestFit="1" customWidth="1"/>
    <col min="5140" max="5140" width="26" style="4" customWidth="1"/>
    <col min="5141" max="5141" width="21" style="4" customWidth="1"/>
    <col min="5142" max="5142" width="13.5703125" style="4" customWidth="1"/>
    <col min="5143" max="5379" width="9.140625" style="4"/>
    <col min="5380" max="5380" width="4.28515625" style="4" customWidth="1"/>
    <col min="5381" max="5381" width="35" style="4" customWidth="1"/>
    <col min="5382" max="5382" width="12.7109375" style="4" customWidth="1"/>
    <col min="5383" max="5383" width="5.85546875" style="4" bestFit="1" customWidth="1"/>
    <col min="5384" max="5384" width="6.5703125" style="4" customWidth="1"/>
    <col min="5385" max="5385" width="9.5703125" style="4" bestFit="1" customWidth="1"/>
    <col min="5386" max="5386" width="10.5703125" style="4" customWidth="1"/>
    <col min="5387" max="5387" width="6.42578125" style="4" customWidth="1"/>
    <col min="5388" max="5388" width="9.5703125" style="4" customWidth="1"/>
    <col min="5389" max="5389" width="10.7109375" style="4" customWidth="1"/>
    <col min="5390" max="5390" width="6.42578125" style="4" customWidth="1"/>
    <col min="5391" max="5392" width="10.7109375" style="4" bestFit="1" customWidth="1"/>
    <col min="5393" max="5393" width="6.42578125" style="4" customWidth="1"/>
    <col min="5394" max="5395" width="10.7109375" style="4" bestFit="1" customWidth="1"/>
    <col min="5396" max="5396" width="26" style="4" customWidth="1"/>
    <col min="5397" max="5397" width="21" style="4" customWidth="1"/>
    <col min="5398" max="5398" width="13.5703125" style="4" customWidth="1"/>
    <col min="5399" max="5635" width="9.140625" style="4"/>
    <col min="5636" max="5636" width="4.28515625" style="4" customWidth="1"/>
    <col min="5637" max="5637" width="35" style="4" customWidth="1"/>
    <col min="5638" max="5638" width="12.7109375" style="4" customWidth="1"/>
    <col min="5639" max="5639" width="5.85546875" style="4" bestFit="1" customWidth="1"/>
    <col min="5640" max="5640" width="6.5703125" style="4" customWidth="1"/>
    <col min="5641" max="5641" width="9.5703125" style="4" bestFit="1" customWidth="1"/>
    <col min="5642" max="5642" width="10.5703125" style="4" customWidth="1"/>
    <col min="5643" max="5643" width="6.42578125" style="4" customWidth="1"/>
    <col min="5644" max="5644" width="9.5703125" style="4" customWidth="1"/>
    <col min="5645" max="5645" width="10.7109375" style="4" customWidth="1"/>
    <col min="5646" max="5646" width="6.42578125" style="4" customWidth="1"/>
    <col min="5647" max="5648" width="10.7109375" style="4" bestFit="1" customWidth="1"/>
    <col min="5649" max="5649" width="6.42578125" style="4" customWidth="1"/>
    <col min="5650" max="5651" width="10.7109375" style="4" bestFit="1" customWidth="1"/>
    <col min="5652" max="5652" width="26" style="4" customWidth="1"/>
    <col min="5653" max="5653" width="21" style="4" customWidth="1"/>
    <col min="5654" max="5654" width="13.5703125" style="4" customWidth="1"/>
    <col min="5655" max="5891" width="9.140625" style="4"/>
    <col min="5892" max="5892" width="4.28515625" style="4" customWidth="1"/>
    <col min="5893" max="5893" width="35" style="4" customWidth="1"/>
    <col min="5894" max="5894" width="12.7109375" style="4" customWidth="1"/>
    <col min="5895" max="5895" width="5.85546875" style="4" bestFit="1" customWidth="1"/>
    <col min="5896" max="5896" width="6.5703125" style="4" customWidth="1"/>
    <col min="5897" max="5897" width="9.5703125" style="4" bestFit="1" customWidth="1"/>
    <col min="5898" max="5898" width="10.5703125" style="4" customWidth="1"/>
    <col min="5899" max="5899" width="6.42578125" style="4" customWidth="1"/>
    <col min="5900" max="5900" width="9.5703125" style="4" customWidth="1"/>
    <col min="5901" max="5901" width="10.7109375" style="4" customWidth="1"/>
    <col min="5902" max="5902" width="6.42578125" style="4" customWidth="1"/>
    <col min="5903" max="5904" width="10.7109375" style="4" bestFit="1" customWidth="1"/>
    <col min="5905" max="5905" width="6.42578125" style="4" customWidth="1"/>
    <col min="5906" max="5907" width="10.7109375" style="4" bestFit="1" customWidth="1"/>
    <col min="5908" max="5908" width="26" style="4" customWidth="1"/>
    <col min="5909" max="5909" width="21" style="4" customWidth="1"/>
    <col min="5910" max="5910" width="13.5703125" style="4" customWidth="1"/>
    <col min="5911" max="6147" width="9.140625" style="4"/>
    <col min="6148" max="6148" width="4.28515625" style="4" customWidth="1"/>
    <col min="6149" max="6149" width="35" style="4" customWidth="1"/>
    <col min="6150" max="6150" width="12.7109375" style="4" customWidth="1"/>
    <col min="6151" max="6151" width="5.85546875" style="4" bestFit="1" customWidth="1"/>
    <col min="6152" max="6152" width="6.5703125" style="4" customWidth="1"/>
    <col min="6153" max="6153" width="9.5703125" style="4" bestFit="1" customWidth="1"/>
    <col min="6154" max="6154" width="10.5703125" style="4" customWidth="1"/>
    <col min="6155" max="6155" width="6.42578125" style="4" customWidth="1"/>
    <col min="6156" max="6156" width="9.5703125" style="4" customWidth="1"/>
    <col min="6157" max="6157" width="10.7109375" style="4" customWidth="1"/>
    <col min="6158" max="6158" width="6.42578125" style="4" customWidth="1"/>
    <col min="6159" max="6160" width="10.7109375" style="4" bestFit="1" customWidth="1"/>
    <col min="6161" max="6161" width="6.42578125" style="4" customWidth="1"/>
    <col min="6162" max="6163" width="10.7109375" style="4" bestFit="1" customWidth="1"/>
    <col min="6164" max="6164" width="26" style="4" customWidth="1"/>
    <col min="6165" max="6165" width="21" style="4" customWidth="1"/>
    <col min="6166" max="6166" width="13.5703125" style="4" customWidth="1"/>
    <col min="6167" max="6403" width="9.140625" style="4"/>
    <col min="6404" max="6404" width="4.28515625" style="4" customWidth="1"/>
    <col min="6405" max="6405" width="35" style="4" customWidth="1"/>
    <col min="6406" max="6406" width="12.7109375" style="4" customWidth="1"/>
    <col min="6407" max="6407" width="5.85546875" style="4" bestFit="1" customWidth="1"/>
    <col min="6408" max="6408" width="6.5703125" style="4" customWidth="1"/>
    <col min="6409" max="6409" width="9.5703125" style="4" bestFit="1" customWidth="1"/>
    <col min="6410" max="6410" width="10.5703125" style="4" customWidth="1"/>
    <col min="6411" max="6411" width="6.42578125" style="4" customWidth="1"/>
    <col min="6412" max="6412" width="9.5703125" style="4" customWidth="1"/>
    <col min="6413" max="6413" width="10.7109375" style="4" customWidth="1"/>
    <col min="6414" max="6414" width="6.42578125" style="4" customWidth="1"/>
    <col min="6415" max="6416" width="10.7109375" style="4" bestFit="1" customWidth="1"/>
    <col min="6417" max="6417" width="6.42578125" style="4" customWidth="1"/>
    <col min="6418" max="6419" width="10.7109375" style="4" bestFit="1" customWidth="1"/>
    <col min="6420" max="6420" width="26" style="4" customWidth="1"/>
    <col min="6421" max="6421" width="21" style="4" customWidth="1"/>
    <col min="6422" max="6422" width="13.5703125" style="4" customWidth="1"/>
    <col min="6423" max="6659" width="9.140625" style="4"/>
    <col min="6660" max="6660" width="4.28515625" style="4" customWidth="1"/>
    <col min="6661" max="6661" width="35" style="4" customWidth="1"/>
    <col min="6662" max="6662" width="12.7109375" style="4" customWidth="1"/>
    <col min="6663" max="6663" width="5.85546875" style="4" bestFit="1" customWidth="1"/>
    <col min="6664" max="6664" width="6.5703125" style="4" customWidth="1"/>
    <col min="6665" max="6665" width="9.5703125" style="4" bestFit="1" customWidth="1"/>
    <col min="6666" max="6666" width="10.5703125" style="4" customWidth="1"/>
    <col min="6667" max="6667" width="6.42578125" style="4" customWidth="1"/>
    <col min="6668" max="6668" width="9.5703125" style="4" customWidth="1"/>
    <col min="6669" max="6669" width="10.7109375" style="4" customWidth="1"/>
    <col min="6670" max="6670" width="6.42578125" style="4" customWidth="1"/>
    <col min="6671" max="6672" width="10.7109375" style="4" bestFit="1" customWidth="1"/>
    <col min="6673" max="6673" width="6.42578125" style="4" customWidth="1"/>
    <col min="6674" max="6675" width="10.7109375" style="4" bestFit="1" customWidth="1"/>
    <col min="6676" max="6676" width="26" style="4" customWidth="1"/>
    <col min="6677" max="6677" width="21" style="4" customWidth="1"/>
    <col min="6678" max="6678" width="13.5703125" style="4" customWidth="1"/>
    <col min="6679" max="6915" width="9.140625" style="4"/>
    <col min="6916" max="6916" width="4.28515625" style="4" customWidth="1"/>
    <col min="6917" max="6917" width="35" style="4" customWidth="1"/>
    <col min="6918" max="6918" width="12.7109375" style="4" customWidth="1"/>
    <col min="6919" max="6919" width="5.85546875" style="4" bestFit="1" customWidth="1"/>
    <col min="6920" max="6920" width="6.5703125" style="4" customWidth="1"/>
    <col min="6921" max="6921" width="9.5703125" style="4" bestFit="1" customWidth="1"/>
    <col min="6922" max="6922" width="10.5703125" style="4" customWidth="1"/>
    <col min="6923" max="6923" width="6.42578125" style="4" customWidth="1"/>
    <col min="6924" max="6924" width="9.5703125" style="4" customWidth="1"/>
    <col min="6925" max="6925" width="10.7109375" style="4" customWidth="1"/>
    <col min="6926" max="6926" width="6.42578125" style="4" customWidth="1"/>
    <col min="6927" max="6928" width="10.7109375" style="4" bestFit="1" customWidth="1"/>
    <col min="6929" max="6929" width="6.42578125" style="4" customWidth="1"/>
    <col min="6930" max="6931" width="10.7109375" style="4" bestFit="1" customWidth="1"/>
    <col min="6932" max="6932" width="26" style="4" customWidth="1"/>
    <col min="6933" max="6933" width="21" style="4" customWidth="1"/>
    <col min="6934" max="6934" width="13.5703125" style="4" customWidth="1"/>
    <col min="6935" max="7171" width="9.140625" style="4"/>
    <col min="7172" max="7172" width="4.28515625" style="4" customWidth="1"/>
    <col min="7173" max="7173" width="35" style="4" customWidth="1"/>
    <col min="7174" max="7174" width="12.7109375" style="4" customWidth="1"/>
    <col min="7175" max="7175" width="5.85546875" style="4" bestFit="1" customWidth="1"/>
    <col min="7176" max="7176" width="6.5703125" style="4" customWidth="1"/>
    <col min="7177" max="7177" width="9.5703125" style="4" bestFit="1" customWidth="1"/>
    <col min="7178" max="7178" width="10.5703125" style="4" customWidth="1"/>
    <col min="7179" max="7179" width="6.42578125" style="4" customWidth="1"/>
    <col min="7180" max="7180" width="9.5703125" style="4" customWidth="1"/>
    <col min="7181" max="7181" width="10.7109375" style="4" customWidth="1"/>
    <col min="7182" max="7182" width="6.42578125" style="4" customWidth="1"/>
    <col min="7183" max="7184" width="10.7109375" style="4" bestFit="1" customWidth="1"/>
    <col min="7185" max="7185" width="6.42578125" style="4" customWidth="1"/>
    <col min="7186" max="7187" width="10.7109375" style="4" bestFit="1" customWidth="1"/>
    <col min="7188" max="7188" width="26" style="4" customWidth="1"/>
    <col min="7189" max="7189" width="21" style="4" customWidth="1"/>
    <col min="7190" max="7190" width="13.5703125" style="4" customWidth="1"/>
    <col min="7191" max="7427" width="9.140625" style="4"/>
    <col min="7428" max="7428" width="4.28515625" style="4" customWidth="1"/>
    <col min="7429" max="7429" width="35" style="4" customWidth="1"/>
    <col min="7430" max="7430" width="12.7109375" style="4" customWidth="1"/>
    <col min="7431" max="7431" width="5.85546875" style="4" bestFit="1" customWidth="1"/>
    <col min="7432" max="7432" width="6.5703125" style="4" customWidth="1"/>
    <col min="7433" max="7433" width="9.5703125" style="4" bestFit="1" customWidth="1"/>
    <col min="7434" max="7434" width="10.5703125" style="4" customWidth="1"/>
    <col min="7435" max="7435" width="6.42578125" style="4" customWidth="1"/>
    <col min="7436" max="7436" width="9.5703125" style="4" customWidth="1"/>
    <col min="7437" max="7437" width="10.7109375" style="4" customWidth="1"/>
    <col min="7438" max="7438" width="6.42578125" style="4" customWidth="1"/>
    <col min="7439" max="7440" width="10.7109375" style="4" bestFit="1" customWidth="1"/>
    <col min="7441" max="7441" width="6.42578125" style="4" customWidth="1"/>
    <col min="7442" max="7443" width="10.7109375" style="4" bestFit="1" customWidth="1"/>
    <col min="7444" max="7444" width="26" style="4" customWidth="1"/>
    <col min="7445" max="7445" width="21" style="4" customWidth="1"/>
    <col min="7446" max="7446" width="13.5703125" style="4" customWidth="1"/>
    <col min="7447" max="7683" width="9.140625" style="4"/>
    <col min="7684" max="7684" width="4.28515625" style="4" customWidth="1"/>
    <col min="7685" max="7685" width="35" style="4" customWidth="1"/>
    <col min="7686" max="7686" width="12.7109375" style="4" customWidth="1"/>
    <col min="7687" max="7687" width="5.85546875" style="4" bestFit="1" customWidth="1"/>
    <col min="7688" max="7688" width="6.5703125" style="4" customWidth="1"/>
    <col min="7689" max="7689" width="9.5703125" style="4" bestFit="1" customWidth="1"/>
    <col min="7690" max="7690" width="10.5703125" style="4" customWidth="1"/>
    <col min="7691" max="7691" width="6.42578125" style="4" customWidth="1"/>
    <col min="7692" max="7692" width="9.5703125" style="4" customWidth="1"/>
    <col min="7693" max="7693" width="10.7109375" style="4" customWidth="1"/>
    <col min="7694" max="7694" width="6.42578125" style="4" customWidth="1"/>
    <col min="7695" max="7696" width="10.7109375" style="4" bestFit="1" customWidth="1"/>
    <col min="7697" max="7697" width="6.42578125" style="4" customWidth="1"/>
    <col min="7698" max="7699" width="10.7109375" style="4" bestFit="1" customWidth="1"/>
    <col min="7700" max="7700" width="26" style="4" customWidth="1"/>
    <col min="7701" max="7701" width="21" style="4" customWidth="1"/>
    <col min="7702" max="7702" width="13.5703125" style="4" customWidth="1"/>
    <col min="7703" max="7939" width="9.140625" style="4"/>
    <col min="7940" max="7940" width="4.28515625" style="4" customWidth="1"/>
    <col min="7941" max="7941" width="35" style="4" customWidth="1"/>
    <col min="7942" max="7942" width="12.7109375" style="4" customWidth="1"/>
    <col min="7943" max="7943" width="5.85546875" style="4" bestFit="1" customWidth="1"/>
    <col min="7944" max="7944" width="6.5703125" style="4" customWidth="1"/>
    <col min="7945" max="7945" width="9.5703125" style="4" bestFit="1" customWidth="1"/>
    <col min="7946" max="7946" width="10.5703125" style="4" customWidth="1"/>
    <col min="7947" max="7947" width="6.42578125" style="4" customWidth="1"/>
    <col min="7948" max="7948" width="9.5703125" style="4" customWidth="1"/>
    <col min="7949" max="7949" width="10.7109375" style="4" customWidth="1"/>
    <col min="7950" max="7950" width="6.42578125" style="4" customWidth="1"/>
    <col min="7951" max="7952" width="10.7109375" style="4" bestFit="1" customWidth="1"/>
    <col min="7953" max="7953" width="6.42578125" style="4" customWidth="1"/>
    <col min="7954" max="7955" width="10.7109375" style="4" bestFit="1" customWidth="1"/>
    <col min="7956" max="7956" width="26" style="4" customWidth="1"/>
    <col min="7957" max="7957" width="21" style="4" customWidth="1"/>
    <col min="7958" max="7958" width="13.5703125" style="4" customWidth="1"/>
    <col min="7959" max="8195" width="9.140625" style="4"/>
    <col min="8196" max="8196" width="4.28515625" style="4" customWidth="1"/>
    <col min="8197" max="8197" width="35" style="4" customWidth="1"/>
    <col min="8198" max="8198" width="12.7109375" style="4" customWidth="1"/>
    <col min="8199" max="8199" width="5.85546875" style="4" bestFit="1" customWidth="1"/>
    <col min="8200" max="8200" width="6.5703125" style="4" customWidth="1"/>
    <col min="8201" max="8201" width="9.5703125" style="4" bestFit="1" customWidth="1"/>
    <col min="8202" max="8202" width="10.5703125" style="4" customWidth="1"/>
    <col min="8203" max="8203" width="6.42578125" style="4" customWidth="1"/>
    <col min="8204" max="8204" width="9.5703125" style="4" customWidth="1"/>
    <col min="8205" max="8205" width="10.7109375" style="4" customWidth="1"/>
    <col min="8206" max="8206" width="6.42578125" style="4" customWidth="1"/>
    <col min="8207" max="8208" width="10.7109375" style="4" bestFit="1" customWidth="1"/>
    <col min="8209" max="8209" width="6.42578125" style="4" customWidth="1"/>
    <col min="8210" max="8211" width="10.7109375" style="4" bestFit="1" customWidth="1"/>
    <col min="8212" max="8212" width="26" style="4" customWidth="1"/>
    <col min="8213" max="8213" width="21" style="4" customWidth="1"/>
    <col min="8214" max="8214" width="13.5703125" style="4" customWidth="1"/>
    <col min="8215" max="8451" width="9.140625" style="4"/>
    <col min="8452" max="8452" width="4.28515625" style="4" customWidth="1"/>
    <col min="8453" max="8453" width="35" style="4" customWidth="1"/>
    <col min="8454" max="8454" width="12.7109375" style="4" customWidth="1"/>
    <col min="8455" max="8455" width="5.85546875" style="4" bestFit="1" customWidth="1"/>
    <col min="8456" max="8456" width="6.5703125" style="4" customWidth="1"/>
    <col min="8457" max="8457" width="9.5703125" style="4" bestFit="1" customWidth="1"/>
    <col min="8458" max="8458" width="10.5703125" style="4" customWidth="1"/>
    <col min="8459" max="8459" width="6.42578125" style="4" customWidth="1"/>
    <col min="8460" max="8460" width="9.5703125" style="4" customWidth="1"/>
    <col min="8461" max="8461" width="10.7109375" style="4" customWidth="1"/>
    <col min="8462" max="8462" width="6.42578125" style="4" customWidth="1"/>
    <col min="8463" max="8464" width="10.7109375" style="4" bestFit="1" customWidth="1"/>
    <col min="8465" max="8465" width="6.42578125" style="4" customWidth="1"/>
    <col min="8466" max="8467" width="10.7109375" style="4" bestFit="1" customWidth="1"/>
    <col min="8468" max="8468" width="26" style="4" customWidth="1"/>
    <col min="8469" max="8469" width="21" style="4" customWidth="1"/>
    <col min="8470" max="8470" width="13.5703125" style="4" customWidth="1"/>
    <col min="8471" max="8707" width="9.140625" style="4"/>
    <col min="8708" max="8708" width="4.28515625" style="4" customWidth="1"/>
    <col min="8709" max="8709" width="35" style="4" customWidth="1"/>
    <col min="8710" max="8710" width="12.7109375" style="4" customWidth="1"/>
    <col min="8711" max="8711" width="5.85546875" style="4" bestFit="1" customWidth="1"/>
    <col min="8712" max="8712" width="6.5703125" style="4" customWidth="1"/>
    <col min="8713" max="8713" width="9.5703125" style="4" bestFit="1" customWidth="1"/>
    <col min="8714" max="8714" width="10.5703125" style="4" customWidth="1"/>
    <col min="8715" max="8715" width="6.42578125" style="4" customWidth="1"/>
    <col min="8716" max="8716" width="9.5703125" style="4" customWidth="1"/>
    <col min="8717" max="8717" width="10.7109375" style="4" customWidth="1"/>
    <col min="8718" max="8718" width="6.42578125" style="4" customWidth="1"/>
    <col min="8719" max="8720" width="10.7109375" style="4" bestFit="1" customWidth="1"/>
    <col min="8721" max="8721" width="6.42578125" style="4" customWidth="1"/>
    <col min="8722" max="8723" width="10.7109375" style="4" bestFit="1" customWidth="1"/>
    <col min="8724" max="8724" width="26" style="4" customWidth="1"/>
    <col min="8725" max="8725" width="21" style="4" customWidth="1"/>
    <col min="8726" max="8726" width="13.5703125" style="4" customWidth="1"/>
    <col min="8727" max="8963" width="9.140625" style="4"/>
    <col min="8964" max="8964" width="4.28515625" style="4" customWidth="1"/>
    <col min="8965" max="8965" width="35" style="4" customWidth="1"/>
    <col min="8966" max="8966" width="12.7109375" style="4" customWidth="1"/>
    <col min="8967" max="8967" width="5.85546875" style="4" bestFit="1" customWidth="1"/>
    <col min="8968" max="8968" width="6.5703125" style="4" customWidth="1"/>
    <col min="8969" max="8969" width="9.5703125" style="4" bestFit="1" customWidth="1"/>
    <col min="8970" max="8970" width="10.5703125" style="4" customWidth="1"/>
    <col min="8971" max="8971" width="6.42578125" style="4" customWidth="1"/>
    <col min="8972" max="8972" width="9.5703125" style="4" customWidth="1"/>
    <col min="8973" max="8973" width="10.7109375" style="4" customWidth="1"/>
    <col min="8974" max="8974" width="6.42578125" style="4" customWidth="1"/>
    <col min="8975" max="8976" width="10.7109375" style="4" bestFit="1" customWidth="1"/>
    <col min="8977" max="8977" width="6.42578125" style="4" customWidth="1"/>
    <col min="8978" max="8979" width="10.7109375" style="4" bestFit="1" customWidth="1"/>
    <col min="8980" max="8980" width="26" style="4" customWidth="1"/>
    <col min="8981" max="8981" width="21" style="4" customWidth="1"/>
    <col min="8982" max="8982" width="13.5703125" style="4" customWidth="1"/>
    <col min="8983" max="9219" width="9.140625" style="4"/>
    <col min="9220" max="9220" width="4.28515625" style="4" customWidth="1"/>
    <col min="9221" max="9221" width="35" style="4" customWidth="1"/>
    <col min="9222" max="9222" width="12.7109375" style="4" customWidth="1"/>
    <col min="9223" max="9223" width="5.85546875" style="4" bestFit="1" customWidth="1"/>
    <col min="9224" max="9224" width="6.5703125" style="4" customWidth="1"/>
    <col min="9225" max="9225" width="9.5703125" style="4" bestFit="1" customWidth="1"/>
    <col min="9226" max="9226" width="10.5703125" style="4" customWidth="1"/>
    <col min="9227" max="9227" width="6.42578125" style="4" customWidth="1"/>
    <col min="9228" max="9228" width="9.5703125" style="4" customWidth="1"/>
    <col min="9229" max="9229" width="10.7109375" style="4" customWidth="1"/>
    <col min="9230" max="9230" width="6.42578125" style="4" customWidth="1"/>
    <col min="9231" max="9232" width="10.7109375" style="4" bestFit="1" customWidth="1"/>
    <col min="9233" max="9233" width="6.42578125" style="4" customWidth="1"/>
    <col min="9234" max="9235" width="10.7109375" style="4" bestFit="1" customWidth="1"/>
    <col min="9236" max="9236" width="26" style="4" customWidth="1"/>
    <col min="9237" max="9237" width="21" style="4" customWidth="1"/>
    <col min="9238" max="9238" width="13.5703125" style="4" customWidth="1"/>
    <col min="9239" max="9475" width="9.140625" style="4"/>
    <col min="9476" max="9476" width="4.28515625" style="4" customWidth="1"/>
    <col min="9477" max="9477" width="35" style="4" customWidth="1"/>
    <col min="9478" max="9478" width="12.7109375" style="4" customWidth="1"/>
    <col min="9479" max="9479" width="5.85546875" style="4" bestFit="1" customWidth="1"/>
    <col min="9480" max="9480" width="6.5703125" style="4" customWidth="1"/>
    <col min="9481" max="9481" width="9.5703125" style="4" bestFit="1" customWidth="1"/>
    <col min="9482" max="9482" width="10.5703125" style="4" customWidth="1"/>
    <col min="9483" max="9483" width="6.42578125" style="4" customWidth="1"/>
    <col min="9484" max="9484" width="9.5703125" style="4" customWidth="1"/>
    <col min="9485" max="9485" width="10.7109375" style="4" customWidth="1"/>
    <col min="9486" max="9486" width="6.42578125" style="4" customWidth="1"/>
    <col min="9487" max="9488" width="10.7109375" style="4" bestFit="1" customWidth="1"/>
    <col min="9489" max="9489" width="6.42578125" style="4" customWidth="1"/>
    <col min="9490" max="9491" width="10.7109375" style="4" bestFit="1" customWidth="1"/>
    <col min="9492" max="9492" width="26" style="4" customWidth="1"/>
    <col min="9493" max="9493" width="21" style="4" customWidth="1"/>
    <col min="9494" max="9494" width="13.5703125" style="4" customWidth="1"/>
    <col min="9495" max="9731" width="9.140625" style="4"/>
    <col min="9732" max="9732" width="4.28515625" style="4" customWidth="1"/>
    <col min="9733" max="9733" width="35" style="4" customWidth="1"/>
    <col min="9734" max="9734" width="12.7109375" style="4" customWidth="1"/>
    <col min="9735" max="9735" width="5.85546875" style="4" bestFit="1" customWidth="1"/>
    <col min="9736" max="9736" width="6.5703125" style="4" customWidth="1"/>
    <col min="9737" max="9737" width="9.5703125" style="4" bestFit="1" customWidth="1"/>
    <col min="9738" max="9738" width="10.5703125" style="4" customWidth="1"/>
    <col min="9739" max="9739" width="6.42578125" style="4" customWidth="1"/>
    <col min="9740" max="9740" width="9.5703125" style="4" customWidth="1"/>
    <col min="9741" max="9741" width="10.7109375" style="4" customWidth="1"/>
    <col min="9742" max="9742" width="6.42578125" style="4" customWidth="1"/>
    <col min="9743" max="9744" width="10.7109375" style="4" bestFit="1" customWidth="1"/>
    <col min="9745" max="9745" width="6.42578125" style="4" customWidth="1"/>
    <col min="9746" max="9747" width="10.7109375" style="4" bestFit="1" customWidth="1"/>
    <col min="9748" max="9748" width="26" style="4" customWidth="1"/>
    <col min="9749" max="9749" width="21" style="4" customWidth="1"/>
    <col min="9750" max="9750" width="13.5703125" style="4" customWidth="1"/>
    <col min="9751" max="9987" width="9.140625" style="4"/>
    <col min="9988" max="9988" width="4.28515625" style="4" customWidth="1"/>
    <col min="9989" max="9989" width="35" style="4" customWidth="1"/>
    <col min="9990" max="9990" width="12.7109375" style="4" customWidth="1"/>
    <col min="9991" max="9991" width="5.85546875" style="4" bestFit="1" customWidth="1"/>
    <col min="9992" max="9992" width="6.5703125" style="4" customWidth="1"/>
    <col min="9993" max="9993" width="9.5703125" style="4" bestFit="1" customWidth="1"/>
    <col min="9994" max="9994" width="10.5703125" style="4" customWidth="1"/>
    <col min="9995" max="9995" width="6.42578125" style="4" customWidth="1"/>
    <col min="9996" max="9996" width="9.5703125" style="4" customWidth="1"/>
    <col min="9997" max="9997" width="10.7109375" style="4" customWidth="1"/>
    <col min="9998" max="9998" width="6.42578125" style="4" customWidth="1"/>
    <col min="9999" max="10000" width="10.7109375" style="4" bestFit="1" customWidth="1"/>
    <col min="10001" max="10001" width="6.42578125" style="4" customWidth="1"/>
    <col min="10002" max="10003" width="10.7109375" style="4" bestFit="1" customWidth="1"/>
    <col min="10004" max="10004" width="26" style="4" customWidth="1"/>
    <col min="10005" max="10005" width="21" style="4" customWidth="1"/>
    <col min="10006" max="10006" width="13.5703125" style="4" customWidth="1"/>
    <col min="10007" max="10243" width="9.140625" style="4"/>
    <col min="10244" max="10244" width="4.28515625" style="4" customWidth="1"/>
    <col min="10245" max="10245" width="35" style="4" customWidth="1"/>
    <col min="10246" max="10246" width="12.7109375" style="4" customWidth="1"/>
    <col min="10247" max="10247" width="5.85546875" style="4" bestFit="1" customWidth="1"/>
    <col min="10248" max="10248" width="6.5703125" style="4" customWidth="1"/>
    <col min="10249" max="10249" width="9.5703125" style="4" bestFit="1" customWidth="1"/>
    <col min="10250" max="10250" width="10.5703125" style="4" customWidth="1"/>
    <col min="10251" max="10251" width="6.42578125" style="4" customWidth="1"/>
    <col min="10252" max="10252" width="9.5703125" style="4" customWidth="1"/>
    <col min="10253" max="10253" width="10.7109375" style="4" customWidth="1"/>
    <col min="10254" max="10254" width="6.42578125" style="4" customWidth="1"/>
    <col min="10255" max="10256" width="10.7109375" style="4" bestFit="1" customWidth="1"/>
    <col min="10257" max="10257" width="6.42578125" style="4" customWidth="1"/>
    <col min="10258" max="10259" width="10.7109375" style="4" bestFit="1" customWidth="1"/>
    <col min="10260" max="10260" width="26" style="4" customWidth="1"/>
    <col min="10261" max="10261" width="21" style="4" customWidth="1"/>
    <col min="10262" max="10262" width="13.5703125" style="4" customWidth="1"/>
    <col min="10263" max="10499" width="9.140625" style="4"/>
    <col min="10500" max="10500" width="4.28515625" style="4" customWidth="1"/>
    <col min="10501" max="10501" width="35" style="4" customWidth="1"/>
    <col min="10502" max="10502" width="12.7109375" style="4" customWidth="1"/>
    <col min="10503" max="10503" width="5.85546875" style="4" bestFit="1" customWidth="1"/>
    <col min="10504" max="10504" width="6.5703125" style="4" customWidth="1"/>
    <col min="10505" max="10505" width="9.5703125" style="4" bestFit="1" customWidth="1"/>
    <col min="10506" max="10506" width="10.5703125" style="4" customWidth="1"/>
    <col min="10507" max="10507" width="6.42578125" style="4" customWidth="1"/>
    <col min="10508" max="10508" width="9.5703125" style="4" customWidth="1"/>
    <col min="10509" max="10509" width="10.7109375" style="4" customWidth="1"/>
    <col min="10510" max="10510" width="6.42578125" style="4" customWidth="1"/>
    <col min="10511" max="10512" width="10.7109375" style="4" bestFit="1" customWidth="1"/>
    <col min="10513" max="10513" width="6.42578125" style="4" customWidth="1"/>
    <col min="10514" max="10515" width="10.7109375" style="4" bestFit="1" customWidth="1"/>
    <col min="10516" max="10516" width="26" style="4" customWidth="1"/>
    <col min="10517" max="10517" width="21" style="4" customWidth="1"/>
    <col min="10518" max="10518" width="13.5703125" style="4" customWidth="1"/>
    <col min="10519" max="10755" width="9.140625" style="4"/>
    <col min="10756" max="10756" width="4.28515625" style="4" customWidth="1"/>
    <col min="10757" max="10757" width="35" style="4" customWidth="1"/>
    <col min="10758" max="10758" width="12.7109375" style="4" customWidth="1"/>
    <col min="10759" max="10759" width="5.85546875" style="4" bestFit="1" customWidth="1"/>
    <col min="10760" max="10760" width="6.5703125" style="4" customWidth="1"/>
    <col min="10761" max="10761" width="9.5703125" style="4" bestFit="1" customWidth="1"/>
    <col min="10762" max="10762" width="10.5703125" style="4" customWidth="1"/>
    <col min="10763" max="10763" width="6.42578125" style="4" customWidth="1"/>
    <col min="10764" max="10764" width="9.5703125" style="4" customWidth="1"/>
    <col min="10765" max="10765" width="10.7109375" style="4" customWidth="1"/>
    <col min="10766" max="10766" width="6.42578125" style="4" customWidth="1"/>
    <col min="10767" max="10768" width="10.7109375" style="4" bestFit="1" customWidth="1"/>
    <col min="10769" max="10769" width="6.42578125" style="4" customWidth="1"/>
    <col min="10770" max="10771" width="10.7109375" style="4" bestFit="1" customWidth="1"/>
    <col min="10772" max="10772" width="26" style="4" customWidth="1"/>
    <col min="10773" max="10773" width="21" style="4" customWidth="1"/>
    <col min="10774" max="10774" width="13.5703125" style="4" customWidth="1"/>
    <col min="10775" max="11011" width="9.140625" style="4"/>
    <col min="11012" max="11012" width="4.28515625" style="4" customWidth="1"/>
    <col min="11013" max="11013" width="35" style="4" customWidth="1"/>
    <col min="11014" max="11014" width="12.7109375" style="4" customWidth="1"/>
    <col min="11015" max="11015" width="5.85546875" style="4" bestFit="1" customWidth="1"/>
    <col min="11016" max="11016" width="6.5703125" style="4" customWidth="1"/>
    <col min="11017" max="11017" width="9.5703125" style="4" bestFit="1" customWidth="1"/>
    <col min="11018" max="11018" width="10.5703125" style="4" customWidth="1"/>
    <col min="11019" max="11019" width="6.42578125" style="4" customWidth="1"/>
    <col min="11020" max="11020" width="9.5703125" style="4" customWidth="1"/>
    <col min="11021" max="11021" width="10.7109375" style="4" customWidth="1"/>
    <col min="11022" max="11022" width="6.42578125" style="4" customWidth="1"/>
    <col min="11023" max="11024" width="10.7109375" style="4" bestFit="1" customWidth="1"/>
    <col min="11025" max="11025" width="6.42578125" style="4" customWidth="1"/>
    <col min="11026" max="11027" width="10.7109375" style="4" bestFit="1" customWidth="1"/>
    <col min="11028" max="11028" width="26" style="4" customWidth="1"/>
    <col min="11029" max="11029" width="21" style="4" customWidth="1"/>
    <col min="11030" max="11030" width="13.5703125" style="4" customWidth="1"/>
    <col min="11031" max="11267" width="9.140625" style="4"/>
    <col min="11268" max="11268" width="4.28515625" style="4" customWidth="1"/>
    <col min="11269" max="11269" width="35" style="4" customWidth="1"/>
    <col min="11270" max="11270" width="12.7109375" style="4" customWidth="1"/>
    <col min="11271" max="11271" width="5.85546875" style="4" bestFit="1" customWidth="1"/>
    <col min="11272" max="11272" width="6.5703125" style="4" customWidth="1"/>
    <col min="11273" max="11273" width="9.5703125" style="4" bestFit="1" customWidth="1"/>
    <col min="11274" max="11274" width="10.5703125" style="4" customWidth="1"/>
    <col min="11275" max="11275" width="6.42578125" style="4" customWidth="1"/>
    <col min="11276" max="11276" width="9.5703125" style="4" customWidth="1"/>
    <col min="11277" max="11277" width="10.7109375" style="4" customWidth="1"/>
    <col min="11278" max="11278" width="6.42578125" style="4" customWidth="1"/>
    <col min="11279" max="11280" width="10.7109375" style="4" bestFit="1" customWidth="1"/>
    <col min="11281" max="11281" width="6.42578125" style="4" customWidth="1"/>
    <col min="11282" max="11283" width="10.7109375" style="4" bestFit="1" customWidth="1"/>
    <col min="11284" max="11284" width="26" style="4" customWidth="1"/>
    <col min="11285" max="11285" width="21" style="4" customWidth="1"/>
    <col min="11286" max="11286" width="13.5703125" style="4" customWidth="1"/>
    <col min="11287" max="11523" width="9.140625" style="4"/>
    <col min="11524" max="11524" width="4.28515625" style="4" customWidth="1"/>
    <col min="11525" max="11525" width="35" style="4" customWidth="1"/>
    <col min="11526" max="11526" width="12.7109375" style="4" customWidth="1"/>
    <col min="11527" max="11527" width="5.85546875" style="4" bestFit="1" customWidth="1"/>
    <col min="11528" max="11528" width="6.5703125" style="4" customWidth="1"/>
    <col min="11529" max="11529" width="9.5703125" style="4" bestFit="1" customWidth="1"/>
    <col min="11530" max="11530" width="10.5703125" style="4" customWidth="1"/>
    <col min="11531" max="11531" width="6.42578125" style="4" customWidth="1"/>
    <col min="11532" max="11532" width="9.5703125" style="4" customWidth="1"/>
    <col min="11533" max="11533" width="10.7109375" style="4" customWidth="1"/>
    <col min="11534" max="11534" width="6.42578125" style="4" customWidth="1"/>
    <col min="11535" max="11536" width="10.7109375" style="4" bestFit="1" customWidth="1"/>
    <col min="11537" max="11537" width="6.42578125" style="4" customWidth="1"/>
    <col min="11538" max="11539" width="10.7109375" style="4" bestFit="1" customWidth="1"/>
    <col min="11540" max="11540" width="26" style="4" customWidth="1"/>
    <col min="11541" max="11541" width="21" style="4" customWidth="1"/>
    <col min="11542" max="11542" width="13.5703125" style="4" customWidth="1"/>
    <col min="11543" max="11779" width="9.140625" style="4"/>
    <col min="11780" max="11780" width="4.28515625" style="4" customWidth="1"/>
    <col min="11781" max="11781" width="35" style="4" customWidth="1"/>
    <col min="11782" max="11782" width="12.7109375" style="4" customWidth="1"/>
    <col min="11783" max="11783" width="5.85546875" style="4" bestFit="1" customWidth="1"/>
    <col min="11784" max="11784" width="6.5703125" style="4" customWidth="1"/>
    <col min="11785" max="11785" width="9.5703125" style="4" bestFit="1" customWidth="1"/>
    <col min="11786" max="11786" width="10.5703125" style="4" customWidth="1"/>
    <col min="11787" max="11787" width="6.42578125" style="4" customWidth="1"/>
    <col min="11788" max="11788" width="9.5703125" style="4" customWidth="1"/>
    <col min="11789" max="11789" width="10.7109375" style="4" customWidth="1"/>
    <col min="11790" max="11790" width="6.42578125" style="4" customWidth="1"/>
    <col min="11791" max="11792" width="10.7109375" style="4" bestFit="1" customWidth="1"/>
    <col min="11793" max="11793" width="6.42578125" style="4" customWidth="1"/>
    <col min="11794" max="11795" width="10.7109375" style="4" bestFit="1" customWidth="1"/>
    <col min="11796" max="11796" width="26" style="4" customWidth="1"/>
    <col min="11797" max="11797" width="21" style="4" customWidth="1"/>
    <col min="11798" max="11798" width="13.5703125" style="4" customWidth="1"/>
    <col min="11799" max="12035" width="9.140625" style="4"/>
    <col min="12036" max="12036" width="4.28515625" style="4" customWidth="1"/>
    <col min="12037" max="12037" width="35" style="4" customWidth="1"/>
    <col min="12038" max="12038" width="12.7109375" style="4" customWidth="1"/>
    <col min="12039" max="12039" width="5.85546875" style="4" bestFit="1" customWidth="1"/>
    <col min="12040" max="12040" width="6.5703125" style="4" customWidth="1"/>
    <col min="12041" max="12041" width="9.5703125" style="4" bestFit="1" customWidth="1"/>
    <col min="12042" max="12042" width="10.5703125" style="4" customWidth="1"/>
    <col min="12043" max="12043" width="6.42578125" style="4" customWidth="1"/>
    <col min="12044" max="12044" width="9.5703125" style="4" customWidth="1"/>
    <col min="12045" max="12045" width="10.7109375" style="4" customWidth="1"/>
    <col min="12046" max="12046" width="6.42578125" style="4" customWidth="1"/>
    <col min="12047" max="12048" width="10.7109375" style="4" bestFit="1" customWidth="1"/>
    <col min="12049" max="12049" width="6.42578125" style="4" customWidth="1"/>
    <col min="12050" max="12051" width="10.7109375" style="4" bestFit="1" customWidth="1"/>
    <col min="12052" max="12052" width="26" style="4" customWidth="1"/>
    <col min="12053" max="12053" width="21" style="4" customWidth="1"/>
    <col min="12054" max="12054" width="13.5703125" style="4" customWidth="1"/>
    <col min="12055" max="12291" width="9.140625" style="4"/>
    <col min="12292" max="12292" width="4.28515625" style="4" customWidth="1"/>
    <col min="12293" max="12293" width="35" style="4" customWidth="1"/>
    <col min="12294" max="12294" width="12.7109375" style="4" customWidth="1"/>
    <col min="12295" max="12295" width="5.85546875" style="4" bestFit="1" customWidth="1"/>
    <col min="12296" max="12296" width="6.5703125" style="4" customWidth="1"/>
    <col min="12297" max="12297" width="9.5703125" style="4" bestFit="1" customWidth="1"/>
    <col min="12298" max="12298" width="10.5703125" style="4" customWidth="1"/>
    <col min="12299" max="12299" width="6.42578125" style="4" customWidth="1"/>
    <col min="12300" max="12300" width="9.5703125" style="4" customWidth="1"/>
    <col min="12301" max="12301" width="10.7109375" style="4" customWidth="1"/>
    <col min="12302" max="12302" width="6.42578125" style="4" customWidth="1"/>
    <col min="12303" max="12304" width="10.7109375" style="4" bestFit="1" customWidth="1"/>
    <col min="12305" max="12305" width="6.42578125" style="4" customWidth="1"/>
    <col min="12306" max="12307" width="10.7109375" style="4" bestFit="1" customWidth="1"/>
    <col min="12308" max="12308" width="26" style="4" customWidth="1"/>
    <col min="12309" max="12309" width="21" style="4" customWidth="1"/>
    <col min="12310" max="12310" width="13.5703125" style="4" customWidth="1"/>
    <col min="12311" max="12547" width="9.140625" style="4"/>
    <col min="12548" max="12548" width="4.28515625" style="4" customWidth="1"/>
    <col min="12549" max="12549" width="35" style="4" customWidth="1"/>
    <col min="12550" max="12550" width="12.7109375" style="4" customWidth="1"/>
    <col min="12551" max="12551" width="5.85546875" style="4" bestFit="1" customWidth="1"/>
    <col min="12552" max="12552" width="6.5703125" style="4" customWidth="1"/>
    <col min="12553" max="12553" width="9.5703125" style="4" bestFit="1" customWidth="1"/>
    <col min="12554" max="12554" width="10.5703125" style="4" customWidth="1"/>
    <col min="12555" max="12555" width="6.42578125" style="4" customWidth="1"/>
    <col min="12556" max="12556" width="9.5703125" style="4" customWidth="1"/>
    <col min="12557" max="12557" width="10.7109375" style="4" customWidth="1"/>
    <col min="12558" max="12558" width="6.42578125" style="4" customWidth="1"/>
    <col min="12559" max="12560" width="10.7109375" style="4" bestFit="1" customWidth="1"/>
    <col min="12561" max="12561" width="6.42578125" style="4" customWidth="1"/>
    <col min="12562" max="12563" width="10.7109375" style="4" bestFit="1" customWidth="1"/>
    <col min="12564" max="12564" width="26" style="4" customWidth="1"/>
    <col min="12565" max="12565" width="21" style="4" customWidth="1"/>
    <col min="12566" max="12566" width="13.5703125" style="4" customWidth="1"/>
    <col min="12567" max="12803" width="9.140625" style="4"/>
    <col min="12804" max="12804" width="4.28515625" style="4" customWidth="1"/>
    <col min="12805" max="12805" width="35" style="4" customWidth="1"/>
    <col min="12806" max="12806" width="12.7109375" style="4" customWidth="1"/>
    <col min="12807" max="12807" width="5.85546875" style="4" bestFit="1" customWidth="1"/>
    <col min="12808" max="12808" width="6.5703125" style="4" customWidth="1"/>
    <col min="12809" max="12809" width="9.5703125" style="4" bestFit="1" customWidth="1"/>
    <col min="12810" max="12810" width="10.5703125" style="4" customWidth="1"/>
    <col min="12811" max="12811" width="6.42578125" style="4" customWidth="1"/>
    <col min="12812" max="12812" width="9.5703125" style="4" customWidth="1"/>
    <col min="12813" max="12813" width="10.7109375" style="4" customWidth="1"/>
    <col min="12814" max="12814" width="6.42578125" style="4" customWidth="1"/>
    <col min="12815" max="12816" width="10.7109375" style="4" bestFit="1" customWidth="1"/>
    <col min="12817" max="12817" width="6.42578125" style="4" customWidth="1"/>
    <col min="12818" max="12819" width="10.7109375" style="4" bestFit="1" customWidth="1"/>
    <col min="12820" max="12820" width="26" style="4" customWidth="1"/>
    <col min="12821" max="12821" width="21" style="4" customWidth="1"/>
    <col min="12822" max="12822" width="13.5703125" style="4" customWidth="1"/>
    <col min="12823" max="13059" width="9.140625" style="4"/>
    <col min="13060" max="13060" width="4.28515625" style="4" customWidth="1"/>
    <col min="13061" max="13061" width="35" style="4" customWidth="1"/>
    <col min="13062" max="13062" width="12.7109375" style="4" customWidth="1"/>
    <col min="13063" max="13063" width="5.85546875" style="4" bestFit="1" customWidth="1"/>
    <col min="13064" max="13064" width="6.5703125" style="4" customWidth="1"/>
    <col min="13065" max="13065" width="9.5703125" style="4" bestFit="1" customWidth="1"/>
    <col min="13066" max="13066" width="10.5703125" style="4" customWidth="1"/>
    <col min="13067" max="13067" width="6.42578125" style="4" customWidth="1"/>
    <col min="13068" max="13068" width="9.5703125" style="4" customWidth="1"/>
    <col min="13069" max="13069" width="10.7109375" style="4" customWidth="1"/>
    <col min="13070" max="13070" width="6.42578125" style="4" customWidth="1"/>
    <col min="13071" max="13072" width="10.7109375" style="4" bestFit="1" customWidth="1"/>
    <col min="13073" max="13073" width="6.42578125" style="4" customWidth="1"/>
    <col min="13074" max="13075" width="10.7109375" style="4" bestFit="1" customWidth="1"/>
    <col min="13076" max="13076" width="26" style="4" customWidth="1"/>
    <col min="13077" max="13077" width="21" style="4" customWidth="1"/>
    <col min="13078" max="13078" width="13.5703125" style="4" customWidth="1"/>
    <col min="13079" max="13315" width="9.140625" style="4"/>
    <col min="13316" max="13316" width="4.28515625" style="4" customWidth="1"/>
    <col min="13317" max="13317" width="35" style="4" customWidth="1"/>
    <col min="13318" max="13318" width="12.7109375" style="4" customWidth="1"/>
    <col min="13319" max="13319" width="5.85546875" style="4" bestFit="1" customWidth="1"/>
    <col min="13320" max="13320" width="6.5703125" style="4" customWidth="1"/>
    <col min="13321" max="13321" width="9.5703125" style="4" bestFit="1" customWidth="1"/>
    <col min="13322" max="13322" width="10.5703125" style="4" customWidth="1"/>
    <col min="13323" max="13323" width="6.42578125" style="4" customWidth="1"/>
    <col min="13324" max="13324" width="9.5703125" style="4" customWidth="1"/>
    <col min="13325" max="13325" width="10.7109375" style="4" customWidth="1"/>
    <col min="13326" max="13326" width="6.42578125" style="4" customWidth="1"/>
    <col min="13327" max="13328" width="10.7109375" style="4" bestFit="1" customWidth="1"/>
    <col min="13329" max="13329" width="6.42578125" style="4" customWidth="1"/>
    <col min="13330" max="13331" width="10.7109375" style="4" bestFit="1" customWidth="1"/>
    <col min="13332" max="13332" width="26" style="4" customWidth="1"/>
    <col min="13333" max="13333" width="21" style="4" customWidth="1"/>
    <col min="13334" max="13334" width="13.5703125" style="4" customWidth="1"/>
    <col min="13335" max="13571" width="9.140625" style="4"/>
    <col min="13572" max="13572" width="4.28515625" style="4" customWidth="1"/>
    <col min="13573" max="13573" width="35" style="4" customWidth="1"/>
    <col min="13574" max="13574" width="12.7109375" style="4" customWidth="1"/>
    <col min="13575" max="13575" width="5.85546875" style="4" bestFit="1" customWidth="1"/>
    <col min="13576" max="13576" width="6.5703125" style="4" customWidth="1"/>
    <col min="13577" max="13577" width="9.5703125" style="4" bestFit="1" customWidth="1"/>
    <col min="13578" max="13578" width="10.5703125" style="4" customWidth="1"/>
    <col min="13579" max="13579" width="6.42578125" style="4" customWidth="1"/>
    <col min="13580" max="13580" width="9.5703125" style="4" customWidth="1"/>
    <col min="13581" max="13581" width="10.7109375" style="4" customWidth="1"/>
    <col min="13582" max="13582" width="6.42578125" style="4" customWidth="1"/>
    <col min="13583" max="13584" width="10.7109375" style="4" bestFit="1" customWidth="1"/>
    <col min="13585" max="13585" width="6.42578125" style="4" customWidth="1"/>
    <col min="13586" max="13587" width="10.7109375" style="4" bestFit="1" customWidth="1"/>
    <col min="13588" max="13588" width="26" style="4" customWidth="1"/>
    <col min="13589" max="13589" width="21" style="4" customWidth="1"/>
    <col min="13590" max="13590" width="13.5703125" style="4" customWidth="1"/>
    <col min="13591" max="13827" width="9.140625" style="4"/>
    <col min="13828" max="13828" width="4.28515625" style="4" customWidth="1"/>
    <col min="13829" max="13829" width="35" style="4" customWidth="1"/>
    <col min="13830" max="13830" width="12.7109375" style="4" customWidth="1"/>
    <col min="13831" max="13831" width="5.85546875" style="4" bestFit="1" customWidth="1"/>
    <col min="13832" max="13832" width="6.5703125" style="4" customWidth="1"/>
    <col min="13833" max="13833" width="9.5703125" style="4" bestFit="1" customWidth="1"/>
    <col min="13834" max="13834" width="10.5703125" style="4" customWidth="1"/>
    <col min="13835" max="13835" width="6.42578125" style="4" customWidth="1"/>
    <col min="13836" max="13836" width="9.5703125" style="4" customWidth="1"/>
    <col min="13837" max="13837" width="10.7109375" style="4" customWidth="1"/>
    <col min="13838" max="13838" width="6.42578125" style="4" customWidth="1"/>
    <col min="13839" max="13840" width="10.7109375" style="4" bestFit="1" customWidth="1"/>
    <col min="13841" max="13841" width="6.42578125" style="4" customWidth="1"/>
    <col min="13842" max="13843" width="10.7109375" style="4" bestFit="1" customWidth="1"/>
    <col min="13844" max="13844" width="26" style="4" customWidth="1"/>
    <col min="13845" max="13845" width="21" style="4" customWidth="1"/>
    <col min="13846" max="13846" width="13.5703125" style="4" customWidth="1"/>
    <col min="13847" max="14083" width="9.140625" style="4"/>
    <col min="14084" max="14084" width="4.28515625" style="4" customWidth="1"/>
    <col min="14085" max="14085" width="35" style="4" customWidth="1"/>
    <col min="14086" max="14086" width="12.7109375" style="4" customWidth="1"/>
    <col min="14087" max="14087" width="5.85546875" style="4" bestFit="1" customWidth="1"/>
    <col min="14088" max="14088" width="6.5703125" style="4" customWidth="1"/>
    <col min="14089" max="14089" width="9.5703125" style="4" bestFit="1" customWidth="1"/>
    <col min="14090" max="14090" width="10.5703125" style="4" customWidth="1"/>
    <col min="14091" max="14091" width="6.42578125" style="4" customWidth="1"/>
    <col min="14092" max="14092" width="9.5703125" style="4" customWidth="1"/>
    <col min="14093" max="14093" width="10.7109375" style="4" customWidth="1"/>
    <col min="14094" max="14094" width="6.42578125" style="4" customWidth="1"/>
    <col min="14095" max="14096" width="10.7109375" style="4" bestFit="1" customWidth="1"/>
    <col min="14097" max="14097" width="6.42578125" style="4" customWidth="1"/>
    <col min="14098" max="14099" width="10.7109375" style="4" bestFit="1" customWidth="1"/>
    <col min="14100" max="14100" width="26" style="4" customWidth="1"/>
    <col min="14101" max="14101" width="21" style="4" customWidth="1"/>
    <col min="14102" max="14102" width="13.5703125" style="4" customWidth="1"/>
    <col min="14103" max="14339" width="9.140625" style="4"/>
    <col min="14340" max="14340" width="4.28515625" style="4" customWidth="1"/>
    <col min="14341" max="14341" width="35" style="4" customWidth="1"/>
    <col min="14342" max="14342" width="12.7109375" style="4" customWidth="1"/>
    <col min="14343" max="14343" width="5.85546875" style="4" bestFit="1" customWidth="1"/>
    <col min="14344" max="14344" width="6.5703125" style="4" customWidth="1"/>
    <col min="14345" max="14345" width="9.5703125" style="4" bestFit="1" customWidth="1"/>
    <col min="14346" max="14346" width="10.5703125" style="4" customWidth="1"/>
    <col min="14347" max="14347" width="6.42578125" style="4" customWidth="1"/>
    <col min="14348" max="14348" width="9.5703125" style="4" customWidth="1"/>
    <col min="14349" max="14349" width="10.7109375" style="4" customWidth="1"/>
    <col min="14350" max="14350" width="6.42578125" style="4" customWidth="1"/>
    <col min="14351" max="14352" width="10.7109375" style="4" bestFit="1" customWidth="1"/>
    <col min="14353" max="14353" width="6.42578125" style="4" customWidth="1"/>
    <col min="14354" max="14355" width="10.7109375" style="4" bestFit="1" customWidth="1"/>
    <col min="14356" max="14356" width="26" style="4" customWidth="1"/>
    <col min="14357" max="14357" width="21" style="4" customWidth="1"/>
    <col min="14358" max="14358" width="13.5703125" style="4" customWidth="1"/>
    <col min="14359" max="14595" width="9.140625" style="4"/>
    <col min="14596" max="14596" width="4.28515625" style="4" customWidth="1"/>
    <col min="14597" max="14597" width="35" style="4" customWidth="1"/>
    <col min="14598" max="14598" width="12.7109375" style="4" customWidth="1"/>
    <col min="14599" max="14599" width="5.85546875" style="4" bestFit="1" customWidth="1"/>
    <col min="14600" max="14600" width="6.5703125" style="4" customWidth="1"/>
    <col min="14601" max="14601" width="9.5703125" style="4" bestFit="1" customWidth="1"/>
    <col min="14602" max="14602" width="10.5703125" style="4" customWidth="1"/>
    <col min="14603" max="14603" width="6.42578125" style="4" customWidth="1"/>
    <col min="14604" max="14604" width="9.5703125" style="4" customWidth="1"/>
    <col min="14605" max="14605" width="10.7109375" style="4" customWidth="1"/>
    <col min="14606" max="14606" width="6.42578125" style="4" customWidth="1"/>
    <col min="14607" max="14608" width="10.7109375" style="4" bestFit="1" customWidth="1"/>
    <col min="14609" max="14609" width="6.42578125" style="4" customWidth="1"/>
    <col min="14610" max="14611" width="10.7109375" style="4" bestFit="1" customWidth="1"/>
    <col min="14612" max="14612" width="26" style="4" customWidth="1"/>
    <col min="14613" max="14613" width="21" style="4" customWidth="1"/>
    <col min="14614" max="14614" width="13.5703125" style="4" customWidth="1"/>
    <col min="14615" max="14851" width="9.140625" style="4"/>
    <col min="14852" max="14852" width="4.28515625" style="4" customWidth="1"/>
    <col min="14853" max="14853" width="35" style="4" customWidth="1"/>
    <col min="14854" max="14854" width="12.7109375" style="4" customWidth="1"/>
    <col min="14855" max="14855" width="5.85546875" style="4" bestFit="1" customWidth="1"/>
    <col min="14856" max="14856" width="6.5703125" style="4" customWidth="1"/>
    <col min="14857" max="14857" width="9.5703125" style="4" bestFit="1" customWidth="1"/>
    <col min="14858" max="14858" width="10.5703125" style="4" customWidth="1"/>
    <col min="14859" max="14859" width="6.42578125" style="4" customWidth="1"/>
    <col min="14860" max="14860" width="9.5703125" style="4" customWidth="1"/>
    <col min="14861" max="14861" width="10.7109375" style="4" customWidth="1"/>
    <col min="14862" max="14862" width="6.42578125" style="4" customWidth="1"/>
    <col min="14863" max="14864" width="10.7109375" style="4" bestFit="1" customWidth="1"/>
    <col min="14865" max="14865" width="6.42578125" style="4" customWidth="1"/>
    <col min="14866" max="14867" width="10.7109375" style="4" bestFit="1" customWidth="1"/>
    <col min="14868" max="14868" width="26" style="4" customWidth="1"/>
    <col min="14869" max="14869" width="21" style="4" customWidth="1"/>
    <col min="14870" max="14870" width="13.5703125" style="4" customWidth="1"/>
    <col min="14871" max="15107" width="9.140625" style="4"/>
    <col min="15108" max="15108" width="4.28515625" style="4" customWidth="1"/>
    <col min="15109" max="15109" width="35" style="4" customWidth="1"/>
    <col min="15110" max="15110" width="12.7109375" style="4" customWidth="1"/>
    <col min="15111" max="15111" width="5.85546875" style="4" bestFit="1" customWidth="1"/>
    <col min="15112" max="15112" width="6.5703125" style="4" customWidth="1"/>
    <col min="15113" max="15113" width="9.5703125" style="4" bestFit="1" customWidth="1"/>
    <col min="15114" max="15114" width="10.5703125" style="4" customWidth="1"/>
    <col min="15115" max="15115" width="6.42578125" style="4" customWidth="1"/>
    <col min="15116" max="15116" width="9.5703125" style="4" customWidth="1"/>
    <col min="15117" max="15117" width="10.7109375" style="4" customWidth="1"/>
    <col min="15118" max="15118" width="6.42578125" style="4" customWidth="1"/>
    <col min="15119" max="15120" width="10.7109375" style="4" bestFit="1" customWidth="1"/>
    <col min="15121" max="15121" width="6.42578125" style="4" customWidth="1"/>
    <col min="15122" max="15123" width="10.7109375" style="4" bestFit="1" customWidth="1"/>
    <col min="15124" max="15124" width="26" style="4" customWidth="1"/>
    <col min="15125" max="15125" width="21" style="4" customWidth="1"/>
    <col min="15126" max="15126" width="13.5703125" style="4" customWidth="1"/>
    <col min="15127" max="15363" width="9.140625" style="4"/>
    <col min="15364" max="15364" width="4.28515625" style="4" customWidth="1"/>
    <col min="15365" max="15365" width="35" style="4" customWidth="1"/>
    <col min="15366" max="15366" width="12.7109375" style="4" customWidth="1"/>
    <col min="15367" max="15367" width="5.85546875" style="4" bestFit="1" customWidth="1"/>
    <col min="15368" max="15368" width="6.5703125" style="4" customWidth="1"/>
    <col min="15369" max="15369" width="9.5703125" style="4" bestFit="1" customWidth="1"/>
    <col min="15370" max="15370" width="10.5703125" style="4" customWidth="1"/>
    <col min="15371" max="15371" width="6.42578125" style="4" customWidth="1"/>
    <col min="15372" max="15372" width="9.5703125" style="4" customWidth="1"/>
    <col min="15373" max="15373" width="10.7109375" style="4" customWidth="1"/>
    <col min="15374" max="15374" width="6.42578125" style="4" customWidth="1"/>
    <col min="15375" max="15376" width="10.7109375" style="4" bestFit="1" customWidth="1"/>
    <col min="15377" max="15377" width="6.42578125" style="4" customWidth="1"/>
    <col min="15378" max="15379" width="10.7109375" style="4" bestFit="1" customWidth="1"/>
    <col min="15380" max="15380" width="26" style="4" customWidth="1"/>
    <col min="15381" max="15381" width="21" style="4" customWidth="1"/>
    <col min="15382" max="15382" width="13.5703125" style="4" customWidth="1"/>
    <col min="15383" max="15619" width="9.140625" style="4"/>
    <col min="15620" max="15620" width="4.28515625" style="4" customWidth="1"/>
    <col min="15621" max="15621" width="35" style="4" customWidth="1"/>
    <col min="15622" max="15622" width="12.7109375" style="4" customWidth="1"/>
    <col min="15623" max="15623" width="5.85546875" style="4" bestFit="1" customWidth="1"/>
    <col min="15624" max="15624" width="6.5703125" style="4" customWidth="1"/>
    <col min="15625" max="15625" width="9.5703125" style="4" bestFit="1" customWidth="1"/>
    <col min="15626" max="15626" width="10.5703125" style="4" customWidth="1"/>
    <col min="15627" max="15627" width="6.42578125" style="4" customWidth="1"/>
    <col min="15628" max="15628" width="9.5703125" style="4" customWidth="1"/>
    <col min="15629" max="15629" width="10.7109375" style="4" customWidth="1"/>
    <col min="15630" max="15630" width="6.42578125" style="4" customWidth="1"/>
    <col min="15631" max="15632" width="10.7109375" style="4" bestFit="1" customWidth="1"/>
    <col min="15633" max="15633" width="6.42578125" style="4" customWidth="1"/>
    <col min="15634" max="15635" width="10.7109375" style="4" bestFit="1" customWidth="1"/>
    <col min="15636" max="15636" width="26" style="4" customWidth="1"/>
    <col min="15637" max="15637" width="21" style="4" customWidth="1"/>
    <col min="15638" max="15638" width="13.5703125" style="4" customWidth="1"/>
    <col min="15639" max="15875" width="9.140625" style="4"/>
    <col min="15876" max="15876" width="4.28515625" style="4" customWidth="1"/>
    <col min="15877" max="15877" width="35" style="4" customWidth="1"/>
    <col min="15878" max="15878" width="12.7109375" style="4" customWidth="1"/>
    <col min="15879" max="15879" width="5.85546875" style="4" bestFit="1" customWidth="1"/>
    <col min="15880" max="15880" width="6.5703125" style="4" customWidth="1"/>
    <col min="15881" max="15881" width="9.5703125" style="4" bestFit="1" customWidth="1"/>
    <col min="15882" max="15882" width="10.5703125" style="4" customWidth="1"/>
    <col min="15883" max="15883" width="6.42578125" style="4" customWidth="1"/>
    <col min="15884" max="15884" width="9.5703125" style="4" customWidth="1"/>
    <col min="15885" max="15885" width="10.7109375" style="4" customWidth="1"/>
    <col min="15886" max="15886" width="6.42578125" style="4" customWidth="1"/>
    <col min="15887" max="15888" width="10.7109375" style="4" bestFit="1" customWidth="1"/>
    <col min="15889" max="15889" width="6.42578125" style="4" customWidth="1"/>
    <col min="15890" max="15891" width="10.7109375" style="4" bestFit="1" customWidth="1"/>
    <col min="15892" max="15892" width="26" style="4" customWidth="1"/>
    <col min="15893" max="15893" width="21" style="4" customWidth="1"/>
    <col min="15894" max="15894" width="13.5703125" style="4" customWidth="1"/>
    <col min="15895" max="16131" width="9.140625" style="4"/>
    <col min="16132" max="16132" width="4.28515625" style="4" customWidth="1"/>
    <col min="16133" max="16133" width="35" style="4" customWidth="1"/>
    <col min="16134" max="16134" width="12.7109375" style="4" customWidth="1"/>
    <col min="16135" max="16135" width="5.85546875" style="4" bestFit="1" customWidth="1"/>
    <col min="16136" max="16136" width="6.5703125" style="4" customWidth="1"/>
    <col min="16137" max="16137" width="9.5703125" style="4" bestFit="1" customWidth="1"/>
    <col min="16138" max="16138" width="10.5703125" style="4" customWidth="1"/>
    <col min="16139" max="16139" width="6.42578125" style="4" customWidth="1"/>
    <col min="16140" max="16140" width="9.5703125" style="4" customWidth="1"/>
    <col min="16141" max="16141" width="10.7109375" style="4" customWidth="1"/>
    <col min="16142" max="16142" width="6.42578125" style="4" customWidth="1"/>
    <col min="16143" max="16144" width="10.7109375" style="4" bestFit="1" customWidth="1"/>
    <col min="16145" max="16145" width="6.42578125" style="4" customWidth="1"/>
    <col min="16146" max="16147" width="10.7109375" style="4" bestFit="1" customWidth="1"/>
    <col min="16148" max="16148" width="26" style="4" customWidth="1"/>
    <col min="16149" max="16149" width="21" style="4" customWidth="1"/>
    <col min="16150" max="16150" width="13.5703125" style="4" customWidth="1"/>
    <col min="16151" max="16384" width="9.140625" style="4"/>
  </cols>
  <sheetData>
    <row r="1" spans="1:25" ht="19.5" customHeight="1">
      <c r="A1" s="2967"/>
      <c r="B1" s="2968"/>
      <c r="C1" s="2968"/>
      <c r="D1" s="3047" t="s">
        <v>3062</v>
      </c>
      <c r="E1" s="3047"/>
      <c r="F1" s="3047"/>
      <c r="G1" s="3047"/>
      <c r="H1" s="3047"/>
      <c r="I1" s="3047"/>
      <c r="J1" s="3047"/>
      <c r="K1" s="3"/>
      <c r="L1" s="3"/>
      <c r="M1" s="3"/>
      <c r="N1" s="3"/>
      <c r="O1" s="3"/>
      <c r="P1" s="3"/>
      <c r="Q1" s="3"/>
      <c r="R1" s="3"/>
      <c r="S1" s="3"/>
      <c r="T1" s="3"/>
      <c r="U1" s="3"/>
      <c r="V1" s="3"/>
      <c r="W1" s="3"/>
      <c r="X1" s="3"/>
      <c r="Y1" s="3"/>
    </row>
    <row r="2" spans="1:25" ht="8.25" customHeight="1">
      <c r="A2" s="2969"/>
      <c r="B2" s="2970"/>
      <c r="C2" s="2970"/>
      <c r="D2" s="2971"/>
      <c r="E2" s="2969"/>
      <c r="F2" s="2972"/>
      <c r="G2" s="2972"/>
      <c r="H2" s="2969"/>
      <c r="I2" s="2972"/>
      <c r="J2" s="2972"/>
      <c r="K2" s="2969"/>
      <c r="L2" s="2972"/>
      <c r="M2" s="2972"/>
    </row>
    <row r="3" spans="1:25" ht="33.75" customHeight="1">
      <c r="B3" s="3075" t="s">
        <v>3063</v>
      </c>
      <c r="C3" s="3075"/>
      <c r="D3" s="3075"/>
      <c r="E3" s="3075"/>
      <c r="F3" s="3075"/>
      <c r="G3" s="3075"/>
      <c r="H3" s="3075"/>
      <c r="I3" s="3075"/>
      <c r="J3" s="3075"/>
      <c r="K3" s="3075"/>
      <c r="L3" s="3075"/>
      <c r="M3" s="3075"/>
      <c r="N3" s="2973"/>
      <c r="O3" s="2973"/>
      <c r="P3" s="2973"/>
      <c r="Q3" s="2973"/>
      <c r="R3" s="2973"/>
      <c r="S3" s="2973"/>
    </row>
    <row r="4" spans="1:25" ht="6.75" customHeight="1">
      <c r="B4" s="188"/>
      <c r="C4" s="188"/>
      <c r="D4" s="188"/>
      <c r="E4" s="188"/>
      <c r="F4" s="188"/>
      <c r="G4" s="188"/>
      <c r="H4" s="188"/>
      <c r="I4" s="188"/>
      <c r="J4" s="188"/>
      <c r="K4" s="188"/>
      <c r="L4" s="188"/>
      <c r="M4" s="188"/>
      <c r="N4" s="2973"/>
      <c r="O4" s="2973"/>
      <c r="P4" s="2973"/>
      <c r="Q4" s="2973"/>
      <c r="R4" s="2973"/>
      <c r="S4" s="2973"/>
    </row>
    <row r="5" spans="1:25" ht="14.25" customHeight="1">
      <c r="A5" s="2974" t="s">
        <v>3064</v>
      </c>
      <c r="B5" s="2975"/>
      <c r="C5" s="2975"/>
      <c r="D5" s="2975"/>
      <c r="E5" s="2975"/>
      <c r="F5" s="2975"/>
      <c r="G5" s="2975"/>
      <c r="H5" s="2975"/>
      <c r="I5" s="2975"/>
      <c r="J5" s="2975"/>
      <c r="K5" s="2975"/>
      <c r="L5" s="2975"/>
      <c r="M5" s="2975"/>
      <c r="N5" s="3350" t="s">
        <v>89</v>
      </c>
      <c r="O5" s="3350"/>
      <c r="P5" s="2975"/>
      <c r="Q5" s="2975"/>
      <c r="R5" s="2975"/>
      <c r="S5" s="2975"/>
    </row>
    <row r="6" spans="1:25" ht="8.25" customHeight="1">
      <c r="A6" s="2976"/>
      <c r="B6" s="2977"/>
      <c r="C6" s="2977"/>
      <c r="D6" s="2978"/>
      <c r="E6" s="2976"/>
      <c r="F6" s="2979"/>
      <c r="G6" s="2979"/>
      <c r="H6" s="2976"/>
      <c r="I6" s="2979"/>
      <c r="J6" s="2979"/>
      <c r="K6" s="2976"/>
      <c r="L6" s="2979"/>
      <c r="M6" s="2979"/>
    </row>
    <row r="7" spans="1:25" ht="15.75" customHeight="1">
      <c r="A7" s="3213" t="s">
        <v>2</v>
      </c>
      <c r="B7" s="3351" t="s">
        <v>3</v>
      </c>
      <c r="C7" s="3049" t="s">
        <v>4</v>
      </c>
      <c r="D7" s="3352" t="s">
        <v>5</v>
      </c>
      <c r="E7" s="3177" t="s">
        <v>1664</v>
      </c>
      <c r="F7" s="3177"/>
      <c r="G7" s="3177"/>
      <c r="H7" s="3177" t="s">
        <v>1665</v>
      </c>
      <c r="I7" s="3177"/>
      <c r="J7" s="3177"/>
      <c r="K7" s="3177" t="s">
        <v>1666</v>
      </c>
      <c r="L7" s="3177"/>
      <c r="M7" s="3177"/>
      <c r="N7" s="3177" t="s">
        <v>1667</v>
      </c>
      <c r="O7" s="3177"/>
      <c r="P7" s="3177"/>
      <c r="Q7" s="3177" t="s">
        <v>1691</v>
      </c>
      <c r="R7" s="3177"/>
      <c r="S7" s="3177"/>
    </row>
    <row r="8" spans="1:25" ht="18.75" customHeight="1">
      <c r="A8" s="3214"/>
      <c r="B8" s="3351"/>
      <c r="C8" s="3050"/>
      <c r="D8" s="3353"/>
      <c r="E8" s="2943" t="s">
        <v>143</v>
      </c>
      <c r="F8" s="864" t="s">
        <v>96</v>
      </c>
      <c r="G8" s="2943" t="s">
        <v>1668</v>
      </c>
      <c r="H8" s="2943" t="s">
        <v>143</v>
      </c>
      <c r="I8" s="864" t="s">
        <v>96</v>
      </c>
      <c r="J8" s="2943" t="s">
        <v>1668</v>
      </c>
      <c r="K8" s="2943" t="s">
        <v>143</v>
      </c>
      <c r="L8" s="864" t="s">
        <v>9</v>
      </c>
      <c r="M8" s="2943" t="s">
        <v>1668</v>
      </c>
      <c r="N8" s="2943" t="s">
        <v>143</v>
      </c>
      <c r="O8" s="864" t="s">
        <v>9</v>
      </c>
      <c r="P8" s="2943" t="s">
        <v>1668</v>
      </c>
      <c r="Q8" s="864" t="s">
        <v>143</v>
      </c>
      <c r="R8" s="864" t="s">
        <v>9</v>
      </c>
      <c r="S8" s="864" t="s">
        <v>1668</v>
      </c>
    </row>
    <row r="9" spans="1:25" ht="17.25" customHeight="1">
      <c r="A9" s="2809">
        <v>1</v>
      </c>
      <c r="B9" s="2809">
        <v>2</v>
      </c>
      <c r="C9" s="2809">
        <v>3</v>
      </c>
      <c r="D9" s="2809">
        <v>4</v>
      </c>
      <c r="E9" s="2809">
        <v>5</v>
      </c>
      <c r="F9" s="2809">
        <v>6</v>
      </c>
      <c r="G9" s="2809">
        <v>7</v>
      </c>
      <c r="H9" s="2809">
        <v>8</v>
      </c>
      <c r="I9" s="2809">
        <v>9</v>
      </c>
      <c r="J9" s="2809">
        <v>10</v>
      </c>
      <c r="K9" s="2809">
        <v>11</v>
      </c>
      <c r="L9" s="2809">
        <v>12</v>
      </c>
      <c r="M9" s="2809">
        <v>13</v>
      </c>
      <c r="N9" s="2809">
        <v>14</v>
      </c>
      <c r="O9" s="2809">
        <v>15</v>
      </c>
      <c r="P9" s="2809">
        <v>16</v>
      </c>
      <c r="Q9" s="2980">
        <v>17</v>
      </c>
      <c r="R9" s="2948">
        <v>18</v>
      </c>
      <c r="S9" s="2948">
        <v>19</v>
      </c>
    </row>
    <row r="10" spans="1:25" ht="45" customHeight="1">
      <c r="A10" s="1276">
        <v>1</v>
      </c>
      <c r="B10" s="1182" t="s">
        <v>3065</v>
      </c>
      <c r="C10" s="1186">
        <v>7130601965</v>
      </c>
      <c r="D10" s="2965" t="s">
        <v>26</v>
      </c>
      <c r="E10" s="2965">
        <v>816.2</v>
      </c>
      <c r="F10" s="734">
        <f>VLOOKUP(C10,'[25]SOR RATE'!A:D,4,0)/1000</f>
        <v>63.913519999999998</v>
      </c>
      <c r="G10" s="735">
        <f>F10*E10</f>
        <v>52166.215024000005</v>
      </c>
      <c r="H10" s="2965">
        <f>+E10</f>
        <v>816.2</v>
      </c>
      <c r="I10" s="735">
        <f>+F10</f>
        <v>63.913519999999998</v>
      </c>
      <c r="J10" s="735">
        <f t="shared" ref="J10:J17" si="0">I10*H10</f>
        <v>52166.215024000005</v>
      </c>
      <c r="K10" s="1286">
        <f>+H10</f>
        <v>816.2</v>
      </c>
      <c r="L10" s="2840">
        <f>+I10</f>
        <v>63.913519999999998</v>
      </c>
      <c r="M10" s="735">
        <f t="shared" ref="M10:M17" si="1">L10*K10</f>
        <v>52166.215024000005</v>
      </c>
      <c r="N10" s="1286">
        <f>+K10</f>
        <v>816.2</v>
      </c>
      <c r="O10" s="2840">
        <f>+L10</f>
        <v>63.913519999999998</v>
      </c>
      <c r="P10" s="735">
        <f t="shared" ref="P10:P23" si="2">O10*N10</f>
        <v>52166.215024000005</v>
      </c>
      <c r="Q10" s="2965">
        <v>816.2</v>
      </c>
      <c r="R10" s="735">
        <f>VLOOKUP(C10,'[25]SOR RATE'!A:D,4,0)/1000</f>
        <v>63.913519999999998</v>
      </c>
      <c r="S10" s="735">
        <f t="shared" ref="S10:S27" si="3">R10*Q10</f>
        <v>52166.215024000005</v>
      </c>
      <c r="T10" s="165"/>
      <c r="U10" s="165"/>
    </row>
    <row r="11" spans="1:25" ht="18" customHeight="1">
      <c r="A11" s="2965">
        <v>2</v>
      </c>
      <c r="B11" s="1182" t="s">
        <v>1669</v>
      </c>
      <c r="C11" s="2839">
        <v>7130810517</v>
      </c>
      <c r="D11" s="1181" t="s">
        <v>40</v>
      </c>
      <c r="E11" s="2965">
        <v>1</v>
      </c>
      <c r="F11" s="734">
        <f>VLOOKUP(C11,'[25]SOR RATE'!A:D,4,0)</f>
        <v>5987.84</v>
      </c>
      <c r="G11" s="735">
        <f>F11*E11</f>
        <v>5987.84</v>
      </c>
      <c r="H11" s="2965">
        <v>1</v>
      </c>
      <c r="I11" s="735">
        <f>+F11</f>
        <v>5987.84</v>
      </c>
      <c r="J11" s="735">
        <f t="shared" si="0"/>
        <v>5987.84</v>
      </c>
      <c r="K11" s="2965">
        <v>1</v>
      </c>
      <c r="L11" s="735">
        <f t="shared" ref="L11:L24" si="4">+F11</f>
        <v>5987.84</v>
      </c>
      <c r="M11" s="735">
        <f t="shared" si="1"/>
        <v>5987.84</v>
      </c>
      <c r="N11" s="2965">
        <v>1</v>
      </c>
      <c r="O11" s="735">
        <f>+I11</f>
        <v>5987.84</v>
      </c>
      <c r="P11" s="735">
        <f t="shared" si="2"/>
        <v>5987.84</v>
      </c>
      <c r="Q11" s="1477">
        <v>1</v>
      </c>
      <c r="R11" s="735">
        <f>VLOOKUP(C11,'[25]SOR RATE'!A:D,4,0)</f>
        <v>5987.84</v>
      </c>
      <c r="S11" s="735">
        <f t="shared" si="3"/>
        <v>5987.84</v>
      </c>
    </row>
    <row r="12" spans="1:25" ht="17.25" customHeight="1">
      <c r="A12" s="2965">
        <v>3</v>
      </c>
      <c r="B12" s="1182" t="s">
        <v>67</v>
      </c>
      <c r="C12" s="2839">
        <v>7130820010</v>
      </c>
      <c r="D12" s="2965" t="s">
        <v>12</v>
      </c>
      <c r="E12" s="2965">
        <v>3</v>
      </c>
      <c r="F12" s="734">
        <f>VLOOKUP(C12,'[25]SOR RATE'!A:D,4,0)</f>
        <v>118.97</v>
      </c>
      <c r="G12" s="735">
        <f>F12*E12</f>
        <v>356.90999999999997</v>
      </c>
      <c r="H12" s="2965">
        <v>3</v>
      </c>
      <c r="I12" s="735">
        <f>+F12</f>
        <v>118.97</v>
      </c>
      <c r="J12" s="735">
        <f t="shared" si="0"/>
        <v>356.90999999999997</v>
      </c>
      <c r="K12" s="2965">
        <v>3</v>
      </c>
      <c r="L12" s="735">
        <f t="shared" si="4"/>
        <v>118.97</v>
      </c>
      <c r="M12" s="735">
        <f t="shared" si="1"/>
        <v>356.90999999999997</v>
      </c>
      <c r="N12" s="2965">
        <v>3</v>
      </c>
      <c r="O12" s="735">
        <f>+I12</f>
        <v>118.97</v>
      </c>
      <c r="P12" s="735">
        <f t="shared" si="2"/>
        <v>356.90999999999997</v>
      </c>
      <c r="Q12" s="1477">
        <v>3</v>
      </c>
      <c r="R12" s="735">
        <f>VLOOKUP(C12,'[25]SOR RATE'!A:D,4,0)</f>
        <v>118.97</v>
      </c>
      <c r="S12" s="735">
        <f t="shared" si="3"/>
        <v>356.90999999999997</v>
      </c>
      <c r="U12" s="180"/>
    </row>
    <row r="13" spans="1:25" ht="17.25" customHeight="1">
      <c r="A13" s="2965">
        <v>4</v>
      </c>
      <c r="B13" s="1182" t="s">
        <v>2393</v>
      </c>
      <c r="C13" s="2839">
        <v>7130820241</v>
      </c>
      <c r="D13" s="2965" t="s">
        <v>68</v>
      </c>
      <c r="E13" s="2965">
        <v>3</v>
      </c>
      <c r="F13" s="734">
        <f>VLOOKUP(C13,'[25]SOR RATE'!A:D,4,0)</f>
        <v>153.49</v>
      </c>
      <c r="G13" s="735">
        <f>F13*E13</f>
        <v>460.47</v>
      </c>
      <c r="H13" s="2965">
        <v>3</v>
      </c>
      <c r="I13" s="735">
        <f>+F13</f>
        <v>153.49</v>
      </c>
      <c r="J13" s="735">
        <f t="shared" si="0"/>
        <v>460.47</v>
      </c>
      <c r="K13" s="2965">
        <v>3</v>
      </c>
      <c r="L13" s="735">
        <f t="shared" si="4"/>
        <v>153.49</v>
      </c>
      <c r="M13" s="735">
        <f t="shared" si="1"/>
        <v>460.47</v>
      </c>
      <c r="N13" s="2965">
        <v>3</v>
      </c>
      <c r="O13" s="735">
        <f>+I13</f>
        <v>153.49</v>
      </c>
      <c r="P13" s="735">
        <f t="shared" si="2"/>
        <v>460.47</v>
      </c>
      <c r="Q13" s="1477">
        <v>3</v>
      </c>
      <c r="R13" s="735">
        <f>VLOOKUP(C13,'[25]SOR RATE'!A:D,4,0)</f>
        <v>153.49</v>
      </c>
      <c r="S13" s="735">
        <f t="shared" si="3"/>
        <v>460.47</v>
      </c>
    </row>
    <row r="14" spans="1:25" ht="19.5" customHeight="1">
      <c r="A14" s="2953">
        <v>5</v>
      </c>
      <c r="B14" s="1182" t="s">
        <v>19</v>
      </c>
      <c r="C14" s="1258">
        <v>7130820008</v>
      </c>
      <c r="D14" s="1181" t="s">
        <v>12</v>
      </c>
      <c r="E14" s="2965">
        <v>6</v>
      </c>
      <c r="F14" s="734">
        <f>VLOOKUP(C14,'[25]SOR RATE'!A:D,4,0)</f>
        <v>157.08000000000001</v>
      </c>
      <c r="G14" s="735">
        <f>F14*E14</f>
        <v>942.48</v>
      </c>
      <c r="H14" s="2965">
        <v>6</v>
      </c>
      <c r="I14" s="735">
        <f t="shared" ref="I14:I25" si="5">+F14</f>
        <v>157.08000000000001</v>
      </c>
      <c r="J14" s="735">
        <f t="shared" si="0"/>
        <v>942.48</v>
      </c>
      <c r="K14" s="2965">
        <v>6</v>
      </c>
      <c r="L14" s="735">
        <f t="shared" si="4"/>
        <v>157.08000000000001</v>
      </c>
      <c r="M14" s="735">
        <f t="shared" si="1"/>
        <v>942.48</v>
      </c>
      <c r="N14" s="2965">
        <v>6</v>
      </c>
      <c r="O14" s="735">
        <f>+F14</f>
        <v>157.08000000000001</v>
      </c>
      <c r="P14" s="735">
        <f t="shared" si="2"/>
        <v>942.48</v>
      </c>
      <c r="Q14" s="1477">
        <v>6</v>
      </c>
      <c r="R14" s="735">
        <f>VLOOKUP(C14,'[25]SOR RATE'!A:D,4,0)</f>
        <v>157.08000000000001</v>
      </c>
      <c r="S14" s="735">
        <f t="shared" si="3"/>
        <v>942.48</v>
      </c>
      <c r="T14" s="179"/>
      <c r="U14" s="180"/>
    </row>
    <row r="15" spans="1:25" ht="28.5">
      <c r="A15" s="2945">
        <v>6</v>
      </c>
      <c r="B15" s="3000" t="s">
        <v>3066</v>
      </c>
      <c r="C15" s="1287">
        <v>7130810509</v>
      </c>
      <c r="D15" s="1477" t="s">
        <v>12</v>
      </c>
      <c r="E15" s="1477">
        <v>1</v>
      </c>
      <c r="F15" s="734">
        <f>VLOOKUP(C15,'[25]SOR RATE'!A:D,4,0)</f>
        <v>2187.33</v>
      </c>
      <c r="G15" s="735">
        <f t="shared" ref="G15:G21" si="6">F15*E15</f>
        <v>2187.33</v>
      </c>
      <c r="H15" s="1477">
        <v>1</v>
      </c>
      <c r="I15" s="735">
        <f>+F15</f>
        <v>2187.33</v>
      </c>
      <c r="J15" s="735">
        <f t="shared" si="0"/>
        <v>2187.33</v>
      </c>
      <c r="K15" s="1477">
        <v>1</v>
      </c>
      <c r="L15" s="735">
        <f t="shared" si="4"/>
        <v>2187.33</v>
      </c>
      <c r="M15" s="735">
        <f t="shared" si="1"/>
        <v>2187.33</v>
      </c>
      <c r="N15" s="1477">
        <v>1</v>
      </c>
      <c r="O15" s="735">
        <f>+I15</f>
        <v>2187.33</v>
      </c>
      <c r="P15" s="735">
        <f t="shared" si="2"/>
        <v>2187.33</v>
      </c>
      <c r="Q15" s="1477">
        <v>1</v>
      </c>
      <c r="R15" s="735">
        <f>VLOOKUP(C15,'[25]SOR RATE'!A:D,4,0)</f>
        <v>2187.33</v>
      </c>
      <c r="S15" s="735">
        <f t="shared" si="3"/>
        <v>2187.33</v>
      </c>
    </row>
    <row r="16" spans="1:25" ht="17.25" customHeight="1">
      <c r="A16" s="2965">
        <v>7</v>
      </c>
      <c r="B16" s="1182" t="s">
        <v>1700</v>
      </c>
      <c r="C16" s="2839">
        <v>7131930412</v>
      </c>
      <c r="D16" s="2965" t="s">
        <v>33</v>
      </c>
      <c r="E16" s="2965">
        <v>3</v>
      </c>
      <c r="F16" s="734">
        <f>VLOOKUP(C16,'[25]SOR RATE'!A:D,4,0)</f>
        <v>1123.1500000000001</v>
      </c>
      <c r="G16" s="735">
        <f t="shared" si="6"/>
        <v>3369.4500000000003</v>
      </c>
      <c r="H16" s="2965">
        <v>3</v>
      </c>
      <c r="I16" s="735">
        <f>+F16</f>
        <v>1123.1500000000001</v>
      </c>
      <c r="J16" s="735">
        <f t="shared" si="0"/>
        <v>3369.4500000000003</v>
      </c>
      <c r="K16" s="2965">
        <v>3</v>
      </c>
      <c r="L16" s="735">
        <f t="shared" si="4"/>
        <v>1123.1500000000001</v>
      </c>
      <c r="M16" s="735">
        <f t="shared" si="1"/>
        <v>3369.4500000000003</v>
      </c>
      <c r="N16" s="2965">
        <v>3</v>
      </c>
      <c r="O16" s="735">
        <f>+I16</f>
        <v>1123.1500000000001</v>
      </c>
      <c r="P16" s="735">
        <f t="shared" si="2"/>
        <v>3369.4500000000003</v>
      </c>
      <c r="Q16" s="1477">
        <v>3</v>
      </c>
      <c r="R16" s="735">
        <f>VLOOKUP(C16,'[25]SOR RATE'!A:D,4,0)</f>
        <v>1123.1500000000001</v>
      </c>
      <c r="S16" s="735">
        <f t="shared" si="3"/>
        <v>3369.4500000000003</v>
      </c>
    </row>
    <row r="17" spans="1:22" ht="29.25" customHeight="1">
      <c r="A17" s="1276">
        <v>8</v>
      </c>
      <c r="B17" s="1257" t="s">
        <v>1688</v>
      </c>
      <c r="C17" s="2965">
        <v>7130600023</v>
      </c>
      <c r="D17" s="2965" t="s">
        <v>1705</v>
      </c>
      <c r="E17" s="2965">
        <v>20</v>
      </c>
      <c r="F17" s="734">
        <f>VLOOKUP(C17,'[25]SOR RATE'!A:D,4,0)/1000</f>
        <v>54.512970000000003</v>
      </c>
      <c r="G17" s="735">
        <f t="shared" si="6"/>
        <v>1090.2594000000001</v>
      </c>
      <c r="H17" s="2965">
        <v>20</v>
      </c>
      <c r="I17" s="735">
        <f>+F17</f>
        <v>54.512970000000003</v>
      </c>
      <c r="J17" s="735">
        <f t="shared" si="0"/>
        <v>1090.2594000000001</v>
      </c>
      <c r="K17" s="2965">
        <v>20</v>
      </c>
      <c r="L17" s="735">
        <f t="shared" si="4"/>
        <v>54.512970000000003</v>
      </c>
      <c r="M17" s="735">
        <f t="shared" si="1"/>
        <v>1090.2594000000001</v>
      </c>
      <c r="N17" s="2965">
        <v>20</v>
      </c>
      <c r="O17" s="735">
        <f>+I17</f>
        <v>54.512970000000003</v>
      </c>
      <c r="P17" s="735">
        <f t="shared" si="2"/>
        <v>1090.2594000000001</v>
      </c>
      <c r="Q17" s="1477">
        <v>20</v>
      </c>
      <c r="R17" s="735">
        <f>VLOOKUP(C17,'[25]SOR RATE'!A:D,4,0)/1000</f>
        <v>54.512970000000003</v>
      </c>
      <c r="S17" s="735">
        <f t="shared" si="3"/>
        <v>1090.2594000000001</v>
      </c>
    </row>
    <row r="18" spans="1:22" ht="21" customHeight="1">
      <c r="A18" s="3354">
        <v>9</v>
      </c>
      <c r="B18" s="1182" t="s">
        <v>1673</v>
      </c>
      <c r="C18" s="2839">
        <v>7130860032</v>
      </c>
      <c r="D18" s="2965" t="s">
        <v>12</v>
      </c>
      <c r="E18" s="2965">
        <v>4</v>
      </c>
      <c r="F18" s="734">
        <f>VLOOKUP(C18,'[25]SOR RATE'!A:D,4,0)</f>
        <v>566.19000000000005</v>
      </c>
      <c r="G18" s="735">
        <f t="shared" si="6"/>
        <v>2264.7600000000002</v>
      </c>
      <c r="H18" s="2965">
        <v>4</v>
      </c>
      <c r="I18" s="735">
        <f>+F18</f>
        <v>566.19000000000005</v>
      </c>
      <c r="J18" s="735">
        <f>I18*H18</f>
        <v>2264.7600000000002</v>
      </c>
      <c r="K18" s="2965">
        <v>4</v>
      </c>
      <c r="L18" s="735">
        <f t="shared" si="4"/>
        <v>566.19000000000005</v>
      </c>
      <c r="M18" s="735">
        <f>L18*K18</f>
        <v>2264.7600000000002</v>
      </c>
      <c r="N18" s="2965">
        <v>4</v>
      </c>
      <c r="O18" s="735">
        <f>+I18</f>
        <v>566.19000000000005</v>
      </c>
      <c r="P18" s="735">
        <f t="shared" si="2"/>
        <v>2264.7600000000002</v>
      </c>
      <c r="Q18" s="1477">
        <v>4</v>
      </c>
      <c r="R18" s="735">
        <f>VLOOKUP(C18,'[25]SOR RATE'!A:D,4,0)</f>
        <v>566.19000000000005</v>
      </c>
      <c r="S18" s="735">
        <f t="shared" si="3"/>
        <v>2264.7600000000002</v>
      </c>
    </row>
    <row r="19" spans="1:22" ht="28.5">
      <c r="A19" s="3354"/>
      <c r="B19" s="1257" t="s">
        <v>1674</v>
      </c>
      <c r="C19" s="2839">
        <v>7130860077</v>
      </c>
      <c r="D19" s="2965" t="s">
        <v>26</v>
      </c>
      <c r="E19" s="2965">
        <v>22</v>
      </c>
      <c r="F19" s="734">
        <f>VLOOKUP(C19,'[25]SOR RATE'!A:D,4,0)/1000</f>
        <v>93.76643</v>
      </c>
      <c r="G19" s="735">
        <f t="shared" si="6"/>
        <v>2062.8614600000001</v>
      </c>
      <c r="H19" s="2965">
        <v>22</v>
      </c>
      <c r="I19" s="735">
        <f t="shared" si="5"/>
        <v>93.76643</v>
      </c>
      <c r="J19" s="735">
        <f>I19*H19</f>
        <v>2062.8614600000001</v>
      </c>
      <c r="K19" s="2965">
        <v>22</v>
      </c>
      <c r="L19" s="735">
        <f>+F19</f>
        <v>93.76643</v>
      </c>
      <c r="M19" s="735">
        <f>L19*K19</f>
        <v>2062.8614600000001</v>
      </c>
      <c r="N19" s="2965">
        <v>22</v>
      </c>
      <c r="O19" s="735">
        <f>+I19</f>
        <v>93.76643</v>
      </c>
      <c r="P19" s="735">
        <f t="shared" si="2"/>
        <v>2062.8614600000001</v>
      </c>
      <c r="Q19" s="1477">
        <v>22</v>
      </c>
      <c r="R19" s="735">
        <f>VLOOKUP(C19,'[25]SOR RATE'!A:D,4,0)/1000</f>
        <v>93.76643</v>
      </c>
      <c r="S19" s="735">
        <f t="shared" si="3"/>
        <v>2062.8614600000001</v>
      </c>
    </row>
    <row r="20" spans="1:22" ht="17.25" customHeight="1">
      <c r="A20" s="3354"/>
      <c r="B20" s="1695" t="s">
        <v>1506</v>
      </c>
      <c r="C20" s="1186">
        <v>7130810692</v>
      </c>
      <c r="D20" s="1187" t="s">
        <v>15</v>
      </c>
      <c r="E20" s="2965">
        <v>4</v>
      </c>
      <c r="F20" s="734">
        <f>VLOOKUP(C20,'[25]SOR RATE'!A:D,4,0)</f>
        <v>410.25</v>
      </c>
      <c r="G20" s="735">
        <f t="shared" si="6"/>
        <v>1641</v>
      </c>
      <c r="H20" s="2965">
        <v>4</v>
      </c>
      <c r="I20" s="735">
        <f>+F20</f>
        <v>410.25</v>
      </c>
      <c r="J20" s="735">
        <f>I20*H20</f>
        <v>1641</v>
      </c>
      <c r="K20" s="2965">
        <v>4</v>
      </c>
      <c r="L20" s="735">
        <f t="shared" si="4"/>
        <v>410.25</v>
      </c>
      <c r="M20" s="735">
        <f>L20*K20</f>
        <v>1641</v>
      </c>
      <c r="N20" s="2965">
        <v>4</v>
      </c>
      <c r="O20" s="735">
        <f t="shared" ref="O20" si="7">+I20</f>
        <v>410.25</v>
      </c>
      <c r="P20" s="735">
        <f t="shared" si="2"/>
        <v>1641</v>
      </c>
      <c r="Q20" s="1477">
        <v>4</v>
      </c>
      <c r="R20" s="735">
        <f>VLOOKUP(C20,'[25]SOR RATE'!A:D,4,0)</f>
        <v>410.25</v>
      </c>
      <c r="S20" s="735">
        <f t="shared" si="3"/>
        <v>1641</v>
      </c>
    </row>
    <row r="21" spans="1:22" ht="17.25" customHeight="1">
      <c r="A21" s="1276">
        <v>10</v>
      </c>
      <c r="B21" s="1695" t="s">
        <v>3067</v>
      </c>
      <c r="C21" s="1186">
        <v>7130810692</v>
      </c>
      <c r="D21" s="1187" t="s">
        <v>15</v>
      </c>
      <c r="E21" s="2965">
        <v>7</v>
      </c>
      <c r="F21" s="734">
        <f>VLOOKUP(C21,'[25]SOR RATE'!A:D,4,0)</f>
        <v>410.25</v>
      </c>
      <c r="G21" s="735">
        <f t="shared" si="6"/>
        <v>2871.75</v>
      </c>
      <c r="H21" s="2965">
        <v>9</v>
      </c>
      <c r="I21" s="735">
        <f>+F21</f>
        <v>410.25</v>
      </c>
      <c r="J21" s="735">
        <f>I21*H21</f>
        <v>3692.25</v>
      </c>
      <c r="K21" s="2965">
        <v>11</v>
      </c>
      <c r="L21" s="735">
        <f>+F21</f>
        <v>410.25</v>
      </c>
      <c r="M21" s="735">
        <f>L21*K21</f>
        <v>4512.75</v>
      </c>
      <c r="N21" s="2965">
        <v>12</v>
      </c>
      <c r="O21" s="735">
        <f>+I21</f>
        <v>410.25</v>
      </c>
      <c r="P21" s="735">
        <f t="shared" si="2"/>
        <v>4923</v>
      </c>
      <c r="Q21" s="1477">
        <v>12</v>
      </c>
      <c r="R21" s="735">
        <f>VLOOKUP(C21,'[25]SOR RATE'!A:D,4,0)</f>
        <v>410.25</v>
      </c>
      <c r="S21" s="735">
        <f t="shared" si="3"/>
        <v>4923</v>
      </c>
      <c r="T21" s="2981" t="s">
        <v>119</v>
      </c>
    </row>
    <row r="22" spans="1:22" ht="28.5" customHeight="1">
      <c r="A22" s="1276">
        <v>11</v>
      </c>
      <c r="B22" s="1695" t="s">
        <v>3068</v>
      </c>
      <c r="C22" s="1186">
        <v>7130600032</v>
      </c>
      <c r="D22" s="1187" t="s">
        <v>26</v>
      </c>
      <c r="E22" s="2965"/>
      <c r="F22" s="734"/>
      <c r="G22" s="735"/>
      <c r="H22" s="2965">
        <v>24.8</v>
      </c>
      <c r="I22" s="735">
        <f>VLOOKUP(C22,'[25]SOR RATE'!A:D,4,0)/1000</f>
        <v>54.512970000000003</v>
      </c>
      <c r="J22" s="735">
        <f>I22*H22</f>
        <v>1351.9216560000002</v>
      </c>
      <c r="K22" s="2965">
        <v>24.8</v>
      </c>
      <c r="L22" s="735">
        <f>VLOOKUP(C22,'[25]SOR RATE'!A:D,4,0)/1000</f>
        <v>54.512970000000003</v>
      </c>
      <c r="M22" s="735">
        <f>L22*K22</f>
        <v>1351.9216560000002</v>
      </c>
      <c r="N22" s="2965">
        <v>24.8</v>
      </c>
      <c r="O22" s="735">
        <f>VLOOKUP(C22,'[25]SOR RATE'!A:D,4,0)/1000</f>
        <v>54.512970000000003</v>
      </c>
      <c r="P22" s="735">
        <f t="shared" si="2"/>
        <v>1351.9216560000002</v>
      </c>
      <c r="Q22" s="2965">
        <v>24.8</v>
      </c>
      <c r="R22" s="735">
        <f>VLOOKUP(C22,'[25]SOR RATE'!A:D,4,0)/1000</f>
        <v>54.512970000000003</v>
      </c>
      <c r="S22" s="735">
        <f t="shared" si="3"/>
        <v>1351.9216560000002</v>
      </c>
      <c r="T22" s="2981" t="s">
        <v>119</v>
      </c>
    </row>
    <row r="23" spans="1:22" ht="17.25" customHeight="1">
      <c r="A23" s="1276">
        <v>12</v>
      </c>
      <c r="B23" s="1695" t="s">
        <v>3069</v>
      </c>
      <c r="C23" s="1186">
        <v>7130600675</v>
      </c>
      <c r="D23" s="1187" t="s">
        <v>26</v>
      </c>
      <c r="E23" s="2965"/>
      <c r="F23" s="734"/>
      <c r="G23" s="735"/>
      <c r="H23" s="2965"/>
      <c r="I23" s="735"/>
      <c r="J23" s="735"/>
      <c r="K23" s="2965"/>
      <c r="L23" s="735"/>
      <c r="M23" s="735"/>
      <c r="N23" s="735">
        <f>19.495*3</f>
        <v>58.484999999999999</v>
      </c>
      <c r="O23" s="735">
        <f>VLOOKUP(C23,'[25]SOR RATE'!A:D,4,0)/1000</f>
        <v>68.748589999999993</v>
      </c>
      <c r="P23" s="735">
        <f t="shared" si="2"/>
        <v>4020.7612861499997</v>
      </c>
      <c r="Q23" s="735">
        <f>19.495*3</f>
        <v>58.484999999999999</v>
      </c>
      <c r="R23" s="735">
        <f>VLOOKUP(C23,'[25]SOR RATE'!A:D,4,0)/1000</f>
        <v>68.748589999999993</v>
      </c>
      <c r="S23" s="735">
        <f t="shared" si="3"/>
        <v>4020.7612861499997</v>
      </c>
      <c r="T23" s="2981" t="s">
        <v>119</v>
      </c>
    </row>
    <row r="24" spans="1:22" ht="61.5" customHeight="1">
      <c r="A24" s="1276">
        <v>13</v>
      </c>
      <c r="B24" s="1257" t="s">
        <v>3070</v>
      </c>
      <c r="C24" s="2965">
        <v>7130200202</v>
      </c>
      <c r="D24" s="2965" t="s">
        <v>76</v>
      </c>
      <c r="E24" s="201">
        <f>(2*0.6)+(4*0.2)+(2*0.05)</f>
        <v>2.1</v>
      </c>
      <c r="F24" s="734">
        <f>VLOOKUP(C24,'[25]SOR RATE'!A:D,4,0)</f>
        <v>2970</v>
      </c>
      <c r="G24" s="735">
        <f>E24*F24</f>
        <v>6237</v>
      </c>
      <c r="H24" s="201">
        <f>(2*0.6)+(4*0.2)+(2*0.05)</f>
        <v>2.1</v>
      </c>
      <c r="I24" s="735">
        <f t="shared" si="5"/>
        <v>2970</v>
      </c>
      <c r="J24" s="735">
        <f>H24*I24</f>
        <v>6237</v>
      </c>
      <c r="K24" s="201">
        <f>(2*0.6)+(4*0.2)+(2*0.05)</f>
        <v>2.1</v>
      </c>
      <c r="L24" s="735">
        <f t="shared" si="4"/>
        <v>2970</v>
      </c>
      <c r="M24" s="735">
        <f>K24*L24</f>
        <v>6237</v>
      </c>
      <c r="N24" s="201">
        <f>(2*0.6)+(4*0.2)+(2*0.05)+0.2</f>
        <v>2.3000000000000003</v>
      </c>
      <c r="O24" s="735">
        <f>+I24</f>
        <v>2970</v>
      </c>
      <c r="P24" s="735">
        <f>N24*O24</f>
        <v>6831.0000000000009</v>
      </c>
      <c r="Q24" s="201">
        <f>(2*0.6)+(4*0.2)+(2*0.05)+0.2</f>
        <v>2.3000000000000003</v>
      </c>
      <c r="R24" s="735">
        <f>VLOOKUP(C24,'[25]SOR RATE'!A:D,4,0)</f>
        <v>2970</v>
      </c>
      <c r="S24" s="735">
        <f t="shared" si="3"/>
        <v>6831.0000000000009</v>
      </c>
      <c r="T24" s="2982" t="s">
        <v>47</v>
      </c>
    </row>
    <row r="25" spans="1:22" ht="30.75" customHeight="1">
      <c r="A25" s="1276">
        <v>14</v>
      </c>
      <c r="B25" s="1233" t="s">
        <v>2361</v>
      </c>
      <c r="C25" s="2839">
        <v>7130600023</v>
      </c>
      <c r="D25" s="3001" t="s">
        <v>26</v>
      </c>
      <c r="E25" s="2965">
        <v>34</v>
      </c>
      <c r="F25" s="734">
        <f>VLOOKUP(C25,'[25]SOR RATE'!A:D,4,0)/1000</f>
        <v>54.512970000000003</v>
      </c>
      <c r="G25" s="735">
        <f>F25*E25</f>
        <v>1853.4409800000001</v>
      </c>
      <c r="H25" s="2965">
        <v>34</v>
      </c>
      <c r="I25" s="735">
        <f t="shared" si="5"/>
        <v>54.512970000000003</v>
      </c>
      <c r="J25" s="735">
        <f>I25*H25</f>
        <v>1853.4409800000001</v>
      </c>
      <c r="K25" s="2965">
        <v>34</v>
      </c>
      <c r="L25" s="735">
        <f>+F25</f>
        <v>54.512970000000003</v>
      </c>
      <c r="M25" s="735">
        <f>L25*K25</f>
        <v>1853.4409800000001</v>
      </c>
      <c r="N25" s="2965">
        <v>34</v>
      </c>
      <c r="O25" s="735">
        <f>+I25</f>
        <v>54.512970000000003</v>
      </c>
      <c r="P25" s="735">
        <f>O25*N25</f>
        <v>1853.4409800000001</v>
      </c>
      <c r="Q25" s="1477">
        <v>34</v>
      </c>
      <c r="R25" s="735">
        <f>VLOOKUP(C25,'[25]SOR RATE'!A:D,4,0)/1000</f>
        <v>54.512970000000003</v>
      </c>
      <c r="S25" s="735">
        <f t="shared" si="3"/>
        <v>1853.4409800000001</v>
      </c>
    </row>
    <row r="26" spans="1:22" ht="28.5">
      <c r="A26" s="1276">
        <v>15</v>
      </c>
      <c r="B26" s="1257" t="s">
        <v>2362</v>
      </c>
      <c r="C26" s="2839">
        <v>7130850201</v>
      </c>
      <c r="D26" s="2965" t="s">
        <v>40</v>
      </c>
      <c r="E26" s="2965">
        <v>1</v>
      </c>
      <c r="F26" s="734">
        <f>VLOOKUP(C26,'[25]SOR RATE'!A279:D279,4,0)</f>
        <v>5987.84</v>
      </c>
      <c r="G26" s="735">
        <f>F26*E26</f>
        <v>5987.84</v>
      </c>
      <c r="H26" s="2965">
        <v>1</v>
      </c>
      <c r="I26" s="735">
        <f>+F26</f>
        <v>5987.84</v>
      </c>
      <c r="J26" s="735">
        <f>I26*H26</f>
        <v>5987.84</v>
      </c>
      <c r="K26" s="2965">
        <v>1</v>
      </c>
      <c r="L26" s="735">
        <f>+F26</f>
        <v>5987.84</v>
      </c>
      <c r="M26" s="735">
        <f>L26*K26</f>
        <v>5987.84</v>
      </c>
      <c r="N26" s="2965">
        <v>1</v>
      </c>
      <c r="O26" s="735">
        <f>+I26</f>
        <v>5987.84</v>
      </c>
      <c r="P26" s="735">
        <f>O26*N26</f>
        <v>5987.84</v>
      </c>
      <c r="Q26" s="1477">
        <v>1</v>
      </c>
      <c r="R26" s="735">
        <f>VLOOKUP(C26,'[25]SOR RATE'!A279:D279,4,0)</f>
        <v>5987.84</v>
      </c>
      <c r="S26" s="735">
        <f t="shared" si="3"/>
        <v>5987.84</v>
      </c>
    </row>
    <row r="27" spans="1:22" ht="16.5" customHeight="1">
      <c r="A27" s="2965">
        <v>16</v>
      </c>
      <c r="B27" s="1506" t="s">
        <v>32</v>
      </c>
      <c r="C27" s="1287">
        <v>7130880041</v>
      </c>
      <c r="D27" s="2953" t="s">
        <v>33</v>
      </c>
      <c r="E27" s="2953">
        <v>1</v>
      </c>
      <c r="F27" s="3002">
        <f>VLOOKUP(C27,'[25]SOR RATE'!A:D,4,0)</f>
        <v>113.77</v>
      </c>
      <c r="G27" s="2932">
        <f>F27*E27</f>
        <v>113.77</v>
      </c>
      <c r="H27" s="2953">
        <v>1</v>
      </c>
      <c r="I27" s="2932">
        <f>+F27</f>
        <v>113.77</v>
      </c>
      <c r="J27" s="2932">
        <f>I27*H27</f>
        <v>113.77</v>
      </c>
      <c r="K27" s="2953">
        <v>1</v>
      </c>
      <c r="L27" s="2932">
        <f>+F27</f>
        <v>113.77</v>
      </c>
      <c r="M27" s="2932">
        <f>L27*K27</f>
        <v>113.77</v>
      </c>
      <c r="N27" s="2953">
        <v>1</v>
      </c>
      <c r="O27" s="2932">
        <f>+I27</f>
        <v>113.77</v>
      </c>
      <c r="P27" s="2932">
        <f>O27*N27</f>
        <v>113.77</v>
      </c>
      <c r="Q27" s="3003">
        <v>1</v>
      </c>
      <c r="R27" s="2932">
        <f>VLOOKUP(C27,'[25]SOR RATE'!A:D,4,0)</f>
        <v>113.77</v>
      </c>
      <c r="S27" s="2932">
        <f t="shared" si="3"/>
        <v>113.77</v>
      </c>
    </row>
    <row r="28" spans="1:22" ht="35.25" customHeight="1">
      <c r="A28" s="3355">
        <v>17</v>
      </c>
      <c r="B28" s="3004" t="s">
        <v>2363</v>
      </c>
      <c r="C28" s="1708"/>
      <c r="D28" s="1708"/>
      <c r="E28" s="1708"/>
      <c r="F28" s="1708"/>
      <c r="G28" s="1708"/>
      <c r="H28" s="1708"/>
      <c r="I28" s="1708"/>
      <c r="J28" s="1708"/>
      <c r="K28" s="1708"/>
      <c r="L28" s="1708"/>
      <c r="M28" s="1708"/>
      <c r="N28" s="1708"/>
      <c r="O28" s="1708"/>
      <c r="P28" s="1708"/>
      <c r="Q28" s="1708"/>
      <c r="R28" s="3005"/>
      <c r="S28" s="3006"/>
    </row>
    <row r="29" spans="1:22" ht="17.25" customHeight="1">
      <c r="A29" s="3163"/>
      <c r="B29" s="1267" t="s">
        <v>2656</v>
      </c>
      <c r="C29" s="2836">
        <v>7130641396</v>
      </c>
      <c r="D29" s="2952" t="s">
        <v>21</v>
      </c>
      <c r="E29" s="2952">
        <v>9</v>
      </c>
      <c r="F29" s="1269">
        <f>VLOOKUP(C29,'[25]SOR RATE'!A:D,4,0)</f>
        <v>253.11</v>
      </c>
      <c r="G29" s="2853">
        <f t="shared" ref="G29:G34" si="8">F29*E29</f>
        <v>2277.9900000000002</v>
      </c>
      <c r="H29" s="2952">
        <v>9</v>
      </c>
      <c r="I29" s="2853">
        <f t="shared" ref="I29:I39" si="9">+F29</f>
        <v>253.11</v>
      </c>
      <c r="J29" s="2853">
        <f t="shared" ref="J29:J34" si="10">I29*H29</f>
        <v>2277.9900000000002</v>
      </c>
      <c r="K29" s="2952">
        <v>9</v>
      </c>
      <c r="L29" s="2853">
        <f>+F29</f>
        <v>253.11</v>
      </c>
      <c r="M29" s="2853">
        <f t="shared" ref="M29:M34" si="11">L29*K29</f>
        <v>2277.9900000000002</v>
      </c>
      <c r="N29" s="2952">
        <v>9</v>
      </c>
      <c r="O29" s="2853">
        <f>+I29</f>
        <v>253.11</v>
      </c>
      <c r="P29" s="2853">
        <f t="shared" ref="P29:P34" si="12">O29*N29</f>
        <v>2277.9900000000002</v>
      </c>
      <c r="Q29" s="3007">
        <v>9</v>
      </c>
      <c r="R29" s="2853">
        <f>VLOOKUP(C29,'[25]SOR RATE'!A:D,4,0)</f>
        <v>253.11</v>
      </c>
      <c r="S29" s="2853">
        <f t="shared" ref="S29:S34" si="13">R29*Q29</f>
        <v>2277.9900000000002</v>
      </c>
    </row>
    <row r="30" spans="1:22" ht="17.25" customHeight="1">
      <c r="A30" s="3164"/>
      <c r="B30" s="1257" t="s">
        <v>41</v>
      </c>
      <c r="C30" s="2839">
        <v>7130870043</v>
      </c>
      <c r="D30" s="2965" t="s">
        <v>26</v>
      </c>
      <c r="E30" s="2965">
        <v>15</v>
      </c>
      <c r="F30" s="734">
        <f>VLOOKUP(C30,'[25]SOR RATE'!A:D,4,0)/1000</f>
        <v>80.521839999999997</v>
      </c>
      <c r="G30" s="735">
        <f t="shared" si="8"/>
        <v>1207.8276000000001</v>
      </c>
      <c r="H30" s="2965">
        <v>15</v>
      </c>
      <c r="I30" s="735">
        <f t="shared" si="9"/>
        <v>80.521839999999997</v>
      </c>
      <c r="J30" s="735">
        <f t="shared" si="10"/>
        <v>1207.8276000000001</v>
      </c>
      <c r="K30" s="2965">
        <v>15</v>
      </c>
      <c r="L30" s="735">
        <f>+F30</f>
        <v>80.521839999999997</v>
      </c>
      <c r="M30" s="735">
        <f t="shared" si="11"/>
        <v>1207.8276000000001</v>
      </c>
      <c r="N30" s="2965">
        <v>15</v>
      </c>
      <c r="O30" s="735">
        <f>+I30</f>
        <v>80.521839999999997</v>
      </c>
      <c r="P30" s="735">
        <f t="shared" si="12"/>
        <v>1207.8276000000001</v>
      </c>
      <c r="Q30" s="1477">
        <v>15</v>
      </c>
      <c r="R30" s="735">
        <f>VLOOKUP(C30,'[25]SOR RATE'!A:D,4,0)/1000</f>
        <v>80.521839999999997</v>
      </c>
      <c r="S30" s="735">
        <f t="shared" si="13"/>
        <v>1207.8276000000001</v>
      </c>
    </row>
    <row r="31" spans="1:22" ht="18" customHeight="1">
      <c r="A31" s="2965">
        <v>18</v>
      </c>
      <c r="B31" s="1185" t="s">
        <v>31</v>
      </c>
      <c r="C31" s="1186">
        <v>7130610206</v>
      </c>
      <c r="D31" s="1181" t="s">
        <v>26</v>
      </c>
      <c r="E31" s="2965">
        <v>6</v>
      </c>
      <c r="F31" s="734">
        <f>VLOOKUP(C31,'[25]SOR RATE'!A:D,4,0)/1000</f>
        <v>97.233429999999998</v>
      </c>
      <c r="G31" s="735">
        <f t="shared" si="8"/>
        <v>583.40057999999999</v>
      </c>
      <c r="H31" s="2965">
        <v>6</v>
      </c>
      <c r="I31" s="735">
        <f t="shared" si="9"/>
        <v>97.233429999999998</v>
      </c>
      <c r="J31" s="735">
        <f t="shared" si="10"/>
        <v>583.40057999999999</v>
      </c>
      <c r="K31" s="2965">
        <v>8</v>
      </c>
      <c r="L31" s="735">
        <f t="shared" ref="L31:L39" si="14">+F31</f>
        <v>97.233429999999998</v>
      </c>
      <c r="M31" s="735">
        <f t="shared" si="11"/>
        <v>777.86743999999999</v>
      </c>
      <c r="N31" s="2965">
        <v>8</v>
      </c>
      <c r="O31" s="735">
        <f t="shared" ref="O31:O33" si="15">+I31</f>
        <v>97.233429999999998</v>
      </c>
      <c r="P31" s="735">
        <f t="shared" si="12"/>
        <v>777.86743999999999</v>
      </c>
      <c r="Q31" s="1477">
        <v>8</v>
      </c>
      <c r="R31" s="735">
        <f>VLOOKUP(C31,'[25]SOR RATE'!A:D,4,0)/1000</f>
        <v>97.233429999999998</v>
      </c>
      <c r="S31" s="735">
        <f t="shared" si="13"/>
        <v>777.86743999999999</v>
      </c>
      <c r="T31" s="532"/>
      <c r="U31" s="17"/>
      <c r="V31" s="174"/>
    </row>
    <row r="32" spans="1:22" ht="16.5" customHeight="1">
      <c r="A32" s="1276">
        <v>19</v>
      </c>
      <c r="B32" s="1257" t="s">
        <v>78</v>
      </c>
      <c r="C32" s="2839">
        <v>7130211158</v>
      </c>
      <c r="D32" s="2965" t="s">
        <v>29</v>
      </c>
      <c r="E32" s="2965">
        <v>1</v>
      </c>
      <c r="F32" s="734">
        <f>VLOOKUP(C32,'[25]SOR RATE'!A:D,4,0)</f>
        <v>193.62</v>
      </c>
      <c r="G32" s="735">
        <f t="shared" si="8"/>
        <v>193.62</v>
      </c>
      <c r="H32" s="2965">
        <v>1</v>
      </c>
      <c r="I32" s="735">
        <f t="shared" si="9"/>
        <v>193.62</v>
      </c>
      <c r="J32" s="735">
        <f t="shared" si="10"/>
        <v>193.62</v>
      </c>
      <c r="K32" s="2965">
        <v>3</v>
      </c>
      <c r="L32" s="735">
        <f t="shared" si="14"/>
        <v>193.62</v>
      </c>
      <c r="M32" s="735">
        <f t="shared" si="11"/>
        <v>580.86</v>
      </c>
      <c r="N32" s="2965">
        <v>3</v>
      </c>
      <c r="O32" s="735">
        <f t="shared" si="15"/>
        <v>193.62</v>
      </c>
      <c r="P32" s="735">
        <f t="shared" si="12"/>
        <v>580.86</v>
      </c>
      <c r="Q32" s="1477">
        <v>3</v>
      </c>
      <c r="R32" s="735">
        <f>VLOOKUP(C32,'[25]SOR RATE'!A:D,4,0)</f>
        <v>193.62</v>
      </c>
      <c r="S32" s="735">
        <f t="shared" si="13"/>
        <v>580.86</v>
      </c>
    </row>
    <row r="33" spans="1:25" ht="16.5" customHeight="1">
      <c r="A33" s="1276">
        <v>20</v>
      </c>
      <c r="B33" s="1257" t="s">
        <v>30</v>
      </c>
      <c r="C33" s="2839">
        <v>7130210809</v>
      </c>
      <c r="D33" s="2965" t="s">
        <v>29</v>
      </c>
      <c r="E33" s="2965">
        <v>1</v>
      </c>
      <c r="F33" s="734">
        <f>VLOOKUP(C33,'[25]SOR RATE'!A:D,4,0)</f>
        <v>432.63</v>
      </c>
      <c r="G33" s="735">
        <f t="shared" si="8"/>
        <v>432.63</v>
      </c>
      <c r="H33" s="2965">
        <v>1</v>
      </c>
      <c r="I33" s="735">
        <f t="shared" si="9"/>
        <v>432.63</v>
      </c>
      <c r="J33" s="735">
        <f t="shared" si="10"/>
        <v>432.63</v>
      </c>
      <c r="K33" s="2965">
        <v>3</v>
      </c>
      <c r="L33" s="735">
        <f t="shared" si="14"/>
        <v>432.63</v>
      </c>
      <c r="M33" s="735">
        <f t="shared" si="11"/>
        <v>1297.8899999999999</v>
      </c>
      <c r="N33" s="2965">
        <v>3</v>
      </c>
      <c r="O33" s="735">
        <f t="shared" si="15"/>
        <v>432.63</v>
      </c>
      <c r="P33" s="735">
        <f t="shared" si="12"/>
        <v>1297.8899999999999</v>
      </c>
      <c r="Q33" s="1477">
        <v>3</v>
      </c>
      <c r="R33" s="735">
        <f>VLOOKUP(C33,'[25]SOR RATE'!A:D,4,0)</f>
        <v>432.63</v>
      </c>
      <c r="S33" s="735">
        <f t="shared" si="13"/>
        <v>1297.8899999999999</v>
      </c>
    </row>
    <row r="34" spans="1:25" ht="17.25" customHeight="1">
      <c r="A34" s="2965">
        <v>21</v>
      </c>
      <c r="B34" s="1182" t="s">
        <v>712</v>
      </c>
      <c r="C34" s="2839">
        <v>7130840029</v>
      </c>
      <c r="D34" s="2965" t="s">
        <v>33</v>
      </c>
      <c r="E34" s="2965">
        <v>3</v>
      </c>
      <c r="F34" s="734">
        <f>VLOOKUP(C34,'[25]SOR RATE'!A:D,4,0)</f>
        <v>368.52</v>
      </c>
      <c r="G34" s="735">
        <f t="shared" si="8"/>
        <v>1105.56</v>
      </c>
      <c r="H34" s="2965">
        <v>3</v>
      </c>
      <c r="I34" s="735">
        <f t="shared" si="9"/>
        <v>368.52</v>
      </c>
      <c r="J34" s="735">
        <f t="shared" si="10"/>
        <v>1105.56</v>
      </c>
      <c r="K34" s="2965">
        <v>3</v>
      </c>
      <c r="L34" s="735">
        <f t="shared" si="14"/>
        <v>368.52</v>
      </c>
      <c r="M34" s="735">
        <f t="shared" si="11"/>
        <v>1105.56</v>
      </c>
      <c r="N34" s="2965">
        <v>3</v>
      </c>
      <c r="O34" s="735">
        <f>+I34</f>
        <v>368.52</v>
      </c>
      <c r="P34" s="735">
        <f t="shared" si="12"/>
        <v>1105.56</v>
      </c>
      <c r="Q34" s="1477">
        <v>3</v>
      </c>
      <c r="R34" s="735">
        <f>VLOOKUP(C34,'[25]SOR RATE'!A:D,4,0)</f>
        <v>368.52</v>
      </c>
      <c r="S34" s="735">
        <f t="shared" si="13"/>
        <v>1105.56</v>
      </c>
    </row>
    <row r="35" spans="1:25" ht="17.25" customHeight="1">
      <c r="A35" s="3162">
        <v>22</v>
      </c>
      <c r="B35" s="1257" t="s">
        <v>1678</v>
      </c>
      <c r="C35" s="2965"/>
      <c r="D35" s="2965" t="s">
        <v>26</v>
      </c>
      <c r="E35" s="2964">
        <v>14</v>
      </c>
      <c r="F35" s="735"/>
      <c r="G35" s="735"/>
      <c r="H35" s="2964">
        <v>14</v>
      </c>
      <c r="I35" s="735"/>
      <c r="J35" s="735"/>
      <c r="K35" s="2964">
        <v>14</v>
      </c>
      <c r="L35" s="735"/>
      <c r="M35" s="735"/>
      <c r="N35" s="2964">
        <v>14</v>
      </c>
      <c r="O35" s="735"/>
      <c r="P35" s="735"/>
      <c r="Q35" s="735"/>
      <c r="R35" s="735"/>
      <c r="S35" s="735"/>
    </row>
    <row r="36" spans="1:25" ht="17.25" customHeight="1">
      <c r="A36" s="3163"/>
      <c r="B36" s="3008" t="s">
        <v>79</v>
      </c>
      <c r="C36" s="2839">
        <v>7130620609</v>
      </c>
      <c r="D36" s="1187" t="s">
        <v>1705</v>
      </c>
      <c r="E36" s="2965">
        <v>1</v>
      </c>
      <c r="F36" s="734">
        <f>VLOOKUP(C36,'[25]SOR RATE'!A:D,4,0)</f>
        <v>87.23</v>
      </c>
      <c r="G36" s="735">
        <f>F36*E36</f>
        <v>87.23</v>
      </c>
      <c r="H36" s="2965">
        <v>1</v>
      </c>
      <c r="I36" s="735">
        <f t="shared" si="9"/>
        <v>87.23</v>
      </c>
      <c r="J36" s="735">
        <f>I36*H36</f>
        <v>87.23</v>
      </c>
      <c r="K36" s="2965">
        <v>1</v>
      </c>
      <c r="L36" s="735">
        <f>+F36</f>
        <v>87.23</v>
      </c>
      <c r="M36" s="735">
        <f>L36*K36</f>
        <v>87.23</v>
      </c>
      <c r="N36" s="2965">
        <v>1</v>
      </c>
      <c r="O36" s="735">
        <f>+I36</f>
        <v>87.23</v>
      </c>
      <c r="P36" s="735">
        <f>O36*N36</f>
        <v>87.23</v>
      </c>
      <c r="Q36" s="1477">
        <v>1</v>
      </c>
      <c r="R36" s="735">
        <f>VLOOKUP(C36,'[25]SOR RATE'!A:D,4,0)</f>
        <v>87.23</v>
      </c>
      <c r="S36" s="735">
        <f t="shared" ref="S36:S39" si="16">R36*Q36</f>
        <v>87.23</v>
      </c>
    </row>
    <row r="37" spans="1:25" ht="17.25" customHeight="1">
      <c r="A37" s="3163"/>
      <c r="B37" s="3008" t="s">
        <v>111</v>
      </c>
      <c r="C37" s="2839">
        <v>7130620614</v>
      </c>
      <c r="D37" s="1187" t="s">
        <v>1705</v>
      </c>
      <c r="E37" s="2965">
        <v>4</v>
      </c>
      <c r="F37" s="734">
        <f>VLOOKUP(C37,'[25]SOR RATE'!A:D,4,0)</f>
        <v>85.77</v>
      </c>
      <c r="G37" s="735">
        <f>F37*E37</f>
        <v>343.08</v>
      </c>
      <c r="H37" s="2965">
        <v>4</v>
      </c>
      <c r="I37" s="735">
        <f t="shared" si="9"/>
        <v>85.77</v>
      </c>
      <c r="J37" s="735">
        <f>I37*H37</f>
        <v>343.08</v>
      </c>
      <c r="K37" s="2965">
        <v>4</v>
      </c>
      <c r="L37" s="735">
        <f t="shared" si="14"/>
        <v>85.77</v>
      </c>
      <c r="M37" s="735">
        <f>L37*K37</f>
        <v>343.08</v>
      </c>
      <c r="N37" s="2965">
        <v>4</v>
      </c>
      <c r="O37" s="735">
        <f>+I37</f>
        <v>85.77</v>
      </c>
      <c r="P37" s="735">
        <f>O37*N37</f>
        <v>343.08</v>
      </c>
      <c r="Q37" s="1477">
        <v>4</v>
      </c>
      <c r="R37" s="735">
        <f>VLOOKUP(C37,'[25]SOR RATE'!A:D,4,0)</f>
        <v>85.77</v>
      </c>
      <c r="S37" s="735">
        <f t="shared" si="16"/>
        <v>343.08</v>
      </c>
    </row>
    <row r="38" spans="1:25" ht="17.25" customHeight="1">
      <c r="A38" s="3163"/>
      <c r="B38" s="3008" t="s">
        <v>112</v>
      </c>
      <c r="C38" s="2839">
        <v>7130620625</v>
      </c>
      <c r="D38" s="1187" t="s">
        <v>1705</v>
      </c>
      <c r="E38" s="2965">
        <v>4</v>
      </c>
      <c r="F38" s="734">
        <f>VLOOKUP(C38,'[25]SOR RATE'!A:D,4,0)</f>
        <v>84.32</v>
      </c>
      <c r="G38" s="735">
        <f>F38*E38</f>
        <v>337.28</v>
      </c>
      <c r="H38" s="2965">
        <v>4</v>
      </c>
      <c r="I38" s="735">
        <f t="shared" si="9"/>
        <v>84.32</v>
      </c>
      <c r="J38" s="735">
        <f>I38*H38</f>
        <v>337.28</v>
      </c>
      <c r="K38" s="2965">
        <v>4</v>
      </c>
      <c r="L38" s="735">
        <f t="shared" si="14"/>
        <v>84.32</v>
      </c>
      <c r="M38" s="735">
        <f>L38*K38</f>
        <v>337.28</v>
      </c>
      <c r="N38" s="2965">
        <v>4</v>
      </c>
      <c r="O38" s="735">
        <f>+I38</f>
        <v>84.32</v>
      </c>
      <c r="P38" s="735">
        <f>O38*N38</f>
        <v>337.28</v>
      </c>
      <c r="Q38" s="1477">
        <v>4</v>
      </c>
      <c r="R38" s="735">
        <f>VLOOKUP(C38,'[25]SOR RATE'!A:D,4,0)</f>
        <v>84.32</v>
      </c>
      <c r="S38" s="735">
        <f t="shared" si="16"/>
        <v>337.28</v>
      </c>
    </row>
    <row r="39" spans="1:25" ht="17.25" customHeight="1">
      <c r="A39" s="3164"/>
      <c r="B39" s="3008" t="s">
        <v>80</v>
      </c>
      <c r="C39" s="2839">
        <v>7130620631</v>
      </c>
      <c r="D39" s="1187" t="s">
        <v>1705</v>
      </c>
      <c r="E39" s="2965">
        <v>5</v>
      </c>
      <c r="F39" s="734">
        <f>VLOOKUP(C39,'[25]SOR RATE'!A:D,4,0)</f>
        <v>84.32</v>
      </c>
      <c r="G39" s="735">
        <f>F39*E39</f>
        <v>421.59999999999997</v>
      </c>
      <c r="H39" s="2965">
        <v>5</v>
      </c>
      <c r="I39" s="735">
        <f t="shared" si="9"/>
        <v>84.32</v>
      </c>
      <c r="J39" s="735">
        <f>I39*H39</f>
        <v>421.59999999999997</v>
      </c>
      <c r="K39" s="2965">
        <v>5</v>
      </c>
      <c r="L39" s="735">
        <f t="shared" si="14"/>
        <v>84.32</v>
      </c>
      <c r="M39" s="735">
        <f>L39*K39</f>
        <v>421.59999999999997</v>
      </c>
      <c r="N39" s="2965">
        <v>5</v>
      </c>
      <c r="O39" s="735">
        <f>+I39</f>
        <v>84.32</v>
      </c>
      <c r="P39" s="735">
        <f>O39*N39</f>
        <v>421.59999999999997</v>
      </c>
      <c r="Q39" s="1477">
        <v>5</v>
      </c>
      <c r="R39" s="735">
        <f>VLOOKUP(C39,'[25]SOR RATE'!A:D,4,0)</f>
        <v>84.32</v>
      </c>
      <c r="S39" s="735">
        <f t="shared" si="16"/>
        <v>421.59999999999997</v>
      </c>
    </row>
    <row r="40" spans="1:25" ht="17.25" customHeight="1">
      <c r="A40" s="2965">
        <v>23</v>
      </c>
      <c r="B40" s="1506" t="s">
        <v>2364</v>
      </c>
      <c r="C40" s="1287">
        <v>7131920254</v>
      </c>
      <c r="D40" s="2953" t="s">
        <v>12</v>
      </c>
      <c r="E40" s="2953">
        <v>1</v>
      </c>
      <c r="F40" s="3002">
        <f>VLOOKUP(C40,'[25]SOR RATE'!A:D,4,0)</f>
        <v>2126.1</v>
      </c>
      <c r="G40" s="2932">
        <f>F40*E40</f>
        <v>2126.1</v>
      </c>
      <c r="H40" s="3009" t="s">
        <v>1534</v>
      </c>
      <c r="I40" s="2932"/>
      <c r="J40" s="2932"/>
      <c r="K40" s="3009" t="s">
        <v>1534</v>
      </c>
      <c r="L40" s="2932"/>
      <c r="M40" s="2932"/>
      <c r="N40" s="3009" t="s">
        <v>1534</v>
      </c>
      <c r="O40" s="2932"/>
      <c r="P40" s="2932"/>
      <c r="Q40" s="2932"/>
      <c r="R40" s="2932"/>
      <c r="S40" s="2932"/>
    </row>
    <row r="41" spans="1:25" ht="28.5">
      <c r="A41" s="3010">
        <v>24</v>
      </c>
      <c r="B41" s="2949" t="s">
        <v>1679</v>
      </c>
      <c r="C41" s="1189"/>
      <c r="D41" s="1189"/>
      <c r="E41" s="1189"/>
      <c r="F41" s="1189"/>
      <c r="G41" s="1189"/>
      <c r="H41" s="1189"/>
      <c r="I41" s="1189"/>
      <c r="J41" s="1189"/>
      <c r="K41" s="1189"/>
      <c r="L41" s="1189"/>
      <c r="M41" s="1189"/>
      <c r="N41" s="1189"/>
      <c r="O41" s="1189"/>
      <c r="P41" s="1189"/>
      <c r="Q41" s="1189"/>
      <c r="R41" s="1189"/>
      <c r="S41" s="1190"/>
    </row>
    <row r="42" spans="1:25" ht="17.25" customHeight="1">
      <c r="A42" s="1276" t="s">
        <v>1680</v>
      </c>
      <c r="B42" s="2841" t="s">
        <v>2365</v>
      </c>
      <c r="C42" s="2836">
        <v>7130311008</v>
      </c>
      <c r="D42" s="2952" t="s">
        <v>21</v>
      </c>
      <c r="E42" s="2947">
        <v>120</v>
      </c>
      <c r="F42" s="1269">
        <f>VLOOKUP(C42,'[25]SOR RATE'!A:D,4,0)/1000</f>
        <v>24.908200000000001</v>
      </c>
      <c r="G42" s="2853">
        <f>F42*E42</f>
        <v>2988.9839999999999</v>
      </c>
      <c r="H42" s="2837" t="s">
        <v>1534</v>
      </c>
      <c r="I42" s="2853"/>
      <c r="J42" s="2853"/>
      <c r="K42" s="2837" t="s">
        <v>1534</v>
      </c>
      <c r="L42" s="2853"/>
      <c r="M42" s="2853"/>
      <c r="N42" s="2837" t="s">
        <v>1534</v>
      </c>
      <c r="O42" s="2853"/>
      <c r="P42" s="2853"/>
      <c r="Q42" s="2837" t="s">
        <v>1534</v>
      </c>
      <c r="R42" s="2853"/>
      <c r="S42" s="2853"/>
      <c r="T42" s="29"/>
      <c r="U42" s="212"/>
      <c r="V42" s="212"/>
      <c r="W42" s="212"/>
      <c r="X42" s="212"/>
      <c r="Y42" s="212"/>
    </row>
    <row r="43" spans="1:25" ht="17.25" customHeight="1">
      <c r="A43" s="1276" t="s">
        <v>1681</v>
      </c>
      <c r="B43" s="1182" t="s">
        <v>2366</v>
      </c>
      <c r="C43" s="2839">
        <v>7130311010</v>
      </c>
      <c r="D43" s="2965" t="s">
        <v>21</v>
      </c>
      <c r="E43" s="1286" t="s">
        <v>1534</v>
      </c>
      <c r="F43" s="735"/>
      <c r="G43" s="735"/>
      <c r="H43" s="1181">
        <v>120</v>
      </c>
      <c r="I43" s="734">
        <f>VLOOKUP(C43,'[25]SOR RATE'!A:D,4,0)/1000</f>
        <v>79.580550000000002</v>
      </c>
      <c r="J43" s="735">
        <f>I43*H43</f>
        <v>9549.6660000000011</v>
      </c>
      <c r="K43" s="1181">
        <v>160</v>
      </c>
      <c r="L43" s="735">
        <f>+I43</f>
        <v>79.580550000000002</v>
      </c>
      <c r="M43" s="735">
        <f>L43*K43</f>
        <v>12732.888000000001</v>
      </c>
      <c r="N43" s="1286" t="s">
        <v>1534</v>
      </c>
      <c r="O43" s="735"/>
      <c r="P43" s="735"/>
      <c r="Q43" s="1286" t="s">
        <v>1534</v>
      </c>
      <c r="R43" s="735"/>
      <c r="S43" s="735"/>
      <c r="T43" s="29"/>
    </row>
    <row r="44" spans="1:25" ht="17.25" customHeight="1">
      <c r="A44" s="1276" t="s">
        <v>1682</v>
      </c>
      <c r="B44" s="1257" t="s">
        <v>1683</v>
      </c>
      <c r="C44" s="2839">
        <v>7130311011</v>
      </c>
      <c r="D44" s="2965" t="s">
        <v>21</v>
      </c>
      <c r="E44" s="1286" t="s">
        <v>1534</v>
      </c>
      <c r="F44" s="735"/>
      <c r="G44" s="735"/>
      <c r="H44" s="1286"/>
      <c r="I44" s="735"/>
      <c r="J44" s="735"/>
      <c r="K44" s="1181">
        <v>40</v>
      </c>
      <c r="L44" s="734">
        <f>VLOOKUP(C44,'[25]SOR RATE'!A:D,4,0)/1000</f>
        <v>155.45142000000001</v>
      </c>
      <c r="M44" s="735">
        <f>L44*K44</f>
        <v>6218.0568000000003</v>
      </c>
      <c r="N44" s="1181">
        <v>160</v>
      </c>
      <c r="O44" s="735">
        <f>+L44</f>
        <v>155.45142000000001</v>
      </c>
      <c r="P44" s="735">
        <f>O44*N44</f>
        <v>24872.227200000001</v>
      </c>
      <c r="Q44" s="1286">
        <v>160</v>
      </c>
      <c r="R44" s="735">
        <f>VLOOKUP(C44,'[25]SOR RATE'!A:D,4,0)/1000</f>
        <v>155.45142000000001</v>
      </c>
      <c r="S44" s="735">
        <f>R44*Q44</f>
        <v>24872.227200000001</v>
      </c>
      <c r="T44" s="29"/>
    </row>
    <row r="45" spans="1:25" ht="17.25" customHeight="1">
      <c r="A45" s="1276" t="s">
        <v>1684</v>
      </c>
      <c r="B45" s="3000" t="s">
        <v>1685</v>
      </c>
      <c r="C45" s="1287">
        <v>7130311012</v>
      </c>
      <c r="D45" s="2953" t="s">
        <v>21</v>
      </c>
      <c r="E45" s="3009" t="s">
        <v>1534</v>
      </c>
      <c r="F45" s="2932"/>
      <c r="G45" s="2932"/>
      <c r="H45" s="2953"/>
      <c r="I45" s="2932"/>
      <c r="J45" s="2932"/>
      <c r="K45" s="2953"/>
      <c r="L45" s="2932"/>
      <c r="M45" s="2932"/>
      <c r="N45" s="2946">
        <v>40</v>
      </c>
      <c r="O45" s="3002">
        <f>VLOOKUP(C45,'[25]SOR RATE'!A:D,4,0)/1000</f>
        <v>305.83782000000002</v>
      </c>
      <c r="P45" s="2932">
        <f>O45*N45</f>
        <v>12233.5128</v>
      </c>
      <c r="Q45" s="3009">
        <v>40</v>
      </c>
      <c r="R45" s="2932">
        <f>VLOOKUP(C45,'[25]SOR RATE'!A:D,4,0)/1000</f>
        <v>305.83782000000002</v>
      </c>
      <c r="S45" s="2932">
        <f>R45*Q45</f>
        <v>12233.5128</v>
      </c>
      <c r="T45" s="29"/>
    </row>
    <row r="46" spans="1:25" ht="45" customHeight="1">
      <c r="A46" s="3010">
        <v>25</v>
      </c>
      <c r="B46" s="3011" t="s">
        <v>2367</v>
      </c>
      <c r="C46" s="1189"/>
      <c r="D46" s="1189"/>
      <c r="E46" s="1189"/>
      <c r="F46" s="1189"/>
      <c r="G46" s="1189"/>
      <c r="H46" s="1189"/>
      <c r="I46" s="1189"/>
      <c r="J46" s="1189"/>
      <c r="K46" s="1189"/>
      <c r="L46" s="1189"/>
      <c r="M46" s="1189"/>
      <c r="N46" s="1189"/>
      <c r="O46" s="1189"/>
      <c r="P46" s="1189"/>
      <c r="Q46" s="1189"/>
      <c r="R46" s="1189"/>
      <c r="S46" s="1190"/>
    </row>
    <row r="47" spans="1:25" ht="18" customHeight="1">
      <c r="A47" s="2965" t="s">
        <v>1680</v>
      </c>
      <c r="B47" s="2841" t="s">
        <v>2368</v>
      </c>
      <c r="C47" s="2836">
        <v>7131950065</v>
      </c>
      <c r="D47" s="2952" t="s">
        <v>33</v>
      </c>
      <c r="E47" s="1286" t="s">
        <v>1534</v>
      </c>
      <c r="F47" s="2853"/>
      <c r="G47" s="2853"/>
      <c r="H47" s="2952">
        <v>1</v>
      </c>
      <c r="I47" s="1269">
        <f>VLOOKUP(C47,'[25]SOR RATE'!A:D,4,0)</f>
        <v>18477.650000000001</v>
      </c>
      <c r="J47" s="2853">
        <f>I47*H47</f>
        <v>18477.650000000001</v>
      </c>
      <c r="K47" s="2837" t="s">
        <v>1534</v>
      </c>
      <c r="L47" s="2853"/>
      <c r="M47" s="2853"/>
      <c r="N47" s="2837" t="s">
        <v>1534</v>
      </c>
      <c r="O47" s="2853"/>
      <c r="P47" s="2853"/>
      <c r="Q47" s="2837" t="s">
        <v>1534</v>
      </c>
      <c r="R47" s="2853"/>
      <c r="S47" s="2853"/>
    </row>
    <row r="48" spans="1:25" ht="18" customHeight="1">
      <c r="A48" s="2965" t="s">
        <v>1681</v>
      </c>
      <c r="B48" s="1182" t="s">
        <v>2369</v>
      </c>
      <c r="C48" s="2839">
        <v>7131950105</v>
      </c>
      <c r="D48" s="2965" t="s">
        <v>33</v>
      </c>
      <c r="E48" s="1286" t="s">
        <v>1534</v>
      </c>
      <c r="F48" s="735"/>
      <c r="G48" s="735"/>
      <c r="H48" s="1286" t="s">
        <v>1534</v>
      </c>
      <c r="I48" s="735"/>
      <c r="J48" s="2853"/>
      <c r="K48" s="2965">
        <v>1</v>
      </c>
      <c r="L48" s="734">
        <f>VLOOKUP(C48,'[25]SOR RATE'!A:D,4,0)</f>
        <v>23098.03</v>
      </c>
      <c r="M48" s="735">
        <f>L48*K48</f>
        <v>23098.03</v>
      </c>
      <c r="N48" s="2837" t="s">
        <v>1534</v>
      </c>
      <c r="O48" s="735"/>
      <c r="P48" s="735"/>
      <c r="Q48" s="2837" t="s">
        <v>1534</v>
      </c>
      <c r="R48" s="735"/>
      <c r="S48" s="735"/>
    </row>
    <row r="49" spans="1:21" ht="18" customHeight="1">
      <c r="A49" s="2965" t="s">
        <v>1682</v>
      </c>
      <c r="B49" s="1182" t="s">
        <v>2370</v>
      </c>
      <c r="C49" s="2839">
        <v>7131950200</v>
      </c>
      <c r="D49" s="2965" t="s">
        <v>33</v>
      </c>
      <c r="E49" s="1286" t="s">
        <v>1534</v>
      </c>
      <c r="F49" s="735"/>
      <c r="G49" s="735"/>
      <c r="H49" s="1286" t="s">
        <v>1534</v>
      </c>
      <c r="I49" s="735"/>
      <c r="J49" s="2853"/>
      <c r="K49" s="1286" t="s">
        <v>1534</v>
      </c>
      <c r="L49" s="734"/>
      <c r="M49" s="735"/>
      <c r="N49" s="2965">
        <v>1</v>
      </c>
      <c r="O49" s="735">
        <f>VLOOKUP(C49,'[25]SOR RATE'!A:D,4,0)</f>
        <v>46194.13</v>
      </c>
      <c r="P49" s="735">
        <f>O49*N49</f>
        <v>46194.13</v>
      </c>
      <c r="Q49" s="2837" t="s">
        <v>1534</v>
      </c>
      <c r="R49" s="735"/>
      <c r="S49" s="735"/>
    </row>
    <row r="50" spans="1:21" ht="18" customHeight="1">
      <c r="A50" s="1181" t="s">
        <v>1684</v>
      </c>
      <c r="B50" s="1182" t="s">
        <v>1692</v>
      </c>
      <c r="C50" s="2839">
        <v>7131950207</v>
      </c>
      <c r="D50" s="1181" t="s">
        <v>33</v>
      </c>
      <c r="E50" s="1286" t="s">
        <v>1534</v>
      </c>
      <c r="F50" s="735"/>
      <c r="G50" s="735"/>
      <c r="H50" s="1286" t="s">
        <v>1534</v>
      </c>
      <c r="I50" s="735"/>
      <c r="J50" s="2853"/>
      <c r="K50" s="1286" t="s">
        <v>1534</v>
      </c>
      <c r="L50" s="734"/>
      <c r="M50" s="735"/>
      <c r="N50" s="2965"/>
      <c r="O50" s="735"/>
      <c r="P50" s="735"/>
      <c r="Q50" s="1477">
        <v>1</v>
      </c>
      <c r="R50" s="735">
        <f>VLOOKUP(C50,'[25]SOR RATE'!A:D,4,0)</f>
        <v>39637.360000000001</v>
      </c>
      <c r="S50" s="735">
        <f>R50*Q50</f>
        <v>39637.360000000001</v>
      </c>
      <c r="T50" s="2983" t="s">
        <v>119</v>
      </c>
    </row>
    <row r="51" spans="1:21" ht="18" customHeight="1">
      <c r="A51" s="2965">
        <v>26</v>
      </c>
      <c r="B51" s="1182" t="s">
        <v>1686</v>
      </c>
      <c r="C51" s="2839">
        <v>7131930221</v>
      </c>
      <c r="D51" s="2965" t="s">
        <v>33</v>
      </c>
      <c r="E51" s="1286" t="s">
        <v>1534</v>
      </c>
      <c r="F51" s="735"/>
      <c r="G51" s="735"/>
      <c r="H51" s="1286" t="s">
        <v>1534</v>
      </c>
      <c r="I51" s="735"/>
      <c r="J51" s="735"/>
      <c r="K51" s="1286">
        <v>1</v>
      </c>
      <c r="L51" s="734">
        <f>VLOOKUP(C51,'[25]SOR RATE'!A:D,4,0)</f>
        <v>9934.19</v>
      </c>
      <c r="M51" s="735">
        <f>L51*K51</f>
        <v>9934.19</v>
      </c>
      <c r="N51" s="1286">
        <v>1</v>
      </c>
      <c r="O51" s="735">
        <f>VLOOKUP(C51,'[25]SOR RATE'!A:D,4,0)</f>
        <v>9934.19</v>
      </c>
      <c r="P51" s="735">
        <f>O51*N51</f>
        <v>9934.19</v>
      </c>
      <c r="Q51" s="1477">
        <v>1</v>
      </c>
      <c r="R51" s="735">
        <f>VLOOKUP(C51,'[25]SOR RATE'!A:D,4,0)</f>
        <v>9934.19</v>
      </c>
      <c r="S51" s="735">
        <f>R51*Q51</f>
        <v>9934.19</v>
      </c>
    </row>
    <row r="52" spans="1:21" ht="30">
      <c r="A52" s="2964">
        <v>27</v>
      </c>
      <c r="B52" s="1191" t="s">
        <v>48</v>
      </c>
      <c r="C52" s="2964"/>
      <c r="D52" s="2964"/>
      <c r="E52" s="2964"/>
      <c r="F52" s="2964"/>
      <c r="G52" s="2958">
        <f>SUM(G10:G51)</f>
        <v>101698.67904400002</v>
      </c>
      <c r="H52" s="2958"/>
      <c r="I52" s="2958"/>
      <c r="J52" s="2958">
        <f>SUM(J10:J51)</f>
        <v>126783.33270000003</v>
      </c>
      <c r="K52" s="2958"/>
      <c r="L52" s="2958"/>
      <c r="M52" s="2958">
        <f>SUM(M10:M51)</f>
        <v>153006.64836000005</v>
      </c>
      <c r="N52" s="2958"/>
      <c r="O52" s="2958"/>
      <c r="P52" s="2958">
        <f>SUM(P10:P51)</f>
        <v>199282.55484615001</v>
      </c>
      <c r="Q52" s="2958"/>
      <c r="R52" s="2958"/>
      <c r="S52" s="2958">
        <f>SUM(S10:S51)</f>
        <v>192725.78484615003</v>
      </c>
      <c r="T52" s="174"/>
      <c r="U52" s="186"/>
    </row>
    <row r="53" spans="1:21" ht="30">
      <c r="A53" s="2951">
        <v>28</v>
      </c>
      <c r="B53" s="1191" t="s">
        <v>49</v>
      </c>
      <c r="C53" s="2964"/>
      <c r="D53" s="2964"/>
      <c r="E53" s="2964"/>
      <c r="F53" s="2964"/>
      <c r="G53" s="2958">
        <f>G52/1.18</f>
        <v>86185.321223728839</v>
      </c>
      <c r="H53" s="2854"/>
      <c r="I53" s="2958"/>
      <c r="J53" s="2958">
        <f>J52/1.18</f>
        <v>107443.50228813563</v>
      </c>
      <c r="K53" s="2854"/>
      <c r="L53" s="2958"/>
      <c r="M53" s="2958">
        <f>M52/1.18</f>
        <v>129666.65115254243</v>
      </c>
      <c r="N53" s="2854"/>
      <c r="O53" s="2958"/>
      <c r="P53" s="2958">
        <f>P52/1.18</f>
        <v>168883.52105605934</v>
      </c>
      <c r="Q53" s="2958"/>
      <c r="R53" s="2958"/>
      <c r="S53" s="2958">
        <f>S52/1.18</f>
        <v>163326.93631029665</v>
      </c>
      <c r="T53" s="174"/>
      <c r="U53" s="186"/>
    </row>
    <row r="54" spans="1:21" ht="28.5" customHeight="1">
      <c r="A54" s="2953">
        <v>29</v>
      </c>
      <c r="B54" s="1185" t="s">
        <v>50</v>
      </c>
      <c r="C54" s="1517"/>
      <c r="D54" s="1517"/>
      <c r="E54" s="1517"/>
      <c r="F54" s="1181">
        <v>7.4999999999999997E-2</v>
      </c>
      <c r="G54" s="734">
        <f>G52*F54</f>
        <v>7627.4009283000014</v>
      </c>
      <c r="H54" s="1724"/>
      <c r="I54" s="1181">
        <v>7.4999999999999997E-2</v>
      </c>
      <c r="J54" s="734">
        <f>J52*I54</f>
        <v>9508.7499525000021</v>
      </c>
      <c r="K54" s="1724"/>
      <c r="L54" s="1181">
        <v>7.4999999999999997E-2</v>
      </c>
      <c r="M54" s="734">
        <f>M52*L54</f>
        <v>11475.498627000003</v>
      </c>
      <c r="N54" s="1724"/>
      <c r="O54" s="1181">
        <v>7.4999999999999997E-2</v>
      </c>
      <c r="P54" s="734">
        <f>P52*O54</f>
        <v>14946.191613461251</v>
      </c>
      <c r="Q54" s="734"/>
      <c r="R54" s="1181">
        <v>7.4999999999999997E-2</v>
      </c>
      <c r="S54" s="734">
        <f>S52*R54</f>
        <v>14454.433863461252</v>
      </c>
      <c r="T54" s="17"/>
      <c r="U54" s="174"/>
    </row>
    <row r="55" spans="1:21" ht="28.5">
      <c r="A55" s="1276">
        <v>30</v>
      </c>
      <c r="B55" s="1233" t="s">
        <v>2442</v>
      </c>
      <c r="C55" s="1187"/>
      <c r="D55" s="2965" t="s">
        <v>12</v>
      </c>
      <c r="E55" s="2965">
        <v>1</v>
      </c>
      <c r="F55" s="735">
        <f>1119.45*3</f>
        <v>3358.3500000000004</v>
      </c>
      <c r="G55" s="735">
        <f>F55*E55</f>
        <v>3358.3500000000004</v>
      </c>
      <c r="H55" s="2965">
        <v>1</v>
      </c>
      <c r="I55" s="735">
        <f>+F55</f>
        <v>3358.3500000000004</v>
      </c>
      <c r="J55" s="735">
        <f>I55*H55</f>
        <v>3358.3500000000004</v>
      </c>
      <c r="K55" s="1477">
        <v>1</v>
      </c>
      <c r="L55" s="735">
        <f>+F55</f>
        <v>3358.3500000000004</v>
      </c>
      <c r="M55" s="735">
        <f>L55*K55</f>
        <v>3358.3500000000004</v>
      </c>
      <c r="N55" s="1477">
        <v>1</v>
      </c>
      <c r="O55" s="735">
        <f>+F55</f>
        <v>3358.3500000000004</v>
      </c>
      <c r="P55" s="735">
        <f>O55*N55</f>
        <v>3358.3500000000004</v>
      </c>
      <c r="Q55" s="1477">
        <v>1</v>
      </c>
      <c r="R55" s="735">
        <f>1119.45*3</f>
        <v>3358.3500000000004</v>
      </c>
      <c r="S55" s="735">
        <f>R55*Q55</f>
        <v>3358.3500000000004</v>
      </c>
      <c r="T55" s="41"/>
    </row>
    <row r="56" spans="1:21" ht="21" customHeight="1">
      <c r="A56" s="2965">
        <v>31</v>
      </c>
      <c r="B56" s="1182" t="s">
        <v>1690</v>
      </c>
      <c r="C56" s="2965"/>
      <c r="D56" s="2965"/>
      <c r="E56" s="2965"/>
      <c r="F56" s="2965"/>
      <c r="G56" s="735">
        <v>12727.36</v>
      </c>
      <c r="H56" s="735"/>
      <c r="I56" s="735"/>
      <c r="J56" s="735">
        <v>12997.24</v>
      </c>
      <c r="K56" s="735"/>
      <c r="L56" s="735"/>
      <c r="M56" s="735">
        <f>+J56</f>
        <v>12997.24</v>
      </c>
      <c r="N56" s="735"/>
      <c r="O56" s="735"/>
      <c r="P56" s="735">
        <v>16883.46</v>
      </c>
      <c r="Q56" s="735"/>
      <c r="R56" s="735"/>
      <c r="S56" s="735">
        <v>16883.46</v>
      </c>
      <c r="T56" s="268"/>
    </row>
    <row r="57" spans="1:21" ht="19.5" customHeight="1">
      <c r="A57" s="2965">
        <v>32</v>
      </c>
      <c r="B57" s="1695" t="s">
        <v>82</v>
      </c>
      <c r="C57" s="2965"/>
      <c r="D57" s="2843" t="s">
        <v>76</v>
      </c>
      <c r="E57" s="2965">
        <v>2.1</v>
      </c>
      <c r="F57" s="1202">
        <f>665.173187113158*1.043</f>
        <v>693.77563415902364</v>
      </c>
      <c r="G57" s="735">
        <f>E57*F57</f>
        <v>1456.9288317339497</v>
      </c>
      <c r="H57" s="2965">
        <f>+E57</f>
        <v>2.1</v>
      </c>
      <c r="I57" s="1202">
        <f>665.173187113158*1.043</f>
        <v>693.77563415902364</v>
      </c>
      <c r="J57" s="735">
        <f>H57*I57</f>
        <v>1456.9288317339497</v>
      </c>
      <c r="K57" s="2965">
        <f>+E57</f>
        <v>2.1</v>
      </c>
      <c r="L57" s="1202">
        <f>665.173187113158*1.043</f>
        <v>693.77563415902364</v>
      </c>
      <c r="M57" s="735">
        <f>K57*L57</f>
        <v>1456.9288317339497</v>
      </c>
      <c r="N57" s="2965">
        <v>2.2999999999999998</v>
      </c>
      <c r="O57" s="1202">
        <f>665.173187113158*1.043</f>
        <v>693.77563415902364</v>
      </c>
      <c r="P57" s="735">
        <f>N57*O57</f>
        <v>1595.6839585657542</v>
      </c>
      <c r="Q57" s="3012">
        <v>2.2999999999999998</v>
      </c>
      <c r="R57" s="1202">
        <f>665.173187113158*1.043</f>
        <v>693.77563415902364</v>
      </c>
      <c r="S57" s="735">
        <f>R57*Q57</f>
        <v>1595.6839585657542</v>
      </c>
      <c r="T57" s="59"/>
    </row>
    <row r="58" spans="1:21" ht="33.75" customHeight="1">
      <c r="A58" s="2965">
        <v>33</v>
      </c>
      <c r="B58" s="1182" t="s">
        <v>3071</v>
      </c>
      <c r="C58" s="2965"/>
      <c r="D58" s="2965"/>
      <c r="E58" s="2965"/>
      <c r="F58" s="2965">
        <v>0.04</v>
      </c>
      <c r="G58" s="1210">
        <f>G53*F58</f>
        <v>3447.4128489491536</v>
      </c>
      <c r="H58" s="2965"/>
      <c r="I58" s="2965">
        <v>0.04</v>
      </c>
      <c r="J58" s="1210">
        <f>J53*I58</f>
        <v>4297.7400915254248</v>
      </c>
      <c r="K58" s="2965"/>
      <c r="L58" s="2965">
        <v>0.04</v>
      </c>
      <c r="M58" s="735">
        <f>M53*L58</f>
        <v>5186.6660461016972</v>
      </c>
      <c r="N58" s="2965"/>
      <c r="O58" s="2965">
        <v>0.04</v>
      </c>
      <c r="P58" s="735">
        <f>P53*O58</f>
        <v>6755.3408422423736</v>
      </c>
      <c r="Q58" s="735"/>
      <c r="R58" s="735">
        <v>0.04</v>
      </c>
      <c r="S58" s="735">
        <f>S53*R58</f>
        <v>6533.077452411866</v>
      </c>
      <c r="T58" s="2984" t="s">
        <v>1827</v>
      </c>
      <c r="U58" s="215"/>
    </row>
    <row r="59" spans="1:21" ht="57">
      <c r="A59" s="1276">
        <v>34</v>
      </c>
      <c r="B59" s="1233" t="s">
        <v>2930</v>
      </c>
      <c r="C59" s="2965"/>
      <c r="D59" s="2965"/>
      <c r="E59" s="2965"/>
      <c r="F59" s="2965"/>
      <c r="G59" s="1210">
        <f>(G52+G54+G55+G56+G57+G58)*0.125</f>
        <v>16289.516456622892</v>
      </c>
      <c r="H59" s="2965"/>
      <c r="I59" s="2965"/>
      <c r="J59" s="1210">
        <f>(J52+J54+J55+J56+J57+J58)*0.125</f>
        <v>19800.292696969922</v>
      </c>
      <c r="K59" s="2965"/>
      <c r="L59" s="2965"/>
      <c r="M59" s="735">
        <f>(M52+M54+M55+M56+M57+M58)*0.125</f>
        <v>23435.166483104458</v>
      </c>
      <c r="N59" s="2965"/>
      <c r="O59" s="2965"/>
      <c r="P59" s="735">
        <f>(P52+P54+P55+P56+P57+P58)*0.125</f>
        <v>30352.697657552424</v>
      </c>
      <c r="Q59" s="735"/>
      <c r="R59" s="735"/>
      <c r="S59" s="735">
        <f>(S52+S54+S55+S56+S57+S58)*0.125</f>
        <v>29443.848765073613</v>
      </c>
      <c r="T59" s="201"/>
      <c r="U59" s="865"/>
    </row>
    <row r="60" spans="1:21" ht="31.5" customHeight="1">
      <c r="A60" s="2959">
        <v>35</v>
      </c>
      <c r="B60" s="1758" t="s">
        <v>2931</v>
      </c>
      <c r="C60" s="2965"/>
      <c r="D60" s="2965"/>
      <c r="E60" s="2965"/>
      <c r="F60" s="2965"/>
      <c r="G60" s="2958">
        <f>SUM(G53:G59)</f>
        <v>131092.29028933484</v>
      </c>
      <c r="H60" s="2964"/>
      <c r="I60" s="2964"/>
      <c r="J60" s="2958">
        <f>SUM(J53:J59)</f>
        <v>158862.80386086492</v>
      </c>
      <c r="K60" s="2964"/>
      <c r="L60" s="2964"/>
      <c r="M60" s="2958">
        <f>SUM(M53:M59)</f>
        <v>187576.50114048252</v>
      </c>
      <c r="N60" s="2964"/>
      <c r="O60" s="2964"/>
      <c r="P60" s="2958">
        <f>SUM(P53:P59)</f>
        <v>242775.24512788115</v>
      </c>
      <c r="Q60" s="2958"/>
      <c r="R60" s="2958"/>
      <c r="S60" s="2958">
        <f>SUM(S53:S59)</f>
        <v>235595.79034980913</v>
      </c>
      <c r="T60" s="179"/>
    </row>
    <row r="61" spans="1:21" ht="18" customHeight="1">
      <c r="A61" s="2965">
        <v>36</v>
      </c>
      <c r="B61" s="1185" t="s">
        <v>2435</v>
      </c>
      <c r="C61" s="2965"/>
      <c r="D61" s="2965"/>
      <c r="E61" s="2965"/>
      <c r="F61" s="2965">
        <v>0.09</v>
      </c>
      <c r="G61" s="735">
        <f>G60*F61</f>
        <v>11798.306126040135</v>
      </c>
      <c r="H61" s="2965"/>
      <c r="I61" s="2965">
        <v>0.09</v>
      </c>
      <c r="J61" s="735">
        <f>J60*I61</f>
        <v>14297.652347477842</v>
      </c>
      <c r="K61" s="2965"/>
      <c r="L61" s="2965">
        <v>0.09</v>
      </c>
      <c r="M61" s="735">
        <f>M60*L61</f>
        <v>16881.885102643428</v>
      </c>
      <c r="N61" s="2965"/>
      <c r="O61" s="2965">
        <v>0.09</v>
      </c>
      <c r="P61" s="735">
        <f>P60*O61</f>
        <v>21849.772061509302</v>
      </c>
      <c r="Q61" s="735"/>
      <c r="R61" s="735">
        <v>0.09</v>
      </c>
      <c r="S61" s="735">
        <f>S60*R61</f>
        <v>21203.621131482822</v>
      </c>
      <c r="T61" s="179"/>
    </row>
    <row r="62" spans="1:21" ht="18" customHeight="1">
      <c r="A62" s="2965">
        <v>37</v>
      </c>
      <c r="B62" s="1185" t="s">
        <v>2436</v>
      </c>
      <c r="C62" s="2965"/>
      <c r="D62" s="2965"/>
      <c r="E62" s="2965"/>
      <c r="F62" s="2965">
        <v>0.09</v>
      </c>
      <c r="G62" s="735">
        <f>G60*F62</f>
        <v>11798.306126040135</v>
      </c>
      <c r="H62" s="2965"/>
      <c r="I62" s="2965">
        <v>0.09</v>
      </c>
      <c r="J62" s="735">
        <f>J60*I62</f>
        <v>14297.652347477842</v>
      </c>
      <c r="K62" s="2965"/>
      <c r="L62" s="2965">
        <v>0.09</v>
      </c>
      <c r="M62" s="735">
        <f>M60*L62</f>
        <v>16881.885102643428</v>
      </c>
      <c r="N62" s="2965"/>
      <c r="O62" s="2965">
        <v>0.09</v>
      </c>
      <c r="P62" s="735">
        <f>P60*O62</f>
        <v>21849.772061509302</v>
      </c>
      <c r="Q62" s="735"/>
      <c r="R62" s="735">
        <v>0.09</v>
      </c>
      <c r="S62" s="735">
        <f>S60*R62</f>
        <v>21203.621131482822</v>
      </c>
      <c r="T62" s="212"/>
    </row>
    <row r="63" spans="1:21" s="22" customFormat="1" ht="30.75" customHeight="1">
      <c r="A63" s="1276">
        <v>38</v>
      </c>
      <c r="B63" s="1233" t="s">
        <v>2437</v>
      </c>
      <c r="C63" s="2965"/>
      <c r="D63" s="2965"/>
      <c r="E63" s="2965"/>
      <c r="F63" s="2965"/>
      <c r="G63" s="735">
        <f>G60+G61+G62</f>
        <v>154688.90254141513</v>
      </c>
      <c r="H63" s="735"/>
      <c r="I63" s="735"/>
      <c r="J63" s="735">
        <f>J60+J61+J62</f>
        <v>187458.10855582063</v>
      </c>
      <c r="K63" s="735"/>
      <c r="L63" s="735"/>
      <c r="M63" s="735">
        <f>M60+M61+M62</f>
        <v>221340.27134576938</v>
      </c>
      <c r="N63" s="735"/>
      <c r="O63" s="735"/>
      <c r="P63" s="735">
        <f>P60+P61+P62</f>
        <v>286474.78925089975</v>
      </c>
      <c r="Q63" s="735"/>
      <c r="R63" s="735"/>
      <c r="S63" s="735">
        <f>S60+S61+S62</f>
        <v>278003.03261277475</v>
      </c>
    </row>
    <row r="64" spans="1:21" s="37" customFormat="1" ht="33" customHeight="1">
      <c r="A64" s="2964">
        <v>39</v>
      </c>
      <c r="B64" s="1214" t="s">
        <v>59</v>
      </c>
      <c r="C64" s="1215"/>
      <c r="D64" s="1215"/>
      <c r="E64" s="1215"/>
      <c r="F64" s="1215"/>
      <c r="G64" s="2958">
        <f>ROUND(G63,0)</f>
        <v>154689</v>
      </c>
      <c r="H64" s="2958"/>
      <c r="I64" s="2958"/>
      <c r="J64" s="2958">
        <f>ROUND(J63,0)</f>
        <v>187458</v>
      </c>
      <c r="K64" s="2958"/>
      <c r="L64" s="2958"/>
      <c r="M64" s="2958">
        <f>ROUND(M63,0)</f>
        <v>221340</v>
      </c>
      <c r="N64" s="2958"/>
      <c r="O64" s="2958"/>
      <c r="P64" s="2958">
        <f>ROUND(P63,0)</f>
        <v>286475</v>
      </c>
      <c r="Q64" s="2958"/>
      <c r="R64" s="2958"/>
      <c r="S64" s="2958">
        <f>ROUND(S63,0)</f>
        <v>278003</v>
      </c>
    </row>
    <row r="71" spans="1:19" ht="15.75">
      <c r="A71" s="2955"/>
      <c r="B71" s="2818"/>
      <c r="C71" s="12"/>
      <c r="D71" s="12"/>
      <c r="E71" s="12"/>
      <c r="F71" s="12"/>
      <c r="G71" s="12"/>
      <c r="H71" s="12"/>
      <c r="I71" s="12"/>
      <c r="J71" s="12"/>
      <c r="K71" s="12"/>
      <c r="L71" s="12"/>
      <c r="M71" s="12"/>
      <c r="N71" s="12"/>
      <c r="O71" s="12"/>
      <c r="P71" s="12"/>
      <c r="Q71" s="12"/>
      <c r="R71" s="12"/>
      <c r="S71" s="12"/>
    </row>
    <row r="72" spans="1:19">
      <c r="A72" s="2955"/>
      <c r="B72" s="12"/>
      <c r="C72" s="12"/>
      <c r="D72" s="12"/>
      <c r="E72" s="12"/>
      <c r="F72" s="12"/>
      <c r="G72" s="12"/>
      <c r="H72" s="12"/>
      <c r="I72" s="12"/>
      <c r="J72" s="12"/>
      <c r="K72" s="12"/>
      <c r="L72" s="12"/>
      <c r="M72" s="12"/>
      <c r="N72" s="12"/>
      <c r="O72" s="12"/>
      <c r="P72" s="12"/>
      <c r="Q72" s="12"/>
      <c r="R72" s="12"/>
      <c r="S72" s="12"/>
    </row>
    <row r="73" spans="1:19" ht="14.25">
      <c r="A73" s="2827"/>
      <c r="B73" s="644"/>
      <c r="C73" s="2985"/>
      <c r="D73" s="2942"/>
      <c r="E73" s="2942"/>
      <c r="F73" s="470"/>
      <c r="G73" s="470"/>
      <c r="H73" s="2986"/>
      <c r="I73" s="470"/>
      <c r="J73" s="470"/>
      <c r="K73" s="2986"/>
      <c r="L73" s="470"/>
      <c r="M73" s="470"/>
      <c r="N73" s="2986"/>
      <c r="O73" s="470"/>
      <c r="P73" s="470"/>
      <c r="Q73" s="470"/>
      <c r="R73" s="470"/>
      <c r="S73" s="470"/>
    </row>
  </sheetData>
  <mergeCells count="15">
    <mergeCell ref="Q7:S7"/>
    <mergeCell ref="A18:A20"/>
    <mergeCell ref="A28:A30"/>
    <mergeCell ref="A35:A39"/>
    <mergeCell ref="D1:J1"/>
    <mergeCell ref="B3:M3"/>
    <mergeCell ref="N5:O5"/>
    <mergeCell ref="A7:A8"/>
    <mergeCell ref="B7:B8"/>
    <mergeCell ref="C7:C8"/>
    <mergeCell ref="D7:D8"/>
    <mergeCell ref="E7:G7"/>
    <mergeCell ref="H7:J7"/>
    <mergeCell ref="K7:M7"/>
    <mergeCell ref="N7:P7"/>
  </mergeCells>
  <conditionalFormatting sqref="B52">
    <cfRule type="cellIs" dxfId="86" priority="2" stopIfTrue="1" operator="equal">
      <formula>"?"</formula>
    </cfRule>
  </conditionalFormatting>
  <conditionalFormatting sqref="B53">
    <cfRule type="cellIs" dxfId="85" priority="1" stopIfTrue="1" operator="equal">
      <formula>"?"</formula>
    </cfRule>
  </conditionalFormatting>
  <pageMargins left="0.74803149606299213" right="0.43307086614173229" top="0.55118110236220474" bottom="0.47244094488188981" header="0.31496062992125984" footer="0.15748031496062992"/>
  <pageSetup scale="87"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38"/>
  <sheetViews>
    <sheetView zoomScaleNormal="100" workbookViewId="0">
      <pane xSplit="3" ySplit="7" topLeftCell="D35" activePane="bottomRight" state="frozen"/>
      <selection pane="topRight" activeCell="D1" sqref="D1"/>
      <selection pane="bottomLeft" activeCell="A8" sqref="A8"/>
      <selection pane="bottomRight" activeCell="M41" sqref="M41"/>
    </sheetView>
  </sheetViews>
  <sheetFormatPr defaultRowHeight="12.75"/>
  <cols>
    <col min="1" max="1" width="4.42578125" style="2954" customWidth="1"/>
    <col min="2" max="2" width="29.42578125" style="4" customWidth="1"/>
    <col min="3" max="3" width="12.42578125" style="4" bestFit="1" customWidth="1"/>
    <col min="4" max="4" width="5.140625" style="4" bestFit="1" customWidth="1"/>
    <col min="5" max="5" width="4.7109375" style="4" customWidth="1"/>
    <col min="6" max="6" width="10.7109375" style="4" bestFit="1" customWidth="1"/>
    <col min="7" max="7" width="11.85546875" style="4" bestFit="1" customWidth="1"/>
    <col min="8" max="8" width="4.7109375" style="4" customWidth="1"/>
    <col min="9" max="10" width="9.5703125" style="4" bestFit="1" customWidth="1"/>
    <col min="11" max="11" width="4.7109375" style="4" customWidth="1"/>
    <col min="12" max="13" width="10.140625" style="4" customWidth="1"/>
    <col min="14" max="14" width="4.85546875" style="4" customWidth="1"/>
    <col min="15" max="15" width="9.5703125" style="4" bestFit="1" customWidth="1"/>
    <col min="16" max="16" width="10.85546875" style="4" customWidth="1"/>
    <col min="17" max="17" width="4.85546875" style="4" customWidth="1"/>
    <col min="18" max="18" width="9.5703125" style="4" bestFit="1" customWidth="1"/>
    <col min="19" max="19" width="10.5703125" style="4" customWidth="1"/>
    <col min="20" max="20" width="22" style="4" customWidth="1"/>
    <col min="21" max="21" width="14.42578125" style="4" customWidth="1"/>
    <col min="22" max="256" width="9.140625" style="4"/>
    <col min="257" max="257" width="4.42578125" style="4" customWidth="1"/>
    <col min="258" max="258" width="29.42578125" style="4" customWidth="1"/>
    <col min="259" max="259" width="12.42578125" style="4" bestFit="1" customWidth="1"/>
    <col min="260" max="260" width="5.140625" style="4" bestFit="1" customWidth="1"/>
    <col min="261" max="261" width="4.7109375" style="4" customWidth="1"/>
    <col min="262" max="262" width="10.7109375" style="4" bestFit="1" customWidth="1"/>
    <col min="263" max="263" width="11.85546875" style="4" bestFit="1" customWidth="1"/>
    <col min="264" max="264" width="4.7109375" style="4" customWidth="1"/>
    <col min="265" max="266" width="9.5703125" style="4" bestFit="1" customWidth="1"/>
    <col min="267" max="267" width="4.7109375" style="4" customWidth="1"/>
    <col min="268" max="269" width="9.5703125" style="4" bestFit="1" customWidth="1"/>
    <col min="270" max="270" width="4.85546875" style="4" customWidth="1"/>
    <col min="271" max="271" width="9.5703125" style="4" bestFit="1" customWidth="1"/>
    <col min="272" max="272" width="10.85546875" style="4" customWidth="1"/>
    <col min="273" max="273" width="4.85546875" style="4" customWidth="1"/>
    <col min="274" max="274" width="9.5703125" style="4" bestFit="1" customWidth="1"/>
    <col min="275" max="275" width="10.5703125" style="4" customWidth="1"/>
    <col min="276" max="276" width="22" style="4" customWidth="1"/>
    <col min="277" max="277" width="14.42578125" style="4" customWidth="1"/>
    <col min="278" max="512" width="9.140625" style="4"/>
    <col min="513" max="513" width="4.42578125" style="4" customWidth="1"/>
    <col min="514" max="514" width="29.42578125" style="4" customWidth="1"/>
    <col min="515" max="515" width="12.42578125" style="4" bestFit="1" customWidth="1"/>
    <col min="516" max="516" width="5.140625" style="4" bestFit="1" customWidth="1"/>
    <col min="517" max="517" width="4.7109375" style="4" customWidth="1"/>
    <col min="518" max="518" width="10.7109375" style="4" bestFit="1" customWidth="1"/>
    <col min="519" max="519" width="11.85546875" style="4" bestFit="1" customWidth="1"/>
    <col min="520" max="520" width="4.7109375" style="4" customWidth="1"/>
    <col min="521" max="522" width="9.5703125" style="4" bestFit="1" customWidth="1"/>
    <col min="523" max="523" width="4.7109375" style="4" customWidth="1"/>
    <col min="524" max="525" width="9.5703125" style="4" bestFit="1" customWidth="1"/>
    <col min="526" max="526" width="4.85546875" style="4" customWidth="1"/>
    <col min="527" max="527" width="9.5703125" style="4" bestFit="1" customWidth="1"/>
    <col min="528" max="528" width="10.85546875" style="4" customWidth="1"/>
    <col min="529" max="529" width="4.85546875" style="4" customWidth="1"/>
    <col min="530" max="530" width="9.5703125" style="4" bestFit="1" customWidth="1"/>
    <col min="531" max="531" width="10.5703125" style="4" customWidth="1"/>
    <col min="532" max="532" width="22" style="4" customWidth="1"/>
    <col min="533" max="533" width="14.42578125" style="4" customWidth="1"/>
    <col min="534" max="768" width="9.140625" style="4"/>
    <col min="769" max="769" width="4.42578125" style="4" customWidth="1"/>
    <col min="770" max="770" width="29.42578125" style="4" customWidth="1"/>
    <col min="771" max="771" width="12.42578125" style="4" bestFit="1" customWidth="1"/>
    <col min="772" max="772" width="5.140625" style="4" bestFit="1" customWidth="1"/>
    <col min="773" max="773" width="4.7109375" style="4" customWidth="1"/>
    <col min="774" max="774" width="10.7109375" style="4" bestFit="1" customWidth="1"/>
    <col min="775" max="775" width="11.85546875" style="4" bestFit="1" customWidth="1"/>
    <col min="776" max="776" width="4.7109375" style="4" customWidth="1"/>
    <col min="777" max="778" width="9.5703125" style="4" bestFit="1" customWidth="1"/>
    <col min="779" max="779" width="4.7109375" style="4" customWidth="1"/>
    <col min="780" max="781" width="9.5703125" style="4" bestFit="1" customWidth="1"/>
    <col min="782" max="782" width="4.85546875" style="4" customWidth="1"/>
    <col min="783" max="783" width="9.5703125" style="4" bestFit="1" customWidth="1"/>
    <col min="784" max="784" width="10.85546875" style="4" customWidth="1"/>
    <col min="785" max="785" width="4.85546875" style="4" customWidth="1"/>
    <col min="786" max="786" width="9.5703125" style="4" bestFit="1" customWidth="1"/>
    <col min="787" max="787" width="10.5703125" style="4" customWidth="1"/>
    <col min="788" max="788" width="22" style="4" customWidth="1"/>
    <col min="789" max="789" width="14.42578125" style="4" customWidth="1"/>
    <col min="790" max="1024" width="9.140625" style="4"/>
    <col min="1025" max="1025" width="4.42578125" style="4" customWidth="1"/>
    <col min="1026" max="1026" width="29.42578125" style="4" customWidth="1"/>
    <col min="1027" max="1027" width="12.42578125" style="4" bestFit="1" customWidth="1"/>
    <col min="1028" max="1028" width="5.140625" style="4" bestFit="1" customWidth="1"/>
    <col min="1029" max="1029" width="4.7109375" style="4" customWidth="1"/>
    <col min="1030" max="1030" width="10.7109375" style="4" bestFit="1" customWidth="1"/>
    <col min="1031" max="1031" width="11.85546875" style="4" bestFit="1" customWidth="1"/>
    <col min="1032" max="1032" width="4.7109375" style="4" customWidth="1"/>
    <col min="1033" max="1034" width="9.5703125" style="4" bestFit="1" customWidth="1"/>
    <col min="1035" max="1035" width="4.7109375" style="4" customWidth="1"/>
    <col min="1036" max="1037" width="9.5703125" style="4" bestFit="1" customWidth="1"/>
    <col min="1038" max="1038" width="4.85546875" style="4" customWidth="1"/>
    <col min="1039" max="1039" width="9.5703125" style="4" bestFit="1" customWidth="1"/>
    <col min="1040" max="1040" width="10.85546875" style="4" customWidth="1"/>
    <col min="1041" max="1041" width="4.85546875" style="4" customWidth="1"/>
    <col min="1042" max="1042" width="9.5703125" style="4" bestFit="1" customWidth="1"/>
    <col min="1043" max="1043" width="10.5703125" style="4" customWidth="1"/>
    <col min="1044" max="1044" width="22" style="4" customWidth="1"/>
    <col min="1045" max="1045" width="14.42578125" style="4" customWidth="1"/>
    <col min="1046" max="1280" width="9.140625" style="4"/>
    <col min="1281" max="1281" width="4.42578125" style="4" customWidth="1"/>
    <col min="1282" max="1282" width="29.42578125" style="4" customWidth="1"/>
    <col min="1283" max="1283" width="12.42578125" style="4" bestFit="1" customWidth="1"/>
    <col min="1284" max="1284" width="5.140625" style="4" bestFit="1" customWidth="1"/>
    <col min="1285" max="1285" width="4.7109375" style="4" customWidth="1"/>
    <col min="1286" max="1286" width="10.7109375" style="4" bestFit="1" customWidth="1"/>
    <col min="1287" max="1287" width="11.85546875" style="4" bestFit="1" customWidth="1"/>
    <col min="1288" max="1288" width="4.7109375" style="4" customWidth="1"/>
    <col min="1289" max="1290" width="9.5703125" style="4" bestFit="1" customWidth="1"/>
    <col min="1291" max="1291" width="4.7109375" style="4" customWidth="1"/>
    <col min="1292" max="1293" width="9.5703125" style="4" bestFit="1" customWidth="1"/>
    <col min="1294" max="1294" width="4.85546875" style="4" customWidth="1"/>
    <col min="1295" max="1295" width="9.5703125" style="4" bestFit="1" customWidth="1"/>
    <col min="1296" max="1296" width="10.85546875" style="4" customWidth="1"/>
    <col min="1297" max="1297" width="4.85546875" style="4" customWidth="1"/>
    <col min="1298" max="1298" width="9.5703125" style="4" bestFit="1" customWidth="1"/>
    <col min="1299" max="1299" width="10.5703125" style="4" customWidth="1"/>
    <col min="1300" max="1300" width="22" style="4" customWidth="1"/>
    <col min="1301" max="1301" width="14.42578125" style="4" customWidth="1"/>
    <col min="1302" max="1536" width="9.140625" style="4"/>
    <col min="1537" max="1537" width="4.42578125" style="4" customWidth="1"/>
    <col min="1538" max="1538" width="29.42578125" style="4" customWidth="1"/>
    <col min="1539" max="1539" width="12.42578125" style="4" bestFit="1" customWidth="1"/>
    <col min="1540" max="1540" width="5.140625" style="4" bestFit="1" customWidth="1"/>
    <col min="1541" max="1541" width="4.7109375" style="4" customWidth="1"/>
    <col min="1542" max="1542" width="10.7109375" style="4" bestFit="1" customWidth="1"/>
    <col min="1543" max="1543" width="11.85546875" style="4" bestFit="1" customWidth="1"/>
    <col min="1544" max="1544" width="4.7109375" style="4" customWidth="1"/>
    <col min="1545" max="1546" width="9.5703125" style="4" bestFit="1" customWidth="1"/>
    <col min="1547" max="1547" width="4.7109375" style="4" customWidth="1"/>
    <col min="1548" max="1549" width="9.5703125" style="4" bestFit="1" customWidth="1"/>
    <col min="1550" max="1550" width="4.85546875" style="4" customWidth="1"/>
    <col min="1551" max="1551" width="9.5703125" style="4" bestFit="1" customWidth="1"/>
    <col min="1552" max="1552" width="10.85546875" style="4" customWidth="1"/>
    <col min="1553" max="1553" width="4.85546875" style="4" customWidth="1"/>
    <col min="1554" max="1554" width="9.5703125" style="4" bestFit="1" customWidth="1"/>
    <col min="1555" max="1555" width="10.5703125" style="4" customWidth="1"/>
    <col min="1556" max="1556" width="22" style="4" customWidth="1"/>
    <col min="1557" max="1557" width="14.42578125" style="4" customWidth="1"/>
    <col min="1558" max="1792" width="9.140625" style="4"/>
    <col min="1793" max="1793" width="4.42578125" style="4" customWidth="1"/>
    <col min="1794" max="1794" width="29.42578125" style="4" customWidth="1"/>
    <col min="1795" max="1795" width="12.42578125" style="4" bestFit="1" customWidth="1"/>
    <col min="1796" max="1796" width="5.140625" style="4" bestFit="1" customWidth="1"/>
    <col min="1797" max="1797" width="4.7109375" style="4" customWidth="1"/>
    <col min="1798" max="1798" width="10.7109375" style="4" bestFit="1" customWidth="1"/>
    <col min="1799" max="1799" width="11.85546875" style="4" bestFit="1" customWidth="1"/>
    <col min="1800" max="1800" width="4.7109375" style="4" customWidth="1"/>
    <col min="1801" max="1802" width="9.5703125" style="4" bestFit="1" customWidth="1"/>
    <col min="1803" max="1803" width="4.7109375" style="4" customWidth="1"/>
    <col min="1804" max="1805" width="9.5703125" style="4" bestFit="1" customWidth="1"/>
    <col min="1806" max="1806" width="4.85546875" style="4" customWidth="1"/>
    <col min="1807" max="1807" width="9.5703125" style="4" bestFit="1" customWidth="1"/>
    <col min="1808" max="1808" width="10.85546875" style="4" customWidth="1"/>
    <col min="1809" max="1809" width="4.85546875" style="4" customWidth="1"/>
    <col min="1810" max="1810" width="9.5703125" style="4" bestFit="1" customWidth="1"/>
    <col min="1811" max="1811" width="10.5703125" style="4" customWidth="1"/>
    <col min="1812" max="1812" width="22" style="4" customWidth="1"/>
    <col min="1813" max="1813" width="14.42578125" style="4" customWidth="1"/>
    <col min="1814" max="2048" width="9.140625" style="4"/>
    <col min="2049" max="2049" width="4.42578125" style="4" customWidth="1"/>
    <col min="2050" max="2050" width="29.42578125" style="4" customWidth="1"/>
    <col min="2051" max="2051" width="12.42578125" style="4" bestFit="1" customWidth="1"/>
    <col min="2052" max="2052" width="5.140625" style="4" bestFit="1" customWidth="1"/>
    <col min="2053" max="2053" width="4.7109375" style="4" customWidth="1"/>
    <col min="2054" max="2054" width="10.7109375" style="4" bestFit="1" customWidth="1"/>
    <col min="2055" max="2055" width="11.85546875" style="4" bestFit="1" customWidth="1"/>
    <col min="2056" max="2056" width="4.7109375" style="4" customWidth="1"/>
    <col min="2057" max="2058" width="9.5703125" style="4" bestFit="1" customWidth="1"/>
    <col min="2059" max="2059" width="4.7109375" style="4" customWidth="1"/>
    <col min="2060" max="2061" width="9.5703125" style="4" bestFit="1" customWidth="1"/>
    <col min="2062" max="2062" width="4.85546875" style="4" customWidth="1"/>
    <col min="2063" max="2063" width="9.5703125" style="4" bestFit="1" customWidth="1"/>
    <col min="2064" max="2064" width="10.85546875" style="4" customWidth="1"/>
    <col min="2065" max="2065" width="4.85546875" style="4" customWidth="1"/>
    <col min="2066" max="2066" width="9.5703125" style="4" bestFit="1" customWidth="1"/>
    <col min="2067" max="2067" width="10.5703125" style="4" customWidth="1"/>
    <col min="2068" max="2068" width="22" style="4" customWidth="1"/>
    <col min="2069" max="2069" width="14.42578125" style="4" customWidth="1"/>
    <col min="2070" max="2304" width="9.140625" style="4"/>
    <col min="2305" max="2305" width="4.42578125" style="4" customWidth="1"/>
    <col min="2306" max="2306" width="29.42578125" style="4" customWidth="1"/>
    <col min="2307" max="2307" width="12.42578125" style="4" bestFit="1" customWidth="1"/>
    <col min="2308" max="2308" width="5.140625" style="4" bestFit="1" customWidth="1"/>
    <col min="2309" max="2309" width="4.7109375" style="4" customWidth="1"/>
    <col min="2310" max="2310" width="10.7109375" style="4" bestFit="1" customWidth="1"/>
    <col min="2311" max="2311" width="11.85546875" style="4" bestFit="1" customWidth="1"/>
    <col min="2312" max="2312" width="4.7109375" style="4" customWidth="1"/>
    <col min="2313" max="2314" width="9.5703125" style="4" bestFit="1" customWidth="1"/>
    <col min="2315" max="2315" width="4.7109375" style="4" customWidth="1"/>
    <col min="2316" max="2317" width="9.5703125" style="4" bestFit="1" customWidth="1"/>
    <col min="2318" max="2318" width="4.85546875" style="4" customWidth="1"/>
    <col min="2319" max="2319" width="9.5703125" style="4" bestFit="1" customWidth="1"/>
    <col min="2320" max="2320" width="10.85546875" style="4" customWidth="1"/>
    <col min="2321" max="2321" width="4.85546875" style="4" customWidth="1"/>
    <col min="2322" max="2322" width="9.5703125" style="4" bestFit="1" customWidth="1"/>
    <col min="2323" max="2323" width="10.5703125" style="4" customWidth="1"/>
    <col min="2324" max="2324" width="22" style="4" customWidth="1"/>
    <col min="2325" max="2325" width="14.42578125" style="4" customWidth="1"/>
    <col min="2326" max="2560" width="9.140625" style="4"/>
    <col min="2561" max="2561" width="4.42578125" style="4" customWidth="1"/>
    <col min="2562" max="2562" width="29.42578125" style="4" customWidth="1"/>
    <col min="2563" max="2563" width="12.42578125" style="4" bestFit="1" customWidth="1"/>
    <col min="2564" max="2564" width="5.140625" style="4" bestFit="1" customWidth="1"/>
    <col min="2565" max="2565" width="4.7109375" style="4" customWidth="1"/>
    <col min="2566" max="2566" width="10.7109375" style="4" bestFit="1" customWidth="1"/>
    <col min="2567" max="2567" width="11.85546875" style="4" bestFit="1" customWidth="1"/>
    <col min="2568" max="2568" width="4.7109375" style="4" customWidth="1"/>
    <col min="2569" max="2570" width="9.5703125" style="4" bestFit="1" customWidth="1"/>
    <col min="2571" max="2571" width="4.7109375" style="4" customWidth="1"/>
    <col min="2572" max="2573" width="9.5703125" style="4" bestFit="1" customWidth="1"/>
    <col min="2574" max="2574" width="4.85546875" style="4" customWidth="1"/>
    <col min="2575" max="2575" width="9.5703125" style="4" bestFit="1" customWidth="1"/>
    <col min="2576" max="2576" width="10.85546875" style="4" customWidth="1"/>
    <col min="2577" max="2577" width="4.85546875" style="4" customWidth="1"/>
    <col min="2578" max="2578" width="9.5703125" style="4" bestFit="1" customWidth="1"/>
    <col min="2579" max="2579" width="10.5703125" style="4" customWidth="1"/>
    <col min="2580" max="2580" width="22" style="4" customWidth="1"/>
    <col min="2581" max="2581" width="14.42578125" style="4" customWidth="1"/>
    <col min="2582" max="2816" width="9.140625" style="4"/>
    <col min="2817" max="2817" width="4.42578125" style="4" customWidth="1"/>
    <col min="2818" max="2818" width="29.42578125" style="4" customWidth="1"/>
    <col min="2819" max="2819" width="12.42578125" style="4" bestFit="1" customWidth="1"/>
    <col min="2820" max="2820" width="5.140625" style="4" bestFit="1" customWidth="1"/>
    <col min="2821" max="2821" width="4.7109375" style="4" customWidth="1"/>
    <col min="2822" max="2822" width="10.7109375" style="4" bestFit="1" customWidth="1"/>
    <col min="2823" max="2823" width="11.85546875" style="4" bestFit="1" customWidth="1"/>
    <col min="2824" max="2824" width="4.7109375" style="4" customWidth="1"/>
    <col min="2825" max="2826" width="9.5703125" style="4" bestFit="1" customWidth="1"/>
    <col min="2827" max="2827" width="4.7109375" style="4" customWidth="1"/>
    <col min="2828" max="2829" width="9.5703125" style="4" bestFit="1" customWidth="1"/>
    <col min="2830" max="2830" width="4.85546875" style="4" customWidth="1"/>
    <col min="2831" max="2831" width="9.5703125" style="4" bestFit="1" customWidth="1"/>
    <col min="2832" max="2832" width="10.85546875" style="4" customWidth="1"/>
    <col min="2833" max="2833" width="4.85546875" style="4" customWidth="1"/>
    <col min="2834" max="2834" width="9.5703125" style="4" bestFit="1" customWidth="1"/>
    <col min="2835" max="2835" width="10.5703125" style="4" customWidth="1"/>
    <col min="2836" max="2836" width="22" style="4" customWidth="1"/>
    <col min="2837" max="2837" width="14.42578125" style="4" customWidth="1"/>
    <col min="2838" max="3072" width="9.140625" style="4"/>
    <col min="3073" max="3073" width="4.42578125" style="4" customWidth="1"/>
    <col min="3074" max="3074" width="29.42578125" style="4" customWidth="1"/>
    <col min="3075" max="3075" width="12.42578125" style="4" bestFit="1" customWidth="1"/>
    <col min="3076" max="3076" width="5.140625" style="4" bestFit="1" customWidth="1"/>
    <col min="3077" max="3077" width="4.7109375" style="4" customWidth="1"/>
    <col min="3078" max="3078" width="10.7109375" style="4" bestFit="1" customWidth="1"/>
    <col min="3079" max="3079" width="11.85546875" style="4" bestFit="1" customWidth="1"/>
    <col min="3080" max="3080" width="4.7109375" style="4" customWidth="1"/>
    <col min="3081" max="3082" width="9.5703125" style="4" bestFit="1" customWidth="1"/>
    <col min="3083" max="3083" width="4.7109375" style="4" customWidth="1"/>
    <col min="3084" max="3085" width="9.5703125" style="4" bestFit="1" customWidth="1"/>
    <col min="3086" max="3086" width="4.85546875" style="4" customWidth="1"/>
    <col min="3087" max="3087" width="9.5703125" style="4" bestFit="1" customWidth="1"/>
    <col min="3088" max="3088" width="10.85546875" style="4" customWidth="1"/>
    <col min="3089" max="3089" width="4.85546875" style="4" customWidth="1"/>
    <col min="3090" max="3090" width="9.5703125" style="4" bestFit="1" customWidth="1"/>
    <col min="3091" max="3091" width="10.5703125" style="4" customWidth="1"/>
    <col min="3092" max="3092" width="22" style="4" customWidth="1"/>
    <col min="3093" max="3093" width="14.42578125" style="4" customWidth="1"/>
    <col min="3094" max="3328" width="9.140625" style="4"/>
    <col min="3329" max="3329" width="4.42578125" style="4" customWidth="1"/>
    <col min="3330" max="3330" width="29.42578125" style="4" customWidth="1"/>
    <col min="3331" max="3331" width="12.42578125" style="4" bestFit="1" customWidth="1"/>
    <col min="3332" max="3332" width="5.140625" style="4" bestFit="1" customWidth="1"/>
    <col min="3333" max="3333" width="4.7109375" style="4" customWidth="1"/>
    <col min="3334" max="3334" width="10.7109375" style="4" bestFit="1" customWidth="1"/>
    <col min="3335" max="3335" width="11.85546875" style="4" bestFit="1" customWidth="1"/>
    <col min="3336" max="3336" width="4.7109375" style="4" customWidth="1"/>
    <col min="3337" max="3338" width="9.5703125" style="4" bestFit="1" customWidth="1"/>
    <col min="3339" max="3339" width="4.7109375" style="4" customWidth="1"/>
    <col min="3340" max="3341" width="9.5703125" style="4" bestFit="1" customWidth="1"/>
    <col min="3342" max="3342" width="4.85546875" style="4" customWidth="1"/>
    <col min="3343" max="3343" width="9.5703125" style="4" bestFit="1" customWidth="1"/>
    <col min="3344" max="3344" width="10.85546875" style="4" customWidth="1"/>
    <col min="3345" max="3345" width="4.85546875" style="4" customWidth="1"/>
    <col min="3346" max="3346" width="9.5703125" style="4" bestFit="1" customWidth="1"/>
    <col min="3347" max="3347" width="10.5703125" style="4" customWidth="1"/>
    <col min="3348" max="3348" width="22" style="4" customWidth="1"/>
    <col min="3349" max="3349" width="14.42578125" style="4" customWidth="1"/>
    <col min="3350" max="3584" width="9.140625" style="4"/>
    <col min="3585" max="3585" width="4.42578125" style="4" customWidth="1"/>
    <col min="3586" max="3586" width="29.42578125" style="4" customWidth="1"/>
    <col min="3587" max="3587" width="12.42578125" style="4" bestFit="1" customWidth="1"/>
    <col min="3588" max="3588" width="5.140625" style="4" bestFit="1" customWidth="1"/>
    <col min="3589" max="3589" width="4.7109375" style="4" customWidth="1"/>
    <col min="3590" max="3590" width="10.7109375" style="4" bestFit="1" customWidth="1"/>
    <col min="3591" max="3591" width="11.85546875" style="4" bestFit="1" customWidth="1"/>
    <col min="3592" max="3592" width="4.7109375" style="4" customWidth="1"/>
    <col min="3593" max="3594" width="9.5703125" style="4" bestFit="1" customWidth="1"/>
    <col min="3595" max="3595" width="4.7109375" style="4" customWidth="1"/>
    <col min="3596" max="3597" width="9.5703125" style="4" bestFit="1" customWidth="1"/>
    <col min="3598" max="3598" width="4.85546875" style="4" customWidth="1"/>
    <col min="3599" max="3599" width="9.5703125" style="4" bestFit="1" customWidth="1"/>
    <col min="3600" max="3600" width="10.85546875" style="4" customWidth="1"/>
    <col min="3601" max="3601" width="4.85546875" style="4" customWidth="1"/>
    <col min="3602" max="3602" width="9.5703125" style="4" bestFit="1" customWidth="1"/>
    <col min="3603" max="3603" width="10.5703125" style="4" customWidth="1"/>
    <col min="3604" max="3604" width="22" style="4" customWidth="1"/>
    <col min="3605" max="3605" width="14.42578125" style="4" customWidth="1"/>
    <col min="3606" max="3840" width="9.140625" style="4"/>
    <col min="3841" max="3841" width="4.42578125" style="4" customWidth="1"/>
    <col min="3842" max="3842" width="29.42578125" style="4" customWidth="1"/>
    <col min="3843" max="3843" width="12.42578125" style="4" bestFit="1" customWidth="1"/>
    <col min="3844" max="3844" width="5.140625" style="4" bestFit="1" customWidth="1"/>
    <col min="3845" max="3845" width="4.7109375" style="4" customWidth="1"/>
    <col min="3846" max="3846" width="10.7109375" style="4" bestFit="1" customWidth="1"/>
    <col min="3847" max="3847" width="11.85546875" style="4" bestFit="1" customWidth="1"/>
    <col min="3848" max="3848" width="4.7109375" style="4" customWidth="1"/>
    <col min="3849" max="3850" width="9.5703125" style="4" bestFit="1" customWidth="1"/>
    <col min="3851" max="3851" width="4.7109375" style="4" customWidth="1"/>
    <col min="3852" max="3853" width="9.5703125" style="4" bestFit="1" customWidth="1"/>
    <col min="3854" max="3854" width="4.85546875" style="4" customWidth="1"/>
    <col min="3855" max="3855" width="9.5703125" style="4" bestFit="1" customWidth="1"/>
    <col min="3856" max="3856" width="10.85546875" style="4" customWidth="1"/>
    <col min="3857" max="3857" width="4.85546875" style="4" customWidth="1"/>
    <col min="3858" max="3858" width="9.5703125" style="4" bestFit="1" customWidth="1"/>
    <col min="3859" max="3859" width="10.5703125" style="4" customWidth="1"/>
    <col min="3860" max="3860" width="22" style="4" customWidth="1"/>
    <col min="3861" max="3861" width="14.42578125" style="4" customWidth="1"/>
    <col min="3862" max="4096" width="9.140625" style="4"/>
    <col min="4097" max="4097" width="4.42578125" style="4" customWidth="1"/>
    <col min="4098" max="4098" width="29.42578125" style="4" customWidth="1"/>
    <col min="4099" max="4099" width="12.42578125" style="4" bestFit="1" customWidth="1"/>
    <col min="4100" max="4100" width="5.140625" style="4" bestFit="1" customWidth="1"/>
    <col min="4101" max="4101" width="4.7109375" style="4" customWidth="1"/>
    <col min="4102" max="4102" width="10.7109375" style="4" bestFit="1" customWidth="1"/>
    <col min="4103" max="4103" width="11.85546875" style="4" bestFit="1" customWidth="1"/>
    <col min="4104" max="4104" width="4.7109375" style="4" customWidth="1"/>
    <col min="4105" max="4106" width="9.5703125" style="4" bestFit="1" customWidth="1"/>
    <col min="4107" max="4107" width="4.7109375" style="4" customWidth="1"/>
    <col min="4108" max="4109" width="9.5703125" style="4" bestFit="1" customWidth="1"/>
    <col min="4110" max="4110" width="4.85546875" style="4" customWidth="1"/>
    <col min="4111" max="4111" width="9.5703125" style="4" bestFit="1" customWidth="1"/>
    <col min="4112" max="4112" width="10.85546875" style="4" customWidth="1"/>
    <col min="4113" max="4113" width="4.85546875" style="4" customWidth="1"/>
    <col min="4114" max="4114" width="9.5703125" style="4" bestFit="1" customWidth="1"/>
    <col min="4115" max="4115" width="10.5703125" style="4" customWidth="1"/>
    <col min="4116" max="4116" width="22" style="4" customWidth="1"/>
    <col min="4117" max="4117" width="14.42578125" style="4" customWidth="1"/>
    <col min="4118" max="4352" width="9.140625" style="4"/>
    <col min="4353" max="4353" width="4.42578125" style="4" customWidth="1"/>
    <col min="4354" max="4354" width="29.42578125" style="4" customWidth="1"/>
    <col min="4355" max="4355" width="12.42578125" style="4" bestFit="1" customWidth="1"/>
    <col min="4356" max="4356" width="5.140625" style="4" bestFit="1" customWidth="1"/>
    <col min="4357" max="4357" width="4.7109375" style="4" customWidth="1"/>
    <col min="4358" max="4358" width="10.7109375" style="4" bestFit="1" customWidth="1"/>
    <col min="4359" max="4359" width="11.85546875" style="4" bestFit="1" customWidth="1"/>
    <col min="4360" max="4360" width="4.7109375" style="4" customWidth="1"/>
    <col min="4361" max="4362" width="9.5703125" style="4" bestFit="1" customWidth="1"/>
    <col min="4363" max="4363" width="4.7109375" style="4" customWidth="1"/>
    <col min="4364" max="4365" width="9.5703125" style="4" bestFit="1" customWidth="1"/>
    <col min="4366" max="4366" width="4.85546875" style="4" customWidth="1"/>
    <col min="4367" max="4367" width="9.5703125" style="4" bestFit="1" customWidth="1"/>
    <col min="4368" max="4368" width="10.85546875" style="4" customWidth="1"/>
    <col min="4369" max="4369" width="4.85546875" style="4" customWidth="1"/>
    <col min="4370" max="4370" width="9.5703125" style="4" bestFit="1" customWidth="1"/>
    <col min="4371" max="4371" width="10.5703125" style="4" customWidth="1"/>
    <col min="4372" max="4372" width="22" style="4" customWidth="1"/>
    <col min="4373" max="4373" width="14.42578125" style="4" customWidth="1"/>
    <col min="4374" max="4608" width="9.140625" style="4"/>
    <col min="4609" max="4609" width="4.42578125" style="4" customWidth="1"/>
    <col min="4610" max="4610" width="29.42578125" style="4" customWidth="1"/>
    <col min="4611" max="4611" width="12.42578125" style="4" bestFit="1" customWidth="1"/>
    <col min="4612" max="4612" width="5.140625" style="4" bestFit="1" customWidth="1"/>
    <col min="4613" max="4613" width="4.7109375" style="4" customWidth="1"/>
    <col min="4614" max="4614" width="10.7109375" style="4" bestFit="1" customWidth="1"/>
    <col min="4615" max="4615" width="11.85546875" style="4" bestFit="1" customWidth="1"/>
    <col min="4616" max="4616" width="4.7109375" style="4" customWidth="1"/>
    <col min="4617" max="4618" width="9.5703125" style="4" bestFit="1" customWidth="1"/>
    <col min="4619" max="4619" width="4.7109375" style="4" customWidth="1"/>
    <col min="4620" max="4621" width="9.5703125" style="4" bestFit="1" customWidth="1"/>
    <col min="4622" max="4622" width="4.85546875" style="4" customWidth="1"/>
    <col min="4623" max="4623" width="9.5703125" style="4" bestFit="1" customWidth="1"/>
    <col min="4624" max="4624" width="10.85546875" style="4" customWidth="1"/>
    <col min="4625" max="4625" width="4.85546875" style="4" customWidth="1"/>
    <col min="4626" max="4626" width="9.5703125" style="4" bestFit="1" customWidth="1"/>
    <col min="4627" max="4627" width="10.5703125" style="4" customWidth="1"/>
    <col min="4628" max="4628" width="22" style="4" customWidth="1"/>
    <col min="4629" max="4629" width="14.42578125" style="4" customWidth="1"/>
    <col min="4630" max="4864" width="9.140625" style="4"/>
    <col min="4865" max="4865" width="4.42578125" style="4" customWidth="1"/>
    <col min="4866" max="4866" width="29.42578125" style="4" customWidth="1"/>
    <col min="4867" max="4867" width="12.42578125" style="4" bestFit="1" customWidth="1"/>
    <col min="4868" max="4868" width="5.140625" style="4" bestFit="1" customWidth="1"/>
    <col min="4869" max="4869" width="4.7109375" style="4" customWidth="1"/>
    <col min="4870" max="4870" width="10.7109375" style="4" bestFit="1" customWidth="1"/>
    <col min="4871" max="4871" width="11.85546875" style="4" bestFit="1" customWidth="1"/>
    <col min="4872" max="4872" width="4.7109375" style="4" customWidth="1"/>
    <col min="4873" max="4874" width="9.5703125" style="4" bestFit="1" customWidth="1"/>
    <col min="4875" max="4875" width="4.7109375" style="4" customWidth="1"/>
    <col min="4876" max="4877" width="9.5703125" style="4" bestFit="1" customWidth="1"/>
    <col min="4878" max="4878" width="4.85546875" style="4" customWidth="1"/>
    <col min="4879" max="4879" width="9.5703125" style="4" bestFit="1" customWidth="1"/>
    <col min="4880" max="4880" width="10.85546875" style="4" customWidth="1"/>
    <col min="4881" max="4881" width="4.85546875" style="4" customWidth="1"/>
    <col min="4882" max="4882" width="9.5703125" style="4" bestFit="1" customWidth="1"/>
    <col min="4883" max="4883" width="10.5703125" style="4" customWidth="1"/>
    <col min="4884" max="4884" width="22" style="4" customWidth="1"/>
    <col min="4885" max="4885" width="14.42578125" style="4" customWidth="1"/>
    <col min="4886" max="5120" width="9.140625" style="4"/>
    <col min="5121" max="5121" width="4.42578125" style="4" customWidth="1"/>
    <col min="5122" max="5122" width="29.42578125" style="4" customWidth="1"/>
    <col min="5123" max="5123" width="12.42578125" style="4" bestFit="1" customWidth="1"/>
    <col min="5124" max="5124" width="5.140625" style="4" bestFit="1" customWidth="1"/>
    <col min="5125" max="5125" width="4.7109375" style="4" customWidth="1"/>
    <col min="5126" max="5126" width="10.7109375" style="4" bestFit="1" customWidth="1"/>
    <col min="5127" max="5127" width="11.85546875" style="4" bestFit="1" customWidth="1"/>
    <col min="5128" max="5128" width="4.7109375" style="4" customWidth="1"/>
    <col min="5129" max="5130" width="9.5703125" style="4" bestFit="1" customWidth="1"/>
    <col min="5131" max="5131" width="4.7109375" style="4" customWidth="1"/>
    <col min="5132" max="5133" width="9.5703125" style="4" bestFit="1" customWidth="1"/>
    <col min="5134" max="5134" width="4.85546875" style="4" customWidth="1"/>
    <col min="5135" max="5135" width="9.5703125" style="4" bestFit="1" customWidth="1"/>
    <col min="5136" max="5136" width="10.85546875" style="4" customWidth="1"/>
    <col min="5137" max="5137" width="4.85546875" style="4" customWidth="1"/>
    <col min="5138" max="5138" width="9.5703125" style="4" bestFit="1" customWidth="1"/>
    <col min="5139" max="5139" width="10.5703125" style="4" customWidth="1"/>
    <col min="5140" max="5140" width="22" style="4" customWidth="1"/>
    <col min="5141" max="5141" width="14.42578125" style="4" customWidth="1"/>
    <col min="5142" max="5376" width="9.140625" style="4"/>
    <col min="5377" max="5377" width="4.42578125" style="4" customWidth="1"/>
    <col min="5378" max="5378" width="29.42578125" style="4" customWidth="1"/>
    <col min="5379" max="5379" width="12.42578125" style="4" bestFit="1" customWidth="1"/>
    <col min="5380" max="5380" width="5.140625" style="4" bestFit="1" customWidth="1"/>
    <col min="5381" max="5381" width="4.7109375" style="4" customWidth="1"/>
    <col min="5382" max="5382" width="10.7109375" style="4" bestFit="1" customWidth="1"/>
    <col min="5383" max="5383" width="11.85546875" style="4" bestFit="1" customWidth="1"/>
    <col min="5384" max="5384" width="4.7109375" style="4" customWidth="1"/>
    <col min="5385" max="5386" width="9.5703125" style="4" bestFit="1" customWidth="1"/>
    <col min="5387" max="5387" width="4.7109375" style="4" customWidth="1"/>
    <col min="5388" max="5389" width="9.5703125" style="4" bestFit="1" customWidth="1"/>
    <col min="5390" max="5390" width="4.85546875" style="4" customWidth="1"/>
    <col min="5391" max="5391" width="9.5703125" style="4" bestFit="1" customWidth="1"/>
    <col min="5392" max="5392" width="10.85546875" style="4" customWidth="1"/>
    <col min="5393" max="5393" width="4.85546875" style="4" customWidth="1"/>
    <col min="5394" max="5394" width="9.5703125" style="4" bestFit="1" customWidth="1"/>
    <col min="5395" max="5395" width="10.5703125" style="4" customWidth="1"/>
    <col min="5396" max="5396" width="22" style="4" customWidth="1"/>
    <col min="5397" max="5397" width="14.42578125" style="4" customWidth="1"/>
    <col min="5398" max="5632" width="9.140625" style="4"/>
    <col min="5633" max="5633" width="4.42578125" style="4" customWidth="1"/>
    <col min="5634" max="5634" width="29.42578125" style="4" customWidth="1"/>
    <col min="5635" max="5635" width="12.42578125" style="4" bestFit="1" customWidth="1"/>
    <col min="5636" max="5636" width="5.140625" style="4" bestFit="1" customWidth="1"/>
    <col min="5637" max="5637" width="4.7109375" style="4" customWidth="1"/>
    <col min="5638" max="5638" width="10.7109375" style="4" bestFit="1" customWidth="1"/>
    <col min="5639" max="5639" width="11.85546875" style="4" bestFit="1" customWidth="1"/>
    <col min="5640" max="5640" width="4.7109375" style="4" customWidth="1"/>
    <col min="5641" max="5642" width="9.5703125" style="4" bestFit="1" customWidth="1"/>
    <col min="5643" max="5643" width="4.7109375" style="4" customWidth="1"/>
    <col min="5644" max="5645" width="9.5703125" style="4" bestFit="1" customWidth="1"/>
    <col min="5646" max="5646" width="4.85546875" style="4" customWidth="1"/>
    <col min="5647" max="5647" width="9.5703125" style="4" bestFit="1" customWidth="1"/>
    <col min="5648" max="5648" width="10.85546875" style="4" customWidth="1"/>
    <col min="5649" max="5649" width="4.85546875" style="4" customWidth="1"/>
    <col min="5650" max="5650" width="9.5703125" style="4" bestFit="1" customWidth="1"/>
    <col min="5651" max="5651" width="10.5703125" style="4" customWidth="1"/>
    <col min="5652" max="5652" width="22" style="4" customWidth="1"/>
    <col min="5653" max="5653" width="14.42578125" style="4" customWidth="1"/>
    <col min="5654" max="5888" width="9.140625" style="4"/>
    <col min="5889" max="5889" width="4.42578125" style="4" customWidth="1"/>
    <col min="5890" max="5890" width="29.42578125" style="4" customWidth="1"/>
    <col min="5891" max="5891" width="12.42578125" style="4" bestFit="1" customWidth="1"/>
    <col min="5892" max="5892" width="5.140625" style="4" bestFit="1" customWidth="1"/>
    <col min="5893" max="5893" width="4.7109375" style="4" customWidth="1"/>
    <col min="5894" max="5894" width="10.7109375" style="4" bestFit="1" customWidth="1"/>
    <col min="5895" max="5895" width="11.85546875" style="4" bestFit="1" customWidth="1"/>
    <col min="5896" max="5896" width="4.7109375" style="4" customWidth="1"/>
    <col min="5897" max="5898" width="9.5703125" style="4" bestFit="1" customWidth="1"/>
    <col min="5899" max="5899" width="4.7109375" style="4" customWidth="1"/>
    <col min="5900" max="5901" width="9.5703125" style="4" bestFit="1" customWidth="1"/>
    <col min="5902" max="5902" width="4.85546875" style="4" customWidth="1"/>
    <col min="5903" max="5903" width="9.5703125" style="4" bestFit="1" customWidth="1"/>
    <col min="5904" max="5904" width="10.85546875" style="4" customWidth="1"/>
    <col min="5905" max="5905" width="4.85546875" style="4" customWidth="1"/>
    <col min="5906" max="5906" width="9.5703125" style="4" bestFit="1" customWidth="1"/>
    <col min="5907" max="5907" width="10.5703125" style="4" customWidth="1"/>
    <col min="5908" max="5908" width="22" style="4" customWidth="1"/>
    <col min="5909" max="5909" width="14.42578125" style="4" customWidth="1"/>
    <col min="5910" max="6144" width="9.140625" style="4"/>
    <col min="6145" max="6145" width="4.42578125" style="4" customWidth="1"/>
    <col min="6146" max="6146" width="29.42578125" style="4" customWidth="1"/>
    <col min="6147" max="6147" width="12.42578125" style="4" bestFit="1" customWidth="1"/>
    <col min="6148" max="6148" width="5.140625" style="4" bestFit="1" customWidth="1"/>
    <col min="6149" max="6149" width="4.7109375" style="4" customWidth="1"/>
    <col min="6150" max="6150" width="10.7109375" style="4" bestFit="1" customWidth="1"/>
    <col min="6151" max="6151" width="11.85546875" style="4" bestFit="1" customWidth="1"/>
    <col min="6152" max="6152" width="4.7109375" style="4" customWidth="1"/>
    <col min="6153" max="6154" width="9.5703125" style="4" bestFit="1" customWidth="1"/>
    <col min="6155" max="6155" width="4.7109375" style="4" customWidth="1"/>
    <col min="6156" max="6157" width="9.5703125" style="4" bestFit="1" customWidth="1"/>
    <col min="6158" max="6158" width="4.85546875" style="4" customWidth="1"/>
    <col min="6159" max="6159" width="9.5703125" style="4" bestFit="1" customWidth="1"/>
    <col min="6160" max="6160" width="10.85546875" style="4" customWidth="1"/>
    <col min="6161" max="6161" width="4.85546875" style="4" customWidth="1"/>
    <col min="6162" max="6162" width="9.5703125" style="4" bestFit="1" customWidth="1"/>
    <col min="6163" max="6163" width="10.5703125" style="4" customWidth="1"/>
    <col min="6164" max="6164" width="22" style="4" customWidth="1"/>
    <col min="6165" max="6165" width="14.42578125" style="4" customWidth="1"/>
    <col min="6166" max="6400" width="9.140625" style="4"/>
    <col min="6401" max="6401" width="4.42578125" style="4" customWidth="1"/>
    <col min="6402" max="6402" width="29.42578125" style="4" customWidth="1"/>
    <col min="6403" max="6403" width="12.42578125" style="4" bestFit="1" customWidth="1"/>
    <col min="6404" max="6404" width="5.140625" style="4" bestFit="1" customWidth="1"/>
    <col min="6405" max="6405" width="4.7109375" style="4" customWidth="1"/>
    <col min="6406" max="6406" width="10.7109375" style="4" bestFit="1" customWidth="1"/>
    <col min="6407" max="6407" width="11.85546875" style="4" bestFit="1" customWidth="1"/>
    <col min="6408" max="6408" width="4.7109375" style="4" customWidth="1"/>
    <col min="6409" max="6410" width="9.5703125" style="4" bestFit="1" customWidth="1"/>
    <col min="6411" max="6411" width="4.7109375" style="4" customWidth="1"/>
    <col min="6412" max="6413" width="9.5703125" style="4" bestFit="1" customWidth="1"/>
    <col min="6414" max="6414" width="4.85546875" style="4" customWidth="1"/>
    <col min="6415" max="6415" width="9.5703125" style="4" bestFit="1" customWidth="1"/>
    <col min="6416" max="6416" width="10.85546875" style="4" customWidth="1"/>
    <col min="6417" max="6417" width="4.85546875" style="4" customWidth="1"/>
    <col min="6418" max="6418" width="9.5703125" style="4" bestFit="1" customWidth="1"/>
    <col min="6419" max="6419" width="10.5703125" style="4" customWidth="1"/>
    <col min="6420" max="6420" width="22" style="4" customWidth="1"/>
    <col min="6421" max="6421" width="14.42578125" style="4" customWidth="1"/>
    <col min="6422" max="6656" width="9.140625" style="4"/>
    <col min="6657" max="6657" width="4.42578125" style="4" customWidth="1"/>
    <col min="6658" max="6658" width="29.42578125" style="4" customWidth="1"/>
    <col min="6659" max="6659" width="12.42578125" style="4" bestFit="1" customWidth="1"/>
    <col min="6660" max="6660" width="5.140625" style="4" bestFit="1" customWidth="1"/>
    <col min="6661" max="6661" width="4.7109375" style="4" customWidth="1"/>
    <col min="6662" max="6662" width="10.7109375" style="4" bestFit="1" customWidth="1"/>
    <col min="6663" max="6663" width="11.85546875" style="4" bestFit="1" customWidth="1"/>
    <col min="6664" max="6664" width="4.7109375" style="4" customWidth="1"/>
    <col min="6665" max="6666" width="9.5703125" style="4" bestFit="1" customWidth="1"/>
    <col min="6667" max="6667" width="4.7109375" style="4" customWidth="1"/>
    <col min="6668" max="6669" width="9.5703125" style="4" bestFit="1" customWidth="1"/>
    <col min="6670" max="6670" width="4.85546875" style="4" customWidth="1"/>
    <col min="6671" max="6671" width="9.5703125" style="4" bestFit="1" customWidth="1"/>
    <col min="6672" max="6672" width="10.85546875" style="4" customWidth="1"/>
    <col min="6673" max="6673" width="4.85546875" style="4" customWidth="1"/>
    <col min="6674" max="6674" width="9.5703125" style="4" bestFit="1" customWidth="1"/>
    <col min="6675" max="6675" width="10.5703125" style="4" customWidth="1"/>
    <col min="6676" max="6676" width="22" style="4" customWidth="1"/>
    <col min="6677" max="6677" width="14.42578125" style="4" customWidth="1"/>
    <col min="6678" max="6912" width="9.140625" style="4"/>
    <col min="6913" max="6913" width="4.42578125" style="4" customWidth="1"/>
    <col min="6914" max="6914" width="29.42578125" style="4" customWidth="1"/>
    <col min="6915" max="6915" width="12.42578125" style="4" bestFit="1" customWidth="1"/>
    <col min="6916" max="6916" width="5.140625" style="4" bestFit="1" customWidth="1"/>
    <col min="6917" max="6917" width="4.7109375" style="4" customWidth="1"/>
    <col min="6918" max="6918" width="10.7109375" style="4" bestFit="1" customWidth="1"/>
    <col min="6919" max="6919" width="11.85546875" style="4" bestFit="1" customWidth="1"/>
    <col min="6920" max="6920" width="4.7109375" style="4" customWidth="1"/>
    <col min="6921" max="6922" width="9.5703125" style="4" bestFit="1" customWidth="1"/>
    <col min="6923" max="6923" width="4.7109375" style="4" customWidth="1"/>
    <col min="6924" max="6925" width="9.5703125" style="4" bestFit="1" customWidth="1"/>
    <col min="6926" max="6926" width="4.85546875" style="4" customWidth="1"/>
    <col min="6927" max="6927" width="9.5703125" style="4" bestFit="1" customWidth="1"/>
    <col min="6928" max="6928" width="10.85546875" style="4" customWidth="1"/>
    <col min="6929" max="6929" width="4.85546875" style="4" customWidth="1"/>
    <col min="6930" max="6930" width="9.5703125" style="4" bestFit="1" customWidth="1"/>
    <col min="6931" max="6931" width="10.5703125" style="4" customWidth="1"/>
    <col min="6932" max="6932" width="22" style="4" customWidth="1"/>
    <col min="6933" max="6933" width="14.42578125" style="4" customWidth="1"/>
    <col min="6934" max="7168" width="9.140625" style="4"/>
    <col min="7169" max="7169" width="4.42578125" style="4" customWidth="1"/>
    <col min="7170" max="7170" width="29.42578125" style="4" customWidth="1"/>
    <col min="7171" max="7171" width="12.42578125" style="4" bestFit="1" customWidth="1"/>
    <col min="7172" max="7172" width="5.140625" style="4" bestFit="1" customWidth="1"/>
    <col min="7173" max="7173" width="4.7109375" style="4" customWidth="1"/>
    <col min="7174" max="7174" width="10.7109375" style="4" bestFit="1" customWidth="1"/>
    <col min="7175" max="7175" width="11.85546875" style="4" bestFit="1" customWidth="1"/>
    <col min="7176" max="7176" width="4.7109375" style="4" customWidth="1"/>
    <col min="7177" max="7178" width="9.5703125" style="4" bestFit="1" customWidth="1"/>
    <col min="7179" max="7179" width="4.7109375" style="4" customWidth="1"/>
    <col min="7180" max="7181" width="9.5703125" style="4" bestFit="1" customWidth="1"/>
    <col min="7182" max="7182" width="4.85546875" style="4" customWidth="1"/>
    <col min="7183" max="7183" width="9.5703125" style="4" bestFit="1" customWidth="1"/>
    <col min="7184" max="7184" width="10.85546875" style="4" customWidth="1"/>
    <col min="7185" max="7185" width="4.85546875" style="4" customWidth="1"/>
    <col min="7186" max="7186" width="9.5703125" style="4" bestFit="1" customWidth="1"/>
    <col min="7187" max="7187" width="10.5703125" style="4" customWidth="1"/>
    <col min="7188" max="7188" width="22" style="4" customWidth="1"/>
    <col min="7189" max="7189" width="14.42578125" style="4" customWidth="1"/>
    <col min="7190" max="7424" width="9.140625" style="4"/>
    <col min="7425" max="7425" width="4.42578125" style="4" customWidth="1"/>
    <col min="7426" max="7426" width="29.42578125" style="4" customWidth="1"/>
    <col min="7427" max="7427" width="12.42578125" style="4" bestFit="1" customWidth="1"/>
    <col min="7428" max="7428" width="5.140625" style="4" bestFit="1" customWidth="1"/>
    <col min="7429" max="7429" width="4.7109375" style="4" customWidth="1"/>
    <col min="7430" max="7430" width="10.7109375" style="4" bestFit="1" customWidth="1"/>
    <col min="7431" max="7431" width="11.85546875" style="4" bestFit="1" customWidth="1"/>
    <col min="7432" max="7432" width="4.7109375" style="4" customWidth="1"/>
    <col min="7433" max="7434" width="9.5703125" style="4" bestFit="1" customWidth="1"/>
    <col min="7435" max="7435" width="4.7109375" style="4" customWidth="1"/>
    <col min="7436" max="7437" width="9.5703125" style="4" bestFit="1" customWidth="1"/>
    <col min="7438" max="7438" width="4.85546875" style="4" customWidth="1"/>
    <col min="7439" max="7439" width="9.5703125" style="4" bestFit="1" customWidth="1"/>
    <col min="7440" max="7440" width="10.85546875" style="4" customWidth="1"/>
    <col min="7441" max="7441" width="4.85546875" style="4" customWidth="1"/>
    <col min="7442" max="7442" width="9.5703125" style="4" bestFit="1" customWidth="1"/>
    <col min="7443" max="7443" width="10.5703125" style="4" customWidth="1"/>
    <col min="7444" max="7444" width="22" style="4" customWidth="1"/>
    <col min="7445" max="7445" width="14.42578125" style="4" customWidth="1"/>
    <col min="7446" max="7680" width="9.140625" style="4"/>
    <col min="7681" max="7681" width="4.42578125" style="4" customWidth="1"/>
    <col min="7682" max="7682" width="29.42578125" style="4" customWidth="1"/>
    <col min="7683" max="7683" width="12.42578125" style="4" bestFit="1" customWidth="1"/>
    <col min="7684" max="7684" width="5.140625" style="4" bestFit="1" customWidth="1"/>
    <col min="7685" max="7685" width="4.7109375" style="4" customWidth="1"/>
    <col min="7686" max="7686" width="10.7109375" style="4" bestFit="1" customWidth="1"/>
    <col min="7687" max="7687" width="11.85546875" style="4" bestFit="1" customWidth="1"/>
    <col min="7688" max="7688" width="4.7109375" style="4" customWidth="1"/>
    <col min="7689" max="7690" width="9.5703125" style="4" bestFit="1" customWidth="1"/>
    <col min="7691" max="7691" width="4.7109375" style="4" customWidth="1"/>
    <col min="7692" max="7693" width="9.5703125" style="4" bestFit="1" customWidth="1"/>
    <col min="7694" max="7694" width="4.85546875" style="4" customWidth="1"/>
    <col min="7695" max="7695" width="9.5703125" style="4" bestFit="1" customWidth="1"/>
    <col min="7696" max="7696" width="10.85546875" style="4" customWidth="1"/>
    <col min="7697" max="7697" width="4.85546875" style="4" customWidth="1"/>
    <col min="7698" max="7698" width="9.5703125" style="4" bestFit="1" customWidth="1"/>
    <col min="7699" max="7699" width="10.5703125" style="4" customWidth="1"/>
    <col min="7700" max="7700" width="22" style="4" customWidth="1"/>
    <col min="7701" max="7701" width="14.42578125" style="4" customWidth="1"/>
    <col min="7702" max="7936" width="9.140625" style="4"/>
    <col min="7937" max="7937" width="4.42578125" style="4" customWidth="1"/>
    <col min="7938" max="7938" width="29.42578125" style="4" customWidth="1"/>
    <col min="7939" max="7939" width="12.42578125" style="4" bestFit="1" customWidth="1"/>
    <col min="7940" max="7940" width="5.140625" style="4" bestFit="1" customWidth="1"/>
    <col min="7941" max="7941" width="4.7109375" style="4" customWidth="1"/>
    <col min="7942" max="7942" width="10.7109375" style="4" bestFit="1" customWidth="1"/>
    <col min="7943" max="7943" width="11.85546875" style="4" bestFit="1" customWidth="1"/>
    <col min="7944" max="7944" width="4.7109375" style="4" customWidth="1"/>
    <col min="7945" max="7946" width="9.5703125" style="4" bestFit="1" customWidth="1"/>
    <col min="7947" max="7947" width="4.7109375" style="4" customWidth="1"/>
    <col min="7948" max="7949" width="9.5703125" style="4" bestFit="1" customWidth="1"/>
    <col min="7950" max="7950" width="4.85546875" style="4" customWidth="1"/>
    <col min="7951" max="7951" width="9.5703125" style="4" bestFit="1" customWidth="1"/>
    <col min="7952" max="7952" width="10.85546875" style="4" customWidth="1"/>
    <col min="7953" max="7953" width="4.85546875" style="4" customWidth="1"/>
    <col min="7954" max="7954" width="9.5703125" style="4" bestFit="1" customWidth="1"/>
    <col min="7955" max="7955" width="10.5703125" style="4" customWidth="1"/>
    <col min="7956" max="7956" width="22" style="4" customWidth="1"/>
    <col min="7957" max="7957" width="14.42578125" style="4" customWidth="1"/>
    <col min="7958" max="8192" width="9.140625" style="4"/>
    <col min="8193" max="8193" width="4.42578125" style="4" customWidth="1"/>
    <col min="8194" max="8194" width="29.42578125" style="4" customWidth="1"/>
    <col min="8195" max="8195" width="12.42578125" style="4" bestFit="1" customWidth="1"/>
    <col min="8196" max="8196" width="5.140625" style="4" bestFit="1" customWidth="1"/>
    <col min="8197" max="8197" width="4.7109375" style="4" customWidth="1"/>
    <col min="8198" max="8198" width="10.7109375" style="4" bestFit="1" customWidth="1"/>
    <col min="8199" max="8199" width="11.85546875" style="4" bestFit="1" customWidth="1"/>
    <col min="8200" max="8200" width="4.7109375" style="4" customWidth="1"/>
    <col min="8201" max="8202" width="9.5703125" style="4" bestFit="1" customWidth="1"/>
    <col min="8203" max="8203" width="4.7109375" style="4" customWidth="1"/>
    <col min="8204" max="8205" width="9.5703125" style="4" bestFit="1" customWidth="1"/>
    <col min="8206" max="8206" width="4.85546875" style="4" customWidth="1"/>
    <col min="8207" max="8207" width="9.5703125" style="4" bestFit="1" customWidth="1"/>
    <col min="8208" max="8208" width="10.85546875" style="4" customWidth="1"/>
    <col min="8209" max="8209" width="4.85546875" style="4" customWidth="1"/>
    <col min="8210" max="8210" width="9.5703125" style="4" bestFit="1" customWidth="1"/>
    <col min="8211" max="8211" width="10.5703125" style="4" customWidth="1"/>
    <col min="8212" max="8212" width="22" style="4" customWidth="1"/>
    <col min="8213" max="8213" width="14.42578125" style="4" customWidth="1"/>
    <col min="8214" max="8448" width="9.140625" style="4"/>
    <col min="8449" max="8449" width="4.42578125" style="4" customWidth="1"/>
    <col min="8450" max="8450" width="29.42578125" style="4" customWidth="1"/>
    <col min="8451" max="8451" width="12.42578125" style="4" bestFit="1" customWidth="1"/>
    <col min="8452" max="8452" width="5.140625" style="4" bestFit="1" customWidth="1"/>
    <col min="8453" max="8453" width="4.7109375" style="4" customWidth="1"/>
    <col min="8454" max="8454" width="10.7109375" style="4" bestFit="1" customWidth="1"/>
    <col min="8455" max="8455" width="11.85546875" style="4" bestFit="1" customWidth="1"/>
    <col min="8456" max="8456" width="4.7109375" style="4" customWidth="1"/>
    <col min="8457" max="8458" width="9.5703125" style="4" bestFit="1" customWidth="1"/>
    <col min="8459" max="8459" width="4.7109375" style="4" customWidth="1"/>
    <col min="8460" max="8461" width="9.5703125" style="4" bestFit="1" customWidth="1"/>
    <col min="8462" max="8462" width="4.85546875" style="4" customWidth="1"/>
    <col min="8463" max="8463" width="9.5703125" style="4" bestFit="1" customWidth="1"/>
    <col min="8464" max="8464" width="10.85546875" style="4" customWidth="1"/>
    <col min="8465" max="8465" width="4.85546875" style="4" customWidth="1"/>
    <col min="8466" max="8466" width="9.5703125" style="4" bestFit="1" customWidth="1"/>
    <col min="8467" max="8467" width="10.5703125" style="4" customWidth="1"/>
    <col min="8468" max="8468" width="22" style="4" customWidth="1"/>
    <col min="8469" max="8469" width="14.42578125" style="4" customWidth="1"/>
    <col min="8470" max="8704" width="9.140625" style="4"/>
    <col min="8705" max="8705" width="4.42578125" style="4" customWidth="1"/>
    <col min="8706" max="8706" width="29.42578125" style="4" customWidth="1"/>
    <col min="8707" max="8707" width="12.42578125" style="4" bestFit="1" customWidth="1"/>
    <col min="8708" max="8708" width="5.140625" style="4" bestFit="1" customWidth="1"/>
    <col min="8709" max="8709" width="4.7109375" style="4" customWidth="1"/>
    <col min="8710" max="8710" width="10.7109375" style="4" bestFit="1" customWidth="1"/>
    <col min="8711" max="8711" width="11.85546875" style="4" bestFit="1" customWidth="1"/>
    <col min="8712" max="8712" width="4.7109375" style="4" customWidth="1"/>
    <col min="8713" max="8714" width="9.5703125" style="4" bestFit="1" customWidth="1"/>
    <col min="8715" max="8715" width="4.7109375" style="4" customWidth="1"/>
    <col min="8716" max="8717" width="9.5703125" style="4" bestFit="1" customWidth="1"/>
    <col min="8718" max="8718" width="4.85546875" style="4" customWidth="1"/>
    <col min="8719" max="8719" width="9.5703125" style="4" bestFit="1" customWidth="1"/>
    <col min="8720" max="8720" width="10.85546875" style="4" customWidth="1"/>
    <col min="8721" max="8721" width="4.85546875" style="4" customWidth="1"/>
    <col min="8722" max="8722" width="9.5703125" style="4" bestFit="1" customWidth="1"/>
    <col min="8723" max="8723" width="10.5703125" style="4" customWidth="1"/>
    <col min="8724" max="8724" width="22" style="4" customWidth="1"/>
    <col min="8725" max="8725" width="14.42578125" style="4" customWidth="1"/>
    <col min="8726" max="8960" width="9.140625" style="4"/>
    <col min="8961" max="8961" width="4.42578125" style="4" customWidth="1"/>
    <col min="8962" max="8962" width="29.42578125" style="4" customWidth="1"/>
    <col min="8963" max="8963" width="12.42578125" style="4" bestFit="1" customWidth="1"/>
    <col min="8964" max="8964" width="5.140625" style="4" bestFit="1" customWidth="1"/>
    <col min="8965" max="8965" width="4.7109375" style="4" customWidth="1"/>
    <col min="8966" max="8966" width="10.7109375" style="4" bestFit="1" customWidth="1"/>
    <col min="8967" max="8967" width="11.85546875" style="4" bestFit="1" customWidth="1"/>
    <col min="8968" max="8968" width="4.7109375" style="4" customWidth="1"/>
    <col min="8969" max="8970" width="9.5703125" style="4" bestFit="1" customWidth="1"/>
    <col min="8971" max="8971" width="4.7109375" style="4" customWidth="1"/>
    <col min="8972" max="8973" width="9.5703125" style="4" bestFit="1" customWidth="1"/>
    <col min="8974" max="8974" width="4.85546875" style="4" customWidth="1"/>
    <col min="8975" max="8975" width="9.5703125" style="4" bestFit="1" customWidth="1"/>
    <col min="8976" max="8976" width="10.85546875" style="4" customWidth="1"/>
    <col min="8977" max="8977" width="4.85546875" style="4" customWidth="1"/>
    <col min="8978" max="8978" width="9.5703125" style="4" bestFit="1" customWidth="1"/>
    <col min="8979" max="8979" width="10.5703125" style="4" customWidth="1"/>
    <col min="8980" max="8980" width="22" style="4" customWidth="1"/>
    <col min="8981" max="8981" width="14.42578125" style="4" customWidth="1"/>
    <col min="8982" max="9216" width="9.140625" style="4"/>
    <col min="9217" max="9217" width="4.42578125" style="4" customWidth="1"/>
    <col min="9218" max="9218" width="29.42578125" style="4" customWidth="1"/>
    <col min="9219" max="9219" width="12.42578125" style="4" bestFit="1" customWidth="1"/>
    <col min="9220" max="9220" width="5.140625" style="4" bestFit="1" customWidth="1"/>
    <col min="9221" max="9221" width="4.7109375" style="4" customWidth="1"/>
    <col min="9222" max="9222" width="10.7109375" style="4" bestFit="1" customWidth="1"/>
    <col min="9223" max="9223" width="11.85546875" style="4" bestFit="1" customWidth="1"/>
    <col min="9224" max="9224" width="4.7109375" style="4" customWidth="1"/>
    <col min="9225" max="9226" width="9.5703125" style="4" bestFit="1" customWidth="1"/>
    <col min="9227" max="9227" width="4.7109375" style="4" customWidth="1"/>
    <col min="9228" max="9229" width="9.5703125" style="4" bestFit="1" customWidth="1"/>
    <col min="9230" max="9230" width="4.85546875" style="4" customWidth="1"/>
    <col min="9231" max="9231" width="9.5703125" style="4" bestFit="1" customWidth="1"/>
    <col min="9232" max="9232" width="10.85546875" style="4" customWidth="1"/>
    <col min="9233" max="9233" width="4.85546875" style="4" customWidth="1"/>
    <col min="9234" max="9234" width="9.5703125" style="4" bestFit="1" customWidth="1"/>
    <col min="9235" max="9235" width="10.5703125" style="4" customWidth="1"/>
    <col min="9236" max="9236" width="22" style="4" customWidth="1"/>
    <col min="9237" max="9237" width="14.42578125" style="4" customWidth="1"/>
    <col min="9238" max="9472" width="9.140625" style="4"/>
    <col min="9473" max="9473" width="4.42578125" style="4" customWidth="1"/>
    <col min="9474" max="9474" width="29.42578125" style="4" customWidth="1"/>
    <col min="9475" max="9475" width="12.42578125" style="4" bestFit="1" customWidth="1"/>
    <col min="9476" max="9476" width="5.140625" style="4" bestFit="1" customWidth="1"/>
    <col min="9477" max="9477" width="4.7109375" style="4" customWidth="1"/>
    <col min="9478" max="9478" width="10.7109375" style="4" bestFit="1" customWidth="1"/>
    <col min="9479" max="9479" width="11.85546875" style="4" bestFit="1" customWidth="1"/>
    <col min="9480" max="9480" width="4.7109375" style="4" customWidth="1"/>
    <col min="9481" max="9482" width="9.5703125" style="4" bestFit="1" customWidth="1"/>
    <col min="9483" max="9483" width="4.7109375" style="4" customWidth="1"/>
    <col min="9484" max="9485" width="9.5703125" style="4" bestFit="1" customWidth="1"/>
    <col min="9486" max="9486" width="4.85546875" style="4" customWidth="1"/>
    <col min="9487" max="9487" width="9.5703125" style="4" bestFit="1" customWidth="1"/>
    <col min="9488" max="9488" width="10.85546875" style="4" customWidth="1"/>
    <col min="9489" max="9489" width="4.85546875" style="4" customWidth="1"/>
    <col min="9490" max="9490" width="9.5703125" style="4" bestFit="1" customWidth="1"/>
    <col min="9491" max="9491" width="10.5703125" style="4" customWidth="1"/>
    <col min="9492" max="9492" width="22" style="4" customWidth="1"/>
    <col min="9493" max="9493" width="14.42578125" style="4" customWidth="1"/>
    <col min="9494" max="9728" width="9.140625" style="4"/>
    <col min="9729" max="9729" width="4.42578125" style="4" customWidth="1"/>
    <col min="9730" max="9730" width="29.42578125" style="4" customWidth="1"/>
    <col min="9731" max="9731" width="12.42578125" style="4" bestFit="1" customWidth="1"/>
    <col min="9732" max="9732" width="5.140625" style="4" bestFit="1" customWidth="1"/>
    <col min="9733" max="9733" width="4.7109375" style="4" customWidth="1"/>
    <col min="9734" max="9734" width="10.7109375" style="4" bestFit="1" customWidth="1"/>
    <col min="9735" max="9735" width="11.85546875" style="4" bestFit="1" customWidth="1"/>
    <col min="9736" max="9736" width="4.7109375" style="4" customWidth="1"/>
    <col min="9737" max="9738" width="9.5703125" style="4" bestFit="1" customWidth="1"/>
    <col min="9739" max="9739" width="4.7109375" style="4" customWidth="1"/>
    <col min="9740" max="9741" width="9.5703125" style="4" bestFit="1" customWidth="1"/>
    <col min="9742" max="9742" width="4.85546875" style="4" customWidth="1"/>
    <col min="9743" max="9743" width="9.5703125" style="4" bestFit="1" customWidth="1"/>
    <col min="9744" max="9744" width="10.85546875" style="4" customWidth="1"/>
    <col min="9745" max="9745" width="4.85546875" style="4" customWidth="1"/>
    <col min="9746" max="9746" width="9.5703125" style="4" bestFit="1" customWidth="1"/>
    <col min="9747" max="9747" width="10.5703125" style="4" customWidth="1"/>
    <col min="9748" max="9748" width="22" style="4" customWidth="1"/>
    <col min="9749" max="9749" width="14.42578125" style="4" customWidth="1"/>
    <col min="9750" max="9984" width="9.140625" style="4"/>
    <col min="9985" max="9985" width="4.42578125" style="4" customWidth="1"/>
    <col min="9986" max="9986" width="29.42578125" style="4" customWidth="1"/>
    <col min="9987" max="9987" width="12.42578125" style="4" bestFit="1" customWidth="1"/>
    <col min="9988" max="9988" width="5.140625" style="4" bestFit="1" customWidth="1"/>
    <col min="9989" max="9989" width="4.7109375" style="4" customWidth="1"/>
    <col min="9990" max="9990" width="10.7109375" style="4" bestFit="1" customWidth="1"/>
    <col min="9991" max="9991" width="11.85546875" style="4" bestFit="1" customWidth="1"/>
    <col min="9992" max="9992" width="4.7109375" style="4" customWidth="1"/>
    <col min="9993" max="9994" width="9.5703125" style="4" bestFit="1" customWidth="1"/>
    <col min="9995" max="9995" width="4.7109375" style="4" customWidth="1"/>
    <col min="9996" max="9997" width="9.5703125" style="4" bestFit="1" customWidth="1"/>
    <col min="9998" max="9998" width="4.85546875" style="4" customWidth="1"/>
    <col min="9999" max="9999" width="9.5703125" style="4" bestFit="1" customWidth="1"/>
    <col min="10000" max="10000" width="10.85546875" style="4" customWidth="1"/>
    <col min="10001" max="10001" width="4.85546875" style="4" customWidth="1"/>
    <col min="10002" max="10002" width="9.5703125" style="4" bestFit="1" customWidth="1"/>
    <col min="10003" max="10003" width="10.5703125" style="4" customWidth="1"/>
    <col min="10004" max="10004" width="22" style="4" customWidth="1"/>
    <col min="10005" max="10005" width="14.42578125" style="4" customWidth="1"/>
    <col min="10006" max="10240" width="9.140625" style="4"/>
    <col min="10241" max="10241" width="4.42578125" style="4" customWidth="1"/>
    <col min="10242" max="10242" width="29.42578125" style="4" customWidth="1"/>
    <col min="10243" max="10243" width="12.42578125" style="4" bestFit="1" customWidth="1"/>
    <col min="10244" max="10244" width="5.140625" style="4" bestFit="1" customWidth="1"/>
    <col min="10245" max="10245" width="4.7109375" style="4" customWidth="1"/>
    <col min="10246" max="10246" width="10.7109375" style="4" bestFit="1" customWidth="1"/>
    <col min="10247" max="10247" width="11.85546875" style="4" bestFit="1" customWidth="1"/>
    <col min="10248" max="10248" width="4.7109375" style="4" customWidth="1"/>
    <col min="10249" max="10250" width="9.5703125" style="4" bestFit="1" customWidth="1"/>
    <col min="10251" max="10251" width="4.7109375" style="4" customWidth="1"/>
    <col min="10252" max="10253" width="9.5703125" style="4" bestFit="1" customWidth="1"/>
    <col min="10254" max="10254" width="4.85546875" style="4" customWidth="1"/>
    <col min="10255" max="10255" width="9.5703125" style="4" bestFit="1" customWidth="1"/>
    <col min="10256" max="10256" width="10.85546875" style="4" customWidth="1"/>
    <col min="10257" max="10257" width="4.85546875" style="4" customWidth="1"/>
    <col min="10258" max="10258" width="9.5703125" style="4" bestFit="1" customWidth="1"/>
    <col min="10259" max="10259" width="10.5703125" style="4" customWidth="1"/>
    <col min="10260" max="10260" width="22" style="4" customWidth="1"/>
    <col min="10261" max="10261" width="14.42578125" style="4" customWidth="1"/>
    <col min="10262" max="10496" width="9.140625" style="4"/>
    <col min="10497" max="10497" width="4.42578125" style="4" customWidth="1"/>
    <col min="10498" max="10498" width="29.42578125" style="4" customWidth="1"/>
    <col min="10499" max="10499" width="12.42578125" style="4" bestFit="1" customWidth="1"/>
    <col min="10500" max="10500" width="5.140625" style="4" bestFit="1" customWidth="1"/>
    <col min="10501" max="10501" width="4.7109375" style="4" customWidth="1"/>
    <col min="10502" max="10502" width="10.7109375" style="4" bestFit="1" customWidth="1"/>
    <col min="10503" max="10503" width="11.85546875" style="4" bestFit="1" customWidth="1"/>
    <col min="10504" max="10504" width="4.7109375" style="4" customWidth="1"/>
    <col min="10505" max="10506" width="9.5703125" style="4" bestFit="1" customWidth="1"/>
    <col min="10507" max="10507" width="4.7109375" style="4" customWidth="1"/>
    <col min="10508" max="10509" width="9.5703125" style="4" bestFit="1" customWidth="1"/>
    <col min="10510" max="10510" width="4.85546875" style="4" customWidth="1"/>
    <col min="10511" max="10511" width="9.5703125" style="4" bestFit="1" customWidth="1"/>
    <col min="10512" max="10512" width="10.85546875" style="4" customWidth="1"/>
    <col min="10513" max="10513" width="4.85546875" style="4" customWidth="1"/>
    <col min="10514" max="10514" width="9.5703125" style="4" bestFit="1" customWidth="1"/>
    <col min="10515" max="10515" width="10.5703125" style="4" customWidth="1"/>
    <col min="10516" max="10516" width="22" style="4" customWidth="1"/>
    <col min="10517" max="10517" width="14.42578125" style="4" customWidth="1"/>
    <col min="10518" max="10752" width="9.140625" style="4"/>
    <col min="10753" max="10753" width="4.42578125" style="4" customWidth="1"/>
    <col min="10754" max="10754" width="29.42578125" style="4" customWidth="1"/>
    <col min="10755" max="10755" width="12.42578125" style="4" bestFit="1" customWidth="1"/>
    <col min="10756" max="10756" width="5.140625" style="4" bestFit="1" customWidth="1"/>
    <col min="10757" max="10757" width="4.7109375" style="4" customWidth="1"/>
    <col min="10758" max="10758" width="10.7109375" style="4" bestFit="1" customWidth="1"/>
    <col min="10759" max="10759" width="11.85546875" style="4" bestFit="1" customWidth="1"/>
    <col min="10760" max="10760" width="4.7109375" style="4" customWidth="1"/>
    <col min="10761" max="10762" width="9.5703125" style="4" bestFit="1" customWidth="1"/>
    <col min="10763" max="10763" width="4.7109375" style="4" customWidth="1"/>
    <col min="10764" max="10765" width="9.5703125" style="4" bestFit="1" customWidth="1"/>
    <col min="10766" max="10766" width="4.85546875" style="4" customWidth="1"/>
    <col min="10767" max="10767" width="9.5703125" style="4" bestFit="1" customWidth="1"/>
    <col min="10768" max="10768" width="10.85546875" style="4" customWidth="1"/>
    <col min="10769" max="10769" width="4.85546875" style="4" customWidth="1"/>
    <col min="10770" max="10770" width="9.5703125" style="4" bestFit="1" customWidth="1"/>
    <col min="10771" max="10771" width="10.5703125" style="4" customWidth="1"/>
    <col min="10772" max="10772" width="22" style="4" customWidth="1"/>
    <col min="10773" max="10773" width="14.42578125" style="4" customWidth="1"/>
    <col min="10774" max="11008" width="9.140625" style="4"/>
    <col min="11009" max="11009" width="4.42578125" style="4" customWidth="1"/>
    <col min="11010" max="11010" width="29.42578125" style="4" customWidth="1"/>
    <col min="11011" max="11011" width="12.42578125" style="4" bestFit="1" customWidth="1"/>
    <col min="11012" max="11012" width="5.140625" style="4" bestFit="1" customWidth="1"/>
    <col min="11013" max="11013" width="4.7109375" style="4" customWidth="1"/>
    <col min="11014" max="11014" width="10.7109375" style="4" bestFit="1" customWidth="1"/>
    <col min="11015" max="11015" width="11.85546875" style="4" bestFit="1" customWidth="1"/>
    <col min="11016" max="11016" width="4.7109375" style="4" customWidth="1"/>
    <col min="11017" max="11018" width="9.5703125" style="4" bestFit="1" customWidth="1"/>
    <col min="11019" max="11019" width="4.7109375" style="4" customWidth="1"/>
    <col min="11020" max="11021" width="9.5703125" style="4" bestFit="1" customWidth="1"/>
    <col min="11022" max="11022" width="4.85546875" style="4" customWidth="1"/>
    <col min="11023" max="11023" width="9.5703125" style="4" bestFit="1" customWidth="1"/>
    <col min="11024" max="11024" width="10.85546875" style="4" customWidth="1"/>
    <col min="11025" max="11025" width="4.85546875" style="4" customWidth="1"/>
    <col min="11026" max="11026" width="9.5703125" style="4" bestFit="1" customWidth="1"/>
    <col min="11027" max="11027" width="10.5703125" style="4" customWidth="1"/>
    <col min="11028" max="11028" width="22" style="4" customWidth="1"/>
    <col min="11029" max="11029" width="14.42578125" style="4" customWidth="1"/>
    <col min="11030" max="11264" width="9.140625" style="4"/>
    <col min="11265" max="11265" width="4.42578125" style="4" customWidth="1"/>
    <col min="11266" max="11266" width="29.42578125" style="4" customWidth="1"/>
    <col min="11267" max="11267" width="12.42578125" style="4" bestFit="1" customWidth="1"/>
    <col min="11268" max="11268" width="5.140625" style="4" bestFit="1" customWidth="1"/>
    <col min="11269" max="11269" width="4.7109375" style="4" customWidth="1"/>
    <col min="11270" max="11270" width="10.7109375" style="4" bestFit="1" customWidth="1"/>
    <col min="11271" max="11271" width="11.85546875" style="4" bestFit="1" customWidth="1"/>
    <col min="11272" max="11272" width="4.7109375" style="4" customWidth="1"/>
    <col min="11273" max="11274" width="9.5703125" style="4" bestFit="1" customWidth="1"/>
    <col min="11275" max="11275" width="4.7109375" style="4" customWidth="1"/>
    <col min="11276" max="11277" width="9.5703125" style="4" bestFit="1" customWidth="1"/>
    <col min="11278" max="11278" width="4.85546875" style="4" customWidth="1"/>
    <col min="11279" max="11279" width="9.5703125" style="4" bestFit="1" customWidth="1"/>
    <col min="11280" max="11280" width="10.85546875" style="4" customWidth="1"/>
    <col min="11281" max="11281" width="4.85546875" style="4" customWidth="1"/>
    <col min="11282" max="11282" width="9.5703125" style="4" bestFit="1" customWidth="1"/>
    <col min="11283" max="11283" width="10.5703125" style="4" customWidth="1"/>
    <col min="11284" max="11284" width="22" style="4" customWidth="1"/>
    <col min="11285" max="11285" width="14.42578125" style="4" customWidth="1"/>
    <col min="11286" max="11520" width="9.140625" style="4"/>
    <col min="11521" max="11521" width="4.42578125" style="4" customWidth="1"/>
    <col min="11522" max="11522" width="29.42578125" style="4" customWidth="1"/>
    <col min="11523" max="11523" width="12.42578125" style="4" bestFit="1" customWidth="1"/>
    <col min="11524" max="11524" width="5.140625" style="4" bestFit="1" customWidth="1"/>
    <col min="11525" max="11525" width="4.7109375" style="4" customWidth="1"/>
    <col min="11526" max="11526" width="10.7109375" style="4" bestFit="1" customWidth="1"/>
    <col min="11527" max="11527" width="11.85546875" style="4" bestFit="1" customWidth="1"/>
    <col min="11528" max="11528" width="4.7109375" style="4" customWidth="1"/>
    <col min="11529" max="11530" width="9.5703125" style="4" bestFit="1" customWidth="1"/>
    <col min="11531" max="11531" width="4.7109375" style="4" customWidth="1"/>
    <col min="11532" max="11533" width="9.5703125" style="4" bestFit="1" customWidth="1"/>
    <col min="11534" max="11534" width="4.85546875" style="4" customWidth="1"/>
    <col min="11535" max="11535" width="9.5703125" style="4" bestFit="1" customWidth="1"/>
    <col min="11536" max="11536" width="10.85546875" style="4" customWidth="1"/>
    <col min="11537" max="11537" width="4.85546875" style="4" customWidth="1"/>
    <col min="11538" max="11538" width="9.5703125" style="4" bestFit="1" customWidth="1"/>
    <col min="11539" max="11539" width="10.5703125" style="4" customWidth="1"/>
    <col min="11540" max="11540" width="22" style="4" customWidth="1"/>
    <col min="11541" max="11541" width="14.42578125" style="4" customWidth="1"/>
    <col min="11542" max="11776" width="9.140625" style="4"/>
    <col min="11777" max="11777" width="4.42578125" style="4" customWidth="1"/>
    <col min="11778" max="11778" width="29.42578125" style="4" customWidth="1"/>
    <col min="11779" max="11779" width="12.42578125" style="4" bestFit="1" customWidth="1"/>
    <col min="11780" max="11780" width="5.140625" style="4" bestFit="1" customWidth="1"/>
    <col min="11781" max="11781" width="4.7109375" style="4" customWidth="1"/>
    <col min="11782" max="11782" width="10.7109375" style="4" bestFit="1" customWidth="1"/>
    <col min="11783" max="11783" width="11.85546875" style="4" bestFit="1" customWidth="1"/>
    <col min="11784" max="11784" width="4.7109375" style="4" customWidth="1"/>
    <col min="11785" max="11786" width="9.5703125" style="4" bestFit="1" customWidth="1"/>
    <col min="11787" max="11787" width="4.7109375" style="4" customWidth="1"/>
    <col min="11788" max="11789" width="9.5703125" style="4" bestFit="1" customWidth="1"/>
    <col min="11790" max="11790" width="4.85546875" style="4" customWidth="1"/>
    <col min="11791" max="11791" width="9.5703125" style="4" bestFit="1" customWidth="1"/>
    <col min="11792" max="11792" width="10.85546875" style="4" customWidth="1"/>
    <col min="11793" max="11793" width="4.85546875" style="4" customWidth="1"/>
    <col min="11794" max="11794" width="9.5703125" style="4" bestFit="1" customWidth="1"/>
    <col min="11795" max="11795" width="10.5703125" style="4" customWidth="1"/>
    <col min="11796" max="11796" width="22" style="4" customWidth="1"/>
    <col min="11797" max="11797" width="14.42578125" style="4" customWidth="1"/>
    <col min="11798" max="12032" width="9.140625" style="4"/>
    <col min="12033" max="12033" width="4.42578125" style="4" customWidth="1"/>
    <col min="12034" max="12034" width="29.42578125" style="4" customWidth="1"/>
    <col min="12035" max="12035" width="12.42578125" style="4" bestFit="1" customWidth="1"/>
    <col min="12036" max="12036" width="5.140625" style="4" bestFit="1" customWidth="1"/>
    <col min="12037" max="12037" width="4.7109375" style="4" customWidth="1"/>
    <col min="12038" max="12038" width="10.7109375" style="4" bestFit="1" customWidth="1"/>
    <col min="12039" max="12039" width="11.85546875" style="4" bestFit="1" customWidth="1"/>
    <col min="12040" max="12040" width="4.7109375" style="4" customWidth="1"/>
    <col min="12041" max="12042" width="9.5703125" style="4" bestFit="1" customWidth="1"/>
    <col min="12043" max="12043" width="4.7109375" style="4" customWidth="1"/>
    <col min="12044" max="12045" width="9.5703125" style="4" bestFit="1" customWidth="1"/>
    <col min="12046" max="12046" width="4.85546875" style="4" customWidth="1"/>
    <col min="12047" max="12047" width="9.5703125" style="4" bestFit="1" customWidth="1"/>
    <col min="12048" max="12048" width="10.85546875" style="4" customWidth="1"/>
    <col min="12049" max="12049" width="4.85546875" style="4" customWidth="1"/>
    <col min="12050" max="12050" width="9.5703125" style="4" bestFit="1" customWidth="1"/>
    <col min="12051" max="12051" width="10.5703125" style="4" customWidth="1"/>
    <col min="12052" max="12052" width="22" style="4" customWidth="1"/>
    <col min="12053" max="12053" width="14.42578125" style="4" customWidth="1"/>
    <col min="12054" max="12288" width="9.140625" style="4"/>
    <col min="12289" max="12289" width="4.42578125" style="4" customWidth="1"/>
    <col min="12290" max="12290" width="29.42578125" style="4" customWidth="1"/>
    <col min="12291" max="12291" width="12.42578125" style="4" bestFit="1" customWidth="1"/>
    <col min="12292" max="12292" width="5.140625" style="4" bestFit="1" customWidth="1"/>
    <col min="12293" max="12293" width="4.7109375" style="4" customWidth="1"/>
    <col min="12294" max="12294" width="10.7109375" style="4" bestFit="1" customWidth="1"/>
    <col min="12295" max="12295" width="11.85546875" style="4" bestFit="1" customWidth="1"/>
    <col min="12296" max="12296" width="4.7109375" style="4" customWidth="1"/>
    <col min="12297" max="12298" width="9.5703125" style="4" bestFit="1" customWidth="1"/>
    <col min="12299" max="12299" width="4.7109375" style="4" customWidth="1"/>
    <col min="12300" max="12301" width="9.5703125" style="4" bestFit="1" customWidth="1"/>
    <col min="12302" max="12302" width="4.85546875" style="4" customWidth="1"/>
    <col min="12303" max="12303" width="9.5703125" style="4" bestFit="1" customWidth="1"/>
    <col min="12304" max="12304" width="10.85546875" style="4" customWidth="1"/>
    <col min="12305" max="12305" width="4.85546875" style="4" customWidth="1"/>
    <col min="12306" max="12306" width="9.5703125" style="4" bestFit="1" customWidth="1"/>
    <col min="12307" max="12307" width="10.5703125" style="4" customWidth="1"/>
    <col min="12308" max="12308" width="22" style="4" customWidth="1"/>
    <col min="12309" max="12309" width="14.42578125" style="4" customWidth="1"/>
    <col min="12310" max="12544" width="9.140625" style="4"/>
    <col min="12545" max="12545" width="4.42578125" style="4" customWidth="1"/>
    <col min="12546" max="12546" width="29.42578125" style="4" customWidth="1"/>
    <col min="12547" max="12547" width="12.42578125" style="4" bestFit="1" customWidth="1"/>
    <col min="12548" max="12548" width="5.140625" style="4" bestFit="1" customWidth="1"/>
    <col min="12549" max="12549" width="4.7109375" style="4" customWidth="1"/>
    <col min="12550" max="12550" width="10.7109375" style="4" bestFit="1" customWidth="1"/>
    <col min="12551" max="12551" width="11.85546875" style="4" bestFit="1" customWidth="1"/>
    <col min="12552" max="12552" width="4.7109375" style="4" customWidth="1"/>
    <col min="12553" max="12554" width="9.5703125" style="4" bestFit="1" customWidth="1"/>
    <col min="12555" max="12555" width="4.7109375" style="4" customWidth="1"/>
    <col min="12556" max="12557" width="9.5703125" style="4" bestFit="1" customWidth="1"/>
    <col min="12558" max="12558" width="4.85546875" style="4" customWidth="1"/>
    <col min="12559" max="12559" width="9.5703125" style="4" bestFit="1" customWidth="1"/>
    <col min="12560" max="12560" width="10.85546875" style="4" customWidth="1"/>
    <col min="12561" max="12561" width="4.85546875" style="4" customWidth="1"/>
    <col min="12562" max="12562" width="9.5703125" style="4" bestFit="1" customWidth="1"/>
    <col min="12563" max="12563" width="10.5703125" style="4" customWidth="1"/>
    <col min="12564" max="12564" width="22" style="4" customWidth="1"/>
    <col min="12565" max="12565" width="14.42578125" style="4" customWidth="1"/>
    <col min="12566" max="12800" width="9.140625" style="4"/>
    <col min="12801" max="12801" width="4.42578125" style="4" customWidth="1"/>
    <col min="12802" max="12802" width="29.42578125" style="4" customWidth="1"/>
    <col min="12803" max="12803" width="12.42578125" style="4" bestFit="1" customWidth="1"/>
    <col min="12804" max="12804" width="5.140625" style="4" bestFit="1" customWidth="1"/>
    <col min="12805" max="12805" width="4.7109375" style="4" customWidth="1"/>
    <col min="12806" max="12806" width="10.7109375" style="4" bestFit="1" customWidth="1"/>
    <col min="12807" max="12807" width="11.85546875" style="4" bestFit="1" customWidth="1"/>
    <col min="12808" max="12808" width="4.7109375" style="4" customWidth="1"/>
    <col min="12809" max="12810" width="9.5703125" style="4" bestFit="1" customWidth="1"/>
    <col min="12811" max="12811" width="4.7109375" style="4" customWidth="1"/>
    <col min="12812" max="12813" width="9.5703125" style="4" bestFit="1" customWidth="1"/>
    <col min="12814" max="12814" width="4.85546875" style="4" customWidth="1"/>
    <col min="12815" max="12815" width="9.5703125" style="4" bestFit="1" customWidth="1"/>
    <col min="12816" max="12816" width="10.85546875" style="4" customWidth="1"/>
    <col min="12817" max="12817" width="4.85546875" style="4" customWidth="1"/>
    <col min="12818" max="12818" width="9.5703125" style="4" bestFit="1" customWidth="1"/>
    <col min="12819" max="12819" width="10.5703125" style="4" customWidth="1"/>
    <col min="12820" max="12820" width="22" style="4" customWidth="1"/>
    <col min="12821" max="12821" width="14.42578125" style="4" customWidth="1"/>
    <col min="12822" max="13056" width="9.140625" style="4"/>
    <col min="13057" max="13057" width="4.42578125" style="4" customWidth="1"/>
    <col min="13058" max="13058" width="29.42578125" style="4" customWidth="1"/>
    <col min="13059" max="13059" width="12.42578125" style="4" bestFit="1" customWidth="1"/>
    <col min="13060" max="13060" width="5.140625" style="4" bestFit="1" customWidth="1"/>
    <col min="13061" max="13061" width="4.7109375" style="4" customWidth="1"/>
    <col min="13062" max="13062" width="10.7109375" style="4" bestFit="1" customWidth="1"/>
    <col min="13063" max="13063" width="11.85546875" style="4" bestFit="1" customWidth="1"/>
    <col min="13064" max="13064" width="4.7109375" style="4" customWidth="1"/>
    <col min="13065" max="13066" width="9.5703125" style="4" bestFit="1" customWidth="1"/>
    <col min="13067" max="13067" width="4.7109375" style="4" customWidth="1"/>
    <col min="13068" max="13069" width="9.5703125" style="4" bestFit="1" customWidth="1"/>
    <col min="13070" max="13070" width="4.85546875" style="4" customWidth="1"/>
    <col min="13071" max="13071" width="9.5703125" style="4" bestFit="1" customWidth="1"/>
    <col min="13072" max="13072" width="10.85546875" style="4" customWidth="1"/>
    <col min="13073" max="13073" width="4.85546875" style="4" customWidth="1"/>
    <col min="13074" max="13074" width="9.5703125" style="4" bestFit="1" customWidth="1"/>
    <col min="13075" max="13075" width="10.5703125" style="4" customWidth="1"/>
    <col min="13076" max="13076" width="22" style="4" customWidth="1"/>
    <col min="13077" max="13077" width="14.42578125" style="4" customWidth="1"/>
    <col min="13078" max="13312" width="9.140625" style="4"/>
    <col min="13313" max="13313" width="4.42578125" style="4" customWidth="1"/>
    <col min="13314" max="13314" width="29.42578125" style="4" customWidth="1"/>
    <col min="13315" max="13315" width="12.42578125" style="4" bestFit="1" customWidth="1"/>
    <col min="13316" max="13316" width="5.140625" style="4" bestFit="1" customWidth="1"/>
    <col min="13317" max="13317" width="4.7109375" style="4" customWidth="1"/>
    <col min="13318" max="13318" width="10.7109375" style="4" bestFit="1" customWidth="1"/>
    <col min="13319" max="13319" width="11.85546875" style="4" bestFit="1" customWidth="1"/>
    <col min="13320" max="13320" width="4.7109375" style="4" customWidth="1"/>
    <col min="13321" max="13322" width="9.5703125" style="4" bestFit="1" customWidth="1"/>
    <col min="13323" max="13323" width="4.7109375" style="4" customWidth="1"/>
    <col min="13324" max="13325" width="9.5703125" style="4" bestFit="1" customWidth="1"/>
    <col min="13326" max="13326" width="4.85546875" style="4" customWidth="1"/>
    <col min="13327" max="13327" width="9.5703125" style="4" bestFit="1" customWidth="1"/>
    <col min="13328" max="13328" width="10.85546875" style="4" customWidth="1"/>
    <col min="13329" max="13329" width="4.85546875" style="4" customWidth="1"/>
    <col min="13330" max="13330" width="9.5703125" style="4" bestFit="1" customWidth="1"/>
    <col min="13331" max="13331" width="10.5703125" style="4" customWidth="1"/>
    <col min="13332" max="13332" width="22" style="4" customWidth="1"/>
    <col min="13333" max="13333" width="14.42578125" style="4" customWidth="1"/>
    <col min="13334" max="13568" width="9.140625" style="4"/>
    <col min="13569" max="13569" width="4.42578125" style="4" customWidth="1"/>
    <col min="13570" max="13570" width="29.42578125" style="4" customWidth="1"/>
    <col min="13571" max="13571" width="12.42578125" style="4" bestFit="1" customWidth="1"/>
    <col min="13572" max="13572" width="5.140625" style="4" bestFit="1" customWidth="1"/>
    <col min="13573" max="13573" width="4.7109375" style="4" customWidth="1"/>
    <col min="13574" max="13574" width="10.7109375" style="4" bestFit="1" customWidth="1"/>
    <col min="13575" max="13575" width="11.85546875" style="4" bestFit="1" customWidth="1"/>
    <col min="13576" max="13576" width="4.7109375" style="4" customWidth="1"/>
    <col min="13577" max="13578" width="9.5703125" style="4" bestFit="1" customWidth="1"/>
    <col min="13579" max="13579" width="4.7109375" style="4" customWidth="1"/>
    <col min="13580" max="13581" width="9.5703125" style="4" bestFit="1" customWidth="1"/>
    <col min="13582" max="13582" width="4.85546875" style="4" customWidth="1"/>
    <col min="13583" max="13583" width="9.5703125" style="4" bestFit="1" customWidth="1"/>
    <col min="13584" max="13584" width="10.85546875" style="4" customWidth="1"/>
    <col min="13585" max="13585" width="4.85546875" style="4" customWidth="1"/>
    <col min="13586" max="13586" width="9.5703125" style="4" bestFit="1" customWidth="1"/>
    <col min="13587" max="13587" width="10.5703125" style="4" customWidth="1"/>
    <col min="13588" max="13588" width="22" style="4" customWidth="1"/>
    <col min="13589" max="13589" width="14.42578125" style="4" customWidth="1"/>
    <col min="13590" max="13824" width="9.140625" style="4"/>
    <col min="13825" max="13825" width="4.42578125" style="4" customWidth="1"/>
    <col min="13826" max="13826" width="29.42578125" style="4" customWidth="1"/>
    <col min="13827" max="13827" width="12.42578125" style="4" bestFit="1" customWidth="1"/>
    <col min="13828" max="13828" width="5.140625" style="4" bestFit="1" customWidth="1"/>
    <col min="13829" max="13829" width="4.7109375" style="4" customWidth="1"/>
    <col min="13830" max="13830" width="10.7109375" style="4" bestFit="1" customWidth="1"/>
    <col min="13831" max="13831" width="11.85546875" style="4" bestFit="1" customWidth="1"/>
    <col min="13832" max="13832" width="4.7109375" style="4" customWidth="1"/>
    <col min="13833" max="13834" width="9.5703125" style="4" bestFit="1" customWidth="1"/>
    <col min="13835" max="13835" width="4.7109375" style="4" customWidth="1"/>
    <col min="13836" max="13837" width="9.5703125" style="4" bestFit="1" customWidth="1"/>
    <col min="13838" max="13838" width="4.85546875" style="4" customWidth="1"/>
    <col min="13839" max="13839" width="9.5703125" style="4" bestFit="1" customWidth="1"/>
    <col min="13840" max="13840" width="10.85546875" style="4" customWidth="1"/>
    <col min="13841" max="13841" width="4.85546875" style="4" customWidth="1"/>
    <col min="13842" max="13842" width="9.5703125" style="4" bestFit="1" customWidth="1"/>
    <col min="13843" max="13843" width="10.5703125" style="4" customWidth="1"/>
    <col min="13844" max="13844" width="22" style="4" customWidth="1"/>
    <col min="13845" max="13845" width="14.42578125" style="4" customWidth="1"/>
    <col min="13846" max="14080" width="9.140625" style="4"/>
    <col min="14081" max="14081" width="4.42578125" style="4" customWidth="1"/>
    <col min="14082" max="14082" width="29.42578125" style="4" customWidth="1"/>
    <col min="14083" max="14083" width="12.42578125" style="4" bestFit="1" customWidth="1"/>
    <col min="14084" max="14084" width="5.140625" style="4" bestFit="1" customWidth="1"/>
    <col min="14085" max="14085" width="4.7109375" style="4" customWidth="1"/>
    <col min="14086" max="14086" width="10.7109375" style="4" bestFit="1" customWidth="1"/>
    <col min="14087" max="14087" width="11.85546875" style="4" bestFit="1" customWidth="1"/>
    <col min="14088" max="14088" width="4.7109375" style="4" customWidth="1"/>
    <col min="14089" max="14090" width="9.5703125" style="4" bestFit="1" customWidth="1"/>
    <col min="14091" max="14091" width="4.7109375" style="4" customWidth="1"/>
    <col min="14092" max="14093" width="9.5703125" style="4" bestFit="1" customWidth="1"/>
    <col min="14094" max="14094" width="4.85546875" style="4" customWidth="1"/>
    <col min="14095" max="14095" width="9.5703125" style="4" bestFit="1" customWidth="1"/>
    <col min="14096" max="14096" width="10.85546875" style="4" customWidth="1"/>
    <col min="14097" max="14097" width="4.85546875" style="4" customWidth="1"/>
    <col min="14098" max="14098" width="9.5703125" style="4" bestFit="1" customWidth="1"/>
    <col min="14099" max="14099" width="10.5703125" style="4" customWidth="1"/>
    <col min="14100" max="14100" width="22" style="4" customWidth="1"/>
    <col min="14101" max="14101" width="14.42578125" style="4" customWidth="1"/>
    <col min="14102" max="14336" width="9.140625" style="4"/>
    <col min="14337" max="14337" width="4.42578125" style="4" customWidth="1"/>
    <col min="14338" max="14338" width="29.42578125" style="4" customWidth="1"/>
    <col min="14339" max="14339" width="12.42578125" style="4" bestFit="1" customWidth="1"/>
    <col min="14340" max="14340" width="5.140625" style="4" bestFit="1" customWidth="1"/>
    <col min="14341" max="14341" width="4.7109375" style="4" customWidth="1"/>
    <col min="14342" max="14342" width="10.7109375" style="4" bestFit="1" customWidth="1"/>
    <col min="14343" max="14343" width="11.85546875" style="4" bestFit="1" customWidth="1"/>
    <col min="14344" max="14344" width="4.7109375" style="4" customWidth="1"/>
    <col min="14345" max="14346" width="9.5703125" style="4" bestFit="1" customWidth="1"/>
    <col min="14347" max="14347" width="4.7109375" style="4" customWidth="1"/>
    <col min="14348" max="14349" width="9.5703125" style="4" bestFit="1" customWidth="1"/>
    <col min="14350" max="14350" width="4.85546875" style="4" customWidth="1"/>
    <col min="14351" max="14351" width="9.5703125" style="4" bestFit="1" customWidth="1"/>
    <col min="14352" max="14352" width="10.85546875" style="4" customWidth="1"/>
    <col min="14353" max="14353" width="4.85546875" style="4" customWidth="1"/>
    <col min="14354" max="14354" width="9.5703125" style="4" bestFit="1" customWidth="1"/>
    <col min="14355" max="14355" width="10.5703125" style="4" customWidth="1"/>
    <col min="14356" max="14356" width="22" style="4" customWidth="1"/>
    <col min="14357" max="14357" width="14.42578125" style="4" customWidth="1"/>
    <col min="14358" max="14592" width="9.140625" style="4"/>
    <col min="14593" max="14593" width="4.42578125" style="4" customWidth="1"/>
    <col min="14594" max="14594" width="29.42578125" style="4" customWidth="1"/>
    <col min="14595" max="14595" width="12.42578125" style="4" bestFit="1" customWidth="1"/>
    <col min="14596" max="14596" width="5.140625" style="4" bestFit="1" customWidth="1"/>
    <col min="14597" max="14597" width="4.7109375" style="4" customWidth="1"/>
    <col min="14598" max="14598" width="10.7109375" style="4" bestFit="1" customWidth="1"/>
    <col min="14599" max="14599" width="11.85546875" style="4" bestFit="1" customWidth="1"/>
    <col min="14600" max="14600" width="4.7109375" style="4" customWidth="1"/>
    <col min="14601" max="14602" width="9.5703125" style="4" bestFit="1" customWidth="1"/>
    <col min="14603" max="14603" width="4.7109375" style="4" customWidth="1"/>
    <col min="14604" max="14605" width="9.5703125" style="4" bestFit="1" customWidth="1"/>
    <col min="14606" max="14606" width="4.85546875" style="4" customWidth="1"/>
    <col min="14607" max="14607" width="9.5703125" style="4" bestFit="1" customWidth="1"/>
    <col min="14608" max="14608" width="10.85546875" style="4" customWidth="1"/>
    <col min="14609" max="14609" width="4.85546875" style="4" customWidth="1"/>
    <col min="14610" max="14610" width="9.5703125" style="4" bestFit="1" customWidth="1"/>
    <col min="14611" max="14611" width="10.5703125" style="4" customWidth="1"/>
    <col min="14612" max="14612" width="22" style="4" customWidth="1"/>
    <col min="14613" max="14613" width="14.42578125" style="4" customWidth="1"/>
    <col min="14614" max="14848" width="9.140625" style="4"/>
    <col min="14849" max="14849" width="4.42578125" style="4" customWidth="1"/>
    <col min="14850" max="14850" width="29.42578125" style="4" customWidth="1"/>
    <col min="14851" max="14851" width="12.42578125" style="4" bestFit="1" customWidth="1"/>
    <col min="14852" max="14852" width="5.140625" style="4" bestFit="1" customWidth="1"/>
    <col min="14853" max="14853" width="4.7109375" style="4" customWidth="1"/>
    <col min="14854" max="14854" width="10.7109375" style="4" bestFit="1" customWidth="1"/>
    <col min="14855" max="14855" width="11.85546875" style="4" bestFit="1" customWidth="1"/>
    <col min="14856" max="14856" width="4.7109375" style="4" customWidth="1"/>
    <col min="14857" max="14858" width="9.5703125" style="4" bestFit="1" customWidth="1"/>
    <col min="14859" max="14859" width="4.7109375" style="4" customWidth="1"/>
    <col min="14860" max="14861" width="9.5703125" style="4" bestFit="1" customWidth="1"/>
    <col min="14862" max="14862" width="4.85546875" style="4" customWidth="1"/>
    <col min="14863" max="14863" width="9.5703125" style="4" bestFit="1" customWidth="1"/>
    <col min="14864" max="14864" width="10.85546875" style="4" customWidth="1"/>
    <col min="14865" max="14865" width="4.85546875" style="4" customWidth="1"/>
    <col min="14866" max="14866" width="9.5703125" style="4" bestFit="1" customWidth="1"/>
    <col min="14867" max="14867" width="10.5703125" style="4" customWidth="1"/>
    <col min="14868" max="14868" width="22" style="4" customWidth="1"/>
    <col min="14869" max="14869" width="14.42578125" style="4" customWidth="1"/>
    <col min="14870" max="15104" width="9.140625" style="4"/>
    <col min="15105" max="15105" width="4.42578125" style="4" customWidth="1"/>
    <col min="15106" max="15106" width="29.42578125" style="4" customWidth="1"/>
    <col min="15107" max="15107" width="12.42578125" style="4" bestFit="1" customWidth="1"/>
    <col min="15108" max="15108" width="5.140625" style="4" bestFit="1" customWidth="1"/>
    <col min="15109" max="15109" width="4.7109375" style="4" customWidth="1"/>
    <col min="15110" max="15110" width="10.7109375" style="4" bestFit="1" customWidth="1"/>
    <col min="15111" max="15111" width="11.85546875" style="4" bestFit="1" customWidth="1"/>
    <col min="15112" max="15112" width="4.7109375" style="4" customWidth="1"/>
    <col min="15113" max="15114" width="9.5703125" style="4" bestFit="1" customWidth="1"/>
    <col min="15115" max="15115" width="4.7109375" style="4" customWidth="1"/>
    <col min="15116" max="15117" width="9.5703125" style="4" bestFit="1" customWidth="1"/>
    <col min="15118" max="15118" width="4.85546875" style="4" customWidth="1"/>
    <col min="15119" max="15119" width="9.5703125" style="4" bestFit="1" customWidth="1"/>
    <col min="15120" max="15120" width="10.85546875" style="4" customWidth="1"/>
    <col min="15121" max="15121" width="4.85546875" style="4" customWidth="1"/>
    <col min="15122" max="15122" width="9.5703125" style="4" bestFit="1" customWidth="1"/>
    <col min="15123" max="15123" width="10.5703125" style="4" customWidth="1"/>
    <col min="15124" max="15124" width="22" style="4" customWidth="1"/>
    <col min="15125" max="15125" width="14.42578125" style="4" customWidth="1"/>
    <col min="15126" max="15360" width="9.140625" style="4"/>
    <col min="15361" max="15361" width="4.42578125" style="4" customWidth="1"/>
    <col min="15362" max="15362" width="29.42578125" style="4" customWidth="1"/>
    <col min="15363" max="15363" width="12.42578125" style="4" bestFit="1" customWidth="1"/>
    <col min="15364" max="15364" width="5.140625" style="4" bestFit="1" customWidth="1"/>
    <col min="15365" max="15365" width="4.7109375" style="4" customWidth="1"/>
    <col min="15366" max="15366" width="10.7109375" style="4" bestFit="1" customWidth="1"/>
    <col min="15367" max="15367" width="11.85546875" style="4" bestFit="1" customWidth="1"/>
    <col min="15368" max="15368" width="4.7109375" style="4" customWidth="1"/>
    <col min="15369" max="15370" width="9.5703125" style="4" bestFit="1" customWidth="1"/>
    <col min="15371" max="15371" width="4.7109375" style="4" customWidth="1"/>
    <col min="15372" max="15373" width="9.5703125" style="4" bestFit="1" customWidth="1"/>
    <col min="15374" max="15374" width="4.85546875" style="4" customWidth="1"/>
    <col min="15375" max="15375" width="9.5703125" style="4" bestFit="1" customWidth="1"/>
    <col min="15376" max="15376" width="10.85546875" style="4" customWidth="1"/>
    <col min="15377" max="15377" width="4.85546875" style="4" customWidth="1"/>
    <col min="15378" max="15378" width="9.5703125" style="4" bestFit="1" customWidth="1"/>
    <col min="15379" max="15379" width="10.5703125" style="4" customWidth="1"/>
    <col min="15380" max="15380" width="22" style="4" customWidth="1"/>
    <col min="15381" max="15381" width="14.42578125" style="4" customWidth="1"/>
    <col min="15382" max="15616" width="9.140625" style="4"/>
    <col min="15617" max="15617" width="4.42578125" style="4" customWidth="1"/>
    <col min="15618" max="15618" width="29.42578125" style="4" customWidth="1"/>
    <col min="15619" max="15619" width="12.42578125" style="4" bestFit="1" customWidth="1"/>
    <col min="15620" max="15620" width="5.140625" style="4" bestFit="1" customWidth="1"/>
    <col min="15621" max="15621" width="4.7109375" style="4" customWidth="1"/>
    <col min="15622" max="15622" width="10.7109375" style="4" bestFit="1" customWidth="1"/>
    <col min="15623" max="15623" width="11.85546875" style="4" bestFit="1" customWidth="1"/>
    <col min="15624" max="15624" width="4.7109375" style="4" customWidth="1"/>
    <col min="15625" max="15626" width="9.5703125" style="4" bestFit="1" customWidth="1"/>
    <col min="15627" max="15627" width="4.7109375" style="4" customWidth="1"/>
    <col min="15628" max="15629" width="9.5703125" style="4" bestFit="1" customWidth="1"/>
    <col min="15630" max="15630" width="4.85546875" style="4" customWidth="1"/>
    <col min="15631" max="15631" width="9.5703125" style="4" bestFit="1" customWidth="1"/>
    <col min="15632" max="15632" width="10.85546875" style="4" customWidth="1"/>
    <col min="15633" max="15633" width="4.85546875" style="4" customWidth="1"/>
    <col min="15634" max="15634" width="9.5703125" style="4" bestFit="1" customWidth="1"/>
    <col min="15635" max="15635" width="10.5703125" style="4" customWidth="1"/>
    <col min="15636" max="15636" width="22" style="4" customWidth="1"/>
    <col min="15637" max="15637" width="14.42578125" style="4" customWidth="1"/>
    <col min="15638" max="15872" width="9.140625" style="4"/>
    <col min="15873" max="15873" width="4.42578125" style="4" customWidth="1"/>
    <col min="15874" max="15874" width="29.42578125" style="4" customWidth="1"/>
    <col min="15875" max="15875" width="12.42578125" style="4" bestFit="1" customWidth="1"/>
    <col min="15876" max="15876" width="5.140625" style="4" bestFit="1" customWidth="1"/>
    <col min="15877" max="15877" width="4.7109375" style="4" customWidth="1"/>
    <col min="15878" max="15878" width="10.7109375" style="4" bestFit="1" customWidth="1"/>
    <col min="15879" max="15879" width="11.85546875" style="4" bestFit="1" customWidth="1"/>
    <col min="15880" max="15880" width="4.7109375" style="4" customWidth="1"/>
    <col min="15881" max="15882" width="9.5703125" style="4" bestFit="1" customWidth="1"/>
    <col min="15883" max="15883" width="4.7109375" style="4" customWidth="1"/>
    <col min="15884" max="15885" width="9.5703125" style="4" bestFit="1" customWidth="1"/>
    <col min="15886" max="15886" width="4.85546875" style="4" customWidth="1"/>
    <col min="15887" max="15887" width="9.5703125" style="4" bestFit="1" customWidth="1"/>
    <col min="15888" max="15888" width="10.85546875" style="4" customWidth="1"/>
    <col min="15889" max="15889" width="4.85546875" style="4" customWidth="1"/>
    <col min="15890" max="15890" width="9.5703125" style="4" bestFit="1" customWidth="1"/>
    <col min="15891" max="15891" width="10.5703125" style="4" customWidth="1"/>
    <col min="15892" max="15892" width="22" style="4" customWidth="1"/>
    <col min="15893" max="15893" width="14.42578125" style="4" customWidth="1"/>
    <col min="15894" max="16128" width="9.140625" style="4"/>
    <col min="16129" max="16129" width="4.42578125" style="4" customWidth="1"/>
    <col min="16130" max="16130" width="29.42578125" style="4" customWidth="1"/>
    <col min="16131" max="16131" width="12.42578125" style="4" bestFit="1" customWidth="1"/>
    <col min="16132" max="16132" width="5.140625" style="4" bestFit="1" customWidth="1"/>
    <col min="16133" max="16133" width="4.7109375" style="4" customWidth="1"/>
    <col min="16134" max="16134" width="10.7109375" style="4" bestFit="1" customWidth="1"/>
    <col min="16135" max="16135" width="11.85546875" style="4" bestFit="1" customWidth="1"/>
    <col min="16136" max="16136" width="4.7109375" style="4" customWidth="1"/>
    <col min="16137" max="16138" width="9.5703125" style="4" bestFit="1" customWidth="1"/>
    <col min="16139" max="16139" width="4.7109375" style="4" customWidth="1"/>
    <col min="16140" max="16141" width="9.5703125" style="4" bestFit="1" customWidth="1"/>
    <col min="16142" max="16142" width="4.85546875" style="4" customWidth="1"/>
    <col min="16143" max="16143" width="9.5703125" style="4" bestFit="1" customWidth="1"/>
    <col min="16144" max="16144" width="10.85546875" style="4" customWidth="1"/>
    <col min="16145" max="16145" width="4.85546875" style="4" customWidth="1"/>
    <col min="16146" max="16146" width="9.5703125" style="4" bestFit="1" customWidth="1"/>
    <col min="16147" max="16147" width="10.5703125" style="4" customWidth="1"/>
    <col min="16148" max="16148" width="22" style="4" customWidth="1"/>
    <col min="16149" max="16149" width="14.42578125" style="4" customWidth="1"/>
    <col min="16150" max="16384" width="9.140625" style="4"/>
  </cols>
  <sheetData>
    <row r="1" spans="1:21" ht="18" customHeight="1">
      <c r="A1" s="2908"/>
      <c r="B1" s="792"/>
      <c r="C1" s="792"/>
      <c r="D1" s="792"/>
      <c r="E1" s="3356" t="s">
        <v>3072</v>
      </c>
      <c r="F1" s="3356"/>
      <c r="G1" s="3356"/>
      <c r="H1" s="3356"/>
      <c r="I1" s="3356"/>
      <c r="J1" s="3356"/>
      <c r="K1" s="792"/>
      <c r="L1" s="792"/>
      <c r="M1" s="792"/>
      <c r="N1" s="792"/>
      <c r="O1" s="792"/>
      <c r="P1" s="792"/>
      <c r="Q1" s="792"/>
      <c r="R1" s="792"/>
      <c r="S1" s="792"/>
    </row>
    <row r="2" spans="1:21" ht="12.75" customHeight="1">
      <c r="A2" s="2908"/>
      <c r="B2" s="792"/>
      <c r="C2" s="792"/>
      <c r="D2" s="792"/>
      <c r="E2" s="2987"/>
      <c r="F2" s="2987"/>
      <c r="G2" s="2987"/>
      <c r="H2" s="2987"/>
      <c r="I2" s="2987"/>
      <c r="J2" s="2987"/>
      <c r="K2" s="792"/>
      <c r="L2" s="792"/>
      <c r="M2" s="792"/>
      <c r="N2" s="792"/>
      <c r="O2" s="792"/>
      <c r="P2" s="792"/>
      <c r="Q2" s="792"/>
      <c r="R2" s="792"/>
      <c r="S2" s="792"/>
    </row>
    <row r="3" spans="1:21" ht="15.75" customHeight="1">
      <c r="B3" s="2988"/>
      <c r="C3" s="2988"/>
      <c r="D3" s="3224" t="s">
        <v>3073</v>
      </c>
      <c r="E3" s="3224"/>
      <c r="F3" s="3224"/>
      <c r="G3" s="3224"/>
      <c r="H3" s="3224"/>
      <c r="I3" s="3224"/>
      <c r="J3" s="3224"/>
      <c r="K3" s="3224"/>
      <c r="L3" s="3224"/>
      <c r="M3" s="3224"/>
      <c r="N3" s="2988"/>
      <c r="O3" s="2988"/>
      <c r="P3" s="2988"/>
      <c r="Q3" s="2988"/>
      <c r="R3" s="3013" t="s">
        <v>89</v>
      </c>
      <c r="S3" s="2988"/>
    </row>
    <row r="4" spans="1:21" ht="14.25">
      <c r="A4" s="2989"/>
      <c r="B4" s="2990"/>
      <c r="C4" s="2990"/>
      <c r="D4" s="2990"/>
      <c r="E4" s="2990"/>
      <c r="F4" s="2990"/>
      <c r="G4" s="2990"/>
      <c r="H4" s="2990"/>
      <c r="I4" s="2990"/>
      <c r="J4" s="2990"/>
      <c r="K4" s="2990"/>
      <c r="L4" s="2990"/>
      <c r="M4" s="2990"/>
      <c r="N4" s="2990"/>
      <c r="O4" s="2990"/>
      <c r="P4" s="2990"/>
      <c r="Q4" s="792"/>
      <c r="R4" s="792"/>
      <c r="S4" s="792"/>
    </row>
    <row r="5" spans="1:21" ht="15" customHeight="1">
      <c r="A5" s="3213" t="s">
        <v>2</v>
      </c>
      <c r="B5" s="3213" t="s">
        <v>3</v>
      </c>
      <c r="C5" s="3357" t="s">
        <v>4</v>
      </c>
      <c r="D5" s="3213" t="s">
        <v>5</v>
      </c>
      <c r="E5" s="3359" t="s">
        <v>1664</v>
      </c>
      <c r="F5" s="3359"/>
      <c r="G5" s="3359"/>
      <c r="H5" s="3359" t="s">
        <v>1665</v>
      </c>
      <c r="I5" s="3359"/>
      <c r="J5" s="3359"/>
      <c r="K5" s="3359" t="s">
        <v>1666</v>
      </c>
      <c r="L5" s="3359"/>
      <c r="M5" s="3359"/>
      <c r="N5" s="3359" t="s">
        <v>1667</v>
      </c>
      <c r="O5" s="3359"/>
      <c r="P5" s="3359"/>
      <c r="Q5" s="3360" t="s">
        <v>1691</v>
      </c>
      <c r="R5" s="3361"/>
      <c r="S5" s="3362"/>
    </row>
    <row r="6" spans="1:21" ht="18.75" customHeight="1">
      <c r="A6" s="3214"/>
      <c r="B6" s="3214"/>
      <c r="C6" s="3358"/>
      <c r="D6" s="3214"/>
      <c r="E6" s="2964" t="s">
        <v>143</v>
      </c>
      <c r="F6" s="2950" t="s">
        <v>9</v>
      </c>
      <c r="G6" s="2964" t="s">
        <v>1668</v>
      </c>
      <c r="H6" s="2964" t="s">
        <v>143</v>
      </c>
      <c r="I6" s="2950" t="s">
        <v>9</v>
      </c>
      <c r="J6" s="2964" t="s">
        <v>1668</v>
      </c>
      <c r="K6" s="2964" t="s">
        <v>143</v>
      </c>
      <c r="L6" s="2950" t="s">
        <v>9</v>
      </c>
      <c r="M6" s="2964" t="s">
        <v>1668</v>
      </c>
      <c r="N6" s="2964" t="s">
        <v>143</v>
      </c>
      <c r="O6" s="2950" t="s">
        <v>9</v>
      </c>
      <c r="P6" s="2964" t="s">
        <v>1668</v>
      </c>
      <c r="Q6" s="2964" t="s">
        <v>143</v>
      </c>
      <c r="R6" s="2950" t="s">
        <v>9</v>
      </c>
      <c r="S6" s="2964" t="s">
        <v>1668</v>
      </c>
    </row>
    <row r="7" spans="1:21" ht="15.75" customHeight="1">
      <c r="A7" s="2966">
        <v>1</v>
      </c>
      <c r="B7" s="2991">
        <v>2</v>
      </c>
      <c r="C7" s="2992" t="s">
        <v>184</v>
      </c>
      <c r="D7" s="2991">
        <v>4</v>
      </c>
      <c r="E7" s="2991">
        <v>5</v>
      </c>
      <c r="F7" s="2993">
        <v>6</v>
      </c>
      <c r="G7" s="2991">
        <v>7</v>
      </c>
      <c r="H7" s="2991">
        <v>8</v>
      </c>
      <c r="I7" s="2993">
        <v>9</v>
      </c>
      <c r="J7" s="2991">
        <v>10</v>
      </c>
      <c r="K7" s="2991">
        <v>11</v>
      </c>
      <c r="L7" s="2993">
        <v>12</v>
      </c>
      <c r="M7" s="2991">
        <v>13</v>
      </c>
      <c r="N7" s="2991">
        <v>14</v>
      </c>
      <c r="O7" s="2993">
        <v>15</v>
      </c>
      <c r="P7" s="2991">
        <v>16</v>
      </c>
      <c r="Q7" s="2991">
        <v>17</v>
      </c>
      <c r="R7" s="2993">
        <v>18</v>
      </c>
      <c r="S7" s="2991">
        <v>19</v>
      </c>
    </row>
    <row r="8" spans="1:21" ht="14.25" customHeight="1">
      <c r="A8" s="3355">
        <v>1</v>
      </c>
      <c r="B8" s="3014" t="s">
        <v>3074</v>
      </c>
      <c r="C8" s="3015"/>
      <c r="D8" s="3015"/>
      <c r="E8" s="3015"/>
      <c r="F8" s="3015"/>
      <c r="G8" s="3015"/>
      <c r="H8" s="3015"/>
      <c r="I8" s="3015"/>
      <c r="J8" s="3015"/>
      <c r="K8" s="3015"/>
      <c r="L8" s="3015"/>
      <c r="M8" s="3015"/>
      <c r="N8" s="3015"/>
      <c r="O8" s="3015"/>
      <c r="P8" s="3015"/>
      <c r="Q8" s="3015"/>
      <c r="R8" s="3015"/>
      <c r="S8" s="3016"/>
    </row>
    <row r="9" spans="1:21" ht="14.25">
      <c r="A9" s="3163"/>
      <c r="B9" s="3017" t="s">
        <v>3075</v>
      </c>
      <c r="C9" s="2952"/>
      <c r="D9" s="2952" t="s">
        <v>12</v>
      </c>
      <c r="E9" s="2952">
        <v>0</v>
      </c>
      <c r="F9" s="2853">
        <v>0</v>
      </c>
      <c r="G9" s="2853">
        <v>0</v>
      </c>
      <c r="H9" s="2952"/>
      <c r="I9" s="2952"/>
      <c r="J9" s="2952"/>
      <c r="K9" s="2952"/>
      <c r="L9" s="2952"/>
      <c r="M9" s="2952"/>
      <c r="N9" s="2952"/>
      <c r="O9" s="2952"/>
      <c r="P9" s="2952"/>
      <c r="Q9" s="2952"/>
      <c r="R9" s="2952"/>
      <c r="S9" s="2952"/>
    </row>
    <row r="10" spans="1:21" ht="14.25">
      <c r="A10" s="3163"/>
      <c r="B10" s="1212" t="s">
        <v>2368</v>
      </c>
      <c r="C10" s="2965">
        <v>7131950065</v>
      </c>
      <c r="D10" s="2965" t="s">
        <v>12</v>
      </c>
      <c r="E10" s="2965"/>
      <c r="F10" s="2965"/>
      <c r="G10" s="2965"/>
      <c r="H10" s="2965">
        <v>1</v>
      </c>
      <c r="I10" s="734">
        <f>VLOOKUP(C10,'[25]SOR RATE'!A:D,4,0)</f>
        <v>18477.650000000001</v>
      </c>
      <c r="J10" s="735">
        <f>H10*I10</f>
        <v>18477.650000000001</v>
      </c>
      <c r="K10" s="2965"/>
      <c r="L10" s="2965"/>
      <c r="M10" s="2965"/>
      <c r="N10" s="2965"/>
      <c r="O10" s="2965"/>
      <c r="P10" s="2965"/>
      <c r="Q10" s="2965"/>
      <c r="R10" s="2965"/>
      <c r="S10" s="2965"/>
    </row>
    <row r="11" spans="1:21" ht="14.25">
      <c r="A11" s="3163"/>
      <c r="B11" s="1212" t="s">
        <v>2369</v>
      </c>
      <c r="C11" s="2965">
        <v>7131950105</v>
      </c>
      <c r="D11" s="2965" t="s">
        <v>12</v>
      </c>
      <c r="E11" s="2965"/>
      <c r="F11" s="2965"/>
      <c r="G11" s="2965"/>
      <c r="H11" s="2965"/>
      <c r="I11" s="2965"/>
      <c r="J11" s="2965"/>
      <c r="K11" s="2965">
        <v>1</v>
      </c>
      <c r="L11" s="734">
        <f>VLOOKUP(C11,'[25]SOR RATE'!A:D,4,0)</f>
        <v>23098.03</v>
      </c>
      <c r="M11" s="735">
        <f>K11*L11</f>
        <v>23098.03</v>
      </c>
      <c r="N11" s="2965"/>
      <c r="O11" s="2965"/>
      <c r="P11" s="2965"/>
      <c r="Q11" s="2965"/>
      <c r="R11" s="2965"/>
      <c r="S11" s="2965"/>
    </row>
    <row r="12" spans="1:21" ht="14.25">
      <c r="A12" s="3163"/>
      <c r="B12" s="1212" t="s">
        <v>2370</v>
      </c>
      <c r="C12" s="2965">
        <v>7131950200</v>
      </c>
      <c r="D12" s="2965" t="s">
        <v>12</v>
      </c>
      <c r="E12" s="2965"/>
      <c r="F12" s="2965"/>
      <c r="G12" s="2965"/>
      <c r="H12" s="2965"/>
      <c r="I12" s="2965"/>
      <c r="J12" s="2965"/>
      <c r="K12" s="2965"/>
      <c r="L12" s="2965"/>
      <c r="M12" s="2965"/>
      <c r="N12" s="2965">
        <v>1</v>
      </c>
      <c r="O12" s="734">
        <f>VLOOKUP(C12,'[25]SOR RATE'!A:D,4,0)</f>
        <v>46194.13</v>
      </c>
      <c r="P12" s="735">
        <f>N12*O12</f>
        <v>46194.13</v>
      </c>
      <c r="Q12" s="2965"/>
      <c r="R12" s="2965"/>
      <c r="S12" s="2965"/>
    </row>
    <row r="13" spans="1:21" ht="14.25">
      <c r="A13" s="3164"/>
      <c r="B13" s="3018" t="s">
        <v>1692</v>
      </c>
      <c r="C13" s="2953">
        <v>7131950207</v>
      </c>
      <c r="D13" s="2953" t="s">
        <v>12</v>
      </c>
      <c r="E13" s="2953"/>
      <c r="F13" s="2953"/>
      <c r="G13" s="2953"/>
      <c r="H13" s="2953"/>
      <c r="I13" s="2953"/>
      <c r="J13" s="2953"/>
      <c r="K13" s="2953"/>
      <c r="L13" s="2953"/>
      <c r="M13" s="2953"/>
      <c r="N13" s="2953"/>
      <c r="O13" s="2953"/>
      <c r="P13" s="2953"/>
      <c r="Q13" s="2953">
        <v>1</v>
      </c>
      <c r="R13" s="3002">
        <f>VLOOKUP(C13,'[25]SOR RATE'!A:D,4,0)</f>
        <v>39637.360000000001</v>
      </c>
      <c r="S13" s="2932">
        <f>Q13*R13</f>
        <v>39637.360000000001</v>
      </c>
    </row>
    <row r="14" spans="1:21" ht="31.5" customHeight="1">
      <c r="A14" s="3355">
        <v>2</v>
      </c>
      <c r="B14" s="2949" t="s">
        <v>1679</v>
      </c>
      <c r="C14" s="1189"/>
      <c r="D14" s="1189"/>
      <c r="E14" s="1189"/>
      <c r="F14" s="1189"/>
      <c r="G14" s="1189"/>
      <c r="H14" s="1189"/>
      <c r="I14" s="1189"/>
      <c r="J14" s="1189"/>
      <c r="K14" s="1189"/>
      <c r="L14" s="1189"/>
      <c r="M14" s="1189"/>
      <c r="N14" s="1189"/>
      <c r="O14" s="1189"/>
      <c r="P14" s="1189"/>
      <c r="Q14" s="1189"/>
      <c r="R14" s="1189"/>
      <c r="S14" s="1190"/>
    </row>
    <row r="15" spans="1:21" ht="14.25">
      <c r="A15" s="3163"/>
      <c r="B15" s="2841" t="s">
        <v>3076</v>
      </c>
      <c r="C15" s="2952">
        <v>7130311010</v>
      </c>
      <c r="D15" s="2952" t="s">
        <v>21</v>
      </c>
      <c r="E15" s="2947">
        <v>120</v>
      </c>
      <c r="F15" s="1269">
        <f>VLOOKUP(C15,'[25]SOR RATE'!A:D,4,0)/1000</f>
        <v>79.580550000000002</v>
      </c>
      <c r="G15" s="2853">
        <f>E15*F15</f>
        <v>9549.6660000000011</v>
      </c>
      <c r="H15" s="2952"/>
      <c r="I15" s="2952"/>
      <c r="J15" s="2952"/>
      <c r="K15" s="2837" t="s">
        <v>1534</v>
      </c>
      <c r="L15" s="2952"/>
      <c r="M15" s="2952"/>
      <c r="N15" s="2837" t="s">
        <v>1534</v>
      </c>
      <c r="O15" s="2952"/>
      <c r="P15" s="2952"/>
      <c r="Q15" s="2837" t="s">
        <v>1534</v>
      </c>
      <c r="R15" s="2952"/>
      <c r="S15" s="2952"/>
      <c r="T15" s="22"/>
      <c r="U15" s="2942"/>
    </row>
    <row r="16" spans="1:21" ht="14.25">
      <c r="A16" s="3163"/>
      <c r="B16" s="1182" t="s">
        <v>3077</v>
      </c>
      <c r="C16" s="2965">
        <v>7130311010</v>
      </c>
      <c r="D16" s="2965" t="s">
        <v>21</v>
      </c>
      <c r="E16" s="1286" t="s">
        <v>1534</v>
      </c>
      <c r="F16" s="2965"/>
      <c r="G16" s="2965"/>
      <c r="H16" s="1181">
        <v>120</v>
      </c>
      <c r="I16" s="735">
        <f>VLOOKUP(C16,'[25]SOR RATE'!A:D,4,0)/1000</f>
        <v>79.580550000000002</v>
      </c>
      <c r="J16" s="735">
        <f>H16*I16</f>
        <v>9549.6660000000011</v>
      </c>
      <c r="K16" s="1286" t="s">
        <v>1534</v>
      </c>
      <c r="L16" s="2965"/>
      <c r="M16" s="2965"/>
      <c r="N16" s="1286" t="s">
        <v>1534</v>
      </c>
      <c r="O16" s="2965"/>
      <c r="P16" s="2965"/>
      <c r="Q16" s="1286" t="s">
        <v>1534</v>
      </c>
      <c r="R16" s="2965"/>
      <c r="S16" s="2965"/>
      <c r="T16" s="22"/>
      <c r="U16" s="2942"/>
    </row>
    <row r="17" spans="1:27" ht="15.75" customHeight="1">
      <c r="A17" s="3163"/>
      <c r="B17" s="1182" t="s">
        <v>3078</v>
      </c>
      <c r="C17" s="2965">
        <v>7130311010</v>
      </c>
      <c r="D17" s="2965" t="s">
        <v>21</v>
      </c>
      <c r="E17" s="1286" t="s">
        <v>1534</v>
      </c>
      <c r="F17" s="2965"/>
      <c r="G17" s="2965"/>
      <c r="H17" s="2965"/>
      <c r="I17" s="2965"/>
      <c r="J17" s="2965"/>
      <c r="K17" s="1181">
        <v>160</v>
      </c>
      <c r="L17" s="735">
        <f>VLOOKUP(C17,'[25]SOR RATE'!A:D,4,0)/1000</f>
        <v>79.580550000000002</v>
      </c>
      <c r="M17" s="735">
        <f>K17*L17</f>
        <v>12732.888000000001</v>
      </c>
      <c r="N17" s="1286" t="s">
        <v>1534</v>
      </c>
      <c r="O17" s="2965"/>
      <c r="P17" s="2965"/>
      <c r="Q17" s="1286" t="s">
        <v>1534</v>
      </c>
      <c r="R17" s="2965"/>
      <c r="S17" s="2965"/>
      <c r="T17" s="22"/>
      <c r="U17" s="2942"/>
    </row>
    <row r="18" spans="1:27" ht="14.25">
      <c r="A18" s="3163"/>
      <c r="B18" s="1212" t="s">
        <v>3079</v>
      </c>
      <c r="C18" s="2965">
        <v>7130311011</v>
      </c>
      <c r="D18" s="2965" t="s">
        <v>21</v>
      </c>
      <c r="E18" s="1286" t="s">
        <v>1534</v>
      </c>
      <c r="F18" s="2965"/>
      <c r="G18" s="2965"/>
      <c r="H18" s="2965"/>
      <c r="I18" s="2965"/>
      <c r="J18" s="2965"/>
      <c r="K18" s="1181">
        <v>40</v>
      </c>
      <c r="L18" s="735">
        <f>VLOOKUP(C18,'[25]SOR RATE'!A:D,4,0)/1000</f>
        <v>155.45142000000001</v>
      </c>
      <c r="M18" s="735">
        <f>K18*L18</f>
        <v>6218.0568000000003</v>
      </c>
      <c r="N18" s="1286" t="s">
        <v>1534</v>
      </c>
      <c r="O18" s="2965"/>
      <c r="P18" s="2965"/>
      <c r="Q18" s="1286" t="s">
        <v>1534</v>
      </c>
      <c r="R18" s="2965"/>
      <c r="S18" s="2965"/>
      <c r="T18" s="22"/>
      <c r="U18" s="2942"/>
    </row>
    <row r="19" spans="1:27" ht="14.25">
      <c r="A19" s="3163"/>
      <c r="B19" s="1212" t="s">
        <v>3080</v>
      </c>
      <c r="C19" s="2965">
        <v>7130311011</v>
      </c>
      <c r="D19" s="2965" t="s">
        <v>21</v>
      </c>
      <c r="E19" s="1286" t="s">
        <v>1534</v>
      </c>
      <c r="F19" s="2965"/>
      <c r="G19" s="2965"/>
      <c r="H19" s="2965"/>
      <c r="I19" s="2965"/>
      <c r="J19" s="2965"/>
      <c r="K19" s="1286" t="s">
        <v>1534</v>
      </c>
      <c r="L19" s="2965"/>
      <c r="M19" s="2965"/>
      <c r="N19" s="1181">
        <v>160</v>
      </c>
      <c r="O19" s="735">
        <f>VLOOKUP(C19,'[25]SOR RATE'!A:D,4,0)/1000</f>
        <v>155.45142000000001</v>
      </c>
      <c r="P19" s="735">
        <f>N19*O19</f>
        <v>24872.227200000001</v>
      </c>
      <c r="Q19" s="1286" t="s">
        <v>1534</v>
      </c>
      <c r="R19" s="2965"/>
      <c r="S19" s="2965"/>
      <c r="T19" s="22"/>
      <c r="U19" s="2942"/>
    </row>
    <row r="20" spans="1:27" ht="14.25">
      <c r="A20" s="3163"/>
      <c r="B20" s="1212" t="s">
        <v>3081</v>
      </c>
      <c r="C20" s="2965">
        <v>7130311012</v>
      </c>
      <c r="D20" s="2965" t="s">
        <v>21</v>
      </c>
      <c r="E20" s="1286" t="s">
        <v>1534</v>
      </c>
      <c r="F20" s="2965"/>
      <c r="G20" s="2965"/>
      <c r="H20" s="2965"/>
      <c r="I20" s="2965"/>
      <c r="J20" s="2965"/>
      <c r="K20" s="1286" t="s">
        <v>1534</v>
      </c>
      <c r="L20" s="2965"/>
      <c r="M20" s="2965"/>
      <c r="N20" s="1181">
        <v>40</v>
      </c>
      <c r="O20" s="735">
        <f>VLOOKUP(C20,'[25]SOR RATE'!A:D,4,0)/1000</f>
        <v>305.83782000000002</v>
      </c>
      <c r="P20" s="735">
        <f>N20*O20</f>
        <v>12233.5128</v>
      </c>
      <c r="Q20" s="1286" t="s">
        <v>1534</v>
      </c>
      <c r="R20" s="2965"/>
      <c r="S20" s="2965"/>
      <c r="T20" s="22"/>
      <c r="U20" s="2942"/>
    </row>
    <row r="21" spans="1:27" ht="14.25">
      <c r="A21" s="3163"/>
      <c r="B21" s="1212" t="s">
        <v>3082</v>
      </c>
      <c r="C21" s="2965">
        <v>7130311011</v>
      </c>
      <c r="D21" s="2965" t="s">
        <v>21</v>
      </c>
      <c r="E21" s="1286" t="s">
        <v>1534</v>
      </c>
      <c r="F21" s="2965"/>
      <c r="G21" s="2965"/>
      <c r="H21" s="2965"/>
      <c r="I21" s="2965"/>
      <c r="J21" s="2965"/>
      <c r="K21" s="1286" t="s">
        <v>1534</v>
      </c>
      <c r="L21" s="2965"/>
      <c r="M21" s="2965"/>
      <c r="N21" s="2965"/>
      <c r="O21" s="2965"/>
      <c r="P21" s="2965"/>
      <c r="Q21" s="1181">
        <v>160</v>
      </c>
      <c r="R21" s="735">
        <f>VLOOKUP(C21,'[25]SOR RATE'!A:D,4,0)/1000</f>
        <v>155.45142000000001</v>
      </c>
      <c r="S21" s="735">
        <f>Q21*R21</f>
        <v>24872.227200000001</v>
      </c>
      <c r="T21" s="22"/>
      <c r="U21" s="2942"/>
    </row>
    <row r="22" spans="1:27" ht="14.25">
      <c r="A22" s="3164"/>
      <c r="B22" s="3018" t="s">
        <v>3083</v>
      </c>
      <c r="C22" s="2953">
        <v>7130311012</v>
      </c>
      <c r="D22" s="2953" t="s">
        <v>21</v>
      </c>
      <c r="E22" s="3009" t="s">
        <v>1534</v>
      </c>
      <c r="F22" s="2953"/>
      <c r="G22" s="2953"/>
      <c r="H22" s="2953"/>
      <c r="I22" s="2953"/>
      <c r="J22" s="2953"/>
      <c r="K22" s="3009" t="s">
        <v>1534</v>
      </c>
      <c r="L22" s="2953"/>
      <c r="M22" s="2953"/>
      <c r="N22" s="2953"/>
      <c r="O22" s="2953"/>
      <c r="P22" s="2953"/>
      <c r="Q22" s="2946">
        <v>40</v>
      </c>
      <c r="R22" s="2932">
        <f>VLOOKUP(C22,'[25]SOR RATE'!A:D,4,0)/1000</f>
        <v>305.83782000000002</v>
      </c>
      <c r="S22" s="2932">
        <f>Q22*R22</f>
        <v>12233.5128</v>
      </c>
      <c r="T22" s="22"/>
      <c r="U22" s="2942"/>
    </row>
    <row r="23" spans="1:27" ht="45.75" customHeight="1">
      <c r="A23" s="3355">
        <v>3</v>
      </c>
      <c r="B23" s="1188" t="s">
        <v>3084</v>
      </c>
      <c r="C23" s="1189"/>
      <c r="D23" s="1189"/>
      <c r="E23" s="1189"/>
      <c r="F23" s="1189"/>
      <c r="G23" s="1189"/>
      <c r="H23" s="1189"/>
      <c r="I23" s="1189"/>
      <c r="J23" s="1189"/>
      <c r="K23" s="1189"/>
      <c r="L23" s="1189"/>
      <c r="M23" s="1189"/>
      <c r="N23" s="1189"/>
      <c r="O23" s="1189"/>
      <c r="P23" s="1189"/>
      <c r="Q23" s="1189"/>
      <c r="R23" s="1189"/>
      <c r="S23" s="1190"/>
    </row>
    <row r="24" spans="1:27" ht="16.5" customHeight="1">
      <c r="A24" s="3163"/>
      <c r="B24" s="2841" t="s">
        <v>3085</v>
      </c>
      <c r="C24" s="2952">
        <v>7130641396</v>
      </c>
      <c r="D24" s="2952" t="s">
        <v>21</v>
      </c>
      <c r="E24" s="2952">
        <v>9</v>
      </c>
      <c r="F24" s="1269">
        <f>VLOOKUP(C24,'[25]SOR RATE'!A:D,4,0)</f>
        <v>253.11</v>
      </c>
      <c r="G24" s="2853">
        <f>E24*F24</f>
        <v>2277.9900000000002</v>
      </c>
      <c r="H24" s="2952">
        <v>9</v>
      </c>
      <c r="I24" s="2853">
        <f>+F24</f>
        <v>253.11</v>
      </c>
      <c r="J24" s="2853">
        <f>H24*I24</f>
        <v>2277.9900000000002</v>
      </c>
      <c r="K24" s="2952">
        <v>9</v>
      </c>
      <c r="L24" s="2853">
        <f>+I24</f>
        <v>253.11</v>
      </c>
      <c r="M24" s="2853">
        <f>K24*L24</f>
        <v>2277.9900000000002</v>
      </c>
      <c r="N24" s="2952">
        <v>9</v>
      </c>
      <c r="O24" s="2853">
        <f>+L24</f>
        <v>253.11</v>
      </c>
      <c r="P24" s="2853">
        <f>N24*O24</f>
        <v>2277.9900000000002</v>
      </c>
      <c r="Q24" s="2952">
        <v>9</v>
      </c>
      <c r="R24" s="2853">
        <f>+O24</f>
        <v>253.11</v>
      </c>
      <c r="S24" s="2853">
        <f>Q24*R24</f>
        <v>2277.9900000000002</v>
      </c>
    </row>
    <row r="25" spans="1:27" ht="16.5" customHeight="1">
      <c r="A25" s="3164"/>
      <c r="B25" s="1182" t="s">
        <v>1545</v>
      </c>
      <c r="C25" s="2965">
        <v>7130870043</v>
      </c>
      <c r="D25" s="2965" t="s">
        <v>26</v>
      </c>
      <c r="E25" s="2965">
        <v>15</v>
      </c>
      <c r="F25" s="734">
        <f>VLOOKUP(C25,'[25]SOR RATE'!A:D,4,0)/1000</f>
        <v>80.521839999999997</v>
      </c>
      <c r="G25" s="735">
        <f>E25*F25</f>
        <v>1207.8276000000001</v>
      </c>
      <c r="H25" s="2965">
        <v>15</v>
      </c>
      <c r="I25" s="735">
        <f>+F25</f>
        <v>80.521839999999997</v>
      </c>
      <c r="J25" s="735">
        <f>H25*I25</f>
        <v>1207.8276000000001</v>
      </c>
      <c r="K25" s="2965">
        <v>15</v>
      </c>
      <c r="L25" s="735">
        <f>+I25</f>
        <v>80.521839999999997</v>
      </c>
      <c r="M25" s="735">
        <f>K25*L25</f>
        <v>1207.8276000000001</v>
      </c>
      <c r="N25" s="2965">
        <v>15</v>
      </c>
      <c r="O25" s="735">
        <f>+L25</f>
        <v>80.521839999999997</v>
      </c>
      <c r="P25" s="735">
        <f>N25*O25</f>
        <v>1207.8276000000001</v>
      </c>
      <c r="Q25" s="2965">
        <v>15</v>
      </c>
      <c r="R25" s="735">
        <f>+O25</f>
        <v>80.521839999999997</v>
      </c>
      <c r="S25" s="735">
        <f>Q25*R25</f>
        <v>1207.8276000000001</v>
      </c>
    </row>
    <row r="26" spans="1:27" s="37" customFormat="1" ht="32.25" customHeight="1">
      <c r="A26" s="2964">
        <v>4</v>
      </c>
      <c r="B26" s="1191" t="s">
        <v>48</v>
      </c>
      <c r="C26" s="2950"/>
      <c r="D26" s="2964"/>
      <c r="E26" s="2964"/>
      <c r="F26" s="2964"/>
      <c r="G26" s="1193">
        <f>SUM(G9:G25)</f>
        <v>13035.483600000001</v>
      </c>
      <c r="H26" s="2964"/>
      <c r="I26" s="2964"/>
      <c r="J26" s="1193">
        <f>SUM(J9:J25)</f>
        <v>31513.133600000005</v>
      </c>
      <c r="K26" s="2964"/>
      <c r="L26" s="2964"/>
      <c r="M26" s="1193">
        <f>SUM(M9:M25)</f>
        <v>45534.792399999991</v>
      </c>
      <c r="N26" s="2964"/>
      <c r="O26" s="2964"/>
      <c r="P26" s="1193">
        <f>SUM(P9:P25)</f>
        <v>86785.687600000005</v>
      </c>
      <c r="Q26" s="2964"/>
      <c r="R26" s="2964"/>
      <c r="S26" s="1193">
        <f>SUM(S9:S25)</f>
        <v>80228.917600000015</v>
      </c>
      <c r="T26" s="226"/>
      <c r="U26" s="186"/>
    </row>
    <row r="27" spans="1:27" s="37" customFormat="1" ht="32.25" customHeight="1">
      <c r="A27" s="2951">
        <v>5</v>
      </c>
      <c r="B27" s="1191" t="s">
        <v>49</v>
      </c>
      <c r="C27" s="2950"/>
      <c r="D27" s="2964"/>
      <c r="E27" s="2964"/>
      <c r="F27" s="2964"/>
      <c r="G27" s="1193">
        <f>G26/1.18</f>
        <v>11047.020000000002</v>
      </c>
      <c r="H27" s="2964"/>
      <c r="I27" s="2964"/>
      <c r="J27" s="1193">
        <f>J26/1.18</f>
        <v>26706.045423728818</v>
      </c>
      <c r="K27" s="2964"/>
      <c r="L27" s="2964"/>
      <c r="M27" s="1193">
        <f>M26/1.18</f>
        <v>38588.807118644065</v>
      </c>
      <c r="N27" s="2964"/>
      <c r="O27" s="2964"/>
      <c r="P27" s="1193">
        <f>P26/1.18</f>
        <v>73547.192881355935</v>
      </c>
      <c r="Q27" s="2964"/>
      <c r="R27" s="2964"/>
      <c r="S27" s="1193">
        <f>S26/1.18</f>
        <v>67990.60813559324</v>
      </c>
      <c r="T27" s="174"/>
      <c r="U27" s="186"/>
    </row>
    <row r="28" spans="1:27" ht="29.25" customHeight="1">
      <c r="A28" s="2945">
        <v>6</v>
      </c>
      <c r="B28" s="1185" t="s">
        <v>2371</v>
      </c>
      <c r="C28" s="1182"/>
      <c r="D28" s="1182"/>
      <c r="E28" s="1182"/>
      <c r="F28" s="2965">
        <v>7.4999999999999997E-2</v>
      </c>
      <c r="G28" s="735">
        <f>G26*F28</f>
        <v>977.66127000000006</v>
      </c>
      <c r="H28" s="2851"/>
      <c r="I28" s="2965">
        <v>7.4999999999999997E-2</v>
      </c>
      <c r="J28" s="735">
        <f>J26*I28</f>
        <v>2363.4850200000001</v>
      </c>
      <c r="K28" s="2851"/>
      <c r="L28" s="2965">
        <v>7.4999999999999997E-2</v>
      </c>
      <c r="M28" s="735">
        <f>M26*L28</f>
        <v>3415.1094299999991</v>
      </c>
      <c r="N28" s="2851"/>
      <c r="O28" s="2965">
        <v>7.4999999999999997E-2</v>
      </c>
      <c r="P28" s="735">
        <f>P26*O28</f>
        <v>6508.9265700000005</v>
      </c>
      <c r="Q28" s="2851"/>
      <c r="R28" s="2965">
        <v>7.4999999999999997E-2</v>
      </c>
      <c r="S28" s="735">
        <f>S26*R28</f>
        <v>6017.1688200000008</v>
      </c>
      <c r="T28" s="17"/>
      <c r="U28" s="174"/>
    </row>
    <row r="29" spans="1:27" ht="30.75" customHeight="1">
      <c r="A29" s="1276">
        <v>7</v>
      </c>
      <c r="B29" s="1182" t="s">
        <v>3086</v>
      </c>
      <c r="C29" s="2965"/>
      <c r="D29" s="2965" t="s">
        <v>2847</v>
      </c>
      <c r="E29" s="2965">
        <v>1</v>
      </c>
      <c r="F29" s="735">
        <f>1119.45*3</f>
        <v>3358.3500000000004</v>
      </c>
      <c r="G29" s="735">
        <f>E29*F29</f>
        <v>3358.3500000000004</v>
      </c>
      <c r="H29" s="2965">
        <v>1</v>
      </c>
      <c r="I29" s="735">
        <f>+F29</f>
        <v>3358.3500000000004</v>
      </c>
      <c r="J29" s="735">
        <f>H29*I29</f>
        <v>3358.3500000000004</v>
      </c>
      <c r="K29" s="2965">
        <v>1</v>
      </c>
      <c r="L29" s="735">
        <f>+F29</f>
        <v>3358.3500000000004</v>
      </c>
      <c r="M29" s="735">
        <f>K29*L29</f>
        <v>3358.3500000000004</v>
      </c>
      <c r="N29" s="2965">
        <v>1</v>
      </c>
      <c r="O29" s="735">
        <f>+F29</f>
        <v>3358.3500000000004</v>
      </c>
      <c r="P29" s="735">
        <f>N29*O29</f>
        <v>3358.3500000000004</v>
      </c>
      <c r="Q29" s="2965">
        <v>1</v>
      </c>
      <c r="R29" s="735">
        <f>+O29</f>
        <v>3358.3500000000004</v>
      </c>
      <c r="S29" s="735">
        <f>Q29*R29</f>
        <v>3358.3500000000004</v>
      </c>
      <c r="T29" s="41"/>
    </row>
    <row r="30" spans="1:27" ht="31.5" customHeight="1">
      <c r="A30" s="1276">
        <v>8</v>
      </c>
      <c r="B30" s="1257" t="s">
        <v>3087</v>
      </c>
      <c r="C30" s="2965"/>
      <c r="D30" s="2965"/>
      <c r="E30" s="2965"/>
      <c r="F30" s="735"/>
      <c r="G30" s="735">
        <v>6250.33</v>
      </c>
      <c r="H30" s="2965"/>
      <c r="I30" s="735"/>
      <c r="J30" s="735">
        <v>6250.33</v>
      </c>
      <c r="K30" s="2965"/>
      <c r="L30" s="735"/>
      <c r="M30" s="735">
        <v>7869.59</v>
      </c>
      <c r="N30" s="2965"/>
      <c r="O30" s="735"/>
      <c r="P30" s="735">
        <v>9488.85</v>
      </c>
      <c r="Q30" s="2965"/>
      <c r="R30" s="735"/>
      <c r="S30" s="735">
        <v>9488.85</v>
      </c>
      <c r="T30" s="2994"/>
    </row>
    <row r="31" spans="1:27" ht="31.5" customHeight="1">
      <c r="A31" s="2965">
        <v>9</v>
      </c>
      <c r="B31" s="1182" t="s">
        <v>3088</v>
      </c>
      <c r="C31" s="2965"/>
      <c r="D31" s="2965"/>
      <c r="E31" s="2965"/>
      <c r="F31" s="2965">
        <v>0.04</v>
      </c>
      <c r="G31" s="1210">
        <f>G27*F31</f>
        <v>441.88080000000008</v>
      </c>
      <c r="H31" s="2965"/>
      <c r="I31" s="2965">
        <v>0.04</v>
      </c>
      <c r="J31" s="1210">
        <f>J27*I31</f>
        <v>1068.2418169491527</v>
      </c>
      <c r="K31" s="2965"/>
      <c r="L31" s="2965">
        <v>0.04</v>
      </c>
      <c r="M31" s="735">
        <f>M27*L31</f>
        <v>1543.5522847457626</v>
      </c>
      <c r="N31" s="2965"/>
      <c r="O31" s="2965">
        <v>0.04</v>
      </c>
      <c r="P31" s="735">
        <f>P27*O31</f>
        <v>2941.8877152542373</v>
      </c>
      <c r="Q31" s="2965"/>
      <c r="R31" s="2965">
        <v>0.04</v>
      </c>
      <c r="S31" s="735">
        <f>S27*R31</f>
        <v>2719.6243254237297</v>
      </c>
      <c r="T31" s="2995" t="s">
        <v>1827</v>
      </c>
      <c r="U31" s="198"/>
      <c r="V31" s="2996"/>
      <c r="W31" s="2996"/>
      <c r="X31" s="2996"/>
      <c r="Y31" s="2996"/>
      <c r="Z31" s="2996"/>
      <c r="AA31" s="2996"/>
    </row>
    <row r="32" spans="1:27" ht="59.25" customHeight="1">
      <c r="A32" s="2965">
        <v>10</v>
      </c>
      <c r="B32" s="1233" t="s">
        <v>3089</v>
      </c>
      <c r="C32" s="2965"/>
      <c r="D32" s="2965"/>
      <c r="E32" s="2965"/>
      <c r="F32" s="2965"/>
      <c r="G32" s="1210">
        <f>(G26+G28+G29+G30+G31)*0.125</f>
        <v>3007.9632087500004</v>
      </c>
      <c r="H32" s="2965"/>
      <c r="I32" s="2965"/>
      <c r="J32" s="1210">
        <f>(J26+J28+J29+J30+J31)*0.125</f>
        <v>5569.1925546186449</v>
      </c>
      <c r="K32" s="2965"/>
      <c r="L32" s="2965"/>
      <c r="M32" s="1210">
        <f>(M26+M28+M29+M30+M31)*0.125</f>
        <v>7715.174264343219</v>
      </c>
      <c r="N32" s="2965"/>
      <c r="O32" s="2965"/>
      <c r="P32" s="1210">
        <f>(P26+P28+P29+P30+P31)*0.125</f>
        <v>13635.462735656782</v>
      </c>
      <c r="Q32" s="2965"/>
      <c r="R32" s="2965"/>
      <c r="S32" s="1210">
        <f>(S26+S28+S29+S30+S31)*0.125</f>
        <v>12726.613843177971</v>
      </c>
      <c r="T32" s="687"/>
      <c r="U32" s="865"/>
      <c r="V32" s="2996"/>
      <c r="W32" s="2996"/>
      <c r="X32" s="2996"/>
      <c r="Y32" s="2996"/>
      <c r="Z32" s="2996"/>
      <c r="AA32" s="2996"/>
    </row>
    <row r="33" spans="1:27" ht="45">
      <c r="A33" s="2964">
        <v>11</v>
      </c>
      <c r="B33" s="1758" t="s">
        <v>3090</v>
      </c>
      <c r="C33" s="2965"/>
      <c r="D33" s="2965"/>
      <c r="E33" s="2965"/>
      <c r="F33" s="2965"/>
      <c r="G33" s="1195">
        <f>SUM(G27:G32)</f>
        <v>25083.20527875</v>
      </c>
      <c r="H33" s="2965"/>
      <c r="I33" s="2965"/>
      <c r="J33" s="1195">
        <f>SUM(J27:J32)</f>
        <v>45315.644815296619</v>
      </c>
      <c r="K33" s="2964"/>
      <c r="L33" s="2964"/>
      <c r="M33" s="1195">
        <f>SUM(M27:M32)</f>
        <v>62490.583097733048</v>
      </c>
      <c r="N33" s="2964"/>
      <c r="O33" s="2964"/>
      <c r="P33" s="1195">
        <f>SUM(P27:P32)</f>
        <v>109480.66990226696</v>
      </c>
      <c r="Q33" s="2964"/>
      <c r="R33" s="2964"/>
      <c r="S33" s="1195">
        <f>SUM(S27:S32)</f>
        <v>102301.21512419496</v>
      </c>
      <c r="T33" s="202"/>
      <c r="U33" s="62"/>
      <c r="V33" s="62"/>
      <c r="W33" s="62"/>
      <c r="X33" s="62"/>
      <c r="Y33" s="62"/>
      <c r="Z33" s="62"/>
      <c r="AA33" s="62"/>
    </row>
    <row r="34" spans="1:27" ht="28.5">
      <c r="A34" s="2965">
        <v>12</v>
      </c>
      <c r="B34" s="1185" t="s">
        <v>1810</v>
      </c>
      <c r="C34" s="2965"/>
      <c r="D34" s="2965"/>
      <c r="E34" s="2965"/>
      <c r="F34" s="2965">
        <v>0.09</v>
      </c>
      <c r="G34" s="1210">
        <f>G33*F34</f>
        <v>2257.4884750874999</v>
      </c>
      <c r="H34" s="2965"/>
      <c r="I34" s="2965">
        <v>0.09</v>
      </c>
      <c r="J34" s="1210">
        <f>J33*I34</f>
        <v>4078.4080333766956</v>
      </c>
      <c r="K34" s="2965"/>
      <c r="L34" s="2965">
        <v>0.09</v>
      </c>
      <c r="M34" s="1210">
        <f>M33*L34</f>
        <v>5624.1524787959743</v>
      </c>
      <c r="N34" s="2965"/>
      <c r="O34" s="2965">
        <v>0.09</v>
      </c>
      <c r="P34" s="1210">
        <f>P33*O34</f>
        <v>9853.2602912040256</v>
      </c>
      <c r="Q34" s="2965"/>
      <c r="R34" s="2965">
        <v>0.09</v>
      </c>
      <c r="S34" s="1210">
        <f>S33*R34</f>
        <v>9207.1093611775468</v>
      </c>
      <c r="T34" s="202"/>
      <c r="U34" s="62"/>
      <c r="V34" s="62"/>
      <c r="W34" s="62"/>
      <c r="X34" s="62"/>
      <c r="Y34" s="62"/>
      <c r="Z34" s="62"/>
      <c r="AA34" s="62"/>
    </row>
    <row r="35" spans="1:27" ht="28.5">
      <c r="A35" s="2965">
        <v>13</v>
      </c>
      <c r="B35" s="1185" t="s">
        <v>1811</v>
      </c>
      <c r="C35" s="2965"/>
      <c r="D35" s="2965"/>
      <c r="E35" s="2965"/>
      <c r="F35" s="2965">
        <v>0.09</v>
      </c>
      <c r="G35" s="735">
        <f>G33*F35</f>
        <v>2257.4884750874999</v>
      </c>
      <c r="H35" s="2965"/>
      <c r="I35" s="2965">
        <v>0.09</v>
      </c>
      <c r="J35" s="735">
        <f>J33*I35</f>
        <v>4078.4080333766956</v>
      </c>
      <c r="K35" s="2965"/>
      <c r="L35" s="2965">
        <v>0.09</v>
      </c>
      <c r="M35" s="735">
        <f>M33*L35</f>
        <v>5624.1524787959743</v>
      </c>
      <c r="N35" s="2965"/>
      <c r="O35" s="2965">
        <v>0.09</v>
      </c>
      <c r="P35" s="735">
        <f>P33*O35</f>
        <v>9853.2602912040256</v>
      </c>
      <c r="Q35" s="2965"/>
      <c r="R35" s="2965">
        <v>0.09</v>
      </c>
      <c r="S35" s="735">
        <f>S33*R35</f>
        <v>9207.1093611775468</v>
      </c>
      <c r="T35" s="2997"/>
      <c r="U35" s="62"/>
      <c r="V35" s="62"/>
      <c r="W35" s="62"/>
      <c r="X35" s="62"/>
      <c r="Y35" s="62"/>
      <c r="Z35" s="62"/>
      <c r="AA35" s="62"/>
    </row>
    <row r="36" spans="1:27" ht="31.5" customHeight="1">
      <c r="A36" s="1276">
        <v>14</v>
      </c>
      <c r="B36" s="1233" t="s">
        <v>1812</v>
      </c>
      <c r="C36" s="1181"/>
      <c r="D36" s="2965"/>
      <c r="E36" s="2965"/>
      <c r="F36" s="2965"/>
      <c r="G36" s="734">
        <f>G33+G34+G35</f>
        <v>29598.182228924998</v>
      </c>
      <c r="H36" s="2965"/>
      <c r="I36" s="2965"/>
      <c r="J36" s="734">
        <f>J33+J34+J35</f>
        <v>53472.460882050014</v>
      </c>
      <c r="K36" s="2965"/>
      <c r="L36" s="2965"/>
      <c r="M36" s="734">
        <f>M33+M34+M35</f>
        <v>73738.888055325006</v>
      </c>
      <c r="N36" s="2965"/>
      <c r="O36" s="2965"/>
      <c r="P36" s="734">
        <f>P33+P34+P35</f>
        <v>129187.19048467503</v>
      </c>
      <c r="Q36" s="2965"/>
      <c r="R36" s="2965"/>
      <c r="S36" s="734">
        <f>S33+S34+S35</f>
        <v>120715.43384655005</v>
      </c>
    </row>
    <row r="37" spans="1:27" ht="46.5" customHeight="1">
      <c r="A37" s="2964">
        <v>15</v>
      </c>
      <c r="B37" s="1214" t="s">
        <v>59</v>
      </c>
      <c r="C37" s="1182"/>
      <c r="D37" s="1182"/>
      <c r="E37" s="1182"/>
      <c r="F37" s="1182"/>
      <c r="G37" s="2958">
        <f>ROUND(G36,0)</f>
        <v>29598</v>
      </c>
      <c r="H37" s="2958"/>
      <c r="I37" s="2958"/>
      <c r="J37" s="2958">
        <f>ROUND(J36,0)</f>
        <v>53472</v>
      </c>
      <c r="K37" s="2958"/>
      <c r="L37" s="2958"/>
      <c r="M37" s="2958">
        <f>ROUND(M36,0)</f>
        <v>73739</v>
      </c>
      <c r="N37" s="2958"/>
      <c r="O37" s="2958"/>
      <c r="P37" s="2958">
        <f>ROUND(P36,0)</f>
        <v>129187</v>
      </c>
      <c r="Q37" s="2958"/>
      <c r="R37" s="2958"/>
      <c r="S37" s="2958">
        <f>ROUND(S36,0)</f>
        <v>120715</v>
      </c>
    </row>
    <row r="38" spans="1:27" ht="14.25">
      <c r="A38" s="2998"/>
      <c r="B38" s="2999"/>
      <c r="C38" s="2999"/>
      <c r="D38" s="2999"/>
      <c r="E38" s="2999"/>
      <c r="F38" s="2999"/>
      <c r="G38" s="2999"/>
      <c r="H38" s="2999"/>
      <c r="I38" s="2999"/>
      <c r="J38" s="2999"/>
      <c r="K38" s="2999"/>
      <c r="L38" s="2999"/>
      <c r="M38" s="2999"/>
      <c r="N38" s="2999"/>
      <c r="O38" s="2999"/>
      <c r="P38" s="2999"/>
      <c r="Q38" s="2999"/>
      <c r="R38" s="2999"/>
      <c r="S38" s="2999"/>
    </row>
  </sheetData>
  <mergeCells count="14">
    <mergeCell ref="N5:P5"/>
    <mergeCell ref="Q5:S5"/>
    <mergeCell ref="A8:A13"/>
    <mergeCell ref="A14:A22"/>
    <mergeCell ref="A23:A25"/>
    <mergeCell ref="E1:J1"/>
    <mergeCell ref="D3:M3"/>
    <mergeCell ref="A5:A6"/>
    <mergeCell ref="B5:B6"/>
    <mergeCell ref="C5:C6"/>
    <mergeCell ref="D5:D6"/>
    <mergeCell ref="E5:G5"/>
    <mergeCell ref="H5:J5"/>
    <mergeCell ref="K5:M5"/>
  </mergeCells>
  <conditionalFormatting sqref="C26:C28">
    <cfRule type="cellIs" dxfId="84" priority="3" stopIfTrue="1" operator="equal">
      <formula>"?"</formula>
    </cfRule>
  </conditionalFormatting>
  <conditionalFormatting sqref="B26">
    <cfRule type="cellIs" dxfId="83" priority="2" stopIfTrue="1" operator="equal">
      <formula>"?"</formula>
    </cfRule>
  </conditionalFormatting>
  <conditionalFormatting sqref="B27">
    <cfRule type="cellIs" dxfId="82" priority="1" stopIfTrue="1" operator="equal">
      <formula>"?"</formula>
    </cfRule>
  </conditionalFormatting>
  <pageMargins left="0.6692913385826772" right="0.51181102362204722" top="0.62992125984251968" bottom="0.23622047244094491" header="0.31496062992125984" footer="0.15748031496062992"/>
  <pageSetup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R53"/>
  <sheetViews>
    <sheetView zoomScale="85" zoomScaleNormal="85" workbookViewId="0">
      <pane xSplit="3" ySplit="7" topLeftCell="D45" activePane="bottomRight" state="frozen"/>
      <selection pane="topRight" activeCell="D1" sqref="D1"/>
      <selection pane="bottomLeft" activeCell="A8" sqref="A8"/>
      <selection pane="bottomRight" activeCell="N42" sqref="N42"/>
    </sheetView>
  </sheetViews>
  <sheetFormatPr defaultRowHeight="12.75"/>
  <cols>
    <col min="1" max="1" width="4.140625" style="280" customWidth="1"/>
    <col min="2" max="2" width="51.5703125" style="4" customWidth="1"/>
    <col min="3" max="3" width="15.140625" style="45" customWidth="1"/>
    <col min="4" max="4" width="6.7109375" style="4" customWidth="1"/>
    <col min="5" max="5" width="6.85546875" style="4" customWidth="1"/>
    <col min="6" max="6" width="9.7109375" style="4" customWidth="1"/>
    <col min="7" max="7" width="11" style="4" customWidth="1"/>
    <col min="8" max="8" width="7.140625" style="4" customWidth="1"/>
    <col min="9" max="9" width="9.85546875" style="4" bestFit="1" customWidth="1"/>
    <col min="10" max="10" width="12.42578125" style="4" customWidth="1"/>
    <col min="11" max="11" width="7.42578125" style="4" customWidth="1"/>
    <col min="12" max="12" width="9.5703125" style="4" customWidth="1"/>
    <col min="13" max="13" width="11" style="4" customWidth="1"/>
    <col min="14" max="14" width="22.42578125" style="4" customWidth="1"/>
    <col min="15" max="15" width="13.28515625" style="4" customWidth="1"/>
    <col min="16" max="16" width="8.42578125" style="4" customWidth="1"/>
    <col min="17" max="17" width="10.7109375" style="4" customWidth="1"/>
    <col min="18" max="256" width="9.140625" style="4"/>
    <col min="257" max="257" width="4.140625" style="4" customWidth="1"/>
    <col min="258" max="258" width="51.5703125" style="4" customWidth="1"/>
    <col min="259" max="259" width="15.140625" style="4" customWidth="1"/>
    <col min="260" max="260" width="6.7109375" style="4" customWidth="1"/>
    <col min="261" max="261" width="6.85546875" style="4" customWidth="1"/>
    <col min="262" max="262" width="9.7109375" style="4" customWidth="1"/>
    <col min="263" max="263" width="11" style="4" customWidth="1"/>
    <col min="264" max="264" width="7.140625" style="4" customWidth="1"/>
    <col min="265" max="265" width="9.85546875" style="4" bestFit="1" customWidth="1"/>
    <col min="266" max="266" width="12.42578125" style="4" customWidth="1"/>
    <col min="267" max="267" width="7.42578125" style="4" customWidth="1"/>
    <col min="268" max="268" width="9.5703125" style="4" customWidth="1"/>
    <col min="269" max="269" width="11" style="4" customWidth="1"/>
    <col min="270" max="270" width="22.42578125" style="4" customWidth="1"/>
    <col min="271" max="271" width="13.28515625" style="4" customWidth="1"/>
    <col min="272" max="272" width="18.5703125" style="4" customWidth="1"/>
    <col min="273" max="512" width="9.140625" style="4"/>
    <col min="513" max="513" width="4.140625" style="4" customWidth="1"/>
    <col min="514" max="514" width="51.5703125" style="4" customWidth="1"/>
    <col min="515" max="515" width="15.140625" style="4" customWidth="1"/>
    <col min="516" max="516" width="6.7109375" style="4" customWidth="1"/>
    <col min="517" max="517" width="6.85546875" style="4" customWidth="1"/>
    <col min="518" max="518" width="9.7109375" style="4" customWidth="1"/>
    <col min="519" max="519" width="11" style="4" customWidth="1"/>
    <col min="520" max="520" width="7.140625" style="4" customWidth="1"/>
    <col min="521" max="521" width="9.85546875" style="4" bestFit="1" customWidth="1"/>
    <col min="522" max="522" width="12.42578125" style="4" customWidth="1"/>
    <col min="523" max="523" width="7.42578125" style="4" customWidth="1"/>
    <col min="524" max="524" width="9.5703125" style="4" customWidth="1"/>
    <col min="525" max="525" width="11" style="4" customWidth="1"/>
    <col min="526" max="526" width="22.42578125" style="4" customWidth="1"/>
    <col min="527" max="527" width="13.28515625" style="4" customWidth="1"/>
    <col min="528" max="528" width="18.5703125" style="4" customWidth="1"/>
    <col min="529" max="768" width="9.140625" style="4"/>
    <col min="769" max="769" width="4.140625" style="4" customWidth="1"/>
    <col min="770" max="770" width="51.5703125" style="4" customWidth="1"/>
    <col min="771" max="771" width="15.140625" style="4" customWidth="1"/>
    <col min="772" max="772" width="6.7109375" style="4" customWidth="1"/>
    <col min="773" max="773" width="6.85546875" style="4" customWidth="1"/>
    <col min="774" max="774" width="9.7109375" style="4" customWidth="1"/>
    <col min="775" max="775" width="11" style="4" customWidth="1"/>
    <col min="776" max="776" width="7.140625" style="4" customWidth="1"/>
    <col min="777" max="777" width="9.85546875" style="4" bestFit="1" customWidth="1"/>
    <col min="778" max="778" width="12.42578125" style="4" customWidth="1"/>
    <col min="779" max="779" width="7.42578125" style="4" customWidth="1"/>
    <col min="780" max="780" width="9.5703125" style="4" customWidth="1"/>
    <col min="781" max="781" width="11" style="4" customWidth="1"/>
    <col min="782" max="782" width="22.42578125" style="4" customWidth="1"/>
    <col min="783" max="783" width="13.28515625" style="4" customWidth="1"/>
    <col min="784" max="784" width="18.5703125" style="4" customWidth="1"/>
    <col min="785" max="1024" width="9.140625" style="4"/>
    <col min="1025" max="1025" width="4.140625" style="4" customWidth="1"/>
    <col min="1026" max="1026" width="51.5703125" style="4" customWidth="1"/>
    <col min="1027" max="1027" width="15.140625" style="4" customWidth="1"/>
    <col min="1028" max="1028" width="6.7109375" style="4" customWidth="1"/>
    <col min="1029" max="1029" width="6.85546875" style="4" customWidth="1"/>
    <col min="1030" max="1030" width="9.7109375" style="4" customWidth="1"/>
    <col min="1031" max="1031" width="11" style="4" customWidth="1"/>
    <col min="1032" max="1032" width="7.140625" style="4" customWidth="1"/>
    <col min="1033" max="1033" width="9.85546875" style="4" bestFit="1" customWidth="1"/>
    <col min="1034" max="1034" width="12.42578125" style="4" customWidth="1"/>
    <col min="1035" max="1035" width="7.42578125" style="4" customWidth="1"/>
    <col min="1036" max="1036" width="9.5703125" style="4" customWidth="1"/>
    <col min="1037" max="1037" width="11" style="4" customWidth="1"/>
    <col min="1038" max="1038" width="22.42578125" style="4" customWidth="1"/>
    <col min="1039" max="1039" width="13.28515625" style="4" customWidth="1"/>
    <col min="1040" max="1040" width="18.5703125" style="4" customWidth="1"/>
    <col min="1041" max="1280" width="9.140625" style="4"/>
    <col min="1281" max="1281" width="4.140625" style="4" customWidth="1"/>
    <col min="1282" max="1282" width="51.5703125" style="4" customWidth="1"/>
    <col min="1283" max="1283" width="15.140625" style="4" customWidth="1"/>
    <col min="1284" max="1284" width="6.7109375" style="4" customWidth="1"/>
    <col min="1285" max="1285" width="6.85546875" style="4" customWidth="1"/>
    <col min="1286" max="1286" width="9.7109375" style="4" customWidth="1"/>
    <col min="1287" max="1287" width="11" style="4" customWidth="1"/>
    <col min="1288" max="1288" width="7.140625" style="4" customWidth="1"/>
    <col min="1289" max="1289" width="9.85546875" style="4" bestFit="1" customWidth="1"/>
    <col min="1290" max="1290" width="12.42578125" style="4" customWidth="1"/>
    <col min="1291" max="1291" width="7.42578125" style="4" customWidth="1"/>
    <col min="1292" max="1292" width="9.5703125" style="4" customWidth="1"/>
    <col min="1293" max="1293" width="11" style="4" customWidth="1"/>
    <col min="1294" max="1294" width="22.42578125" style="4" customWidth="1"/>
    <col min="1295" max="1295" width="13.28515625" style="4" customWidth="1"/>
    <col min="1296" max="1296" width="18.5703125" style="4" customWidth="1"/>
    <col min="1297" max="1536" width="9.140625" style="4"/>
    <col min="1537" max="1537" width="4.140625" style="4" customWidth="1"/>
    <col min="1538" max="1538" width="51.5703125" style="4" customWidth="1"/>
    <col min="1539" max="1539" width="15.140625" style="4" customWidth="1"/>
    <col min="1540" max="1540" width="6.7109375" style="4" customWidth="1"/>
    <col min="1541" max="1541" width="6.85546875" style="4" customWidth="1"/>
    <col min="1542" max="1542" width="9.7109375" style="4" customWidth="1"/>
    <col min="1543" max="1543" width="11" style="4" customWidth="1"/>
    <col min="1544" max="1544" width="7.140625" style="4" customWidth="1"/>
    <col min="1545" max="1545" width="9.85546875" style="4" bestFit="1" customWidth="1"/>
    <col min="1546" max="1546" width="12.42578125" style="4" customWidth="1"/>
    <col min="1547" max="1547" width="7.42578125" style="4" customWidth="1"/>
    <col min="1548" max="1548" width="9.5703125" style="4" customWidth="1"/>
    <col min="1549" max="1549" width="11" style="4" customWidth="1"/>
    <col min="1550" max="1550" width="22.42578125" style="4" customWidth="1"/>
    <col min="1551" max="1551" width="13.28515625" style="4" customWidth="1"/>
    <col min="1552" max="1552" width="18.5703125" style="4" customWidth="1"/>
    <col min="1553" max="1792" width="9.140625" style="4"/>
    <col min="1793" max="1793" width="4.140625" style="4" customWidth="1"/>
    <col min="1794" max="1794" width="51.5703125" style="4" customWidth="1"/>
    <col min="1795" max="1795" width="15.140625" style="4" customWidth="1"/>
    <col min="1796" max="1796" width="6.7109375" style="4" customWidth="1"/>
    <col min="1797" max="1797" width="6.85546875" style="4" customWidth="1"/>
    <col min="1798" max="1798" width="9.7109375" style="4" customWidth="1"/>
    <col min="1799" max="1799" width="11" style="4" customWidth="1"/>
    <col min="1800" max="1800" width="7.140625" style="4" customWidth="1"/>
    <col min="1801" max="1801" width="9.85546875" style="4" bestFit="1" customWidth="1"/>
    <col min="1802" max="1802" width="12.42578125" style="4" customWidth="1"/>
    <col min="1803" max="1803" width="7.42578125" style="4" customWidth="1"/>
    <col min="1804" max="1804" width="9.5703125" style="4" customWidth="1"/>
    <col min="1805" max="1805" width="11" style="4" customWidth="1"/>
    <col min="1806" max="1806" width="22.42578125" style="4" customWidth="1"/>
    <col min="1807" max="1807" width="13.28515625" style="4" customWidth="1"/>
    <col min="1808" max="1808" width="18.5703125" style="4" customWidth="1"/>
    <col min="1809" max="2048" width="9.140625" style="4"/>
    <col min="2049" max="2049" width="4.140625" style="4" customWidth="1"/>
    <col min="2050" max="2050" width="51.5703125" style="4" customWidth="1"/>
    <col min="2051" max="2051" width="15.140625" style="4" customWidth="1"/>
    <col min="2052" max="2052" width="6.7109375" style="4" customWidth="1"/>
    <col min="2053" max="2053" width="6.85546875" style="4" customWidth="1"/>
    <col min="2054" max="2054" width="9.7109375" style="4" customWidth="1"/>
    <col min="2055" max="2055" width="11" style="4" customWidth="1"/>
    <col min="2056" max="2056" width="7.140625" style="4" customWidth="1"/>
    <col min="2057" max="2057" width="9.85546875" style="4" bestFit="1" customWidth="1"/>
    <col min="2058" max="2058" width="12.42578125" style="4" customWidth="1"/>
    <col min="2059" max="2059" width="7.42578125" style="4" customWidth="1"/>
    <col min="2060" max="2060" width="9.5703125" style="4" customWidth="1"/>
    <col min="2061" max="2061" width="11" style="4" customWidth="1"/>
    <col min="2062" max="2062" width="22.42578125" style="4" customWidth="1"/>
    <col min="2063" max="2063" width="13.28515625" style="4" customWidth="1"/>
    <col min="2064" max="2064" width="18.5703125" style="4" customWidth="1"/>
    <col min="2065" max="2304" width="9.140625" style="4"/>
    <col min="2305" max="2305" width="4.140625" style="4" customWidth="1"/>
    <col min="2306" max="2306" width="51.5703125" style="4" customWidth="1"/>
    <col min="2307" max="2307" width="15.140625" style="4" customWidth="1"/>
    <col min="2308" max="2308" width="6.7109375" style="4" customWidth="1"/>
    <col min="2309" max="2309" width="6.85546875" style="4" customWidth="1"/>
    <col min="2310" max="2310" width="9.7109375" style="4" customWidth="1"/>
    <col min="2311" max="2311" width="11" style="4" customWidth="1"/>
    <col min="2312" max="2312" width="7.140625" style="4" customWidth="1"/>
    <col min="2313" max="2313" width="9.85546875" style="4" bestFit="1" customWidth="1"/>
    <col min="2314" max="2314" width="12.42578125" style="4" customWidth="1"/>
    <col min="2315" max="2315" width="7.42578125" style="4" customWidth="1"/>
    <col min="2316" max="2316" width="9.5703125" style="4" customWidth="1"/>
    <col min="2317" max="2317" width="11" style="4" customWidth="1"/>
    <col min="2318" max="2318" width="22.42578125" style="4" customWidth="1"/>
    <col min="2319" max="2319" width="13.28515625" style="4" customWidth="1"/>
    <col min="2320" max="2320" width="18.5703125" style="4" customWidth="1"/>
    <col min="2321" max="2560" width="9.140625" style="4"/>
    <col min="2561" max="2561" width="4.140625" style="4" customWidth="1"/>
    <col min="2562" max="2562" width="51.5703125" style="4" customWidth="1"/>
    <col min="2563" max="2563" width="15.140625" style="4" customWidth="1"/>
    <col min="2564" max="2564" width="6.7109375" style="4" customWidth="1"/>
    <col min="2565" max="2565" width="6.85546875" style="4" customWidth="1"/>
    <col min="2566" max="2566" width="9.7109375" style="4" customWidth="1"/>
    <col min="2567" max="2567" width="11" style="4" customWidth="1"/>
    <col min="2568" max="2568" width="7.140625" style="4" customWidth="1"/>
    <col min="2569" max="2569" width="9.85546875" style="4" bestFit="1" customWidth="1"/>
    <col min="2570" max="2570" width="12.42578125" style="4" customWidth="1"/>
    <col min="2571" max="2571" width="7.42578125" style="4" customWidth="1"/>
    <col min="2572" max="2572" width="9.5703125" style="4" customWidth="1"/>
    <col min="2573" max="2573" width="11" style="4" customWidth="1"/>
    <col min="2574" max="2574" width="22.42578125" style="4" customWidth="1"/>
    <col min="2575" max="2575" width="13.28515625" style="4" customWidth="1"/>
    <col min="2576" max="2576" width="18.5703125" style="4" customWidth="1"/>
    <col min="2577" max="2816" width="9.140625" style="4"/>
    <col min="2817" max="2817" width="4.140625" style="4" customWidth="1"/>
    <col min="2818" max="2818" width="51.5703125" style="4" customWidth="1"/>
    <col min="2819" max="2819" width="15.140625" style="4" customWidth="1"/>
    <col min="2820" max="2820" width="6.7109375" style="4" customWidth="1"/>
    <col min="2821" max="2821" width="6.85546875" style="4" customWidth="1"/>
    <col min="2822" max="2822" width="9.7109375" style="4" customWidth="1"/>
    <col min="2823" max="2823" width="11" style="4" customWidth="1"/>
    <col min="2824" max="2824" width="7.140625" style="4" customWidth="1"/>
    <col min="2825" max="2825" width="9.85546875" style="4" bestFit="1" customWidth="1"/>
    <col min="2826" max="2826" width="12.42578125" style="4" customWidth="1"/>
    <col min="2827" max="2827" width="7.42578125" style="4" customWidth="1"/>
    <col min="2828" max="2828" width="9.5703125" style="4" customWidth="1"/>
    <col min="2829" max="2829" width="11" style="4" customWidth="1"/>
    <col min="2830" max="2830" width="22.42578125" style="4" customWidth="1"/>
    <col min="2831" max="2831" width="13.28515625" style="4" customWidth="1"/>
    <col min="2832" max="2832" width="18.5703125" style="4" customWidth="1"/>
    <col min="2833" max="3072" width="9.140625" style="4"/>
    <col min="3073" max="3073" width="4.140625" style="4" customWidth="1"/>
    <col min="3074" max="3074" width="51.5703125" style="4" customWidth="1"/>
    <col min="3075" max="3075" width="15.140625" style="4" customWidth="1"/>
    <col min="3076" max="3076" width="6.7109375" style="4" customWidth="1"/>
    <col min="3077" max="3077" width="6.85546875" style="4" customWidth="1"/>
    <col min="3078" max="3078" width="9.7109375" style="4" customWidth="1"/>
    <col min="3079" max="3079" width="11" style="4" customWidth="1"/>
    <col min="3080" max="3080" width="7.140625" style="4" customWidth="1"/>
    <col min="3081" max="3081" width="9.85546875" style="4" bestFit="1" customWidth="1"/>
    <col min="3082" max="3082" width="12.42578125" style="4" customWidth="1"/>
    <col min="3083" max="3083" width="7.42578125" style="4" customWidth="1"/>
    <col min="3084" max="3084" width="9.5703125" style="4" customWidth="1"/>
    <col min="3085" max="3085" width="11" style="4" customWidth="1"/>
    <col min="3086" max="3086" width="22.42578125" style="4" customWidth="1"/>
    <col min="3087" max="3087" width="13.28515625" style="4" customWidth="1"/>
    <col min="3088" max="3088" width="18.5703125" style="4" customWidth="1"/>
    <col min="3089" max="3328" width="9.140625" style="4"/>
    <col min="3329" max="3329" width="4.140625" style="4" customWidth="1"/>
    <col min="3330" max="3330" width="51.5703125" style="4" customWidth="1"/>
    <col min="3331" max="3331" width="15.140625" style="4" customWidth="1"/>
    <col min="3332" max="3332" width="6.7109375" style="4" customWidth="1"/>
    <col min="3333" max="3333" width="6.85546875" style="4" customWidth="1"/>
    <col min="3334" max="3334" width="9.7109375" style="4" customWidth="1"/>
    <col min="3335" max="3335" width="11" style="4" customWidth="1"/>
    <col min="3336" max="3336" width="7.140625" style="4" customWidth="1"/>
    <col min="3337" max="3337" width="9.85546875" style="4" bestFit="1" customWidth="1"/>
    <col min="3338" max="3338" width="12.42578125" style="4" customWidth="1"/>
    <col min="3339" max="3339" width="7.42578125" style="4" customWidth="1"/>
    <col min="3340" max="3340" width="9.5703125" style="4" customWidth="1"/>
    <col min="3341" max="3341" width="11" style="4" customWidth="1"/>
    <col min="3342" max="3342" width="22.42578125" style="4" customWidth="1"/>
    <col min="3343" max="3343" width="13.28515625" style="4" customWidth="1"/>
    <col min="3344" max="3344" width="18.5703125" style="4" customWidth="1"/>
    <col min="3345" max="3584" width="9.140625" style="4"/>
    <col min="3585" max="3585" width="4.140625" style="4" customWidth="1"/>
    <col min="3586" max="3586" width="51.5703125" style="4" customWidth="1"/>
    <col min="3587" max="3587" width="15.140625" style="4" customWidth="1"/>
    <col min="3588" max="3588" width="6.7109375" style="4" customWidth="1"/>
    <col min="3589" max="3589" width="6.85546875" style="4" customWidth="1"/>
    <col min="3590" max="3590" width="9.7109375" style="4" customWidth="1"/>
    <col min="3591" max="3591" width="11" style="4" customWidth="1"/>
    <col min="3592" max="3592" width="7.140625" style="4" customWidth="1"/>
    <col min="3593" max="3593" width="9.85546875" style="4" bestFit="1" customWidth="1"/>
    <col min="3594" max="3594" width="12.42578125" style="4" customWidth="1"/>
    <col min="3595" max="3595" width="7.42578125" style="4" customWidth="1"/>
    <col min="3596" max="3596" width="9.5703125" style="4" customWidth="1"/>
    <col min="3597" max="3597" width="11" style="4" customWidth="1"/>
    <col min="3598" max="3598" width="22.42578125" style="4" customWidth="1"/>
    <col min="3599" max="3599" width="13.28515625" style="4" customWidth="1"/>
    <col min="3600" max="3600" width="18.5703125" style="4" customWidth="1"/>
    <col min="3601" max="3840" width="9.140625" style="4"/>
    <col min="3841" max="3841" width="4.140625" style="4" customWidth="1"/>
    <col min="3842" max="3842" width="51.5703125" style="4" customWidth="1"/>
    <col min="3843" max="3843" width="15.140625" style="4" customWidth="1"/>
    <col min="3844" max="3844" width="6.7109375" style="4" customWidth="1"/>
    <col min="3845" max="3845" width="6.85546875" style="4" customWidth="1"/>
    <col min="3846" max="3846" width="9.7109375" style="4" customWidth="1"/>
    <col min="3847" max="3847" width="11" style="4" customWidth="1"/>
    <col min="3848" max="3848" width="7.140625" style="4" customWidth="1"/>
    <col min="3849" max="3849" width="9.85546875" style="4" bestFit="1" customWidth="1"/>
    <col min="3850" max="3850" width="12.42578125" style="4" customWidth="1"/>
    <col min="3851" max="3851" width="7.42578125" style="4" customWidth="1"/>
    <col min="3852" max="3852" width="9.5703125" style="4" customWidth="1"/>
    <col min="3853" max="3853" width="11" style="4" customWidth="1"/>
    <col min="3854" max="3854" width="22.42578125" style="4" customWidth="1"/>
    <col min="3855" max="3855" width="13.28515625" style="4" customWidth="1"/>
    <col min="3856" max="3856" width="18.5703125" style="4" customWidth="1"/>
    <col min="3857" max="4096" width="9.140625" style="4"/>
    <col min="4097" max="4097" width="4.140625" style="4" customWidth="1"/>
    <col min="4098" max="4098" width="51.5703125" style="4" customWidth="1"/>
    <col min="4099" max="4099" width="15.140625" style="4" customWidth="1"/>
    <col min="4100" max="4100" width="6.7109375" style="4" customWidth="1"/>
    <col min="4101" max="4101" width="6.85546875" style="4" customWidth="1"/>
    <col min="4102" max="4102" width="9.7109375" style="4" customWidth="1"/>
    <col min="4103" max="4103" width="11" style="4" customWidth="1"/>
    <col min="4104" max="4104" width="7.140625" style="4" customWidth="1"/>
    <col min="4105" max="4105" width="9.85546875" style="4" bestFit="1" customWidth="1"/>
    <col min="4106" max="4106" width="12.42578125" style="4" customWidth="1"/>
    <col min="4107" max="4107" width="7.42578125" style="4" customWidth="1"/>
    <col min="4108" max="4108" width="9.5703125" style="4" customWidth="1"/>
    <col min="4109" max="4109" width="11" style="4" customWidth="1"/>
    <col min="4110" max="4110" width="22.42578125" style="4" customWidth="1"/>
    <col min="4111" max="4111" width="13.28515625" style="4" customWidth="1"/>
    <col min="4112" max="4112" width="18.5703125" style="4" customWidth="1"/>
    <col min="4113" max="4352" width="9.140625" style="4"/>
    <col min="4353" max="4353" width="4.140625" style="4" customWidth="1"/>
    <col min="4354" max="4354" width="51.5703125" style="4" customWidth="1"/>
    <col min="4355" max="4355" width="15.140625" style="4" customWidth="1"/>
    <col min="4356" max="4356" width="6.7109375" style="4" customWidth="1"/>
    <col min="4357" max="4357" width="6.85546875" style="4" customWidth="1"/>
    <col min="4358" max="4358" width="9.7109375" style="4" customWidth="1"/>
    <col min="4359" max="4359" width="11" style="4" customWidth="1"/>
    <col min="4360" max="4360" width="7.140625" style="4" customWidth="1"/>
    <col min="4361" max="4361" width="9.85546875" style="4" bestFit="1" customWidth="1"/>
    <col min="4362" max="4362" width="12.42578125" style="4" customWidth="1"/>
    <col min="4363" max="4363" width="7.42578125" style="4" customWidth="1"/>
    <col min="4364" max="4364" width="9.5703125" style="4" customWidth="1"/>
    <col min="4365" max="4365" width="11" style="4" customWidth="1"/>
    <col min="4366" max="4366" width="22.42578125" style="4" customWidth="1"/>
    <col min="4367" max="4367" width="13.28515625" style="4" customWidth="1"/>
    <col min="4368" max="4368" width="18.5703125" style="4" customWidth="1"/>
    <col min="4369" max="4608" width="9.140625" style="4"/>
    <col min="4609" max="4609" width="4.140625" style="4" customWidth="1"/>
    <col min="4610" max="4610" width="51.5703125" style="4" customWidth="1"/>
    <col min="4611" max="4611" width="15.140625" style="4" customWidth="1"/>
    <col min="4612" max="4612" width="6.7109375" style="4" customWidth="1"/>
    <col min="4613" max="4613" width="6.85546875" style="4" customWidth="1"/>
    <col min="4614" max="4614" width="9.7109375" style="4" customWidth="1"/>
    <col min="4615" max="4615" width="11" style="4" customWidth="1"/>
    <col min="4616" max="4616" width="7.140625" style="4" customWidth="1"/>
    <col min="4617" max="4617" width="9.85546875" style="4" bestFit="1" customWidth="1"/>
    <col min="4618" max="4618" width="12.42578125" style="4" customWidth="1"/>
    <col min="4619" max="4619" width="7.42578125" style="4" customWidth="1"/>
    <col min="4620" max="4620" width="9.5703125" style="4" customWidth="1"/>
    <col min="4621" max="4621" width="11" style="4" customWidth="1"/>
    <col min="4622" max="4622" width="22.42578125" style="4" customWidth="1"/>
    <col min="4623" max="4623" width="13.28515625" style="4" customWidth="1"/>
    <col min="4624" max="4624" width="18.5703125" style="4" customWidth="1"/>
    <col min="4625" max="4864" width="9.140625" style="4"/>
    <col min="4865" max="4865" width="4.140625" style="4" customWidth="1"/>
    <col min="4866" max="4866" width="51.5703125" style="4" customWidth="1"/>
    <col min="4867" max="4867" width="15.140625" style="4" customWidth="1"/>
    <col min="4868" max="4868" width="6.7109375" style="4" customWidth="1"/>
    <col min="4869" max="4869" width="6.85546875" style="4" customWidth="1"/>
    <col min="4870" max="4870" width="9.7109375" style="4" customWidth="1"/>
    <col min="4871" max="4871" width="11" style="4" customWidth="1"/>
    <col min="4872" max="4872" width="7.140625" style="4" customWidth="1"/>
    <col min="4873" max="4873" width="9.85546875" style="4" bestFit="1" customWidth="1"/>
    <col min="4874" max="4874" width="12.42578125" style="4" customWidth="1"/>
    <col min="4875" max="4875" width="7.42578125" style="4" customWidth="1"/>
    <col min="4876" max="4876" width="9.5703125" style="4" customWidth="1"/>
    <col min="4877" max="4877" width="11" style="4" customWidth="1"/>
    <col min="4878" max="4878" width="22.42578125" style="4" customWidth="1"/>
    <col min="4879" max="4879" width="13.28515625" style="4" customWidth="1"/>
    <col min="4880" max="4880" width="18.5703125" style="4" customWidth="1"/>
    <col min="4881" max="5120" width="9.140625" style="4"/>
    <col min="5121" max="5121" width="4.140625" style="4" customWidth="1"/>
    <col min="5122" max="5122" width="51.5703125" style="4" customWidth="1"/>
    <col min="5123" max="5123" width="15.140625" style="4" customWidth="1"/>
    <col min="5124" max="5124" width="6.7109375" style="4" customWidth="1"/>
    <col min="5125" max="5125" width="6.85546875" style="4" customWidth="1"/>
    <col min="5126" max="5126" width="9.7109375" style="4" customWidth="1"/>
    <col min="5127" max="5127" width="11" style="4" customWidth="1"/>
    <col min="5128" max="5128" width="7.140625" style="4" customWidth="1"/>
    <col min="5129" max="5129" width="9.85546875" style="4" bestFit="1" customWidth="1"/>
    <col min="5130" max="5130" width="12.42578125" style="4" customWidth="1"/>
    <col min="5131" max="5131" width="7.42578125" style="4" customWidth="1"/>
    <col min="5132" max="5132" width="9.5703125" style="4" customWidth="1"/>
    <col min="5133" max="5133" width="11" style="4" customWidth="1"/>
    <col min="5134" max="5134" width="22.42578125" style="4" customWidth="1"/>
    <col min="5135" max="5135" width="13.28515625" style="4" customWidth="1"/>
    <col min="5136" max="5136" width="18.5703125" style="4" customWidth="1"/>
    <col min="5137" max="5376" width="9.140625" style="4"/>
    <col min="5377" max="5377" width="4.140625" style="4" customWidth="1"/>
    <col min="5378" max="5378" width="51.5703125" style="4" customWidth="1"/>
    <col min="5379" max="5379" width="15.140625" style="4" customWidth="1"/>
    <col min="5380" max="5380" width="6.7109375" style="4" customWidth="1"/>
    <col min="5381" max="5381" width="6.85546875" style="4" customWidth="1"/>
    <col min="5382" max="5382" width="9.7109375" style="4" customWidth="1"/>
    <col min="5383" max="5383" width="11" style="4" customWidth="1"/>
    <col min="5384" max="5384" width="7.140625" style="4" customWidth="1"/>
    <col min="5385" max="5385" width="9.85546875" style="4" bestFit="1" customWidth="1"/>
    <col min="5386" max="5386" width="12.42578125" style="4" customWidth="1"/>
    <col min="5387" max="5387" width="7.42578125" style="4" customWidth="1"/>
    <col min="5388" max="5388" width="9.5703125" style="4" customWidth="1"/>
    <col min="5389" max="5389" width="11" style="4" customWidth="1"/>
    <col min="5390" max="5390" width="22.42578125" style="4" customWidth="1"/>
    <col min="5391" max="5391" width="13.28515625" style="4" customWidth="1"/>
    <col min="5392" max="5392" width="18.5703125" style="4" customWidth="1"/>
    <col min="5393" max="5632" width="9.140625" style="4"/>
    <col min="5633" max="5633" width="4.140625" style="4" customWidth="1"/>
    <col min="5634" max="5634" width="51.5703125" style="4" customWidth="1"/>
    <col min="5635" max="5635" width="15.140625" style="4" customWidth="1"/>
    <col min="5636" max="5636" width="6.7109375" style="4" customWidth="1"/>
    <col min="5637" max="5637" width="6.85546875" style="4" customWidth="1"/>
    <col min="5638" max="5638" width="9.7109375" style="4" customWidth="1"/>
    <col min="5639" max="5639" width="11" style="4" customWidth="1"/>
    <col min="5640" max="5640" width="7.140625" style="4" customWidth="1"/>
    <col min="5641" max="5641" width="9.85546875" style="4" bestFit="1" customWidth="1"/>
    <col min="5642" max="5642" width="12.42578125" style="4" customWidth="1"/>
    <col min="5643" max="5643" width="7.42578125" style="4" customWidth="1"/>
    <col min="5644" max="5644" width="9.5703125" style="4" customWidth="1"/>
    <col min="5645" max="5645" width="11" style="4" customWidth="1"/>
    <col min="5646" max="5646" width="22.42578125" style="4" customWidth="1"/>
    <col min="5647" max="5647" width="13.28515625" style="4" customWidth="1"/>
    <col min="5648" max="5648" width="18.5703125" style="4" customWidth="1"/>
    <col min="5649" max="5888" width="9.140625" style="4"/>
    <col min="5889" max="5889" width="4.140625" style="4" customWidth="1"/>
    <col min="5890" max="5890" width="51.5703125" style="4" customWidth="1"/>
    <col min="5891" max="5891" width="15.140625" style="4" customWidth="1"/>
    <col min="5892" max="5892" width="6.7109375" style="4" customWidth="1"/>
    <col min="5893" max="5893" width="6.85546875" style="4" customWidth="1"/>
    <col min="5894" max="5894" width="9.7109375" style="4" customWidth="1"/>
    <col min="5895" max="5895" width="11" style="4" customWidth="1"/>
    <col min="5896" max="5896" width="7.140625" style="4" customWidth="1"/>
    <col min="5897" max="5897" width="9.85546875" style="4" bestFit="1" customWidth="1"/>
    <col min="5898" max="5898" width="12.42578125" style="4" customWidth="1"/>
    <col min="5899" max="5899" width="7.42578125" style="4" customWidth="1"/>
    <col min="5900" max="5900" width="9.5703125" style="4" customWidth="1"/>
    <col min="5901" max="5901" width="11" style="4" customWidth="1"/>
    <col min="5902" max="5902" width="22.42578125" style="4" customWidth="1"/>
    <col min="5903" max="5903" width="13.28515625" style="4" customWidth="1"/>
    <col min="5904" max="5904" width="18.5703125" style="4" customWidth="1"/>
    <col min="5905" max="6144" width="9.140625" style="4"/>
    <col min="6145" max="6145" width="4.140625" style="4" customWidth="1"/>
    <col min="6146" max="6146" width="51.5703125" style="4" customWidth="1"/>
    <col min="6147" max="6147" width="15.140625" style="4" customWidth="1"/>
    <col min="6148" max="6148" width="6.7109375" style="4" customWidth="1"/>
    <col min="6149" max="6149" width="6.85546875" style="4" customWidth="1"/>
    <col min="6150" max="6150" width="9.7109375" style="4" customWidth="1"/>
    <col min="6151" max="6151" width="11" style="4" customWidth="1"/>
    <col min="6152" max="6152" width="7.140625" style="4" customWidth="1"/>
    <col min="6153" max="6153" width="9.85546875" style="4" bestFit="1" customWidth="1"/>
    <col min="6154" max="6154" width="12.42578125" style="4" customWidth="1"/>
    <col min="6155" max="6155" width="7.42578125" style="4" customWidth="1"/>
    <col min="6156" max="6156" width="9.5703125" style="4" customWidth="1"/>
    <col min="6157" max="6157" width="11" style="4" customWidth="1"/>
    <col min="6158" max="6158" width="22.42578125" style="4" customWidth="1"/>
    <col min="6159" max="6159" width="13.28515625" style="4" customWidth="1"/>
    <col min="6160" max="6160" width="18.5703125" style="4" customWidth="1"/>
    <col min="6161" max="6400" width="9.140625" style="4"/>
    <col min="6401" max="6401" width="4.140625" style="4" customWidth="1"/>
    <col min="6402" max="6402" width="51.5703125" style="4" customWidth="1"/>
    <col min="6403" max="6403" width="15.140625" style="4" customWidth="1"/>
    <col min="6404" max="6404" width="6.7109375" style="4" customWidth="1"/>
    <col min="6405" max="6405" width="6.85546875" style="4" customWidth="1"/>
    <col min="6406" max="6406" width="9.7109375" style="4" customWidth="1"/>
    <col min="6407" max="6407" width="11" style="4" customWidth="1"/>
    <col min="6408" max="6408" width="7.140625" style="4" customWidth="1"/>
    <col min="6409" max="6409" width="9.85546875" style="4" bestFit="1" customWidth="1"/>
    <col min="6410" max="6410" width="12.42578125" style="4" customWidth="1"/>
    <col min="6411" max="6411" width="7.42578125" style="4" customWidth="1"/>
    <col min="6412" max="6412" width="9.5703125" style="4" customWidth="1"/>
    <col min="6413" max="6413" width="11" style="4" customWidth="1"/>
    <col min="6414" max="6414" width="22.42578125" style="4" customWidth="1"/>
    <col min="6415" max="6415" width="13.28515625" style="4" customWidth="1"/>
    <col min="6416" max="6416" width="18.5703125" style="4" customWidth="1"/>
    <col min="6417" max="6656" width="9.140625" style="4"/>
    <col min="6657" max="6657" width="4.140625" style="4" customWidth="1"/>
    <col min="6658" max="6658" width="51.5703125" style="4" customWidth="1"/>
    <col min="6659" max="6659" width="15.140625" style="4" customWidth="1"/>
    <col min="6660" max="6660" width="6.7109375" style="4" customWidth="1"/>
    <col min="6661" max="6661" width="6.85546875" style="4" customWidth="1"/>
    <col min="6662" max="6662" width="9.7109375" style="4" customWidth="1"/>
    <col min="6663" max="6663" width="11" style="4" customWidth="1"/>
    <col min="6664" max="6664" width="7.140625" style="4" customWidth="1"/>
    <col min="6665" max="6665" width="9.85546875" style="4" bestFit="1" customWidth="1"/>
    <col min="6666" max="6666" width="12.42578125" style="4" customWidth="1"/>
    <col min="6667" max="6667" width="7.42578125" style="4" customWidth="1"/>
    <col min="6668" max="6668" width="9.5703125" style="4" customWidth="1"/>
    <col min="6669" max="6669" width="11" style="4" customWidth="1"/>
    <col min="6670" max="6670" width="22.42578125" style="4" customWidth="1"/>
    <col min="6671" max="6671" width="13.28515625" style="4" customWidth="1"/>
    <col min="6672" max="6672" width="18.5703125" style="4" customWidth="1"/>
    <col min="6673" max="6912" width="9.140625" style="4"/>
    <col min="6913" max="6913" width="4.140625" style="4" customWidth="1"/>
    <col min="6914" max="6914" width="51.5703125" style="4" customWidth="1"/>
    <col min="6915" max="6915" width="15.140625" style="4" customWidth="1"/>
    <col min="6916" max="6916" width="6.7109375" style="4" customWidth="1"/>
    <col min="6917" max="6917" width="6.85546875" style="4" customWidth="1"/>
    <col min="6918" max="6918" width="9.7109375" style="4" customWidth="1"/>
    <col min="6919" max="6919" width="11" style="4" customWidth="1"/>
    <col min="6920" max="6920" width="7.140625" style="4" customWidth="1"/>
    <col min="6921" max="6921" width="9.85546875" style="4" bestFit="1" customWidth="1"/>
    <col min="6922" max="6922" width="12.42578125" style="4" customWidth="1"/>
    <col min="6923" max="6923" width="7.42578125" style="4" customWidth="1"/>
    <col min="6924" max="6924" width="9.5703125" style="4" customWidth="1"/>
    <col min="6925" max="6925" width="11" style="4" customWidth="1"/>
    <col min="6926" max="6926" width="22.42578125" style="4" customWidth="1"/>
    <col min="6927" max="6927" width="13.28515625" style="4" customWidth="1"/>
    <col min="6928" max="6928" width="18.5703125" style="4" customWidth="1"/>
    <col min="6929" max="7168" width="9.140625" style="4"/>
    <col min="7169" max="7169" width="4.140625" style="4" customWidth="1"/>
    <col min="7170" max="7170" width="51.5703125" style="4" customWidth="1"/>
    <col min="7171" max="7171" width="15.140625" style="4" customWidth="1"/>
    <col min="7172" max="7172" width="6.7109375" style="4" customWidth="1"/>
    <col min="7173" max="7173" width="6.85546875" style="4" customWidth="1"/>
    <col min="7174" max="7174" width="9.7109375" style="4" customWidth="1"/>
    <col min="7175" max="7175" width="11" style="4" customWidth="1"/>
    <col min="7176" max="7176" width="7.140625" style="4" customWidth="1"/>
    <col min="7177" max="7177" width="9.85546875" style="4" bestFit="1" customWidth="1"/>
    <col min="7178" max="7178" width="12.42578125" style="4" customWidth="1"/>
    <col min="7179" max="7179" width="7.42578125" style="4" customWidth="1"/>
    <col min="7180" max="7180" width="9.5703125" style="4" customWidth="1"/>
    <col min="7181" max="7181" width="11" style="4" customWidth="1"/>
    <col min="7182" max="7182" width="22.42578125" style="4" customWidth="1"/>
    <col min="7183" max="7183" width="13.28515625" style="4" customWidth="1"/>
    <col min="7184" max="7184" width="18.5703125" style="4" customWidth="1"/>
    <col min="7185" max="7424" width="9.140625" style="4"/>
    <col min="7425" max="7425" width="4.140625" style="4" customWidth="1"/>
    <col min="7426" max="7426" width="51.5703125" style="4" customWidth="1"/>
    <col min="7427" max="7427" width="15.140625" style="4" customWidth="1"/>
    <col min="7428" max="7428" width="6.7109375" style="4" customWidth="1"/>
    <col min="7429" max="7429" width="6.85546875" style="4" customWidth="1"/>
    <col min="7430" max="7430" width="9.7109375" style="4" customWidth="1"/>
    <col min="7431" max="7431" width="11" style="4" customWidth="1"/>
    <col min="7432" max="7432" width="7.140625" style="4" customWidth="1"/>
    <col min="7433" max="7433" width="9.85546875" style="4" bestFit="1" customWidth="1"/>
    <col min="7434" max="7434" width="12.42578125" style="4" customWidth="1"/>
    <col min="7435" max="7435" width="7.42578125" style="4" customWidth="1"/>
    <col min="7436" max="7436" width="9.5703125" style="4" customWidth="1"/>
    <col min="7437" max="7437" width="11" style="4" customWidth="1"/>
    <col min="7438" max="7438" width="22.42578125" style="4" customWidth="1"/>
    <col min="7439" max="7439" width="13.28515625" style="4" customWidth="1"/>
    <col min="7440" max="7440" width="18.5703125" style="4" customWidth="1"/>
    <col min="7441" max="7680" width="9.140625" style="4"/>
    <col min="7681" max="7681" width="4.140625" style="4" customWidth="1"/>
    <col min="7682" max="7682" width="51.5703125" style="4" customWidth="1"/>
    <col min="7683" max="7683" width="15.140625" style="4" customWidth="1"/>
    <col min="7684" max="7684" width="6.7109375" style="4" customWidth="1"/>
    <col min="7685" max="7685" width="6.85546875" style="4" customWidth="1"/>
    <col min="7686" max="7686" width="9.7109375" style="4" customWidth="1"/>
    <col min="7687" max="7687" width="11" style="4" customWidth="1"/>
    <col min="7688" max="7688" width="7.140625" style="4" customWidth="1"/>
    <col min="7689" max="7689" width="9.85546875" style="4" bestFit="1" customWidth="1"/>
    <col min="7690" max="7690" width="12.42578125" style="4" customWidth="1"/>
    <col min="7691" max="7691" width="7.42578125" style="4" customWidth="1"/>
    <col min="7692" max="7692" width="9.5703125" style="4" customWidth="1"/>
    <col min="7693" max="7693" width="11" style="4" customWidth="1"/>
    <col min="7694" max="7694" width="22.42578125" style="4" customWidth="1"/>
    <col min="7695" max="7695" width="13.28515625" style="4" customWidth="1"/>
    <col min="7696" max="7696" width="18.5703125" style="4" customWidth="1"/>
    <col min="7697" max="7936" width="9.140625" style="4"/>
    <col min="7937" max="7937" width="4.140625" style="4" customWidth="1"/>
    <col min="7938" max="7938" width="51.5703125" style="4" customWidth="1"/>
    <col min="7939" max="7939" width="15.140625" style="4" customWidth="1"/>
    <col min="7940" max="7940" width="6.7109375" style="4" customWidth="1"/>
    <col min="7941" max="7941" width="6.85546875" style="4" customWidth="1"/>
    <col min="7942" max="7942" width="9.7109375" style="4" customWidth="1"/>
    <col min="7943" max="7943" width="11" style="4" customWidth="1"/>
    <col min="7944" max="7944" width="7.140625" style="4" customWidth="1"/>
    <col min="7945" max="7945" width="9.85546875" style="4" bestFit="1" customWidth="1"/>
    <col min="7946" max="7946" width="12.42578125" style="4" customWidth="1"/>
    <col min="7947" max="7947" width="7.42578125" style="4" customWidth="1"/>
    <col min="7948" max="7948" width="9.5703125" style="4" customWidth="1"/>
    <col min="7949" max="7949" width="11" style="4" customWidth="1"/>
    <col min="7950" max="7950" width="22.42578125" style="4" customWidth="1"/>
    <col min="7951" max="7951" width="13.28515625" style="4" customWidth="1"/>
    <col min="7952" max="7952" width="18.5703125" style="4" customWidth="1"/>
    <col min="7953" max="8192" width="9.140625" style="4"/>
    <col min="8193" max="8193" width="4.140625" style="4" customWidth="1"/>
    <col min="8194" max="8194" width="51.5703125" style="4" customWidth="1"/>
    <col min="8195" max="8195" width="15.140625" style="4" customWidth="1"/>
    <col min="8196" max="8196" width="6.7109375" style="4" customWidth="1"/>
    <col min="8197" max="8197" width="6.85546875" style="4" customWidth="1"/>
    <col min="8198" max="8198" width="9.7109375" style="4" customWidth="1"/>
    <col min="8199" max="8199" width="11" style="4" customWidth="1"/>
    <col min="8200" max="8200" width="7.140625" style="4" customWidth="1"/>
    <col min="8201" max="8201" width="9.85546875" style="4" bestFit="1" customWidth="1"/>
    <col min="8202" max="8202" width="12.42578125" style="4" customWidth="1"/>
    <col min="8203" max="8203" width="7.42578125" style="4" customWidth="1"/>
    <col min="8204" max="8204" width="9.5703125" style="4" customWidth="1"/>
    <col min="8205" max="8205" width="11" style="4" customWidth="1"/>
    <col min="8206" max="8206" width="22.42578125" style="4" customWidth="1"/>
    <col min="8207" max="8207" width="13.28515625" style="4" customWidth="1"/>
    <col min="8208" max="8208" width="18.5703125" style="4" customWidth="1"/>
    <col min="8209" max="8448" width="9.140625" style="4"/>
    <col min="8449" max="8449" width="4.140625" style="4" customWidth="1"/>
    <col min="8450" max="8450" width="51.5703125" style="4" customWidth="1"/>
    <col min="8451" max="8451" width="15.140625" style="4" customWidth="1"/>
    <col min="8452" max="8452" width="6.7109375" style="4" customWidth="1"/>
    <col min="8453" max="8453" width="6.85546875" style="4" customWidth="1"/>
    <col min="8454" max="8454" width="9.7109375" style="4" customWidth="1"/>
    <col min="8455" max="8455" width="11" style="4" customWidth="1"/>
    <col min="8456" max="8456" width="7.140625" style="4" customWidth="1"/>
    <col min="8457" max="8457" width="9.85546875" style="4" bestFit="1" customWidth="1"/>
    <col min="8458" max="8458" width="12.42578125" style="4" customWidth="1"/>
    <col min="8459" max="8459" width="7.42578125" style="4" customWidth="1"/>
    <col min="8460" max="8460" width="9.5703125" style="4" customWidth="1"/>
    <col min="8461" max="8461" width="11" style="4" customWidth="1"/>
    <col min="8462" max="8462" width="22.42578125" style="4" customWidth="1"/>
    <col min="8463" max="8463" width="13.28515625" style="4" customWidth="1"/>
    <col min="8464" max="8464" width="18.5703125" style="4" customWidth="1"/>
    <col min="8465" max="8704" width="9.140625" style="4"/>
    <col min="8705" max="8705" width="4.140625" style="4" customWidth="1"/>
    <col min="8706" max="8706" width="51.5703125" style="4" customWidth="1"/>
    <col min="8707" max="8707" width="15.140625" style="4" customWidth="1"/>
    <col min="8708" max="8708" width="6.7109375" style="4" customWidth="1"/>
    <col min="8709" max="8709" width="6.85546875" style="4" customWidth="1"/>
    <col min="8710" max="8710" width="9.7109375" style="4" customWidth="1"/>
    <col min="8711" max="8711" width="11" style="4" customWidth="1"/>
    <col min="8712" max="8712" width="7.140625" style="4" customWidth="1"/>
    <col min="8713" max="8713" width="9.85546875" style="4" bestFit="1" customWidth="1"/>
    <col min="8714" max="8714" width="12.42578125" style="4" customWidth="1"/>
    <col min="8715" max="8715" width="7.42578125" style="4" customWidth="1"/>
    <col min="8716" max="8716" width="9.5703125" style="4" customWidth="1"/>
    <col min="8717" max="8717" width="11" style="4" customWidth="1"/>
    <col min="8718" max="8718" width="22.42578125" style="4" customWidth="1"/>
    <col min="8719" max="8719" width="13.28515625" style="4" customWidth="1"/>
    <col min="8720" max="8720" width="18.5703125" style="4" customWidth="1"/>
    <col min="8721" max="8960" width="9.140625" style="4"/>
    <col min="8961" max="8961" width="4.140625" style="4" customWidth="1"/>
    <col min="8962" max="8962" width="51.5703125" style="4" customWidth="1"/>
    <col min="8963" max="8963" width="15.140625" style="4" customWidth="1"/>
    <col min="8964" max="8964" width="6.7109375" style="4" customWidth="1"/>
    <col min="8965" max="8965" width="6.85546875" style="4" customWidth="1"/>
    <col min="8966" max="8966" width="9.7109375" style="4" customWidth="1"/>
    <col min="8967" max="8967" width="11" style="4" customWidth="1"/>
    <col min="8968" max="8968" width="7.140625" style="4" customWidth="1"/>
    <col min="8969" max="8969" width="9.85546875" style="4" bestFit="1" customWidth="1"/>
    <col min="8970" max="8970" width="12.42578125" style="4" customWidth="1"/>
    <col min="8971" max="8971" width="7.42578125" style="4" customWidth="1"/>
    <col min="8972" max="8972" width="9.5703125" style="4" customWidth="1"/>
    <col min="8973" max="8973" width="11" style="4" customWidth="1"/>
    <col min="8974" max="8974" width="22.42578125" style="4" customWidth="1"/>
    <col min="8975" max="8975" width="13.28515625" style="4" customWidth="1"/>
    <col min="8976" max="8976" width="18.5703125" style="4" customWidth="1"/>
    <col min="8977" max="9216" width="9.140625" style="4"/>
    <col min="9217" max="9217" width="4.140625" style="4" customWidth="1"/>
    <col min="9218" max="9218" width="51.5703125" style="4" customWidth="1"/>
    <col min="9219" max="9219" width="15.140625" style="4" customWidth="1"/>
    <col min="9220" max="9220" width="6.7109375" style="4" customWidth="1"/>
    <col min="9221" max="9221" width="6.85546875" style="4" customWidth="1"/>
    <col min="9222" max="9222" width="9.7109375" style="4" customWidth="1"/>
    <col min="9223" max="9223" width="11" style="4" customWidth="1"/>
    <col min="9224" max="9224" width="7.140625" style="4" customWidth="1"/>
    <col min="9225" max="9225" width="9.85546875" style="4" bestFit="1" customWidth="1"/>
    <col min="9226" max="9226" width="12.42578125" style="4" customWidth="1"/>
    <col min="9227" max="9227" width="7.42578125" style="4" customWidth="1"/>
    <col min="9228" max="9228" width="9.5703125" style="4" customWidth="1"/>
    <col min="9229" max="9229" width="11" style="4" customWidth="1"/>
    <col min="9230" max="9230" width="22.42578125" style="4" customWidth="1"/>
    <col min="9231" max="9231" width="13.28515625" style="4" customWidth="1"/>
    <col min="9232" max="9232" width="18.5703125" style="4" customWidth="1"/>
    <col min="9233" max="9472" width="9.140625" style="4"/>
    <col min="9473" max="9473" width="4.140625" style="4" customWidth="1"/>
    <col min="9474" max="9474" width="51.5703125" style="4" customWidth="1"/>
    <col min="9475" max="9475" width="15.140625" style="4" customWidth="1"/>
    <col min="9476" max="9476" width="6.7109375" style="4" customWidth="1"/>
    <col min="9477" max="9477" width="6.85546875" style="4" customWidth="1"/>
    <col min="9478" max="9478" width="9.7109375" style="4" customWidth="1"/>
    <col min="9479" max="9479" width="11" style="4" customWidth="1"/>
    <col min="9480" max="9480" width="7.140625" style="4" customWidth="1"/>
    <col min="9481" max="9481" width="9.85546875" style="4" bestFit="1" customWidth="1"/>
    <col min="9482" max="9482" width="12.42578125" style="4" customWidth="1"/>
    <col min="9483" max="9483" width="7.42578125" style="4" customWidth="1"/>
    <col min="9484" max="9484" width="9.5703125" style="4" customWidth="1"/>
    <col min="9485" max="9485" width="11" style="4" customWidth="1"/>
    <col min="9486" max="9486" width="22.42578125" style="4" customWidth="1"/>
    <col min="9487" max="9487" width="13.28515625" style="4" customWidth="1"/>
    <col min="9488" max="9488" width="18.5703125" style="4" customWidth="1"/>
    <col min="9489" max="9728" width="9.140625" style="4"/>
    <col min="9729" max="9729" width="4.140625" style="4" customWidth="1"/>
    <col min="9730" max="9730" width="51.5703125" style="4" customWidth="1"/>
    <col min="9731" max="9731" width="15.140625" style="4" customWidth="1"/>
    <col min="9732" max="9732" width="6.7109375" style="4" customWidth="1"/>
    <col min="9733" max="9733" width="6.85546875" style="4" customWidth="1"/>
    <col min="9734" max="9734" width="9.7109375" style="4" customWidth="1"/>
    <col min="9735" max="9735" width="11" style="4" customWidth="1"/>
    <col min="9736" max="9736" width="7.140625" style="4" customWidth="1"/>
    <col min="9737" max="9737" width="9.85546875" style="4" bestFit="1" customWidth="1"/>
    <col min="9738" max="9738" width="12.42578125" style="4" customWidth="1"/>
    <col min="9739" max="9739" width="7.42578125" style="4" customWidth="1"/>
    <col min="9740" max="9740" width="9.5703125" style="4" customWidth="1"/>
    <col min="9741" max="9741" width="11" style="4" customWidth="1"/>
    <col min="9742" max="9742" width="22.42578125" style="4" customWidth="1"/>
    <col min="9743" max="9743" width="13.28515625" style="4" customWidth="1"/>
    <col min="9744" max="9744" width="18.5703125" style="4" customWidth="1"/>
    <col min="9745" max="9984" width="9.140625" style="4"/>
    <col min="9985" max="9985" width="4.140625" style="4" customWidth="1"/>
    <col min="9986" max="9986" width="51.5703125" style="4" customWidth="1"/>
    <col min="9987" max="9987" width="15.140625" style="4" customWidth="1"/>
    <col min="9988" max="9988" width="6.7109375" style="4" customWidth="1"/>
    <col min="9989" max="9989" width="6.85546875" style="4" customWidth="1"/>
    <col min="9990" max="9990" width="9.7109375" style="4" customWidth="1"/>
    <col min="9991" max="9991" width="11" style="4" customWidth="1"/>
    <col min="9992" max="9992" width="7.140625" style="4" customWidth="1"/>
    <col min="9993" max="9993" width="9.85546875" style="4" bestFit="1" customWidth="1"/>
    <col min="9994" max="9994" width="12.42578125" style="4" customWidth="1"/>
    <col min="9995" max="9995" width="7.42578125" style="4" customWidth="1"/>
    <col min="9996" max="9996" width="9.5703125" style="4" customWidth="1"/>
    <col min="9997" max="9997" width="11" style="4" customWidth="1"/>
    <col min="9998" max="9998" width="22.42578125" style="4" customWidth="1"/>
    <col min="9999" max="9999" width="13.28515625" style="4" customWidth="1"/>
    <col min="10000" max="10000" width="18.5703125" style="4" customWidth="1"/>
    <col min="10001" max="10240" width="9.140625" style="4"/>
    <col min="10241" max="10241" width="4.140625" style="4" customWidth="1"/>
    <col min="10242" max="10242" width="51.5703125" style="4" customWidth="1"/>
    <col min="10243" max="10243" width="15.140625" style="4" customWidth="1"/>
    <col min="10244" max="10244" width="6.7109375" style="4" customWidth="1"/>
    <col min="10245" max="10245" width="6.85546875" style="4" customWidth="1"/>
    <col min="10246" max="10246" width="9.7109375" style="4" customWidth="1"/>
    <col min="10247" max="10247" width="11" style="4" customWidth="1"/>
    <col min="10248" max="10248" width="7.140625" style="4" customWidth="1"/>
    <col min="10249" max="10249" width="9.85546875" style="4" bestFit="1" customWidth="1"/>
    <col min="10250" max="10250" width="12.42578125" style="4" customWidth="1"/>
    <col min="10251" max="10251" width="7.42578125" style="4" customWidth="1"/>
    <col min="10252" max="10252" width="9.5703125" style="4" customWidth="1"/>
    <col min="10253" max="10253" width="11" style="4" customWidth="1"/>
    <col min="10254" max="10254" width="22.42578125" style="4" customWidth="1"/>
    <col min="10255" max="10255" width="13.28515625" style="4" customWidth="1"/>
    <col min="10256" max="10256" width="18.5703125" style="4" customWidth="1"/>
    <col min="10257" max="10496" width="9.140625" style="4"/>
    <col min="10497" max="10497" width="4.140625" style="4" customWidth="1"/>
    <col min="10498" max="10498" width="51.5703125" style="4" customWidth="1"/>
    <col min="10499" max="10499" width="15.140625" style="4" customWidth="1"/>
    <col min="10500" max="10500" width="6.7109375" style="4" customWidth="1"/>
    <col min="10501" max="10501" width="6.85546875" style="4" customWidth="1"/>
    <col min="10502" max="10502" width="9.7109375" style="4" customWidth="1"/>
    <col min="10503" max="10503" width="11" style="4" customWidth="1"/>
    <col min="10504" max="10504" width="7.140625" style="4" customWidth="1"/>
    <col min="10505" max="10505" width="9.85546875" style="4" bestFit="1" customWidth="1"/>
    <col min="10506" max="10506" width="12.42578125" style="4" customWidth="1"/>
    <col min="10507" max="10507" width="7.42578125" style="4" customWidth="1"/>
    <col min="10508" max="10508" width="9.5703125" style="4" customWidth="1"/>
    <col min="10509" max="10509" width="11" style="4" customWidth="1"/>
    <col min="10510" max="10510" width="22.42578125" style="4" customWidth="1"/>
    <col min="10511" max="10511" width="13.28515625" style="4" customWidth="1"/>
    <col min="10512" max="10512" width="18.5703125" style="4" customWidth="1"/>
    <col min="10513" max="10752" width="9.140625" style="4"/>
    <col min="10753" max="10753" width="4.140625" style="4" customWidth="1"/>
    <col min="10754" max="10754" width="51.5703125" style="4" customWidth="1"/>
    <col min="10755" max="10755" width="15.140625" style="4" customWidth="1"/>
    <col min="10756" max="10756" width="6.7109375" style="4" customWidth="1"/>
    <col min="10757" max="10757" width="6.85546875" style="4" customWidth="1"/>
    <col min="10758" max="10758" width="9.7109375" style="4" customWidth="1"/>
    <col min="10759" max="10759" width="11" style="4" customWidth="1"/>
    <col min="10760" max="10760" width="7.140625" style="4" customWidth="1"/>
    <col min="10761" max="10761" width="9.85546875" style="4" bestFit="1" customWidth="1"/>
    <col min="10762" max="10762" width="12.42578125" style="4" customWidth="1"/>
    <col min="10763" max="10763" width="7.42578125" style="4" customWidth="1"/>
    <col min="10764" max="10764" width="9.5703125" style="4" customWidth="1"/>
    <col min="10765" max="10765" width="11" style="4" customWidth="1"/>
    <col min="10766" max="10766" width="22.42578125" style="4" customWidth="1"/>
    <col min="10767" max="10767" width="13.28515625" style="4" customWidth="1"/>
    <col min="10768" max="10768" width="18.5703125" style="4" customWidth="1"/>
    <col min="10769" max="11008" width="9.140625" style="4"/>
    <col min="11009" max="11009" width="4.140625" style="4" customWidth="1"/>
    <col min="11010" max="11010" width="51.5703125" style="4" customWidth="1"/>
    <col min="11011" max="11011" width="15.140625" style="4" customWidth="1"/>
    <col min="11012" max="11012" width="6.7109375" style="4" customWidth="1"/>
    <col min="11013" max="11013" width="6.85546875" style="4" customWidth="1"/>
    <col min="11014" max="11014" width="9.7109375" style="4" customWidth="1"/>
    <col min="11015" max="11015" width="11" style="4" customWidth="1"/>
    <col min="11016" max="11016" width="7.140625" style="4" customWidth="1"/>
    <col min="11017" max="11017" width="9.85546875" style="4" bestFit="1" customWidth="1"/>
    <col min="11018" max="11018" width="12.42578125" style="4" customWidth="1"/>
    <col min="11019" max="11019" width="7.42578125" style="4" customWidth="1"/>
    <col min="11020" max="11020" width="9.5703125" style="4" customWidth="1"/>
    <col min="11021" max="11021" width="11" style="4" customWidth="1"/>
    <col min="11022" max="11022" width="22.42578125" style="4" customWidth="1"/>
    <col min="11023" max="11023" width="13.28515625" style="4" customWidth="1"/>
    <col min="11024" max="11024" width="18.5703125" style="4" customWidth="1"/>
    <col min="11025" max="11264" width="9.140625" style="4"/>
    <col min="11265" max="11265" width="4.140625" style="4" customWidth="1"/>
    <col min="11266" max="11266" width="51.5703125" style="4" customWidth="1"/>
    <col min="11267" max="11267" width="15.140625" style="4" customWidth="1"/>
    <col min="11268" max="11268" width="6.7109375" style="4" customWidth="1"/>
    <col min="11269" max="11269" width="6.85546875" style="4" customWidth="1"/>
    <col min="11270" max="11270" width="9.7109375" style="4" customWidth="1"/>
    <col min="11271" max="11271" width="11" style="4" customWidth="1"/>
    <col min="11272" max="11272" width="7.140625" style="4" customWidth="1"/>
    <col min="11273" max="11273" width="9.85546875" style="4" bestFit="1" customWidth="1"/>
    <col min="11274" max="11274" width="12.42578125" style="4" customWidth="1"/>
    <col min="11275" max="11275" width="7.42578125" style="4" customWidth="1"/>
    <col min="11276" max="11276" width="9.5703125" style="4" customWidth="1"/>
    <col min="11277" max="11277" width="11" style="4" customWidth="1"/>
    <col min="11278" max="11278" width="22.42578125" style="4" customWidth="1"/>
    <col min="11279" max="11279" width="13.28515625" style="4" customWidth="1"/>
    <col min="11280" max="11280" width="18.5703125" style="4" customWidth="1"/>
    <col min="11281" max="11520" width="9.140625" style="4"/>
    <col min="11521" max="11521" width="4.140625" style="4" customWidth="1"/>
    <col min="11522" max="11522" width="51.5703125" style="4" customWidth="1"/>
    <col min="11523" max="11523" width="15.140625" style="4" customWidth="1"/>
    <col min="11524" max="11524" width="6.7109375" style="4" customWidth="1"/>
    <col min="11525" max="11525" width="6.85546875" style="4" customWidth="1"/>
    <col min="11526" max="11526" width="9.7109375" style="4" customWidth="1"/>
    <col min="11527" max="11527" width="11" style="4" customWidth="1"/>
    <col min="11528" max="11528" width="7.140625" style="4" customWidth="1"/>
    <col min="11529" max="11529" width="9.85546875" style="4" bestFit="1" customWidth="1"/>
    <col min="11530" max="11530" width="12.42578125" style="4" customWidth="1"/>
    <col min="11531" max="11531" width="7.42578125" style="4" customWidth="1"/>
    <col min="11532" max="11532" width="9.5703125" style="4" customWidth="1"/>
    <col min="11533" max="11533" width="11" style="4" customWidth="1"/>
    <col min="11534" max="11534" width="22.42578125" style="4" customWidth="1"/>
    <col min="11535" max="11535" width="13.28515625" style="4" customWidth="1"/>
    <col min="11536" max="11536" width="18.5703125" style="4" customWidth="1"/>
    <col min="11537" max="11776" width="9.140625" style="4"/>
    <col min="11777" max="11777" width="4.140625" style="4" customWidth="1"/>
    <col min="11778" max="11778" width="51.5703125" style="4" customWidth="1"/>
    <col min="11779" max="11779" width="15.140625" style="4" customWidth="1"/>
    <col min="11780" max="11780" width="6.7109375" style="4" customWidth="1"/>
    <col min="11781" max="11781" width="6.85546875" style="4" customWidth="1"/>
    <col min="11782" max="11782" width="9.7109375" style="4" customWidth="1"/>
    <col min="11783" max="11783" width="11" style="4" customWidth="1"/>
    <col min="11784" max="11784" width="7.140625" style="4" customWidth="1"/>
    <col min="11785" max="11785" width="9.85546875" style="4" bestFit="1" customWidth="1"/>
    <col min="11786" max="11786" width="12.42578125" style="4" customWidth="1"/>
    <col min="11787" max="11787" width="7.42578125" style="4" customWidth="1"/>
    <col min="11788" max="11788" width="9.5703125" style="4" customWidth="1"/>
    <col min="11789" max="11789" width="11" style="4" customWidth="1"/>
    <col min="11790" max="11790" width="22.42578125" style="4" customWidth="1"/>
    <col min="11791" max="11791" width="13.28515625" style="4" customWidth="1"/>
    <col min="11792" max="11792" width="18.5703125" style="4" customWidth="1"/>
    <col min="11793" max="12032" width="9.140625" style="4"/>
    <col min="12033" max="12033" width="4.140625" style="4" customWidth="1"/>
    <col min="12034" max="12034" width="51.5703125" style="4" customWidth="1"/>
    <col min="12035" max="12035" width="15.140625" style="4" customWidth="1"/>
    <col min="12036" max="12036" width="6.7109375" style="4" customWidth="1"/>
    <col min="12037" max="12037" width="6.85546875" style="4" customWidth="1"/>
    <col min="12038" max="12038" width="9.7109375" style="4" customWidth="1"/>
    <col min="12039" max="12039" width="11" style="4" customWidth="1"/>
    <col min="12040" max="12040" width="7.140625" style="4" customWidth="1"/>
    <col min="12041" max="12041" width="9.85546875" style="4" bestFit="1" customWidth="1"/>
    <col min="12042" max="12042" width="12.42578125" style="4" customWidth="1"/>
    <col min="12043" max="12043" width="7.42578125" style="4" customWidth="1"/>
    <col min="12044" max="12044" width="9.5703125" style="4" customWidth="1"/>
    <col min="12045" max="12045" width="11" style="4" customWidth="1"/>
    <col min="12046" max="12046" width="22.42578125" style="4" customWidth="1"/>
    <col min="12047" max="12047" width="13.28515625" style="4" customWidth="1"/>
    <col min="12048" max="12048" width="18.5703125" style="4" customWidth="1"/>
    <col min="12049" max="12288" width="9.140625" style="4"/>
    <col min="12289" max="12289" width="4.140625" style="4" customWidth="1"/>
    <col min="12290" max="12290" width="51.5703125" style="4" customWidth="1"/>
    <col min="12291" max="12291" width="15.140625" style="4" customWidth="1"/>
    <col min="12292" max="12292" width="6.7109375" style="4" customWidth="1"/>
    <col min="12293" max="12293" width="6.85546875" style="4" customWidth="1"/>
    <col min="12294" max="12294" width="9.7109375" style="4" customWidth="1"/>
    <col min="12295" max="12295" width="11" style="4" customWidth="1"/>
    <col min="12296" max="12296" width="7.140625" style="4" customWidth="1"/>
    <col min="12297" max="12297" width="9.85546875" style="4" bestFit="1" customWidth="1"/>
    <col min="12298" max="12298" width="12.42578125" style="4" customWidth="1"/>
    <col min="12299" max="12299" width="7.42578125" style="4" customWidth="1"/>
    <col min="12300" max="12300" width="9.5703125" style="4" customWidth="1"/>
    <col min="12301" max="12301" width="11" style="4" customWidth="1"/>
    <col min="12302" max="12302" width="22.42578125" style="4" customWidth="1"/>
    <col min="12303" max="12303" width="13.28515625" style="4" customWidth="1"/>
    <col min="12304" max="12304" width="18.5703125" style="4" customWidth="1"/>
    <col min="12305" max="12544" width="9.140625" style="4"/>
    <col min="12545" max="12545" width="4.140625" style="4" customWidth="1"/>
    <col min="12546" max="12546" width="51.5703125" style="4" customWidth="1"/>
    <col min="12547" max="12547" width="15.140625" style="4" customWidth="1"/>
    <col min="12548" max="12548" width="6.7109375" style="4" customWidth="1"/>
    <col min="12549" max="12549" width="6.85546875" style="4" customWidth="1"/>
    <col min="12550" max="12550" width="9.7109375" style="4" customWidth="1"/>
    <col min="12551" max="12551" width="11" style="4" customWidth="1"/>
    <col min="12552" max="12552" width="7.140625" style="4" customWidth="1"/>
    <col min="12553" max="12553" width="9.85546875" style="4" bestFit="1" customWidth="1"/>
    <col min="12554" max="12554" width="12.42578125" style="4" customWidth="1"/>
    <col min="12555" max="12555" width="7.42578125" style="4" customWidth="1"/>
    <col min="12556" max="12556" width="9.5703125" style="4" customWidth="1"/>
    <col min="12557" max="12557" width="11" style="4" customWidth="1"/>
    <col min="12558" max="12558" width="22.42578125" style="4" customWidth="1"/>
    <col min="12559" max="12559" width="13.28515625" style="4" customWidth="1"/>
    <col min="12560" max="12560" width="18.5703125" style="4" customWidth="1"/>
    <col min="12561" max="12800" width="9.140625" style="4"/>
    <col min="12801" max="12801" width="4.140625" style="4" customWidth="1"/>
    <col min="12802" max="12802" width="51.5703125" style="4" customWidth="1"/>
    <col min="12803" max="12803" width="15.140625" style="4" customWidth="1"/>
    <col min="12804" max="12804" width="6.7109375" style="4" customWidth="1"/>
    <col min="12805" max="12805" width="6.85546875" style="4" customWidth="1"/>
    <col min="12806" max="12806" width="9.7109375" style="4" customWidth="1"/>
    <col min="12807" max="12807" width="11" style="4" customWidth="1"/>
    <col min="12808" max="12808" width="7.140625" style="4" customWidth="1"/>
    <col min="12809" max="12809" width="9.85546875" style="4" bestFit="1" customWidth="1"/>
    <col min="12810" max="12810" width="12.42578125" style="4" customWidth="1"/>
    <col min="12811" max="12811" width="7.42578125" style="4" customWidth="1"/>
    <col min="12812" max="12812" width="9.5703125" style="4" customWidth="1"/>
    <col min="12813" max="12813" width="11" style="4" customWidth="1"/>
    <col min="12814" max="12814" width="22.42578125" style="4" customWidth="1"/>
    <col min="12815" max="12815" width="13.28515625" style="4" customWidth="1"/>
    <col min="12816" max="12816" width="18.5703125" style="4" customWidth="1"/>
    <col min="12817" max="13056" width="9.140625" style="4"/>
    <col min="13057" max="13057" width="4.140625" style="4" customWidth="1"/>
    <col min="13058" max="13058" width="51.5703125" style="4" customWidth="1"/>
    <col min="13059" max="13059" width="15.140625" style="4" customWidth="1"/>
    <col min="13060" max="13060" width="6.7109375" style="4" customWidth="1"/>
    <col min="13061" max="13061" width="6.85546875" style="4" customWidth="1"/>
    <col min="13062" max="13062" width="9.7109375" style="4" customWidth="1"/>
    <col min="13063" max="13063" width="11" style="4" customWidth="1"/>
    <col min="13064" max="13064" width="7.140625" style="4" customWidth="1"/>
    <col min="13065" max="13065" width="9.85546875" style="4" bestFit="1" customWidth="1"/>
    <col min="13066" max="13066" width="12.42578125" style="4" customWidth="1"/>
    <col min="13067" max="13067" width="7.42578125" style="4" customWidth="1"/>
    <col min="13068" max="13068" width="9.5703125" style="4" customWidth="1"/>
    <col min="13069" max="13069" width="11" style="4" customWidth="1"/>
    <col min="13070" max="13070" width="22.42578125" style="4" customWidth="1"/>
    <col min="13071" max="13071" width="13.28515625" style="4" customWidth="1"/>
    <col min="13072" max="13072" width="18.5703125" style="4" customWidth="1"/>
    <col min="13073" max="13312" width="9.140625" style="4"/>
    <col min="13313" max="13313" width="4.140625" style="4" customWidth="1"/>
    <col min="13314" max="13314" width="51.5703125" style="4" customWidth="1"/>
    <col min="13315" max="13315" width="15.140625" style="4" customWidth="1"/>
    <col min="13316" max="13316" width="6.7109375" style="4" customWidth="1"/>
    <col min="13317" max="13317" width="6.85546875" style="4" customWidth="1"/>
    <col min="13318" max="13318" width="9.7109375" style="4" customWidth="1"/>
    <col min="13319" max="13319" width="11" style="4" customWidth="1"/>
    <col min="13320" max="13320" width="7.140625" style="4" customWidth="1"/>
    <col min="13321" max="13321" width="9.85546875" style="4" bestFit="1" customWidth="1"/>
    <col min="13322" max="13322" width="12.42578125" style="4" customWidth="1"/>
    <col min="13323" max="13323" width="7.42578125" style="4" customWidth="1"/>
    <col min="13324" max="13324" width="9.5703125" style="4" customWidth="1"/>
    <col min="13325" max="13325" width="11" style="4" customWidth="1"/>
    <col min="13326" max="13326" width="22.42578125" style="4" customWidth="1"/>
    <col min="13327" max="13327" width="13.28515625" style="4" customWidth="1"/>
    <col min="13328" max="13328" width="18.5703125" style="4" customWidth="1"/>
    <col min="13329" max="13568" width="9.140625" style="4"/>
    <col min="13569" max="13569" width="4.140625" style="4" customWidth="1"/>
    <col min="13570" max="13570" width="51.5703125" style="4" customWidth="1"/>
    <col min="13571" max="13571" width="15.140625" style="4" customWidth="1"/>
    <col min="13572" max="13572" width="6.7109375" style="4" customWidth="1"/>
    <col min="13573" max="13573" width="6.85546875" style="4" customWidth="1"/>
    <col min="13574" max="13574" width="9.7109375" style="4" customWidth="1"/>
    <col min="13575" max="13575" width="11" style="4" customWidth="1"/>
    <col min="13576" max="13576" width="7.140625" style="4" customWidth="1"/>
    <col min="13577" max="13577" width="9.85546875" style="4" bestFit="1" customWidth="1"/>
    <col min="13578" max="13578" width="12.42578125" style="4" customWidth="1"/>
    <col min="13579" max="13579" width="7.42578125" style="4" customWidth="1"/>
    <col min="13580" max="13580" width="9.5703125" style="4" customWidth="1"/>
    <col min="13581" max="13581" width="11" style="4" customWidth="1"/>
    <col min="13582" max="13582" width="22.42578125" style="4" customWidth="1"/>
    <col min="13583" max="13583" width="13.28515625" style="4" customWidth="1"/>
    <col min="13584" max="13584" width="18.5703125" style="4" customWidth="1"/>
    <col min="13585" max="13824" width="9.140625" style="4"/>
    <col min="13825" max="13825" width="4.140625" style="4" customWidth="1"/>
    <col min="13826" max="13826" width="51.5703125" style="4" customWidth="1"/>
    <col min="13827" max="13827" width="15.140625" style="4" customWidth="1"/>
    <col min="13828" max="13828" width="6.7109375" style="4" customWidth="1"/>
    <col min="13829" max="13829" width="6.85546875" style="4" customWidth="1"/>
    <col min="13830" max="13830" width="9.7109375" style="4" customWidth="1"/>
    <col min="13831" max="13831" width="11" style="4" customWidth="1"/>
    <col min="13832" max="13832" width="7.140625" style="4" customWidth="1"/>
    <col min="13833" max="13833" width="9.85546875" style="4" bestFit="1" customWidth="1"/>
    <col min="13834" max="13834" width="12.42578125" style="4" customWidth="1"/>
    <col min="13835" max="13835" width="7.42578125" style="4" customWidth="1"/>
    <col min="13836" max="13836" width="9.5703125" style="4" customWidth="1"/>
    <col min="13837" max="13837" width="11" style="4" customWidth="1"/>
    <col min="13838" max="13838" width="22.42578125" style="4" customWidth="1"/>
    <col min="13839" max="13839" width="13.28515625" style="4" customWidth="1"/>
    <col min="13840" max="13840" width="18.5703125" style="4" customWidth="1"/>
    <col min="13841" max="14080" width="9.140625" style="4"/>
    <col min="14081" max="14081" width="4.140625" style="4" customWidth="1"/>
    <col min="14082" max="14082" width="51.5703125" style="4" customWidth="1"/>
    <col min="14083" max="14083" width="15.140625" style="4" customWidth="1"/>
    <col min="14084" max="14084" width="6.7109375" style="4" customWidth="1"/>
    <col min="14085" max="14085" width="6.85546875" style="4" customWidth="1"/>
    <col min="14086" max="14086" width="9.7109375" style="4" customWidth="1"/>
    <col min="14087" max="14087" width="11" style="4" customWidth="1"/>
    <col min="14088" max="14088" width="7.140625" style="4" customWidth="1"/>
    <col min="14089" max="14089" width="9.85546875" style="4" bestFit="1" customWidth="1"/>
    <col min="14090" max="14090" width="12.42578125" style="4" customWidth="1"/>
    <col min="14091" max="14091" width="7.42578125" style="4" customWidth="1"/>
    <col min="14092" max="14092" width="9.5703125" style="4" customWidth="1"/>
    <col min="14093" max="14093" width="11" style="4" customWidth="1"/>
    <col min="14094" max="14094" width="22.42578125" style="4" customWidth="1"/>
    <col min="14095" max="14095" width="13.28515625" style="4" customWidth="1"/>
    <col min="14096" max="14096" width="18.5703125" style="4" customWidth="1"/>
    <col min="14097" max="14336" width="9.140625" style="4"/>
    <col min="14337" max="14337" width="4.140625" style="4" customWidth="1"/>
    <col min="14338" max="14338" width="51.5703125" style="4" customWidth="1"/>
    <col min="14339" max="14339" width="15.140625" style="4" customWidth="1"/>
    <col min="14340" max="14340" width="6.7109375" style="4" customWidth="1"/>
    <col min="14341" max="14341" width="6.85546875" style="4" customWidth="1"/>
    <col min="14342" max="14342" width="9.7109375" style="4" customWidth="1"/>
    <col min="14343" max="14343" width="11" style="4" customWidth="1"/>
    <col min="14344" max="14344" width="7.140625" style="4" customWidth="1"/>
    <col min="14345" max="14345" width="9.85546875" style="4" bestFit="1" customWidth="1"/>
    <col min="14346" max="14346" width="12.42578125" style="4" customWidth="1"/>
    <col min="14347" max="14347" width="7.42578125" style="4" customWidth="1"/>
    <col min="14348" max="14348" width="9.5703125" style="4" customWidth="1"/>
    <col min="14349" max="14349" width="11" style="4" customWidth="1"/>
    <col min="14350" max="14350" width="22.42578125" style="4" customWidth="1"/>
    <col min="14351" max="14351" width="13.28515625" style="4" customWidth="1"/>
    <col min="14352" max="14352" width="18.5703125" style="4" customWidth="1"/>
    <col min="14353" max="14592" width="9.140625" style="4"/>
    <col min="14593" max="14593" width="4.140625" style="4" customWidth="1"/>
    <col min="14594" max="14594" width="51.5703125" style="4" customWidth="1"/>
    <col min="14595" max="14595" width="15.140625" style="4" customWidth="1"/>
    <col min="14596" max="14596" width="6.7109375" style="4" customWidth="1"/>
    <col min="14597" max="14597" width="6.85546875" style="4" customWidth="1"/>
    <col min="14598" max="14598" width="9.7109375" style="4" customWidth="1"/>
    <col min="14599" max="14599" width="11" style="4" customWidth="1"/>
    <col min="14600" max="14600" width="7.140625" style="4" customWidth="1"/>
    <col min="14601" max="14601" width="9.85546875" style="4" bestFit="1" customWidth="1"/>
    <col min="14602" max="14602" width="12.42578125" style="4" customWidth="1"/>
    <col min="14603" max="14603" width="7.42578125" style="4" customWidth="1"/>
    <col min="14604" max="14604" width="9.5703125" style="4" customWidth="1"/>
    <col min="14605" max="14605" width="11" style="4" customWidth="1"/>
    <col min="14606" max="14606" width="22.42578125" style="4" customWidth="1"/>
    <col min="14607" max="14607" width="13.28515625" style="4" customWidth="1"/>
    <col min="14608" max="14608" width="18.5703125" style="4" customWidth="1"/>
    <col min="14609" max="14848" width="9.140625" style="4"/>
    <col min="14849" max="14849" width="4.140625" style="4" customWidth="1"/>
    <col min="14850" max="14850" width="51.5703125" style="4" customWidth="1"/>
    <col min="14851" max="14851" width="15.140625" style="4" customWidth="1"/>
    <col min="14852" max="14852" width="6.7109375" style="4" customWidth="1"/>
    <col min="14853" max="14853" width="6.85546875" style="4" customWidth="1"/>
    <col min="14854" max="14854" width="9.7109375" style="4" customWidth="1"/>
    <col min="14855" max="14855" width="11" style="4" customWidth="1"/>
    <col min="14856" max="14856" width="7.140625" style="4" customWidth="1"/>
    <col min="14857" max="14857" width="9.85546875" style="4" bestFit="1" customWidth="1"/>
    <col min="14858" max="14858" width="12.42578125" style="4" customWidth="1"/>
    <col min="14859" max="14859" width="7.42578125" style="4" customWidth="1"/>
    <col min="14860" max="14860" width="9.5703125" style="4" customWidth="1"/>
    <col min="14861" max="14861" width="11" style="4" customWidth="1"/>
    <col min="14862" max="14862" width="22.42578125" style="4" customWidth="1"/>
    <col min="14863" max="14863" width="13.28515625" style="4" customWidth="1"/>
    <col min="14864" max="14864" width="18.5703125" style="4" customWidth="1"/>
    <col min="14865" max="15104" width="9.140625" style="4"/>
    <col min="15105" max="15105" width="4.140625" style="4" customWidth="1"/>
    <col min="15106" max="15106" width="51.5703125" style="4" customWidth="1"/>
    <col min="15107" max="15107" width="15.140625" style="4" customWidth="1"/>
    <col min="15108" max="15108" width="6.7109375" style="4" customWidth="1"/>
    <col min="15109" max="15109" width="6.85546875" style="4" customWidth="1"/>
    <col min="15110" max="15110" width="9.7109375" style="4" customWidth="1"/>
    <col min="15111" max="15111" width="11" style="4" customWidth="1"/>
    <col min="15112" max="15112" width="7.140625" style="4" customWidth="1"/>
    <col min="15113" max="15113" width="9.85546875" style="4" bestFit="1" customWidth="1"/>
    <col min="15114" max="15114" width="12.42578125" style="4" customWidth="1"/>
    <col min="15115" max="15115" width="7.42578125" style="4" customWidth="1"/>
    <col min="15116" max="15116" width="9.5703125" style="4" customWidth="1"/>
    <col min="15117" max="15117" width="11" style="4" customWidth="1"/>
    <col min="15118" max="15118" width="22.42578125" style="4" customWidth="1"/>
    <col min="15119" max="15119" width="13.28515625" style="4" customWidth="1"/>
    <col min="15120" max="15120" width="18.5703125" style="4" customWidth="1"/>
    <col min="15121" max="15360" width="9.140625" style="4"/>
    <col min="15361" max="15361" width="4.140625" style="4" customWidth="1"/>
    <col min="15362" max="15362" width="51.5703125" style="4" customWidth="1"/>
    <col min="15363" max="15363" width="15.140625" style="4" customWidth="1"/>
    <col min="15364" max="15364" width="6.7109375" style="4" customWidth="1"/>
    <col min="15365" max="15365" width="6.85546875" style="4" customWidth="1"/>
    <col min="15366" max="15366" width="9.7109375" style="4" customWidth="1"/>
    <col min="15367" max="15367" width="11" style="4" customWidth="1"/>
    <col min="15368" max="15368" width="7.140625" style="4" customWidth="1"/>
    <col min="15369" max="15369" width="9.85546875" style="4" bestFit="1" customWidth="1"/>
    <col min="15370" max="15370" width="12.42578125" style="4" customWidth="1"/>
    <col min="15371" max="15371" width="7.42578125" style="4" customWidth="1"/>
    <col min="15372" max="15372" width="9.5703125" style="4" customWidth="1"/>
    <col min="15373" max="15373" width="11" style="4" customWidth="1"/>
    <col min="15374" max="15374" width="22.42578125" style="4" customWidth="1"/>
    <col min="15375" max="15375" width="13.28515625" style="4" customWidth="1"/>
    <col min="15376" max="15376" width="18.5703125" style="4" customWidth="1"/>
    <col min="15377" max="15616" width="9.140625" style="4"/>
    <col min="15617" max="15617" width="4.140625" style="4" customWidth="1"/>
    <col min="15618" max="15618" width="51.5703125" style="4" customWidth="1"/>
    <col min="15619" max="15619" width="15.140625" style="4" customWidth="1"/>
    <col min="15620" max="15620" width="6.7109375" style="4" customWidth="1"/>
    <col min="15621" max="15621" width="6.85546875" style="4" customWidth="1"/>
    <col min="15622" max="15622" width="9.7109375" style="4" customWidth="1"/>
    <col min="15623" max="15623" width="11" style="4" customWidth="1"/>
    <col min="15624" max="15624" width="7.140625" style="4" customWidth="1"/>
    <col min="15625" max="15625" width="9.85546875" style="4" bestFit="1" customWidth="1"/>
    <col min="15626" max="15626" width="12.42578125" style="4" customWidth="1"/>
    <col min="15627" max="15627" width="7.42578125" style="4" customWidth="1"/>
    <col min="15628" max="15628" width="9.5703125" style="4" customWidth="1"/>
    <col min="15629" max="15629" width="11" style="4" customWidth="1"/>
    <col min="15630" max="15630" width="22.42578125" style="4" customWidth="1"/>
    <col min="15631" max="15631" width="13.28515625" style="4" customWidth="1"/>
    <col min="15632" max="15632" width="18.5703125" style="4" customWidth="1"/>
    <col min="15633" max="15872" width="9.140625" style="4"/>
    <col min="15873" max="15873" width="4.140625" style="4" customWidth="1"/>
    <col min="15874" max="15874" width="51.5703125" style="4" customWidth="1"/>
    <col min="15875" max="15875" width="15.140625" style="4" customWidth="1"/>
    <col min="15876" max="15876" width="6.7109375" style="4" customWidth="1"/>
    <col min="15877" max="15877" width="6.85546875" style="4" customWidth="1"/>
    <col min="15878" max="15878" width="9.7109375" style="4" customWidth="1"/>
    <col min="15879" max="15879" width="11" style="4" customWidth="1"/>
    <col min="15880" max="15880" width="7.140625" style="4" customWidth="1"/>
    <col min="15881" max="15881" width="9.85546875" style="4" bestFit="1" customWidth="1"/>
    <col min="15882" max="15882" width="12.42578125" style="4" customWidth="1"/>
    <col min="15883" max="15883" width="7.42578125" style="4" customWidth="1"/>
    <col min="15884" max="15884" width="9.5703125" style="4" customWidth="1"/>
    <col min="15885" max="15885" width="11" style="4" customWidth="1"/>
    <col min="15886" max="15886" width="22.42578125" style="4" customWidth="1"/>
    <col min="15887" max="15887" width="13.28515625" style="4" customWidth="1"/>
    <col min="15888" max="15888" width="18.5703125" style="4" customWidth="1"/>
    <col min="15889" max="16128" width="9.140625" style="4"/>
    <col min="16129" max="16129" width="4.140625" style="4" customWidth="1"/>
    <col min="16130" max="16130" width="51.5703125" style="4" customWidth="1"/>
    <col min="16131" max="16131" width="15.140625" style="4" customWidth="1"/>
    <col min="16132" max="16132" width="6.7109375" style="4" customWidth="1"/>
    <col min="16133" max="16133" width="6.85546875" style="4" customWidth="1"/>
    <col min="16134" max="16134" width="9.7109375" style="4" customWidth="1"/>
    <col min="16135" max="16135" width="11" style="4" customWidth="1"/>
    <col min="16136" max="16136" width="7.140625" style="4" customWidth="1"/>
    <col min="16137" max="16137" width="9.85546875" style="4" bestFit="1" customWidth="1"/>
    <col min="16138" max="16138" width="12.42578125" style="4" customWidth="1"/>
    <col min="16139" max="16139" width="7.42578125" style="4" customWidth="1"/>
    <col min="16140" max="16140" width="9.5703125" style="4" customWidth="1"/>
    <col min="16141" max="16141" width="11" style="4" customWidth="1"/>
    <col min="16142" max="16142" width="22.42578125" style="4" customWidth="1"/>
    <col min="16143" max="16143" width="13.28515625" style="4" customWidth="1"/>
    <col min="16144" max="16144" width="18.5703125" style="4" customWidth="1"/>
    <col min="16145" max="16384" width="9.140625" style="4"/>
  </cols>
  <sheetData>
    <row r="1" spans="1:16" ht="21.75" customHeight="1">
      <c r="B1" s="3"/>
      <c r="C1" s="3047" t="s">
        <v>1497</v>
      </c>
      <c r="D1" s="3047"/>
      <c r="E1" s="3047"/>
      <c r="F1" s="3047"/>
      <c r="G1" s="2"/>
      <c r="H1" s="3"/>
      <c r="I1" s="3"/>
      <c r="J1" s="3"/>
    </row>
    <row r="2" spans="1:16" ht="18" customHeight="1">
      <c r="K2" s="3060" t="s">
        <v>89</v>
      </c>
      <c r="L2" s="3060"/>
    </row>
    <row r="3" spans="1:16" ht="33" customHeight="1">
      <c r="B3" s="3061" t="s">
        <v>1498</v>
      </c>
      <c r="C3" s="3061"/>
      <c r="D3" s="3061"/>
      <c r="E3" s="3061"/>
      <c r="F3" s="3061"/>
      <c r="G3" s="3061"/>
      <c r="H3" s="3061"/>
      <c r="I3" s="3061"/>
      <c r="J3" s="48"/>
      <c r="K3" s="406"/>
      <c r="L3" s="406"/>
      <c r="M3" s="406"/>
    </row>
    <row r="4" spans="1:16" ht="14.25" customHeight="1">
      <c r="A4" s="407"/>
      <c r="B4" s="408"/>
      <c r="C4" s="409"/>
      <c r="D4" s="408"/>
      <c r="E4" s="408"/>
      <c r="F4" s="408"/>
      <c r="G4" s="408"/>
      <c r="H4" s="408"/>
    </row>
    <row r="5" spans="1:16" s="410" customFormat="1" ht="34.5" customHeight="1">
      <c r="A5" s="3054" t="s">
        <v>1420</v>
      </c>
      <c r="B5" s="3054" t="s">
        <v>3</v>
      </c>
      <c r="C5" s="3052" t="s">
        <v>1421</v>
      </c>
      <c r="D5" s="3054" t="s">
        <v>5</v>
      </c>
      <c r="E5" s="3054" t="s">
        <v>1422</v>
      </c>
      <c r="F5" s="3054"/>
      <c r="G5" s="3054"/>
      <c r="H5" s="3054" t="s">
        <v>1499</v>
      </c>
      <c r="I5" s="3054"/>
      <c r="J5" s="3054"/>
      <c r="K5" s="3062" t="s">
        <v>94</v>
      </c>
      <c r="L5" s="3063"/>
      <c r="M5" s="3064"/>
    </row>
    <row r="6" spans="1:16" ht="22.5" customHeight="1">
      <c r="A6" s="3054"/>
      <c r="B6" s="3054"/>
      <c r="C6" s="3053"/>
      <c r="D6" s="3054"/>
      <c r="E6" s="411" t="s">
        <v>95</v>
      </c>
      <c r="F6" s="411" t="s">
        <v>96</v>
      </c>
      <c r="G6" s="392" t="s">
        <v>10</v>
      </c>
      <c r="H6" s="411" t="s">
        <v>95</v>
      </c>
      <c r="I6" s="411" t="s">
        <v>96</v>
      </c>
      <c r="J6" s="392" t="s">
        <v>10</v>
      </c>
      <c r="K6" s="344" t="s">
        <v>95</v>
      </c>
      <c r="L6" s="344" t="s">
        <v>96</v>
      </c>
      <c r="M6" s="344" t="s">
        <v>10</v>
      </c>
    </row>
    <row r="7" spans="1:16" ht="15.75">
      <c r="A7" s="412">
        <v>1</v>
      </c>
      <c r="B7" s="411">
        <v>2</v>
      </c>
      <c r="C7" s="411">
        <v>3</v>
      </c>
      <c r="D7" s="411">
        <v>4</v>
      </c>
      <c r="E7" s="413">
        <v>5</v>
      </c>
      <c r="F7" s="413">
        <v>6</v>
      </c>
      <c r="G7" s="413">
        <v>7</v>
      </c>
      <c r="H7" s="411">
        <v>8</v>
      </c>
      <c r="I7" s="411">
        <v>9</v>
      </c>
      <c r="J7" s="411">
        <v>10</v>
      </c>
      <c r="K7" s="411">
        <v>11</v>
      </c>
      <c r="L7" s="411">
        <v>12</v>
      </c>
      <c r="M7" s="411">
        <v>13</v>
      </c>
    </row>
    <row r="8" spans="1:16" ht="20.25" customHeight="1">
      <c r="A8" s="3056">
        <v>1</v>
      </c>
      <c r="B8" s="1097" t="s">
        <v>1500</v>
      </c>
      <c r="C8" s="1088">
        <v>7130800033</v>
      </c>
      <c r="D8" s="1098" t="s">
        <v>12</v>
      </c>
      <c r="E8" s="1133">
        <v>2</v>
      </c>
      <c r="F8" s="1134">
        <f>VLOOKUP(C8,'SOR RATE'!A196:D196,4,0)</f>
        <v>4451.53</v>
      </c>
      <c r="G8" s="1134">
        <f>E8*F8</f>
        <v>8903.06</v>
      </c>
      <c r="H8" s="920"/>
      <c r="I8" s="920"/>
      <c r="J8" s="920"/>
      <c r="K8" s="966"/>
      <c r="L8" s="966"/>
      <c r="M8" s="966"/>
      <c r="N8" s="12"/>
    </row>
    <row r="9" spans="1:16" ht="36" customHeight="1">
      <c r="A9" s="3057"/>
      <c r="B9" s="1097" t="s">
        <v>1501</v>
      </c>
      <c r="C9" s="1096">
        <v>7130601958</v>
      </c>
      <c r="D9" s="1098" t="s">
        <v>26</v>
      </c>
      <c r="E9" s="920"/>
      <c r="F9" s="1090"/>
      <c r="G9" s="1090"/>
      <c r="H9" s="920">
        <v>964.6</v>
      </c>
      <c r="I9" s="1135">
        <f>VLOOKUP(C9,'SOR RATE'!A:D,4,0)/1000</f>
        <v>64.326520000000002</v>
      </c>
      <c r="J9" s="1090">
        <f>I9*H9</f>
        <v>62049.361192000004</v>
      </c>
      <c r="K9" s="966"/>
      <c r="L9" s="966"/>
      <c r="M9" s="966"/>
      <c r="N9" s="12"/>
    </row>
    <row r="10" spans="1:16" ht="19.5" customHeight="1">
      <c r="A10" s="3058"/>
      <c r="B10" s="1097" t="s">
        <v>1502</v>
      </c>
      <c r="C10" s="1088">
        <v>7130800002</v>
      </c>
      <c r="D10" s="1098" t="s">
        <v>12</v>
      </c>
      <c r="E10" s="920"/>
      <c r="F10" s="1134"/>
      <c r="G10" s="1090"/>
      <c r="H10" s="920"/>
      <c r="I10" s="1135"/>
      <c r="J10" s="1090"/>
      <c r="K10" s="1136">
        <v>2</v>
      </c>
      <c r="L10" s="1090">
        <f>VLOOKUP(C10,'SOR RATE'!A:D,4,0)</f>
        <v>7656.89</v>
      </c>
      <c r="M10" s="1090">
        <f>K10*L10</f>
        <v>15313.78</v>
      </c>
      <c r="N10" s="12"/>
      <c r="O10" s="399"/>
      <c r="P10" s="399"/>
    </row>
    <row r="11" spans="1:16" ht="19.5" customHeight="1">
      <c r="A11" s="1133">
        <v>2</v>
      </c>
      <c r="B11" s="1137" t="s">
        <v>1503</v>
      </c>
      <c r="C11" s="1088">
        <v>7130810608</v>
      </c>
      <c r="D11" s="1133" t="s">
        <v>40</v>
      </c>
      <c r="E11" s="920">
        <v>1</v>
      </c>
      <c r="F11" s="1134">
        <f>VLOOKUP(C11,'SOR RATE'!A:D,4,0)</f>
        <v>7080.84</v>
      </c>
      <c r="G11" s="1090">
        <f>F11*E11</f>
        <v>7080.84</v>
      </c>
      <c r="H11" s="920">
        <v>1</v>
      </c>
      <c r="I11" s="1135">
        <f>VLOOKUP(C11,'SOR RATE'!A:D,4,0)</f>
        <v>7080.84</v>
      </c>
      <c r="J11" s="1090">
        <f>I11*H11</f>
        <v>7080.84</v>
      </c>
      <c r="K11" s="1136">
        <v>1</v>
      </c>
      <c r="L11" s="1090">
        <f>VLOOKUP(C11,'SOR RATE'!A:D,4,0)</f>
        <v>7080.84</v>
      </c>
      <c r="M11" s="1090">
        <f>K11*L11</f>
        <v>7080.84</v>
      </c>
      <c r="N11" s="12"/>
    </row>
    <row r="12" spans="1:16" ht="19.5" customHeight="1">
      <c r="A12" s="920">
        <v>3</v>
      </c>
      <c r="B12" s="923" t="s">
        <v>1476</v>
      </c>
      <c r="C12" s="1088">
        <v>7130820013</v>
      </c>
      <c r="D12" s="920" t="s">
        <v>12</v>
      </c>
      <c r="E12" s="920">
        <v>6</v>
      </c>
      <c r="F12" s="1134">
        <f>VLOOKUP(C12,'SOR RATE'!A:D,4,0)</f>
        <v>216.4</v>
      </c>
      <c r="G12" s="1090">
        <f>F12*E12</f>
        <v>1298.4000000000001</v>
      </c>
      <c r="H12" s="920">
        <v>6</v>
      </c>
      <c r="I12" s="1135">
        <f>VLOOKUP(C12,'SOR RATE'!A:D,4,0)</f>
        <v>216.4</v>
      </c>
      <c r="J12" s="1090">
        <f>I12*H12</f>
        <v>1298.4000000000001</v>
      </c>
      <c r="K12" s="1136">
        <v>6</v>
      </c>
      <c r="L12" s="1090">
        <f>VLOOKUP(C12,'SOR RATE'!A:D,4,0)</f>
        <v>216.4</v>
      </c>
      <c r="M12" s="1090">
        <f>K12*L12</f>
        <v>1298.4000000000001</v>
      </c>
      <c r="N12" s="414"/>
      <c r="O12" s="415"/>
      <c r="P12" s="405"/>
    </row>
    <row r="13" spans="1:16" ht="19.5" customHeight="1">
      <c r="A13" s="920">
        <v>4</v>
      </c>
      <c r="B13" s="923" t="s">
        <v>1475</v>
      </c>
      <c r="C13" s="1096">
        <v>7130820248</v>
      </c>
      <c r="D13" s="920" t="s">
        <v>12</v>
      </c>
      <c r="E13" s="920">
        <v>6</v>
      </c>
      <c r="F13" s="1134">
        <f>VLOOKUP(C13,'SOR RATE'!A:D,4,0)</f>
        <v>318.89</v>
      </c>
      <c r="G13" s="1090">
        <f>F13*E13</f>
        <v>1913.34</v>
      </c>
      <c r="H13" s="920">
        <v>6</v>
      </c>
      <c r="I13" s="1135">
        <f>VLOOKUP(C13,'SOR RATE'!A:D,4,0)</f>
        <v>318.89</v>
      </c>
      <c r="J13" s="1090">
        <f>I13*H13</f>
        <v>1913.34</v>
      </c>
      <c r="K13" s="1136">
        <v>6</v>
      </c>
      <c r="L13" s="1090">
        <f>VLOOKUP(C13,'SOR RATE'!A:D,4,0)</f>
        <v>318.89</v>
      </c>
      <c r="M13" s="1090">
        <f>K13*L13</f>
        <v>1913.34</v>
      </c>
      <c r="N13" s="12"/>
    </row>
    <row r="14" spans="1:16" ht="19.5" customHeight="1">
      <c r="A14" s="1138">
        <v>5</v>
      </c>
      <c r="B14" s="1097" t="s">
        <v>1432</v>
      </c>
      <c r="C14" s="1088">
        <v>7130820009</v>
      </c>
      <c r="D14" s="920" t="s">
        <v>12</v>
      </c>
      <c r="E14" s="920">
        <v>3</v>
      </c>
      <c r="F14" s="1134">
        <f>VLOOKUP(C14,'SOR RATE'!A:D,4,0)</f>
        <v>288.23</v>
      </c>
      <c r="G14" s="1090">
        <f>F14*E14</f>
        <v>864.69</v>
      </c>
      <c r="H14" s="920">
        <v>3</v>
      </c>
      <c r="I14" s="1135">
        <f>VLOOKUP(C14,'SOR RATE'!A:D,4,0)</f>
        <v>288.23</v>
      </c>
      <c r="J14" s="1090">
        <f>I14*H14</f>
        <v>864.69</v>
      </c>
      <c r="K14" s="1136">
        <v>3</v>
      </c>
      <c r="L14" s="1090">
        <f>VLOOKUP(C14,'SOR RATE'!A:D,4,0)</f>
        <v>288.23</v>
      </c>
      <c r="M14" s="1090">
        <f>K14*L14</f>
        <v>864.69</v>
      </c>
      <c r="N14" s="12"/>
      <c r="O14" s="193"/>
      <c r="P14" s="193"/>
    </row>
    <row r="15" spans="1:16" ht="33" customHeight="1">
      <c r="A15" s="3056">
        <v>6</v>
      </c>
      <c r="B15" s="923" t="s">
        <v>1504</v>
      </c>
      <c r="C15" s="1088"/>
      <c r="D15" s="1138" t="s">
        <v>12</v>
      </c>
      <c r="E15" s="920">
        <v>1</v>
      </c>
      <c r="F15" s="1134">
        <f>G16+G18</f>
        <v>4749.9382000000005</v>
      </c>
      <c r="G15" s="1090"/>
      <c r="H15" s="920">
        <v>1</v>
      </c>
      <c r="I15" s="1090">
        <f>J17+J18</f>
        <v>4911.7782000000007</v>
      </c>
      <c r="J15" s="1090"/>
      <c r="K15" s="1136"/>
      <c r="L15" s="1090">
        <f>M16+M18</f>
        <v>4749.9382000000005</v>
      </c>
      <c r="M15" s="1090"/>
      <c r="N15" s="12"/>
    </row>
    <row r="16" spans="1:16" ht="19.5" customHeight="1">
      <c r="A16" s="3057"/>
      <c r="B16" s="1097" t="s">
        <v>1428</v>
      </c>
      <c r="C16" s="1088">
        <v>7130810193</v>
      </c>
      <c r="D16" s="1098" t="s">
        <v>15</v>
      </c>
      <c r="E16" s="920">
        <v>4</v>
      </c>
      <c r="F16" s="1134">
        <f>VLOOKUP(C16,'SOR RATE'!A:D,4,0)</f>
        <v>369.79</v>
      </c>
      <c r="G16" s="1090">
        <f>F16*E16</f>
        <v>1479.16</v>
      </c>
      <c r="H16" s="920"/>
      <c r="I16" s="920"/>
      <c r="J16" s="920"/>
      <c r="K16" s="1136">
        <v>4</v>
      </c>
      <c r="L16" s="1090">
        <f>VLOOKUP(C16,'SOR RATE'!A:D,4,0)</f>
        <v>369.79</v>
      </c>
      <c r="M16" s="1090">
        <f>K16*L16</f>
        <v>1479.16</v>
      </c>
      <c r="N16" s="12"/>
    </row>
    <row r="17" spans="1:18" ht="19.5" customHeight="1">
      <c r="A17" s="3057"/>
      <c r="B17" s="1097" t="s">
        <v>1429</v>
      </c>
      <c r="C17" s="1088">
        <v>7130810692</v>
      </c>
      <c r="D17" s="1098" t="s">
        <v>15</v>
      </c>
      <c r="E17" s="1138"/>
      <c r="F17" s="1090"/>
      <c r="G17" s="1090"/>
      <c r="H17" s="920">
        <v>4</v>
      </c>
      <c r="I17" s="1135">
        <f>VLOOKUP(C17,'SOR RATE'!A:D,4,0)</f>
        <v>410.25</v>
      </c>
      <c r="J17" s="1090">
        <f>I17*H17</f>
        <v>1641</v>
      </c>
      <c r="K17" s="1090"/>
      <c r="L17" s="1090"/>
      <c r="M17" s="1090"/>
      <c r="N17" s="12"/>
    </row>
    <row r="18" spans="1:18" ht="19.5" customHeight="1">
      <c r="A18" s="3058"/>
      <c r="B18" s="923" t="s">
        <v>1505</v>
      </c>
      <c r="C18" s="1088">
        <v>7130600032</v>
      </c>
      <c r="D18" s="1138" t="s">
        <v>26</v>
      </c>
      <c r="E18" s="1138">
        <v>60</v>
      </c>
      <c r="F18" s="1134">
        <f>VLOOKUP(C18,'SOR RATE'!A:D,4,0)/1000</f>
        <v>54.512970000000003</v>
      </c>
      <c r="G18" s="1090">
        <f>F18*E18</f>
        <v>3270.7782000000002</v>
      </c>
      <c r="H18" s="920">
        <v>60</v>
      </c>
      <c r="I18" s="1135">
        <f>VLOOKUP(C18,'SOR RATE'!A:D,4,0)/1000</f>
        <v>54.512970000000003</v>
      </c>
      <c r="J18" s="1090">
        <f>I18*H18</f>
        <v>3270.7782000000002</v>
      </c>
      <c r="K18" s="1136">
        <v>60</v>
      </c>
      <c r="L18" s="1090">
        <f>VLOOKUP(C18,'SOR RATE'!A:D,4,0)/1000</f>
        <v>54.512970000000003</v>
      </c>
      <c r="M18" s="1090">
        <f>K18*L18</f>
        <v>3270.7782000000002</v>
      </c>
      <c r="N18" s="12"/>
    </row>
    <row r="19" spans="1:18" ht="19.5" customHeight="1">
      <c r="A19" s="3056">
        <v>7</v>
      </c>
      <c r="B19" s="1097" t="s">
        <v>1435</v>
      </c>
      <c r="C19" s="1088">
        <v>7130860033</v>
      </c>
      <c r="D19" s="1098" t="s">
        <v>12</v>
      </c>
      <c r="E19" s="1136">
        <v>6</v>
      </c>
      <c r="F19" s="1134">
        <f>VLOOKUP(C19,'SOR RATE'!A:D,4,0)</f>
        <v>1031.6600000000001</v>
      </c>
      <c r="G19" s="1090">
        <f>F19*E19</f>
        <v>6189.9600000000009</v>
      </c>
      <c r="H19" s="920">
        <v>6</v>
      </c>
      <c r="I19" s="1135">
        <f>VLOOKUP(C19,'SOR RATE'!A:D,4,0)</f>
        <v>1031.6600000000001</v>
      </c>
      <c r="J19" s="1090">
        <f>I19*H19</f>
        <v>6189.9600000000009</v>
      </c>
      <c r="K19" s="1136">
        <v>6</v>
      </c>
      <c r="L19" s="1090">
        <f>VLOOKUP(C19,'SOR RATE'!A:D,4,0)</f>
        <v>1031.6600000000001</v>
      </c>
      <c r="M19" s="1090">
        <f>K19*L19</f>
        <v>6189.9600000000009</v>
      </c>
      <c r="N19" s="12"/>
    </row>
    <row r="20" spans="1:18" ht="19.5" customHeight="1">
      <c r="A20" s="3057"/>
      <c r="B20" s="1097" t="s">
        <v>101</v>
      </c>
      <c r="C20" s="1088">
        <v>7130810193</v>
      </c>
      <c r="D20" s="1098" t="s">
        <v>15</v>
      </c>
      <c r="E20" s="1136">
        <v>6</v>
      </c>
      <c r="F20" s="1134">
        <f>VLOOKUP(C20,'SOR RATE'!A:D,4,0)</f>
        <v>369.79</v>
      </c>
      <c r="G20" s="1090">
        <f>F20*E20</f>
        <v>2218.7400000000002</v>
      </c>
      <c r="H20" s="920"/>
      <c r="I20" s="1090"/>
      <c r="J20" s="1090"/>
      <c r="K20" s="1136">
        <v>6</v>
      </c>
      <c r="L20" s="1090">
        <f>VLOOKUP(C20,'SOR RATE'!A:D,4,0)</f>
        <v>369.79</v>
      </c>
      <c r="M20" s="1090">
        <f>K20*L20</f>
        <v>2218.7400000000002</v>
      </c>
      <c r="N20" s="12"/>
    </row>
    <row r="21" spans="1:18" ht="19.5" customHeight="1">
      <c r="A21" s="3057"/>
      <c r="B21" s="1097" t="s">
        <v>1506</v>
      </c>
      <c r="C21" s="1088">
        <v>7130810692</v>
      </c>
      <c r="D21" s="1098" t="s">
        <v>15</v>
      </c>
      <c r="E21" s="1136"/>
      <c r="F21" s="1090"/>
      <c r="G21" s="1090"/>
      <c r="H21" s="920">
        <v>6</v>
      </c>
      <c r="I21" s="1135">
        <f>VLOOKUP(C21,'SOR RATE'!A:D,4,0)</f>
        <v>410.25</v>
      </c>
      <c r="J21" s="1090">
        <f>I21*H21</f>
        <v>2461.5</v>
      </c>
      <c r="K21" s="1090"/>
      <c r="L21" s="1090"/>
      <c r="M21" s="1090"/>
      <c r="N21" s="12"/>
    </row>
    <row r="22" spans="1:18" ht="19.5" customHeight="1">
      <c r="A22" s="3058"/>
      <c r="B22" s="1097" t="s">
        <v>1507</v>
      </c>
      <c r="C22" s="1088">
        <v>7130860076</v>
      </c>
      <c r="D22" s="1098" t="s">
        <v>26</v>
      </c>
      <c r="E22" s="1136">
        <v>51</v>
      </c>
      <c r="F22" s="1134">
        <f>VLOOKUP(C22,'SOR RATE'!A:D,4,0)/1000</f>
        <v>92.856940000000009</v>
      </c>
      <c r="G22" s="1090">
        <f>F22*E22</f>
        <v>4735.7039400000003</v>
      </c>
      <c r="H22" s="920">
        <v>51</v>
      </c>
      <c r="I22" s="1135">
        <f>VLOOKUP(C22,'SOR RATE'!A:D,4,0)/1000</f>
        <v>92.856940000000009</v>
      </c>
      <c r="J22" s="1090">
        <f>I22*H22</f>
        <v>4735.7039400000003</v>
      </c>
      <c r="K22" s="1136">
        <v>51</v>
      </c>
      <c r="L22" s="1090">
        <f>VLOOKUP(C22,'SOR RATE'!A:D,4,0)/1000</f>
        <v>92.856940000000009</v>
      </c>
      <c r="M22" s="1090">
        <f>K22*L22</f>
        <v>4735.7039400000003</v>
      </c>
      <c r="N22" s="12"/>
    </row>
    <row r="23" spans="1:18" ht="19.5" customHeight="1">
      <c r="A23" s="1139">
        <v>8</v>
      </c>
      <c r="B23" s="1097" t="s">
        <v>617</v>
      </c>
      <c r="C23" s="1088">
        <v>7130810624</v>
      </c>
      <c r="D23" s="1098" t="s">
        <v>68</v>
      </c>
      <c r="E23" s="1136">
        <v>6</v>
      </c>
      <c r="F23" s="1134">
        <f>VLOOKUP(C23,'SOR RATE'!A:D,4,0)</f>
        <v>114.38</v>
      </c>
      <c r="G23" s="1090">
        <f>F23*E23</f>
        <v>686.28</v>
      </c>
      <c r="H23" s="920">
        <v>6</v>
      </c>
      <c r="I23" s="1135">
        <f>VLOOKUP(C23,'SOR RATE'!A:D,4,0)</f>
        <v>114.38</v>
      </c>
      <c r="J23" s="1090">
        <f>I23*H23</f>
        <v>686.28</v>
      </c>
      <c r="K23" s="1136">
        <v>6</v>
      </c>
      <c r="L23" s="1090">
        <f>VLOOKUP(C23,'SOR RATE'!A:D,4,0)</f>
        <v>114.38</v>
      </c>
      <c r="M23" s="1090">
        <f t="shared" ref="M23:M28" si="0">K23*L23</f>
        <v>686.28</v>
      </c>
      <c r="N23" s="12"/>
    </row>
    <row r="24" spans="1:18" ht="83.25" customHeight="1">
      <c r="A24" s="920">
        <v>9</v>
      </c>
      <c r="B24" s="1097" t="s">
        <v>1508</v>
      </c>
      <c r="C24" s="1088">
        <v>7130200202</v>
      </c>
      <c r="D24" s="1098" t="s">
        <v>76</v>
      </c>
      <c r="E24" s="1093">
        <f>(2*0.55)+(6*0.3)</f>
        <v>2.9</v>
      </c>
      <c r="F24" s="1134">
        <f>VLOOKUP(C24,'SOR RATE'!A:D,4,0)</f>
        <v>2970</v>
      </c>
      <c r="G24" s="1090">
        <f>E24*F24</f>
        <v>8613</v>
      </c>
      <c r="H24" s="1093">
        <f>(2*0.65)+(6*0.3)</f>
        <v>3.0999999999999996</v>
      </c>
      <c r="I24" s="1135">
        <f>VLOOKUP(C24,'SOR RATE'!A:D,4,0)</f>
        <v>2970</v>
      </c>
      <c r="J24" s="1090">
        <f>H24*I24</f>
        <v>9206.9999999999982</v>
      </c>
      <c r="K24" s="1093">
        <f>(2*0.55)+(6*0.3)</f>
        <v>2.9</v>
      </c>
      <c r="L24" s="1090">
        <f>VLOOKUP(C24,'SOR RATE'!A:D,4,0)</f>
        <v>2970</v>
      </c>
      <c r="M24" s="1090">
        <f t="shared" si="0"/>
        <v>8613</v>
      </c>
      <c r="N24" s="397" t="s">
        <v>47</v>
      </c>
    </row>
    <row r="25" spans="1:18" ht="19.5" customHeight="1">
      <c r="A25" s="1140">
        <v>10</v>
      </c>
      <c r="B25" s="1097" t="s">
        <v>1431</v>
      </c>
      <c r="C25" s="1088">
        <v>7130870013</v>
      </c>
      <c r="D25" s="1098" t="s">
        <v>33</v>
      </c>
      <c r="E25" s="1136">
        <v>2</v>
      </c>
      <c r="F25" s="1134">
        <f>VLOOKUP(C25,'SOR RATE'!A:D,4,0)</f>
        <v>152.88999999999999</v>
      </c>
      <c r="G25" s="1090">
        <f>F25*E25</f>
        <v>305.77999999999997</v>
      </c>
      <c r="H25" s="1133">
        <v>2</v>
      </c>
      <c r="I25" s="1135">
        <f>VLOOKUP(C25,'SOR RATE'!A:D,4,0)</f>
        <v>152.88999999999999</v>
      </c>
      <c r="J25" s="1090">
        <f>I25*H25</f>
        <v>305.77999999999997</v>
      </c>
      <c r="K25" s="1136">
        <v>2</v>
      </c>
      <c r="L25" s="1090">
        <f>VLOOKUP(C25,'SOR RATE'!A:D,4,0)</f>
        <v>152.88999999999999</v>
      </c>
      <c r="M25" s="1090">
        <f t="shared" si="0"/>
        <v>305.77999999999997</v>
      </c>
      <c r="N25" s="12"/>
    </row>
    <row r="26" spans="1:18" ht="19.5" customHeight="1">
      <c r="A26" s="923">
        <v>11</v>
      </c>
      <c r="B26" s="1097" t="s">
        <v>28</v>
      </c>
      <c r="C26" s="1088">
        <v>7130211158</v>
      </c>
      <c r="D26" s="1098" t="s">
        <v>29</v>
      </c>
      <c r="E26" s="1093">
        <v>0.5</v>
      </c>
      <c r="F26" s="1134">
        <f>VLOOKUP(C26,'SOR RATE'!A:D,4,0)</f>
        <v>193.62</v>
      </c>
      <c r="G26" s="1090">
        <f>F26*E26</f>
        <v>96.81</v>
      </c>
      <c r="H26" s="920">
        <v>2</v>
      </c>
      <c r="I26" s="1135">
        <f>VLOOKUP(C26,'SOR RATE'!A:D,4,0)</f>
        <v>193.62</v>
      </c>
      <c r="J26" s="1090">
        <f>I26*H26</f>
        <v>387.24</v>
      </c>
      <c r="K26" s="1093">
        <v>0.5</v>
      </c>
      <c r="L26" s="1090">
        <f>VLOOKUP(C26,'SOR RATE'!A:D,4,0)</f>
        <v>193.62</v>
      </c>
      <c r="M26" s="1090">
        <f t="shared" si="0"/>
        <v>96.81</v>
      </c>
      <c r="N26" s="12"/>
    </row>
    <row r="27" spans="1:18" ht="19.5" customHeight="1">
      <c r="A27" s="923">
        <v>12</v>
      </c>
      <c r="B27" s="1097" t="s">
        <v>30</v>
      </c>
      <c r="C27" s="1088">
        <v>7130210809</v>
      </c>
      <c r="D27" s="1098" t="s">
        <v>29</v>
      </c>
      <c r="E27" s="1093">
        <v>0.5</v>
      </c>
      <c r="F27" s="1134">
        <f>VLOOKUP(C27,'SOR RATE'!A:D,4,0)</f>
        <v>432.63</v>
      </c>
      <c r="G27" s="1090">
        <f>F27*E27</f>
        <v>216.315</v>
      </c>
      <c r="H27" s="920">
        <v>2</v>
      </c>
      <c r="I27" s="1135">
        <f>VLOOKUP(C27,'SOR RATE'!A:D,4,0)</f>
        <v>432.63</v>
      </c>
      <c r="J27" s="1090">
        <f>I27*H27</f>
        <v>865.26</v>
      </c>
      <c r="K27" s="1093">
        <v>0.5</v>
      </c>
      <c r="L27" s="1090">
        <f>VLOOKUP(C27,'SOR RATE'!A:D,4,0)</f>
        <v>432.63</v>
      </c>
      <c r="M27" s="1090">
        <f t="shared" si="0"/>
        <v>216.315</v>
      </c>
      <c r="N27" s="12"/>
    </row>
    <row r="28" spans="1:18" ht="21" customHeight="1">
      <c r="A28" s="923">
        <v>13</v>
      </c>
      <c r="B28" s="1097" t="s">
        <v>1441</v>
      </c>
      <c r="C28" s="1088">
        <v>7130610206</v>
      </c>
      <c r="D28" s="1098" t="s">
        <v>26</v>
      </c>
      <c r="E28" s="1136">
        <v>4</v>
      </c>
      <c r="F28" s="1134">
        <f>VLOOKUP(C28,'SOR RATE'!A:D,4,0)/1000</f>
        <v>97.233429999999998</v>
      </c>
      <c r="G28" s="1090">
        <f>F28*E28</f>
        <v>388.93371999999999</v>
      </c>
      <c r="H28" s="920">
        <v>4</v>
      </c>
      <c r="I28" s="1135">
        <f>VLOOKUP(C28,'SOR RATE'!A:D,4,0)/1000</f>
        <v>97.233429999999998</v>
      </c>
      <c r="J28" s="1090">
        <f>I28*H28</f>
        <v>388.93371999999999</v>
      </c>
      <c r="K28" s="1136">
        <v>4</v>
      </c>
      <c r="L28" s="1090">
        <f>VLOOKUP(C28,'SOR RATE'!A:D,4,0)/1000</f>
        <v>97.233429999999998</v>
      </c>
      <c r="M28" s="1090">
        <f t="shared" si="0"/>
        <v>388.93371999999999</v>
      </c>
      <c r="N28" s="400"/>
      <c r="O28" s="416"/>
      <c r="P28" s="174"/>
      <c r="Q28" s="174"/>
      <c r="R28" s="174"/>
    </row>
    <row r="29" spans="1:18" ht="19.5" customHeight="1">
      <c r="A29" s="1141">
        <v>14</v>
      </c>
      <c r="B29" s="1097" t="s">
        <v>32</v>
      </c>
      <c r="C29" s="1088">
        <v>7130880041</v>
      </c>
      <c r="D29" s="1098" t="s">
        <v>12</v>
      </c>
      <c r="E29" s="1136">
        <v>1</v>
      </c>
      <c r="F29" s="1134">
        <f>VLOOKUP(C29,'SOR RATE'!A:D,4,0)</f>
        <v>113.77</v>
      </c>
      <c r="G29" s="1090">
        <f>F29*E29</f>
        <v>113.77</v>
      </c>
      <c r="H29" s="920">
        <v>1</v>
      </c>
      <c r="I29" s="1135">
        <f>VLOOKUP(C29,'SOR RATE'!A:D,4,0)</f>
        <v>113.77</v>
      </c>
      <c r="J29" s="1090">
        <f>I29*H29</f>
        <v>113.77</v>
      </c>
      <c r="K29" s="1136">
        <v>1</v>
      </c>
      <c r="L29" s="1090">
        <f>VLOOKUP(C29,'SOR RATE'!A:D,4,0)</f>
        <v>113.77</v>
      </c>
      <c r="M29" s="1090">
        <f t="shared" ref="M29" si="1">K29*L29</f>
        <v>113.77</v>
      </c>
      <c r="N29" s="12"/>
    </row>
    <row r="30" spans="1:18" ht="19.5" customHeight="1">
      <c r="A30" s="3056">
        <v>15</v>
      </c>
      <c r="B30" s="1097" t="s">
        <v>1443</v>
      </c>
      <c r="C30" s="1088"/>
      <c r="D30" s="1098" t="s">
        <v>26</v>
      </c>
      <c r="E30" s="1136">
        <f>SUM(E31:E35)</f>
        <v>7</v>
      </c>
      <c r="F30" s="1090"/>
      <c r="G30" s="1090"/>
      <c r="H30" s="1136">
        <f>SUM(H31:H35)</f>
        <v>7</v>
      </c>
      <c r="I30" s="1090"/>
      <c r="J30" s="1090"/>
      <c r="K30" s="1136">
        <f>SUM(K31:K35)</f>
        <v>7</v>
      </c>
      <c r="L30" s="1090"/>
      <c r="M30" s="1090"/>
      <c r="N30" s="12"/>
    </row>
    <row r="31" spans="1:18" ht="19.5" customHeight="1">
      <c r="A31" s="3057"/>
      <c r="B31" s="1097" t="s">
        <v>79</v>
      </c>
      <c r="C31" s="1088">
        <v>7130620609</v>
      </c>
      <c r="D31" s="1098" t="s">
        <v>26</v>
      </c>
      <c r="E31" s="1093">
        <v>0.5</v>
      </c>
      <c r="F31" s="1134">
        <f>VLOOKUP(C31,'SOR RATE'!A:D,4,0)</f>
        <v>87.23</v>
      </c>
      <c r="G31" s="1090">
        <f>F31*E31</f>
        <v>43.615000000000002</v>
      </c>
      <c r="H31" s="1138">
        <v>0.5</v>
      </c>
      <c r="I31" s="1135">
        <f>VLOOKUP(C31,'SOR RATE'!A:D,4,0)</f>
        <v>87.23</v>
      </c>
      <c r="J31" s="1090">
        <f>I31*H31</f>
        <v>43.615000000000002</v>
      </c>
      <c r="K31" s="1093">
        <v>0.5</v>
      </c>
      <c r="L31" s="1090">
        <f>VLOOKUP(C31,'SOR RATE'!A:D,4,0)</f>
        <v>87.23</v>
      </c>
      <c r="M31" s="1090">
        <f>K31*L31</f>
        <v>43.615000000000002</v>
      </c>
      <c r="N31" s="12"/>
    </row>
    <row r="32" spans="1:18" ht="19.5" customHeight="1">
      <c r="A32" s="3057"/>
      <c r="B32" s="1097" t="s">
        <v>111</v>
      </c>
      <c r="C32" s="1088">
        <v>7130620614</v>
      </c>
      <c r="D32" s="1098" t="s">
        <v>26</v>
      </c>
      <c r="E32" s="1093">
        <v>0.5</v>
      </c>
      <c r="F32" s="1134">
        <f>VLOOKUP(C32,'SOR RATE'!A:D,4,0)</f>
        <v>85.77</v>
      </c>
      <c r="G32" s="1090">
        <f>F32*E32</f>
        <v>42.884999999999998</v>
      </c>
      <c r="H32" s="1138">
        <v>0.5</v>
      </c>
      <c r="I32" s="1135">
        <f>VLOOKUP(C32,'SOR RATE'!A:D,4,0)</f>
        <v>85.77</v>
      </c>
      <c r="J32" s="1090">
        <f>I32*H32</f>
        <v>42.884999999999998</v>
      </c>
      <c r="K32" s="1093">
        <v>0.5</v>
      </c>
      <c r="L32" s="1090">
        <f>VLOOKUP(C32,'SOR RATE'!A:D,4,0)</f>
        <v>85.77</v>
      </c>
      <c r="M32" s="1090">
        <f>K32*L32</f>
        <v>42.884999999999998</v>
      </c>
      <c r="N32" s="12"/>
    </row>
    <row r="33" spans="1:17" ht="19.5" customHeight="1">
      <c r="A33" s="3057"/>
      <c r="B33" s="1097" t="s">
        <v>36</v>
      </c>
      <c r="C33" s="1088">
        <v>7130620619</v>
      </c>
      <c r="D33" s="1098" t="s">
        <v>26</v>
      </c>
      <c r="E33" s="1090"/>
      <c r="F33" s="1134">
        <f>VLOOKUP(C33,'SOR RATE'!A:D,4,0)</f>
        <v>85.77</v>
      </c>
      <c r="G33" s="1090"/>
      <c r="H33" s="1138">
        <v>2.5</v>
      </c>
      <c r="I33" s="1135">
        <f>VLOOKUP(C33,'SOR RATE'!A:D,4,0)</f>
        <v>85.77</v>
      </c>
      <c r="J33" s="1090">
        <f>I33*H33</f>
        <v>214.42499999999998</v>
      </c>
      <c r="K33" s="1090"/>
      <c r="L33" s="1090">
        <f>VLOOKUP(C33,'SOR RATE'!A:D,4,0)</f>
        <v>85.77</v>
      </c>
      <c r="M33" s="1090"/>
      <c r="N33" s="12"/>
    </row>
    <row r="34" spans="1:17" ht="19.5" customHeight="1">
      <c r="A34" s="3057"/>
      <c r="B34" s="1097" t="s">
        <v>112</v>
      </c>
      <c r="C34" s="1088">
        <v>7130620625</v>
      </c>
      <c r="D34" s="1098" t="s">
        <v>26</v>
      </c>
      <c r="E34" s="1136">
        <v>2</v>
      </c>
      <c r="F34" s="1134">
        <f>VLOOKUP(C34,'SOR RATE'!A:D,4,0)</f>
        <v>84.32</v>
      </c>
      <c r="G34" s="1090">
        <f>F34*E34</f>
        <v>168.64</v>
      </c>
      <c r="H34" s="1138"/>
      <c r="I34" s="1090"/>
      <c r="J34" s="1090"/>
      <c r="K34" s="1136">
        <v>2</v>
      </c>
      <c r="L34" s="1090">
        <f>VLOOKUP(C34,'SOR RATE'!A:D,4,0)</f>
        <v>84.32</v>
      </c>
      <c r="M34" s="1090">
        <f>K34*L34</f>
        <v>168.64</v>
      </c>
      <c r="N34" s="12"/>
    </row>
    <row r="35" spans="1:17" ht="19.5" customHeight="1">
      <c r="A35" s="3058"/>
      <c r="B35" s="1097" t="s">
        <v>80</v>
      </c>
      <c r="C35" s="1088">
        <v>7130620631</v>
      </c>
      <c r="D35" s="1098" t="s">
        <v>26</v>
      </c>
      <c r="E35" s="1136">
        <v>4</v>
      </c>
      <c r="F35" s="1134">
        <f>VLOOKUP(C35,'SOR RATE'!A:D,4,0)</f>
        <v>84.32</v>
      </c>
      <c r="G35" s="1090">
        <f>F35*E35</f>
        <v>337.28</v>
      </c>
      <c r="H35" s="1138">
        <v>3.5</v>
      </c>
      <c r="I35" s="1135">
        <f>VLOOKUP(C35,'SOR RATE'!A:D,4,0)</f>
        <v>84.32</v>
      </c>
      <c r="J35" s="1090">
        <f>I35*H35</f>
        <v>295.12</v>
      </c>
      <c r="K35" s="1136">
        <v>4</v>
      </c>
      <c r="L35" s="1090">
        <f>VLOOKUP(C35,'SOR RATE'!A:D,4,0)</f>
        <v>84.32</v>
      </c>
      <c r="M35" s="1090">
        <f>K35*L35</f>
        <v>337.28</v>
      </c>
      <c r="N35" s="12"/>
    </row>
    <row r="36" spans="1:17" ht="23.25" customHeight="1">
      <c r="A36" s="927">
        <v>16</v>
      </c>
      <c r="B36" s="1116" t="s">
        <v>48</v>
      </c>
      <c r="C36" s="1142"/>
      <c r="D36" s="1143"/>
      <c r="E36" s="927"/>
      <c r="F36" s="1144"/>
      <c r="G36" s="1144">
        <f>SUM(G8:G35)</f>
        <v>48967.980859999989</v>
      </c>
      <c r="H36" s="1145"/>
      <c r="I36" s="1146"/>
      <c r="J36" s="924">
        <f>SUM(J8:J35)</f>
        <v>104055.88205200002</v>
      </c>
      <c r="K36" s="924"/>
      <c r="L36" s="924"/>
      <c r="M36" s="924">
        <f>SUM(M8:M35)</f>
        <v>55378.700859999997</v>
      </c>
      <c r="N36" s="12"/>
    </row>
    <row r="37" spans="1:17" ht="34.5" customHeight="1">
      <c r="A37" s="927">
        <v>17</v>
      </c>
      <c r="B37" s="1116" t="s">
        <v>49</v>
      </c>
      <c r="C37" s="1147"/>
      <c r="D37" s="1148"/>
      <c r="E37" s="921"/>
      <c r="F37" s="1144"/>
      <c r="G37" s="1144">
        <f>G36/1.18</f>
        <v>41498.288864406772</v>
      </c>
      <c r="H37" s="1145"/>
      <c r="I37" s="1146"/>
      <c r="J37" s="924">
        <f>J36/1.18</f>
        <v>88182.950891525441</v>
      </c>
      <c r="K37" s="924"/>
      <c r="L37" s="924"/>
      <c r="M37" s="924">
        <f>M36/1.18</f>
        <v>46931.102423728815</v>
      </c>
      <c r="N37" s="193"/>
    </row>
    <row r="38" spans="1:17" ht="22.5" customHeight="1">
      <c r="A38" s="920">
        <v>18</v>
      </c>
      <c r="B38" s="1097" t="s">
        <v>50</v>
      </c>
      <c r="C38" s="1149"/>
      <c r="D38" s="1116"/>
      <c r="E38" s="1116"/>
      <c r="F38" s="1088">
        <v>7.4999999999999997E-2</v>
      </c>
      <c r="G38" s="1090">
        <f>G36*F38</f>
        <v>3672.5985644999992</v>
      </c>
      <c r="H38" s="1090"/>
      <c r="I38" s="1090"/>
      <c r="J38" s="1090">
        <f>J36*F38</f>
        <v>7804.1911539000012</v>
      </c>
      <c r="K38" s="1090"/>
      <c r="L38" s="1150">
        <v>7.4999999999999997E-2</v>
      </c>
      <c r="M38" s="1090">
        <f>M36*L38</f>
        <v>4153.4025644999992</v>
      </c>
      <c r="N38" s="17"/>
      <c r="O38" s="1084"/>
      <c r="P38" s="633"/>
      <c r="Q38" s="803"/>
    </row>
    <row r="39" spans="1:17" ht="22.5" customHeight="1">
      <c r="A39" s="1138">
        <v>19</v>
      </c>
      <c r="B39" s="1125" t="s">
        <v>82</v>
      </c>
      <c r="C39" s="1151"/>
      <c r="D39" s="1098" t="s">
        <v>76</v>
      </c>
      <c r="E39" s="1093">
        <v>2.9</v>
      </c>
      <c r="F39" s="1054">
        <f>665.173187113158*1.043</f>
        <v>693.77563415902364</v>
      </c>
      <c r="G39" s="1090">
        <f>F39*E39</f>
        <v>2011.9493390611685</v>
      </c>
      <c r="H39" s="920">
        <v>3.1</v>
      </c>
      <c r="I39" s="1054">
        <f>665.173187113158*1.043</f>
        <v>693.77563415902364</v>
      </c>
      <c r="J39" s="1090">
        <f>I39*H39</f>
        <v>2150.7044658929735</v>
      </c>
      <c r="K39" s="1093">
        <v>2.9</v>
      </c>
      <c r="L39" s="1054">
        <f>665.173187113158*1.043</f>
        <v>693.77563415902364</v>
      </c>
      <c r="M39" s="1090">
        <f>K39*L39</f>
        <v>2011.9493390611685</v>
      </c>
      <c r="N39" s="417"/>
      <c r="O39" s="12"/>
      <c r="P39" s="633"/>
      <c r="Q39" s="526"/>
    </row>
    <row r="40" spans="1:17" ht="37.5" customHeight="1">
      <c r="A40" s="1138">
        <v>20</v>
      </c>
      <c r="B40" s="1097" t="s">
        <v>1456</v>
      </c>
      <c r="C40" s="1152"/>
      <c r="D40" s="1098" t="s">
        <v>12</v>
      </c>
      <c r="E40" s="1153">
        <v>0</v>
      </c>
      <c r="F40" s="1054">
        <f>424.920563407448*1.043</f>
        <v>443.19214763396826</v>
      </c>
      <c r="G40" s="1090">
        <f>F40*E40</f>
        <v>0</v>
      </c>
      <c r="H40" s="1138"/>
      <c r="I40" s="1154"/>
      <c r="J40" s="1154"/>
      <c r="K40" s="1090"/>
      <c r="L40" s="1090"/>
      <c r="M40" s="1154"/>
      <c r="N40" s="398"/>
      <c r="O40" s="93"/>
      <c r="P40" s="633"/>
      <c r="Q40" s="804"/>
    </row>
    <row r="41" spans="1:17" ht="21" customHeight="1">
      <c r="A41" s="1138">
        <v>21</v>
      </c>
      <c r="B41" s="1155" t="s">
        <v>1509</v>
      </c>
      <c r="C41" s="1152"/>
      <c r="D41" s="1155"/>
      <c r="E41" s="1138"/>
      <c r="F41" s="1154"/>
      <c r="G41" s="1154">
        <v>9747.93</v>
      </c>
      <c r="H41" s="1138"/>
      <c r="I41" s="1154"/>
      <c r="J41" s="1154">
        <v>10395.629999999999</v>
      </c>
      <c r="K41" s="966"/>
      <c r="L41" s="966"/>
      <c r="M41" s="1154">
        <v>10201.32</v>
      </c>
      <c r="N41" s="12"/>
      <c r="O41" s="12"/>
      <c r="P41" s="372"/>
      <c r="Q41" s="85"/>
    </row>
    <row r="42" spans="1:17" ht="34.5" customHeight="1">
      <c r="A42" s="1138">
        <v>22</v>
      </c>
      <c r="B42" s="1155" t="s">
        <v>1614</v>
      </c>
      <c r="C42" s="1152"/>
      <c r="D42" s="1155"/>
      <c r="E42" s="1138"/>
      <c r="F42" s="1154"/>
      <c r="G42" s="1126">
        <f>G37*0.04</f>
        <v>1659.9315545762709</v>
      </c>
      <c r="H42" s="1138"/>
      <c r="I42" s="1154"/>
      <c r="J42" s="1126">
        <f>J37*0.04</f>
        <v>3527.3180356610178</v>
      </c>
      <c r="K42" s="966"/>
      <c r="L42" s="966"/>
      <c r="M42" s="1126">
        <f>M37*0.04</f>
        <v>1877.2440969491527</v>
      </c>
      <c r="N42" s="814" t="s">
        <v>1827</v>
      </c>
      <c r="O42" s="12"/>
      <c r="P42" s="372"/>
      <c r="Q42" s="85"/>
    </row>
    <row r="43" spans="1:17" ht="50.25" customHeight="1">
      <c r="A43" s="1138">
        <v>23</v>
      </c>
      <c r="B43" s="1097" t="s">
        <v>1510</v>
      </c>
      <c r="C43" s="1152"/>
      <c r="D43" s="1155"/>
      <c r="E43" s="1138"/>
      <c r="F43" s="1154"/>
      <c r="G43" s="1156">
        <f>(G36+G38+G39+G40+G41+G42)*0.125</f>
        <v>8257.5487897671774</v>
      </c>
      <c r="H43" s="1156"/>
      <c r="I43" s="1156"/>
      <c r="J43" s="1156">
        <f>(J36+J38+J39+J40+J41+J42)*0.125</f>
        <v>15991.715713431751</v>
      </c>
      <c r="K43" s="1156"/>
      <c r="L43" s="1156"/>
      <c r="M43" s="1156">
        <f>(M36+M38+M39+M40+M41+M42)*0.125</f>
        <v>9202.8271075637913</v>
      </c>
      <c r="N43" s="402"/>
      <c r="O43" s="12"/>
      <c r="P43" s="372"/>
      <c r="Q43" s="364"/>
    </row>
    <row r="44" spans="1:17" ht="36.75" customHeight="1">
      <c r="A44" s="927">
        <v>24</v>
      </c>
      <c r="B44" s="1128" t="s">
        <v>1511</v>
      </c>
      <c r="C44" s="1152"/>
      <c r="D44" s="1155"/>
      <c r="E44" s="1138"/>
      <c r="F44" s="1154"/>
      <c r="G44" s="1144">
        <f>G37+G38+G39+G40+G41+G42+G43</f>
        <v>66848.247112311394</v>
      </c>
      <c r="H44" s="1144"/>
      <c r="I44" s="1144"/>
      <c r="J44" s="1144">
        <f>J37+J38+J39+J40+J41+J42+J43</f>
        <v>128052.51026041119</v>
      </c>
      <c r="K44" s="1144"/>
      <c r="L44" s="1144"/>
      <c r="M44" s="1144">
        <f>M37+M38+M39+M40+M41+M42+M43</f>
        <v>74377.84553180293</v>
      </c>
      <c r="N44" s="12"/>
    </row>
    <row r="45" spans="1:17" ht="23.25" customHeight="1">
      <c r="A45" s="1138">
        <v>25</v>
      </c>
      <c r="B45" s="1097" t="s">
        <v>1512</v>
      </c>
      <c r="C45" s="1152"/>
      <c r="D45" s="1155"/>
      <c r="E45" s="1138"/>
      <c r="F45" s="1154">
        <v>0.09</v>
      </c>
      <c r="G45" s="1154">
        <f>G44*F45</f>
        <v>6016.3422401080252</v>
      </c>
      <c r="H45" s="1144"/>
      <c r="I45" s="1154">
        <v>0.09</v>
      </c>
      <c r="J45" s="1154">
        <f>J44*I45</f>
        <v>11524.725923437007</v>
      </c>
      <c r="K45" s="1144"/>
      <c r="L45" s="1154">
        <v>0.09</v>
      </c>
      <c r="M45" s="1154">
        <f>M44*L45</f>
        <v>6694.0060978622632</v>
      </c>
      <c r="N45" s="12"/>
    </row>
    <row r="46" spans="1:17" ht="21.75" customHeight="1">
      <c r="A46" s="1138">
        <v>26</v>
      </c>
      <c r="B46" s="1097" t="s">
        <v>1513</v>
      </c>
      <c r="C46" s="1152"/>
      <c r="D46" s="1155"/>
      <c r="E46" s="1138"/>
      <c r="F46" s="1154">
        <v>0.09</v>
      </c>
      <c r="G46" s="1154">
        <f>G44*F46</f>
        <v>6016.3422401080252</v>
      </c>
      <c r="H46" s="1138"/>
      <c r="I46" s="1154">
        <v>0.09</v>
      </c>
      <c r="J46" s="1154">
        <f>J44*I46</f>
        <v>11524.725923437007</v>
      </c>
      <c r="K46" s="1090"/>
      <c r="L46" s="1090">
        <v>0.09</v>
      </c>
      <c r="M46" s="1090">
        <f>M44*L46</f>
        <v>6694.0060978622632</v>
      </c>
      <c r="N46" s="398"/>
      <c r="O46" s="212"/>
    </row>
    <row r="47" spans="1:17" s="22" customFormat="1" ht="36" customHeight="1">
      <c r="A47" s="920">
        <v>27</v>
      </c>
      <c r="B47" s="1097" t="s">
        <v>1514</v>
      </c>
      <c r="C47" s="1151"/>
      <c r="D47" s="1104"/>
      <c r="E47" s="920"/>
      <c r="F47" s="920"/>
      <c r="G47" s="1090">
        <f>G44+G45+G46</f>
        <v>78880.931592527457</v>
      </c>
      <c r="H47" s="1090"/>
      <c r="I47" s="1090"/>
      <c r="J47" s="1090">
        <f>J44+J45+J46</f>
        <v>151101.96210728522</v>
      </c>
      <c r="K47" s="1090"/>
      <c r="L47" s="1090"/>
      <c r="M47" s="1090">
        <f>M44+M45+M46</f>
        <v>87765.857727527458</v>
      </c>
      <c r="N47" s="418"/>
    </row>
    <row r="48" spans="1:17" ht="39" customHeight="1">
      <c r="A48" s="921">
        <v>28</v>
      </c>
      <c r="B48" s="1128" t="s">
        <v>59</v>
      </c>
      <c r="C48" s="1151"/>
      <c r="D48" s="1104"/>
      <c r="E48" s="920"/>
      <c r="F48" s="920"/>
      <c r="G48" s="924">
        <f>ROUND(G47,0)</f>
        <v>78881</v>
      </c>
      <c r="H48" s="920"/>
      <c r="I48" s="1090"/>
      <c r="J48" s="924">
        <f>ROUND(J47,0)</f>
        <v>151102</v>
      </c>
      <c r="K48" s="924"/>
      <c r="L48" s="924"/>
      <c r="M48" s="924">
        <f>ROUND(M47,0)</f>
        <v>87766</v>
      </c>
      <c r="N48" s="12"/>
    </row>
    <row r="49" spans="1:10" ht="9.75" customHeight="1">
      <c r="A49" s="419"/>
      <c r="B49" s="420"/>
      <c r="C49" s="194"/>
      <c r="D49" s="405"/>
      <c r="E49" s="421"/>
      <c r="F49" s="421"/>
      <c r="G49" s="422"/>
      <c r="H49" s="421"/>
      <c r="I49" s="197"/>
      <c r="J49" s="422"/>
    </row>
    <row r="50" spans="1:10" ht="15.75">
      <c r="A50" s="250" t="s">
        <v>88</v>
      </c>
      <c r="B50" s="423"/>
      <c r="C50" s="424"/>
      <c r="D50" s="423"/>
      <c r="E50" s="44"/>
      <c r="F50" s="44"/>
      <c r="G50" s="425"/>
      <c r="H50" s="44"/>
      <c r="I50" s="44"/>
      <c r="J50" s="44"/>
    </row>
    <row r="51" spans="1:10" ht="21.75" customHeight="1">
      <c r="A51" s="426">
        <v>1</v>
      </c>
      <c r="B51" s="427" t="s">
        <v>1515</v>
      </c>
      <c r="C51" s="428"/>
      <c r="D51" s="423"/>
      <c r="E51" s="423"/>
      <c r="F51" s="423"/>
      <c r="G51" s="423"/>
      <c r="H51" s="423"/>
      <c r="I51" s="423"/>
      <c r="J51" s="423"/>
    </row>
    <row r="52" spans="1:10" ht="21.75" customHeight="1">
      <c r="A52" s="429">
        <v>2</v>
      </c>
      <c r="B52" s="3059" t="s">
        <v>61</v>
      </c>
      <c r="C52" s="3059"/>
      <c r="D52" s="430"/>
      <c r="E52" s="430"/>
      <c r="F52" s="430"/>
      <c r="G52" s="430"/>
      <c r="H52" s="430"/>
      <c r="I52" s="430"/>
      <c r="J52" s="430"/>
    </row>
    <row r="53" spans="1:10" ht="27.75" customHeight="1">
      <c r="A53" s="41"/>
      <c r="B53" s="410"/>
      <c r="C53" s="410"/>
      <c r="D53" s="410"/>
      <c r="E53" s="410"/>
      <c r="F53" s="410"/>
      <c r="G53" s="410"/>
      <c r="H53" s="410"/>
      <c r="I53" s="410"/>
      <c r="J53" s="410"/>
    </row>
  </sheetData>
  <mergeCells count="15">
    <mergeCell ref="C1:F1"/>
    <mergeCell ref="K2:L2"/>
    <mergeCell ref="B3:I3"/>
    <mergeCell ref="A5:A6"/>
    <mergeCell ref="B5:B6"/>
    <mergeCell ref="C5:C6"/>
    <mergeCell ref="D5:D6"/>
    <mergeCell ref="E5:G5"/>
    <mergeCell ref="H5:J5"/>
    <mergeCell ref="K5:M5"/>
    <mergeCell ref="A8:A10"/>
    <mergeCell ref="A15:A18"/>
    <mergeCell ref="A19:A22"/>
    <mergeCell ref="A30:A35"/>
    <mergeCell ref="B52:C52"/>
  </mergeCells>
  <conditionalFormatting sqref="B36">
    <cfRule type="cellIs" dxfId="148" priority="2" stopIfTrue="1" operator="equal">
      <formula>"?"</formula>
    </cfRule>
  </conditionalFormatting>
  <conditionalFormatting sqref="B37">
    <cfRule type="cellIs" dxfId="147" priority="1" stopIfTrue="1" operator="equal">
      <formula>"?"</formula>
    </cfRule>
  </conditionalFormatting>
  <printOptions horizontalCentered="1" gridLines="1"/>
  <pageMargins left="0.52" right="0.16" top="0.61" bottom="0.31" header="0.47" footer="0.16"/>
  <pageSetup paperSize="9" scale="85" orientation="landscape" horizontalDpi="4294967295"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70"/>
  <sheetViews>
    <sheetView zoomScale="85" zoomScaleNormal="70" zoomScaleSheetLayoutView="70" workbookViewId="0">
      <pane xSplit="2" ySplit="8" topLeftCell="E71" activePane="bottomRight" state="frozen"/>
      <selection pane="topRight" activeCell="C1" sqref="C1"/>
      <selection pane="bottomLeft" activeCell="A9" sqref="A9"/>
      <selection pane="bottomRight" activeCell="T9" sqref="T9"/>
    </sheetView>
  </sheetViews>
  <sheetFormatPr defaultRowHeight="12.75"/>
  <cols>
    <col min="1" max="1" width="4.7109375" style="137" customWidth="1"/>
    <col min="2" max="2" width="45.5703125" style="70" customWidth="1"/>
    <col min="3" max="3" width="15" style="70" customWidth="1"/>
    <col min="4" max="4" width="6.7109375" style="70" customWidth="1"/>
    <col min="5" max="5" width="7.5703125" style="70" customWidth="1"/>
    <col min="6" max="6" width="11.42578125" style="70" customWidth="1"/>
    <col min="7" max="7" width="12.5703125" style="70" bestFit="1" customWidth="1"/>
    <col min="8" max="8" width="7.7109375" style="70" customWidth="1"/>
    <col min="9" max="9" width="12.42578125" style="70" customWidth="1"/>
    <col min="10" max="10" width="12.5703125" style="70" bestFit="1" customWidth="1"/>
    <col min="11" max="11" width="7.5703125" style="70" customWidth="1"/>
    <col min="12" max="13" width="12.5703125" style="70" bestFit="1" customWidth="1"/>
    <col min="14" max="14" width="7.5703125" style="70" customWidth="1"/>
    <col min="15" max="16" width="12.5703125" style="70" bestFit="1" customWidth="1"/>
    <col min="17" max="17" width="7.5703125" style="70" customWidth="1"/>
    <col min="18" max="18" width="12.5703125" style="70" customWidth="1"/>
    <col min="19" max="19" width="13.5703125" style="70" customWidth="1"/>
    <col min="20" max="20" width="25.28515625" style="70" customWidth="1"/>
    <col min="21" max="21" width="9.5703125" style="70" customWidth="1"/>
    <col min="22" max="22" width="9.85546875" style="70" customWidth="1"/>
    <col min="23" max="259" width="9.140625" style="70"/>
    <col min="260" max="260" width="4.7109375" style="70" customWidth="1"/>
    <col min="261" max="261" width="45.5703125" style="70" customWidth="1"/>
    <col min="262" max="262" width="15" style="70" customWidth="1"/>
    <col min="263" max="263" width="6.140625" style="70" customWidth="1"/>
    <col min="264" max="264" width="7.5703125" style="70" customWidth="1"/>
    <col min="265" max="265" width="11.42578125" style="70" customWidth="1"/>
    <col min="266" max="266" width="12.5703125" style="70" bestFit="1" customWidth="1"/>
    <col min="267" max="267" width="7.7109375" style="70" customWidth="1"/>
    <col min="268" max="268" width="11.28515625" style="70" customWidth="1"/>
    <col min="269" max="269" width="12.5703125" style="70" bestFit="1" customWidth="1"/>
    <col min="270" max="270" width="7.5703125" style="70" customWidth="1"/>
    <col min="271" max="272" width="12.5703125" style="70" bestFit="1" customWidth="1"/>
    <col min="273" max="273" width="7.5703125" style="70" customWidth="1"/>
    <col min="274" max="275" width="12.5703125" style="70" bestFit="1" customWidth="1"/>
    <col min="276" max="276" width="25.28515625" style="70" customWidth="1"/>
    <col min="277" max="277" width="21" style="70" customWidth="1"/>
    <col min="278" max="515" width="9.140625" style="70"/>
    <col min="516" max="516" width="4.7109375" style="70" customWidth="1"/>
    <col min="517" max="517" width="45.5703125" style="70" customWidth="1"/>
    <col min="518" max="518" width="15" style="70" customWidth="1"/>
    <col min="519" max="519" width="6.140625" style="70" customWidth="1"/>
    <col min="520" max="520" width="7.5703125" style="70" customWidth="1"/>
    <col min="521" max="521" width="11.42578125" style="70" customWidth="1"/>
    <col min="522" max="522" width="12.5703125" style="70" bestFit="1" customWidth="1"/>
    <col min="523" max="523" width="7.7109375" style="70" customWidth="1"/>
    <col min="524" max="524" width="11.28515625" style="70" customWidth="1"/>
    <col min="525" max="525" width="12.5703125" style="70" bestFit="1" customWidth="1"/>
    <col min="526" max="526" width="7.5703125" style="70" customWidth="1"/>
    <col min="527" max="528" width="12.5703125" style="70" bestFit="1" customWidth="1"/>
    <col min="529" max="529" width="7.5703125" style="70" customWidth="1"/>
    <col min="530" max="531" width="12.5703125" style="70" bestFit="1" customWidth="1"/>
    <col min="532" max="532" width="25.28515625" style="70" customWidth="1"/>
    <col min="533" max="533" width="21" style="70" customWidth="1"/>
    <col min="534" max="771" width="9.140625" style="70"/>
    <col min="772" max="772" width="4.7109375" style="70" customWidth="1"/>
    <col min="773" max="773" width="45.5703125" style="70" customWidth="1"/>
    <col min="774" max="774" width="15" style="70" customWidth="1"/>
    <col min="775" max="775" width="6.140625" style="70" customWidth="1"/>
    <col min="776" max="776" width="7.5703125" style="70" customWidth="1"/>
    <col min="777" max="777" width="11.42578125" style="70" customWidth="1"/>
    <col min="778" max="778" width="12.5703125" style="70" bestFit="1" customWidth="1"/>
    <col min="779" max="779" width="7.7109375" style="70" customWidth="1"/>
    <col min="780" max="780" width="11.28515625" style="70" customWidth="1"/>
    <col min="781" max="781" width="12.5703125" style="70" bestFit="1" customWidth="1"/>
    <col min="782" max="782" width="7.5703125" style="70" customWidth="1"/>
    <col min="783" max="784" width="12.5703125" style="70" bestFit="1" customWidth="1"/>
    <col min="785" max="785" width="7.5703125" style="70" customWidth="1"/>
    <col min="786" max="787" width="12.5703125" style="70" bestFit="1" customWidth="1"/>
    <col min="788" max="788" width="25.28515625" style="70" customWidth="1"/>
    <col min="789" max="789" width="21" style="70" customWidth="1"/>
    <col min="790" max="1027" width="9.140625" style="70"/>
    <col min="1028" max="1028" width="4.7109375" style="70" customWidth="1"/>
    <col min="1029" max="1029" width="45.5703125" style="70" customWidth="1"/>
    <col min="1030" max="1030" width="15" style="70" customWidth="1"/>
    <col min="1031" max="1031" width="6.140625" style="70" customWidth="1"/>
    <col min="1032" max="1032" width="7.5703125" style="70" customWidth="1"/>
    <col min="1033" max="1033" width="11.42578125" style="70" customWidth="1"/>
    <col min="1034" max="1034" width="12.5703125" style="70" bestFit="1" customWidth="1"/>
    <col min="1035" max="1035" width="7.7109375" style="70" customWidth="1"/>
    <col min="1036" max="1036" width="11.28515625" style="70" customWidth="1"/>
    <col min="1037" max="1037" width="12.5703125" style="70" bestFit="1" customWidth="1"/>
    <col min="1038" max="1038" width="7.5703125" style="70" customWidth="1"/>
    <col min="1039" max="1040" width="12.5703125" style="70" bestFit="1" customWidth="1"/>
    <col min="1041" max="1041" width="7.5703125" style="70" customWidth="1"/>
    <col min="1042" max="1043" width="12.5703125" style="70" bestFit="1" customWidth="1"/>
    <col min="1044" max="1044" width="25.28515625" style="70" customWidth="1"/>
    <col min="1045" max="1045" width="21" style="70" customWidth="1"/>
    <col min="1046" max="1283" width="9.140625" style="70"/>
    <col min="1284" max="1284" width="4.7109375" style="70" customWidth="1"/>
    <col min="1285" max="1285" width="45.5703125" style="70" customWidth="1"/>
    <col min="1286" max="1286" width="15" style="70" customWidth="1"/>
    <col min="1287" max="1287" width="6.140625" style="70" customWidth="1"/>
    <col min="1288" max="1288" width="7.5703125" style="70" customWidth="1"/>
    <col min="1289" max="1289" width="11.42578125" style="70" customWidth="1"/>
    <col min="1290" max="1290" width="12.5703125" style="70" bestFit="1" customWidth="1"/>
    <col min="1291" max="1291" width="7.7109375" style="70" customWidth="1"/>
    <col min="1292" max="1292" width="11.28515625" style="70" customWidth="1"/>
    <col min="1293" max="1293" width="12.5703125" style="70" bestFit="1" customWidth="1"/>
    <col min="1294" max="1294" width="7.5703125" style="70" customWidth="1"/>
    <col min="1295" max="1296" width="12.5703125" style="70" bestFit="1" customWidth="1"/>
    <col min="1297" max="1297" width="7.5703125" style="70" customWidth="1"/>
    <col min="1298" max="1299" width="12.5703125" style="70" bestFit="1" customWidth="1"/>
    <col min="1300" max="1300" width="25.28515625" style="70" customWidth="1"/>
    <col min="1301" max="1301" width="21" style="70" customWidth="1"/>
    <col min="1302" max="1539" width="9.140625" style="70"/>
    <col min="1540" max="1540" width="4.7109375" style="70" customWidth="1"/>
    <col min="1541" max="1541" width="45.5703125" style="70" customWidth="1"/>
    <col min="1542" max="1542" width="15" style="70" customWidth="1"/>
    <col min="1543" max="1543" width="6.140625" style="70" customWidth="1"/>
    <col min="1544" max="1544" width="7.5703125" style="70" customWidth="1"/>
    <col min="1545" max="1545" width="11.42578125" style="70" customWidth="1"/>
    <col min="1546" max="1546" width="12.5703125" style="70" bestFit="1" customWidth="1"/>
    <col min="1547" max="1547" width="7.7109375" style="70" customWidth="1"/>
    <col min="1548" max="1548" width="11.28515625" style="70" customWidth="1"/>
    <col min="1549" max="1549" width="12.5703125" style="70" bestFit="1" customWidth="1"/>
    <col min="1550" max="1550" width="7.5703125" style="70" customWidth="1"/>
    <col min="1551" max="1552" width="12.5703125" style="70" bestFit="1" customWidth="1"/>
    <col min="1553" max="1553" width="7.5703125" style="70" customWidth="1"/>
    <col min="1554" max="1555" width="12.5703125" style="70" bestFit="1" customWidth="1"/>
    <col min="1556" max="1556" width="25.28515625" style="70" customWidth="1"/>
    <col min="1557" max="1557" width="21" style="70" customWidth="1"/>
    <col min="1558" max="1795" width="9.140625" style="70"/>
    <col min="1796" max="1796" width="4.7109375" style="70" customWidth="1"/>
    <col min="1797" max="1797" width="45.5703125" style="70" customWidth="1"/>
    <col min="1798" max="1798" width="15" style="70" customWidth="1"/>
    <col min="1799" max="1799" width="6.140625" style="70" customWidth="1"/>
    <col min="1800" max="1800" width="7.5703125" style="70" customWidth="1"/>
    <col min="1801" max="1801" width="11.42578125" style="70" customWidth="1"/>
    <col min="1802" max="1802" width="12.5703125" style="70" bestFit="1" customWidth="1"/>
    <col min="1803" max="1803" width="7.7109375" style="70" customWidth="1"/>
    <col min="1804" max="1804" width="11.28515625" style="70" customWidth="1"/>
    <col min="1805" max="1805" width="12.5703125" style="70" bestFit="1" customWidth="1"/>
    <col min="1806" max="1806" width="7.5703125" style="70" customWidth="1"/>
    <col min="1807" max="1808" width="12.5703125" style="70" bestFit="1" customWidth="1"/>
    <col min="1809" max="1809" width="7.5703125" style="70" customWidth="1"/>
    <col min="1810" max="1811" width="12.5703125" style="70" bestFit="1" customWidth="1"/>
    <col min="1812" max="1812" width="25.28515625" style="70" customWidth="1"/>
    <col min="1813" max="1813" width="21" style="70" customWidth="1"/>
    <col min="1814" max="2051" width="9.140625" style="70"/>
    <col min="2052" max="2052" width="4.7109375" style="70" customWidth="1"/>
    <col min="2053" max="2053" width="45.5703125" style="70" customWidth="1"/>
    <col min="2054" max="2054" width="15" style="70" customWidth="1"/>
    <col min="2055" max="2055" width="6.140625" style="70" customWidth="1"/>
    <col min="2056" max="2056" width="7.5703125" style="70" customWidth="1"/>
    <col min="2057" max="2057" width="11.42578125" style="70" customWidth="1"/>
    <col min="2058" max="2058" width="12.5703125" style="70" bestFit="1" customWidth="1"/>
    <col min="2059" max="2059" width="7.7109375" style="70" customWidth="1"/>
    <col min="2060" max="2060" width="11.28515625" style="70" customWidth="1"/>
    <col min="2061" max="2061" width="12.5703125" style="70" bestFit="1" customWidth="1"/>
    <col min="2062" max="2062" width="7.5703125" style="70" customWidth="1"/>
    <col min="2063" max="2064" width="12.5703125" style="70" bestFit="1" customWidth="1"/>
    <col min="2065" max="2065" width="7.5703125" style="70" customWidth="1"/>
    <col min="2066" max="2067" width="12.5703125" style="70" bestFit="1" customWidth="1"/>
    <col min="2068" max="2068" width="25.28515625" style="70" customWidth="1"/>
    <col min="2069" max="2069" width="21" style="70" customWidth="1"/>
    <col min="2070" max="2307" width="9.140625" style="70"/>
    <col min="2308" max="2308" width="4.7109375" style="70" customWidth="1"/>
    <col min="2309" max="2309" width="45.5703125" style="70" customWidth="1"/>
    <col min="2310" max="2310" width="15" style="70" customWidth="1"/>
    <col min="2311" max="2311" width="6.140625" style="70" customWidth="1"/>
    <col min="2312" max="2312" width="7.5703125" style="70" customWidth="1"/>
    <col min="2313" max="2313" width="11.42578125" style="70" customWidth="1"/>
    <col min="2314" max="2314" width="12.5703125" style="70" bestFit="1" customWidth="1"/>
    <col min="2315" max="2315" width="7.7109375" style="70" customWidth="1"/>
    <col min="2316" max="2316" width="11.28515625" style="70" customWidth="1"/>
    <col min="2317" max="2317" width="12.5703125" style="70" bestFit="1" customWidth="1"/>
    <col min="2318" max="2318" width="7.5703125" style="70" customWidth="1"/>
    <col min="2319" max="2320" width="12.5703125" style="70" bestFit="1" customWidth="1"/>
    <col min="2321" max="2321" width="7.5703125" style="70" customWidth="1"/>
    <col min="2322" max="2323" width="12.5703125" style="70" bestFit="1" customWidth="1"/>
    <col min="2324" max="2324" width="25.28515625" style="70" customWidth="1"/>
    <col min="2325" max="2325" width="21" style="70" customWidth="1"/>
    <col min="2326" max="2563" width="9.140625" style="70"/>
    <col min="2564" max="2564" width="4.7109375" style="70" customWidth="1"/>
    <col min="2565" max="2565" width="45.5703125" style="70" customWidth="1"/>
    <col min="2566" max="2566" width="15" style="70" customWidth="1"/>
    <col min="2567" max="2567" width="6.140625" style="70" customWidth="1"/>
    <col min="2568" max="2568" width="7.5703125" style="70" customWidth="1"/>
    <col min="2569" max="2569" width="11.42578125" style="70" customWidth="1"/>
    <col min="2570" max="2570" width="12.5703125" style="70" bestFit="1" customWidth="1"/>
    <col min="2571" max="2571" width="7.7109375" style="70" customWidth="1"/>
    <col min="2572" max="2572" width="11.28515625" style="70" customWidth="1"/>
    <col min="2573" max="2573" width="12.5703125" style="70" bestFit="1" customWidth="1"/>
    <col min="2574" max="2574" width="7.5703125" style="70" customWidth="1"/>
    <col min="2575" max="2576" width="12.5703125" style="70" bestFit="1" customWidth="1"/>
    <col min="2577" max="2577" width="7.5703125" style="70" customWidth="1"/>
    <col min="2578" max="2579" width="12.5703125" style="70" bestFit="1" customWidth="1"/>
    <col min="2580" max="2580" width="25.28515625" style="70" customWidth="1"/>
    <col min="2581" max="2581" width="21" style="70" customWidth="1"/>
    <col min="2582" max="2819" width="9.140625" style="70"/>
    <col min="2820" max="2820" width="4.7109375" style="70" customWidth="1"/>
    <col min="2821" max="2821" width="45.5703125" style="70" customWidth="1"/>
    <col min="2822" max="2822" width="15" style="70" customWidth="1"/>
    <col min="2823" max="2823" width="6.140625" style="70" customWidth="1"/>
    <col min="2824" max="2824" width="7.5703125" style="70" customWidth="1"/>
    <col min="2825" max="2825" width="11.42578125" style="70" customWidth="1"/>
    <col min="2826" max="2826" width="12.5703125" style="70" bestFit="1" customWidth="1"/>
    <col min="2827" max="2827" width="7.7109375" style="70" customWidth="1"/>
    <col min="2828" max="2828" width="11.28515625" style="70" customWidth="1"/>
    <col min="2829" max="2829" width="12.5703125" style="70" bestFit="1" customWidth="1"/>
    <col min="2830" max="2830" width="7.5703125" style="70" customWidth="1"/>
    <col min="2831" max="2832" width="12.5703125" style="70" bestFit="1" customWidth="1"/>
    <col min="2833" max="2833" width="7.5703125" style="70" customWidth="1"/>
    <col min="2834" max="2835" width="12.5703125" style="70" bestFit="1" customWidth="1"/>
    <col min="2836" max="2836" width="25.28515625" style="70" customWidth="1"/>
    <col min="2837" max="2837" width="21" style="70" customWidth="1"/>
    <col min="2838" max="3075" width="9.140625" style="70"/>
    <col min="3076" max="3076" width="4.7109375" style="70" customWidth="1"/>
    <col min="3077" max="3077" width="45.5703125" style="70" customWidth="1"/>
    <col min="3078" max="3078" width="15" style="70" customWidth="1"/>
    <col min="3079" max="3079" width="6.140625" style="70" customWidth="1"/>
    <col min="3080" max="3080" width="7.5703125" style="70" customWidth="1"/>
    <col min="3081" max="3081" width="11.42578125" style="70" customWidth="1"/>
    <col min="3082" max="3082" width="12.5703125" style="70" bestFit="1" customWidth="1"/>
    <col min="3083" max="3083" width="7.7109375" style="70" customWidth="1"/>
    <col min="3084" max="3084" width="11.28515625" style="70" customWidth="1"/>
    <col min="3085" max="3085" width="12.5703125" style="70" bestFit="1" customWidth="1"/>
    <col min="3086" max="3086" width="7.5703125" style="70" customWidth="1"/>
    <col min="3087" max="3088" width="12.5703125" style="70" bestFit="1" customWidth="1"/>
    <col min="3089" max="3089" width="7.5703125" style="70" customWidth="1"/>
    <col min="3090" max="3091" width="12.5703125" style="70" bestFit="1" customWidth="1"/>
    <col min="3092" max="3092" width="25.28515625" style="70" customWidth="1"/>
    <col min="3093" max="3093" width="21" style="70" customWidth="1"/>
    <col min="3094" max="3331" width="9.140625" style="70"/>
    <col min="3332" max="3332" width="4.7109375" style="70" customWidth="1"/>
    <col min="3333" max="3333" width="45.5703125" style="70" customWidth="1"/>
    <col min="3334" max="3334" width="15" style="70" customWidth="1"/>
    <col min="3335" max="3335" width="6.140625" style="70" customWidth="1"/>
    <col min="3336" max="3336" width="7.5703125" style="70" customWidth="1"/>
    <col min="3337" max="3337" width="11.42578125" style="70" customWidth="1"/>
    <col min="3338" max="3338" width="12.5703125" style="70" bestFit="1" customWidth="1"/>
    <col min="3339" max="3339" width="7.7109375" style="70" customWidth="1"/>
    <col min="3340" max="3340" width="11.28515625" style="70" customWidth="1"/>
    <col min="3341" max="3341" width="12.5703125" style="70" bestFit="1" customWidth="1"/>
    <col min="3342" max="3342" width="7.5703125" style="70" customWidth="1"/>
    <col min="3343" max="3344" width="12.5703125" style="70" bestFit="1" customWidth="1"/>
    <col min="3345" max="3345" width="7.5703125" style="70" customWidth="1"/>
    <col min="3346" max="3347" width="12.5703125" style="70" bestFit="1" customWidth="1"/>
    <col min="3348" max="3348" width="25.28515625" style="70" customWidth="1"/>
    <col min="3349" max="3349" width="21" style="70" customWidth="1"/>
    <col min="3350" max="3587" width="9.140625" style="70"/>
    <col min="3588" max="3588" width="4.7109375" style="70" customWidth="1"/>
    <col min="3589" max="3589" width="45.5703125" style="70" customWidth="1"/>
    <col min="3590" max="3590" width="15" style="70" customWidth="1"/>
    <col min="3591" max="3591" width="6.140625" style="70" customWidth="1"/>
    <col min="3592" max="3592" width="7.5703125" style="70" customWidth="1"/>
    <col min="3593" max="3593" width="11.42578125" style="70" customWidth="1"/>
    <col min="3594" max="3594" width="12.5703125" style="70" bestFit="1" customWidth="1"/>
    <col min="3595" max="3595" width="7.7109375" style="70" customWidth="1"/>
    <col min="3596" max="3596" width="11.28515625" style="70" customWidth="1"/>
    <col min="3597" max="3597" width="12.5703125" style="70" bestFit="1" customWidth="1"/>
    <col min="3598" max="3598" width="7.5703125" style="70" customWidth="1"/>
    <col min="3599" max="3600" width="12.5703125" style="70" bestFit="1" customWidth="1"/>
    <col min="3601" max="3601" width="7.5703125" style="70" customWidth="1"/>
    <col min="3602" max="3603" width="12.5703125" style="70" bestFit="1" customWidth="1"/>
    <col min="3604" max="3604" width="25.28515625" style="70" customWidth="1"/>
    <col min="3605" max="3605" width="21" style="70" customWidth="1"/>
    <col min="3606" max="3843" width="9.140625" style="70"/>
    <col min="3844" max="3844" width="4.7109375" style="70" customWidth="1"/>
    <col min="3845" max="3845" width="45.5703125" style="70" customWidth="1"/>
    <col min="3846" max="3846" width="15" style="70" customWidth="1"/>
    <col min="3847" max="3847" width="6.140625" style="70" customWidth="1"/>
    <col min="3848" max="3848" width="7.5703125" style="70" customWidth="1"/>
    <col min="3849" max="3849" width="11.42578125" style="70" customWidth="1"/>
    <col min="3850" max="3850" width="12.5703125" style="70" bestFit="1" customWidth="1"/>
    <col min="3851" max="3851" width="7.7109375" style="70" customWidth="1"/>
    <col min="3852" max="3852" width="11.28515625" style="70" customWidth="1"/>
    <col min="3853" max="3853" width="12.5703125" style="70" bestFit="1" customWidth="1"/>
    <col min="3854" max="3854" width="7.5703125" style="70" customWidth="1"/>
    <col min="3855" max="3856" width="12.5703125" style="70" bestFit="1" customWidth="1"/>
    <col min="3857" max="3857" width="7.5703125" style="70" customWidth="1"/>
    <col min="3858" max="3859" width="12.5703125" style="70" bestFit="1" customWidth="1"/>
    <col min="3860" max="3860" width="25.28515625" style="70" customWidth="1"/>
    <col min="3861" max="3861" width="21" style="70" customWidth="1"/>
    <col min="3862" max="4099" width="9.140625" style="70"/>
    <col min="4100" max="4100" width="4.7109375" style="70" customWidth="1"/>
    <col min="4101" max="4101" width="45.5703125" style="70" customWidth="1"/>
    <col min="4102" max="4102" width="15" style="70" customWidth="1"/>
    <col min="4103" max="4103" width="6.140625" style="70" customWidth="1"/>
    <col min="4104" max="4104" width="7.5703125" style="70" customWidth="1"/>
    <col min="4105" max="4105" width="11.42578125" style="70" customWidth="1"/>
    <col min="4106" max="4106" width="12.5703125" style="70" bestFit="1" customWidth="1"/>
    <col min="4107" max="4107" width="7.7109375" style="70" customWidth="1"/>
    <col min="4108" max="4108" width="11.28515625" style="70" customWidth="1"/>
    <col min="4109" max="4109" width="12.5703125" style="70" bestFit="1" customWidth="1"/>
    <col min="4110" max="4110" width="7.5703125" style="70" customWidth="1"/>
    <col min="4111" max="4112" width="12.5703125" style="70" bestFit="1" customWidth="1"/>
    <col min="4113" max="4113" width="7.5703125" style="70" customWidth="1"/>
    <col min="4114" max="4115" width="12.5703125" style="70" bestFit="1" customWidth="1"/>
    <col min="4116" max="4116" width="25.28515625" style="70" customWidth="1"/>
    <col min="4117" max="4117" width="21" style="70" customWidth="1"/>
    <col min="4118" max="4355" width="9.140625" style="70"/>
    <col min="4356" max="4356" width="4.7109375" style="70" customWidth="1"/>
    <col min="4357" max="4357" width="45.5703125" style="70" customWidth="1"/>
    <col min="4358" max="4358" width="15" style="70" customWidth="1"/>
    <col min="4359" max="4359" width="6.140625" style="70" customWidth="1"/>
    <col min="4360" max="4360" width="7.5703125" style="70" customWidth="1"/>
    <col min="4361" max="4361" width="11.42578125" style="70" customWidth="1"/>
    <col min="4362" max="4362" width="12.5703125" style="70" bestFit="1" customWidth="1"/>
    <col min="4363" max="4363" width="7.7109375" style="70" customWidth="1"/>
    <col min="4364" max="4364" width="11.28515625" style="70" customWidth="1"/>
    <col min="4365" max="4365" width="12.5703125" style="70" bestFit="1" customWidth="1"/>
    <col min="4366" max="4366" width="7.5703125" style="70" customWidth="1"/>
    <col min="4367" max="4368" width="12.5703125" style="70" bestFit="1" customWidth="1"/>
    <col min="4369" max="4369" width="7.5703125" style="70" customWidth="1"/>
    <col min="4370" max="4371" width="12.5703125" style="70" bestFit="1" customWidth="1"/>
    <col min="4372" max="4372" width="25.28515625" style="70" customWidth="1"/>
    <col min="4373" max="4373" width="21" style="70" customWidth="1"/>
    <col min="4374" max="4611" width="9.140625" style="70"/>
    <col min="4612" max="4612" width="4.7109375" style="70" customWidth="1"/>
    <col min="4613" max="4613" width="45.5703125" style="70" customWidth="1"/>
    <col min="4614" max="4614" width="15" style="70" customWidth="1"/>
    <col min="4615" max="4615" width="6.140625" style="70" customWidth="1"/>
    <col min="4616" max="4616" width="7.5703125" style="70" customWidth="1"/>
    <col min="4617" max="4617" width="11.42578125" style="70" customWidth="1"/>
    <col min="4618" max="4618" width="12.5703125" style="70" bestFit="1" customWidth="1"/>
    <col min="4619" max="4619" width="7.7109375" style="70" customWidth="1"/>
    <col min="4620" max="4620" width="11.28515625" style="70" customWidth="1"/>
    <col min="4621" max="4621" width="12.5703125" style="70" bestFit="1" customWidth="1"/>
    <col min="4622" max="4622" width="7.5703125" style="70" customWidth="1"/>
    <col min="4623" max="4624" width="12.5703125" style="70" bestFit="1" customWidth="1"/>
    <col min="4625" max="4625" width="7.5703125" style="70" customWidth="1"/>
    <col min="4626" max="4627" width="12.5703125" style="70" bestFit="1" customWidth="1"/>
    <col min="4628" max="4628" width="25.28515625" style="70" customWidth="1"/>
    <col min="4629" max="4629" width="21" style="70" customWidth="1"/>
    <col min="4630" max="4867" width="9.140625" style="70"/>
    <col min="4868" max="4868" width="4.7109375" style="70" customWidth="1"/>
    <col min="4869" max="4869" width="45.5703125" style="70" customWidth="1"/>
    <col min="4870" max="4870" width="15" style="70" customWidth="1"/>
    <col min="4871" max="4871" width="6.140625" style="70" customWidth="1"/>
    <col min="4872" max="4872" width="7.5703125" style="70" customWidth="1"/>
    <col min="4873" max="4873" width="11.42578125" style="70" customWidth="1"/>
    <col min="4874" max="4874" width="12.5703125" style="70" bestFit="1" customWidth="1"/>
    <col min="4875" max="4875" width="7.7109375" style="70" customWidth="1"/>
    <col min="4876" max="4876" width="11.28515625" style="70" customWidth="1"/>
    <col min="4877" max="4877" width="12.5703125" style="70" bestFit="1" customWidth="1"/>
    <col min="4878" max="4878" width="7.5703125" style="70" customWidth="1"/>
    <col min="4879" max="4880" width="12.5703125" style="70" bestFit="1" customWidth="1"/>
    <col min="4881" max="4881" width="7.5703125" style="70" customWidth="1"/>
    <col min="4882" max="4883" width="12.5703125" style="70" bestFit="1" customWidth="1"/>
    <col min="4884" max="4884" width="25.28515625" style="70" customWidth="1"/>
    <col min="4885" max="4885" width="21" style="70" customWidth="1"/>
    <col min="4886" max="5123" width="9.140625" style="70"/>
    <col min="5124" max="5124" width="4.7109375" style="70" customWidth="1"/>
    <col min="5125" max="5125" width="45.5703125" style="70" customWidth="1"/>
    <col min="5126" max="5126" width="15" style="70" customWidth="1"/>
    <col min="5127" max="5127" width="6.140625" style="70" customWidth="1"/>
    <col min="5128" max="5128" width="7.5703125" style="70" customWidth="1"/>
    <col min="5129" max="5129" width="11.42578125" style="70" customWidth="1"/>
    <col min="5130" max="5130" width="12.5703125" style="70" bestFit="1" customWidth="1"/>
    <col min="5131" max="5131" width="7.7109375" style="70" customWidth="1"/>
    <col min="5132" max="5132" width="11.28515625" style="70" customWidth="1"/>
    <col min="5133" max="5133" width="12.5703125" style="70" bestFit="1" customWidth="1"/>
    <col min="5134" max="5134" width="7.5703125" style="70" customWidth="1"/>
    <col min="5135" max="5136" width="12.5703125" style="70" bestFit="1" customWidth="1"/>
    <col min="5137" max="5137" width="7.5703125" style="70" customWidth="1"/>
    <col min="5138" max="5139" width="12.5703125" style="70" bestFit="1" customWidth="1"/>
    <col min="5140" max="5140" width="25.28515625" style="70" customWidth="1"/>
    <col min="5141" max="5141" width="21" style="70" customWidth="1"/>
    <col min="5142" max="5379" width="9.140625" style="70"/>
    <col min="5380" max="5380" width="4.7109375" style="70" customWidth="1"/>
    <col min="5381" max="5381" width="45.5703125" style="70" customWidth="1"/>
    <col min="5382" max="5382" width="15" style="70" customWidth="1"/>
    <col min="5383" max="5383" width="6.140625" style="70" customWidth="1"/>
    <col min="5384" max="5384" width="7.5703125" style="70" customWidth="1"/>
    <col min="5385" max="5385" width="11.42578125" style="70" customWidth="1"/>
    <col min="5386" max="5386" width="12.5703125" style="70" bestFit="1" customWidth="1"/>
    <col min="5387" max="5387" width="7.7109375" style="70" customWidth="1"/>
    <col min="5388" max="5388" width="11.28515625" style="70" customWidth="1"/>
    <col min="5389" max="5389" width="12.5703125" style="70" bestFit="1" customWidth="1"/>
    <col min="5390" max="5390" width="7.5703125" style="70" customWidth="1"/>
    <col min="5391" max="5392" width="12.5703125" style="70" bestFit="1" customWidth="1"/>
    <col min="5393" max="5393" width="7.5703125" style="70" customWidth="1"/>
    <col min="5394" max="5395" width="12.5703125" style="70" bestFit="1" customWidth="1"/>
    <col min="5396" max="5396" width="25.28515625" style="70" customWidth="1"/>
    <col min="5397" max="5397" width="21" style="70" customWidth="1"/>
    <col min="5398" max="5635" width="9.140625" style="70"/>
    <col min="5636" max="5636" width="4.7109375" style="70" customWidth="1"/>
    <col min="5637" max="5637" width="45.5703125" style="70" customWidth="1"/>
    <col min="5638" max="5638" width="15" style="70" customWidth="1"/>
    <col min="5639" max="5639" width="6.140625" style="70" customWidth="1"/>
    <col min="5640" max="5640" width="7.5703125" style="70" customWidth="1"/>
    <col min="5641" max="5641" width="11.42578125" style="70" customWidth="1"/>
    <col min="5642" max="5642" width="12.5703125" style="70" bestFit="1" customWidth="1"/>
    <col min="5643" max="5643" width="7.7109375" style="70" customWidth="1"/>
    <col min="5644" max="5644" width="11.28515625" style="70" customWidth="1"/>
    <col min="5645" max="5645" width="12.5703125" style="70" bestFit="1" customWidth="1"/>
    <col min="5646" max="5646" width="7.5703125" style="70" customWidth="1"/>
    <col min="5647" max="5648" width="12.5703125" style="70" bestFit="1" customWidth="1"/>
    <col min="5649" max="5649" width="7.5703125" style="70" customWidth="1"/>
    <col min="5650" max="5651" width="12.5703125" style="70" bestFit="1" customWidth="1"/>
    <col min="5652" max="5652" width="25.28515625" style="70" customWidth="1"/>
    <col min="5653" max="5653" width="21" style="70" customWidth="1"/>
    <col min="5654" max="5891" width="9.140625" style="70"/>
    <col min="5892" max="5892" width="4.7109375" style="70" customWidth="1"/>
    <col min="5893" max="5893" width="45.5703125" style="70" customWidth="1"/>
    <col min="5894" max="5894" width="15" style="70" customWidth="1"/>
    <col min="5895" max="5895" width="6.140625" style="70" customWidth="1"/>
    <col min="5896" max="5896" width="7.5703125" style="70" customWidth="1"/>
    <col min="5897" max="5897" width="11.42578125" style="70" customWidth="1"/>
    <col min="5898" max="5898" width="12.5703125" style="70" bestFit="1" customWidth="1"/>
    <col min="5899" max="5899" width="7.7109375" style="70" customWidth="1"/>
    <col min="5900" max="5900" width="11.28515625" style="70" customWidth="1"/>
    <col min="5901" max="5901" width="12.5703125" style="70" bestFit="1" customWidth="1"/>
    <col min="5902" max="5902" width="7.5703125" style="70" customWidth="1"/>
    <col min="5903" max="5904" width="12.5703125" style="70" bestFit="1" customWidth="1"/>
    <col min="5905" max="5905" width="7.5703125" style="70" customWidth="1"/>
    <col min="5906" max="5907" width="12.5703125" style="70" bestFit="1" customWidth="1"/>
    <col min="5908" max="5908" width="25.28515625" style="70" customWidth="1"/>
    <col min="5909" max="5909" width="21" style="70" customWidth="1"/>
    <col min="5910" max="6147" width="9.140625" style="70"/>
    <col min="6148" max="6148" width="4.7109375" style="70" customWidth="1"/>
    <col min="6149" max="6149" width="45.5703125" style="70" customWidth="1"/>
    <col min="6150" max="6150" width="15" style="70" customWidth="1"/>
    <col min="6151" max="6151" width="6.140625" style="70" customWidth="1"/>
    <col min="6152" max="6152" width="7.5703125" style="70" customWidth="1"/>
    <col min="6153" max="6153" width="11.42578125" style="70" customWidth="1"/>
    <col min="6154" max="6154" width="12.5703125" style="70" bestFit="1" customWidth="1"/>
    <col min="6155" max="6155" width="7.7109375" style="70" customWidth="1"/>
    <col min="6156" max="6156" width="11.28515625" style="70" customWidth="1"/>
    <col min="6157" max="6157" width="12.5703125" style="70" bestFit="1" customWidth="1"/>
    <col min="6158" max="6158" width="7.5703125" style="70" customWidth="1"/>
    <col min="6159" max="6160" width="12.5703125" style="70" bestFit="1" customWidth="1"/>
    <col min="6161" max="6161" width="7.5703125" style="70" customWidth="1"/>
    <col min="6162" max="6163" width="12.5703125" style="70" bestFit="1" customWidth="1"/>
    <col min="6164" max="6164" width="25.28515625" style="70" customWidth="1"/>
    <col min="6165" max="6165" width="21" style="70" customWidth="1"/>
    <col min="6166" max="6403" width="9.140625" style="70"/>
    <col min="6404" max="6404" width="4.7109375" style="70" customWidth="1"/>
    <col min="6405" max="6405" width="45.5703125" style="70" customWidth="1"/>
    <col min="6406" max="6406" width="15" style="70" customWidth="1"/>
    <col min="6407" max="6407" width="6.140625" style="70" customWidth="1"/>
    <col min="6408" max="6408" width="7.5703125" style="70" customWidth="1"/>
    <col min="6409" max="6409" width="11.42578125" style="70" customWidth="1"/>
    <col min="6410" max="6410" width="12.5703125" style="70" bestFit="1" customWidth="1"/>
    <col min="6411" max="6411" width="7.7109375" style="70" customWidth="1"/>
    <col min="6412" max="6412" width="11.28515625" style="70" customWidth="1"/>
    <col min="6413" max="6413" width="12.5703125" style="70" bestFit="1" customWidth="1"/>
    <col min="6414" max="6414" width="7.5703125" style="70" customWidth="1"/>
    <col min="6415" max="6416" width="12.5703125" style="70" bestFit="1" customWidth="1"/>
    <col min="6417" max="6417" width="7.5703125" style="70" customWidth="1"/>
    <col min="6418" max="6419" width="12.5703125" style="70" bestFit="1" customWidth="1"/>
    <col min="6420" max="6420" width="25.28515625" style="70" customWidth="1"/>
    <col min="6421" max="6421" width="21" style="70" customWidth="1"/>
    <col min="6422" max="6659" width="9.140625" style="70"/>
    <col min="6660" max="6660" width="4.7109375" style="70" customWidth="1"/>
    <col min="6661" max="6661" width="45.5703125" style="70" customWidth="1"/>
    <col min="6662" max="6662" width="15" style="70" customWidth="1"/>
    <col min="6663" max="6663" width="6.140625" style="70" customWidth="1"/>
    <col min="6664" max="6664" width="7.5703125" style="70" customWidth="1"/>
    <col min="6665" max="6665" width="11.42578125" style="70" customWidth="1"/>
    <col min="6666" max="6666" width="12.5703125" style="70" bestFit="1" customWidth="1"/>
    <col min="6667" max="6667" width="7.7109375" style="70" customWidth="1"/>
    <col min="6668" max="6668" width="11.28515625" style="70" customWidth="1"/>
    <col min="6669" max="6669" width="12.5703125" style="70" bestFit="1" customWidth="1"/>
    <col min="6670" max="6670" width="7.5703125" style="70" customWidth="1"/>
    <col min="6671" max="6672" width="12.5703125" style="70" bestFit="1" customWidth="1"/>
    <col min="6673" max="6673" width="7.5703125" style="70" customWidth="1"/>
    <col min="6674" max="6675" width="12.5703125" style="70" bestFit="1" customWidth="1"/>
    <col min="6676" max="6676" width="25.28515625" style="70" customWidth="1"/>
    <col min="6677" max="6677" width="21" style="70" customWidth="1"/>
    <col min="6678" max="6915" width="9.140625" style="70"/>
    <col min="6916" max="6916" width="4.7109375" style="70" customWidth="1"/>
    <col min="6917" max="6917" width="45.5703125" style="70" customWidth="1"/>
    <col min="6918" max="6918" width="15" style="70" customWidth="1"/>
    <col min="6919" max="6919" width="6.140625" style="70" customWidth="1"/>
    <col min="6920" max="6920" width="7.5703125" style="70" customWidth="1"/>
    <col min="6921" max="6921" width="11.42578125" style="70" customWidth="1"/>
    <col min="6922" max="6922" width="12.5703125" style="70" bestFit="1" customWidth="1"/>
    <col min="6923" max="6923" width="7.7109375" style="70" customWidth="1"/>
    <col min="6924" max="6924" width="11.28515625" style="70" customWidth="1"/>
    <col min="6925" max="6925" width="12.5703125" style="70" bestFit="1" customWidth="1"/>
    <col min="6926" max="6926" width="7.5703125" style="70" customWidth="1"/>
    <col min="6927" max="6928" width="12.5703125" style="70" bestFit="1" customWidth="1"/>
    <col min="6929" max="6929" width="7.5703125" style="70" customWidth="1"/>
    <col min="6930" max="6931" width="12.5703125" style="70" bestFit="1" customWidth="1"/>
    <col min="6932" max="6932" width="25.28515625" style="70" customWidth="1"/>
    <col min="6933" max="6933" width="21" style="70" customWidth="1"/>
    <col min="6934" max="7171" width="9.140625" style="70"/>
    <col min="7172" max="7172" width="4.7109375" style="70" customWidth="1"/>
    <col min="7173" max="7173" width="45.5703125" style="70" customWidth="1"/>
    <col min="7174" max="7174" width="15" style="70" customWidth="1"/>
    <col min="7175" max="7175" width="6.140625" style="70" customWidth="1"/>
    <col min="7176" max="7176" width="7.5703125" style="70" customWidth="1"/>
    <col min="7177" max="7177" width="11.42578125" style="70" customWidth="1"/>
    <col min="7178" max="7178" width="12.5703125" style="70" bestFit="1" customWidth="1"/>
    <col min="7179" max="7179" width="7.7109375" style="70" customWidth="1"/>
    <col min="7180" max="7180" width="11.28515625" style="70" customWidth="1"/>
    <col min="7181" max="7181" width="12.5703125" style="70" bestFit="1" customWidth="1"/>
    <col min="7182" max="7182" width="7.5703125" style="70" customWidth="1"/>
    <col min="7183" max="7184" width="12.5703125" style="70" bestFit="1" customWidth="1"/>
    <col min="7185" max="7185" width="7.5703125" style="70" customWidth="1"/>
    <col min="7186" max="7187" width="12.5703125" style="70" bestFit="1" customWidth="1"/>
    <col min="7188" max="7188" width="25.28515625" style="70" customWidth="1"/>
    <col min="7189" max="7189" width="21" style="70" customWidth="1"/>
    <col min="7190" max="7427" width="9.140625" style="70"/>
    <col min="7428" max="7428" width="4.7109375" style="70" customWidth="1"/>
    <col min="7429" max="7429" width="45.5703125" style="70" customWidth="1"/>
    <col min="7430" max="7430" width="15" style="70" customWidth="1"/>
    <col min="7431" max="7431" width="6.140625" style="70" customWidth="1"/>
    <col min="7432" max="7432" width="7.5703125" style="70" customWidth="1"/>
    <col min="7433" max="7433" width="11.42578125" style="70" customWidth="1"/>
    <col min="7434" max="7434" width="12.5703125" style="70" bestFit="1" customWidth="1"/>
    <col min="7435" max="7435" width="7.7109375" style="70" customWidth="1"/>
    <col min="7436" max="7436" width="11.28515625" style="70" customWidth="1"/>
    <col min="7437" max="7437" width="12.5703125" style="70" bestFit="1" customWidth="1"/>
    <col min="7438" max="7438" width="7.5703125" style="70" customWidth="1"/>
    <col min="7439" max="7440" width="12.5703125" style="70" bestFit="1" customWidth="1"/>
    <col min="7441" max="7441" width="7.5703125" style="70" customWidth="1"/>
    <col min="7442" max="7443" width="12.5703125" style="70" bestFit="1" customWidth="1"/>
    <col min="7444" max="7444" width="25.28515625" style="70" customWidth="1"/>
    <col min="7445" max="7445" width="21" style="70" customWidth="1"/>
    <col min="7446" max="7683" width="9.140625" style="70"/>
    <col min="7684" max="7684" width="4.7109375" style="70" customWidth="1"/>
    <col min="7685" max="7685" width="45.5703125" style="70" customWidth="1"/>
    <col min="7686" max="7686" width="15" style="70" customWidth="1"/>
    <col min="7687" max="7687" width="6.140625" style="70" customWidth="1"/>
    <col min="7688" max="7688" width="7.5703125" style="70" customWidth="1"/>
    <col min="7689" max="7689" width="11.42578125" style="70" customWidth="1"/>
    <col min="7690" max="7690" width="12.5703125" style="70" bestFit="1" customWidth="1"/>
    <col min="7691" max="7691" width="7.7109375" style="70" customWidth="1"/>
    <col min="7692" max="7692" width="11.28515625" style="70" customWidth="1"/>
    <col min="7693" max="7693" width="12.5703125" style="70" bestFit="1" customWidth="1"/>
    <col min="7694" max="7694" width="7.5703125" style="70" customWidth="1"/>
    <col min="7695" max="7696" width="12.5703125" style="70" bestFit="1" customWidth="1"/>
    <col min="7697" max="7697" width="7.5703125" style="70" customWidth="1"/>
    <col min="7698" max="7699" width="12.5703125" style="70" bestFit="1" customWidth="1"/>
    <col min="7700" max="7700" width="25.28515625" style="70" customWidth="1"/>
    <col min="7701" max="7701" width="21" style="70" customWidth="1"/>
    <col min="7702" max="7939" width="9.140625" style="70"/>
    <col min="7940" max="7940" width="4.7109375" style="70" customWidth="1"/>
    <col min="7941" max="7941" width="45.5703125" style="70" customWidth="1"/>
    <col min="7942" max="7942" width="15" style="70" customWidth="1"/>
    <col min="7943" max="7943" width="6.140625" style="70" customWidth="1"/>
    <col min="7944" max="7944" width="7.5703125" style="70" customWidth="1"/>
    <col min="7945" max="7945" width="11.42578125" style="70" customWidth="1"/>
    <col min="7946" max="7946" width="12.5703125" style="70" bestFit="1" customWidth="1"/>
    <col min="7947" max="7947" width="7.7109375" style="70" customWidth="1"/>
    <col min="7948" max="7948" width="11.28515625" style="70" customWidth="1"/>
    <col min="7949" max="7949" width="12.5703125" style="70" bestFit="1" customWidth="1"/>
    <col min="7950" max="7950" width="7.5703125" style="70" customWidth="1"/>
    <col min="7951" max="7952" width="12.5703125" style="70" bestFit="1" customWidth="1"/>
    <col min="7953" max="7953" width="7.5703125" style="70" customWidth="1"/>
    <col min="7954" max="7955" width="12.5703125" style="70" bestFit="1" customWidth="1"/>
    <col min="7956" max="7956" width="25.28515625" style="70" customWidth="1"/>
    <col min="7957" max="7957" width="21" style="70" customWidth="1"/>
    <col min="7958" max="8195" width="9.140625" style="70"/>
    <col min="8196" max="8196" width="4.7109375" style="70" customWidth="1"/>
    <col min="8197" max="8197" width="45.5703125" style="70" customWidth="1"/>
    <col min="8198" max="8198" width="15" style="70" customWidth="1"/>
    <col min="8199" max="8199" width="6.140625" style="70" customWidth="1"/>
    <col min="8200" max="8200" width="7.5703125" style="70" customWidth="1"/>
    <col min="8201" max="8201" width="11.42578125" style="70" customWidth="1"/>
    <col min="8202" max="8202" width="12.5703125" style="70" bestFit="1" customWidth="1"/>
    <col min="8203" max="8203" width="7.7109375" style="70" customWidth="1"/>
    <col min="8204" max="8204" width="11.28515625" style="70" customWidth="1"/>
    <col min="8205" max="8205" width="12.5703125" style="70" bestFit="1" customWidth="1"/>
    <col min="8206" max="8206" width="7.5703125" style="70" customWidth="1"/>
    <col min="8207" max="8208" width="12.5703125" style="70" bestFit="1" customWidth="1"/>
    <col min="8209" max="8209" width="7.5703125" style="70" customWidth="1"/>
    <col min="8210" max="8211" width="12.5703125" style="70" bestFit="1" customWidth="1"/>
    <col min="8212" max="8212" width="25.28515625" style="70" customWidth="1"/>
    <col min="8213" max="8213" width="21" style="70" customWidth="1"/>
    <col min="8214" max="8451" width="9.140625" style="70"/>
    <col min="8452" max="8452" width="4.7109375" style="70" customWidth="1"/>
    <col min="8453" max="8453" width="45.5703125" style="70" customWidth="1"/>
    <col min="8454" max="8454" width="15" style="70" customWidth="1"/>
    <col min="8455" max="8455" width="6.140625" style="70" customWidth="1"/>
    <col min="8456" max="8456" width="7.5703125" style="70" customWidth="1"/>
    <col min="8457" max="8457" width="11.42578125" style="70" customWidth="1"/>
    <col min="8458" max="8458" width="12.5703125" style="70" bestFit="1" customWidth="1"/>
    <col min="8459" max="8459" width="7.7109375" style="70" customWidth="1"/>
    <col min="8460" max="8460" width="11.28515625" style="70" customWidth="1"/>
    <col min="8461" max="8461" width="12.5703125" style="70" bestFit="1" customWidth="1"/>
    <col min="8462" max="8462" width="7.5703125" style="70" customWidth="1"/>
    <col min="8463" max="8464" width="12.5703125" style="70" bestFit="1" customWidth="1"/>
    <col min="8465" max="8465" width="7.5703125" style="70" customWidth="1"/>
    <col min="8466" max="8467" width="12.5703125" style="70" bestFit="1" customWidth="1"/>
    <col min="8468" max="8468" width="25.28515625" style="70" customWidth="1"/>
    <col min="8469" max="8469" width="21" style="70" customWidth="1"/>
    <col min="8470" max="8707" width="9.140625" style="70"/>
    <col min="8708" max="8708" width="4.7109375" style="70" customWidth="1"/>
    <col min="8709" max="8709" width="45.5703125" style="70" customWidth="1"/>
    <col min="8710" max="8710" width="15" style="70" customWidth="1"/>
    <col min="8711" max="8711" width="6.140625" style="70" customWidth="1"/>
    <col min="8712" max="8712" width="7.5703125" style="70" customWidth="1"/>
    <col min="8713" max="8713" width="11.42578125" style="70" customWidth="1"/>
    <col min="8714" max="8714" width="12.5703125" style="70" bestFit="1" customWidth="1"/>
    <col min="8715" max="8715" width="7.7109375" style="70" customWidth="1"/>
    <col min="8716" max="8716" width="11.28515625" style="70" customWidth="1"/>
    <col min="8717" max="8717" width="12.5703125" style="70" bestFit="1" customWidth="1"/>
    <col min="8718" max="8718" width="7.5703125" style="70" customWidth="1"/>
    <col min="8719" max="8720" width="12.5703125" style="70" bestFit="1" customWidth="1"/>
    <col min="8721" max="8721" width="7.5703125" style="70" customWidth="1"/>
    <col min="8722" max="8723" width="12.5703125" style="70" bestFit="1" customWidth="1"/>
    <col min="8724" max="8724" width="25.28515625" style="70" customWidth="1"/>
    <col min="8725" max="8725" width="21" style="70" customWidth="1"/>
    <col min="8726" max="8963" width="9.140625" style="70"/>
    <col min="8964" max="8964" width="4.7109375" style="70" customWidth="1"/>
    <col min="8965" max="8965" width="45.5703125" style="70" customWidth="1"/>
    <col min="8966" max="8966" width="15" style="70" customWidth="1"/>
    <col min="8967" max="8967" width="6.140625" style="70" customWidth="1"/>
    <col min="8968" max="8968" width="7.5703125" style="70" customWidth="1"/>
    <col min="8969" max="8969" width="11.42578125" style="70" customWidth="1"/>
    <col min="8970" max="8970" width="12.5703125" style="70" bestFit="1" customWidth="1"/>
    <col min="8971" max="8971" width="7.7109375" style="70" customWidth="1"/>
    <col min="8972" max="8972" width="11.28515625" style="70" customWidth="1"/>
    <col min="8973" max="8973" width="12.5703125" style="70" bestFit="1" customWidth="1"/>
    <col min="8974" max="8974" width="7.5703125" style="70" customWidth="1"/>
    <col min="8975" max="8976" width="12.5703125" style="70" bestFit="1" customWidth="1"/>
    <col min="8977" max="8977" width="7.5703125" style="70" customWidth="1"/>
    <col min="8978" max="8979" width="12.5703125" style="70" bestFit="1" customWidth="1"/>
    <col min="8980" max="8980" width="25.28515625" style="70" customWidth="1"/>
    <col min="8981" max="8981" width="21" style="70" customWidth="1"/>
    <col min="8982" max="9219" width="9.140625" style="70"/>
    <col min="9220" max="9220" width="4.7109375" style="70" customWidth="1"/>
    <col min="9221" max="9221" width="45.5703125" style="70" customWidth="1"/>
    <col min="9222" max="9222" width="15" style="70" customWidth="1"/>
    <col min="9223" max="9223" width="6.140625" style="70" customWidth="1"/>
    <col min="9224" max="9224" width="7.5703125" style="70" customWidth="1"/>
    <col min="9225" max="9225" width="11.42578125" style="70" customWidth="1"/>
    <col min="9226" max="9226" width="12.5703125" style="70" bestFit="1" customWidth="1"/>
    <col min="9227" max="9227" width="7.7109375" style="70" customWidth="1"/>
    <col min="9228" max="9228" width="11.28515625" style="70" customWidth="1"/>
    <col min="9229" max="9229" width="12.5703125" style="70" bestFit="1" customWidth="1"/>
    <col min="9230" max="9230" width="7.5703125" style="70" customWidth="1"/>
    <col min="9231" max="9232" width="12.5703125" style="70" bestFit="1" customWidth="1"/>
    <col min="9233" max="9233" width="7.5703125" style="70" customWidth="1"/>
    <col min="9234" max="9235" width="12.5703125" style="70" bestFit="1" customWidth="1"/>
    <col min="9236" max="9236" width="25.28515625" style="70" customWidth="1"/>
    <col min="9237" max="9237" width="21" style="70" customWidth="1"/>
    <col min="9238" max="9475" width="9.140625" style="70"/>
    <col min="9476" max="9476" width="4.7109375" style="70" customWidth="1"/>
    <col min="9477" max="9477" width="45.5703125" style="70" customWidth="1"/>
    <col min="9478" max="9478" width="15" style="70" customWidth="1"/>
    <col min="9479" max="9479" width="6.140625" style="70" customWidth="1"/>
    <col min="9480" max="9480" width="7.5703125" style="70" customWidth="1"/>
    <col min="9481" max="9481" width="11.42578125" style="70" customWidth="1"/>
    <col min="9482" max="9482" width="12.5703125" style="70" bestFit="1" customWidth="1"/>
    <col min="9483" max="9483" width="7.7109375" style="70" customWidth="1"/>
    <col min="9484" max="9484" width="11.28515625" style="70" customWidth="1"/>
    <col min="9485" max="9485" width="12.5703125" style="70" bestFit="1" customWidth="1"/>
    <col min="9486" max="9486" width="7.5703125" style="70" customWidth="1"/>
    <col min="9487" max="9488" width="12.5703125" style="70" bestFit="1" customWidth="1"/>
    <col min="9489" max="9489" width="7.5703125" style="70" customWidth="1"/>
    <col min="9490" max="9491" width="12.5703125" style="70" bestFit="1" customWidth="1"/>
    <col min="9492" max="9492" width="25.28515625" style="70" customWidth="1"/>
    <col min="9493" max="9493" width="21" style="70" customWidth="1"/>
    <col min="9494" max="9731" width="9.140625" style="70"/>
    <col min="9732" max="9732" width="4.7109375" style="70" customWidth="1"/>
    <col min="9733" max="9733" width="45.5703125" style="70" customWidth="1"/>
    <col min="9734" max="9734" width="15" style="70" customWidth="1"/>
    <col min="9735" max="9735" width="6.140625" style="70" customWidth="1"/>
    <col min="9736" max="9736" width="7.5703125" style="70" customWidth="1"/>
    <col min="9737" max="9737" width="11.42578125" style="70" customWidth="1"/>
    <col min="9738" max="9738" width="12.5703125" style="70" bestFit="1" customWidth="1"/>
    <col min="9739" max="9739" width="7.7109375" style="70" customWidth="1"/>
    <col min="9740" max="9740" width="11.28515625" style="70" customWidth="1"/>
    <col min="9741" max="9741" width="12.5703125" style="70" bestFit="1" customWidth="1"/>
    <col min="9742" max="9742" width="7.5703125" style="70" customWidth="1"/>
    <col min="9743" max="9744" width="12.5703125" style="70" bestFit="1" customWidth="1"/>
    <col min="9745" max="9745" width="7.5703125" style="70" customWidth="1"/>
    <col min="9746" max="9747" width="12.5703125" style="70" bestFit="1" customWidth="1"/>
    <col min="9748" max="9748" width="25.28515625" style="70" customWidth="1"/>
    <col min="9749" max="9749" width="21" style="70" customWidth="1"/>
    <col min="9750" max="9987" width="9.140625" style="70"/>
    <col min="9988" max="9988" width="4.7109375" style="70" customWidth="1"/>
    <col min="9989" max="9989" width="45.5703125" style="70" customWidth="1"/>
    <col min="9990" max="9990" width="15" style="70" customWidth="1"/>
    <col min="9991" max="9991" width="6.140625" style="70" customWidth="1"/>
    <col min="9992" max="9992" width="7.5703125" style="70" customWidth="1"/>
    <col min="9993" max="9993" width="11.42578125" style="70" customWidth="1"/>
    <col min="9994" max="9994" width="12.5703125" style="70" bestFit="1" customWidth="1"/>
    <col min="9995" max="9995" width="7.7109375" style="70" customWidth="1"/>
    <col min="9996" max="9996" width="11.28515625" style="70" customWidth="1"/>
    <col min="9997" max="9997" width="12.5703125" style="70" bestFit="1" customWidth="1"/>
    <col min="9998" max="9998" width="7.5703125" style="70" customWidth="1"/>
    <col min="9999" max="10000" width="12.5703125" style="70" bestFit="1" customWidth="1"/>
    <col min="10001" max="10001" width="7.5703125" style="70" customWidth="1"/>
    <col min="10002" max="10003" width="12.5703125" style="70" bestFit="1" customWidth="1"/>
    <col min="10004" max="10004" width="25.28515625" style="70" customWidth="1"/>
    <col min="10005" max="10005" width="21" style="70" customWidth="1"/>
    <col min="10006" max="10243" width="9.140625" style="70"/>
    <col min="10244" max="10244" width="4.7109375" style="70" customWidth="1"/>
    <col min="10245" max="10245" width="45.5703125" style="70" customWidth="1"/>
    <col min="10246" max="10246" width="15" style="70" customWidth="1"/>
    <col min="10247" max="10247" width="6.140625" style="70" customWidth="1"/>
    <col min="10248" max="10248" width="7.5703125" style="70" customWidth="1"/>
    <col min="10249" max="10249" width="11.42578125" style="70" customWidth="1"/>
    <col min="10250" max="10250" width="12.5703125" style="70" bestFit="1" customWidth="1"/>
    <col min="10251" max="10251" width="7.7109375" style="70" customWidth="1"/>
    <col min="10252" max="10252" width="11.28515625" style="70" customWidth="1"/>
    <col min="10253" max="10253" width="12.5703125" style="70" bestFit="1" customWidth="1"/>
    <col min="10254" max="10254" width="7.5703125" style="70" customWidth="1"/>
    <col min="10255" max="10256" width="12.5703125" style="70" bestFit="1" customWidth="1"/>
    <col min="10257" max="10257" width="7.5703125" style="70" customWidth="1"/>
    <col min="10258" max="10259" width="12.5703125" style="70" bestFit="1" customWidth="1"/>
    <col min="10260" max="10260" width="25.28515625" style="70" customWidth="1"/>
    <col min="10261" max="10261" width="21" style="70" customWidth="1"/>
    <col min="10262" max="10499" width="9.140625" style="70"/>
    <col min="10500" max="10500" width="4.7109375" style="70" customWidth="1"/>
    <col min="10501" max="10501" width="45.5703125" style="70" customWidth="1"/>
    <col min="10502" max="10502" width="15" style="70" customWidth="1"/>
    <col min="10503" max="10503" width="6.140625" style="70" customWidth="1"/>
    <col min="10504" max="10504" width="7.5703125" style="70" customWidth="1"/>
    <col min="10505" max="10505" width="11.42578125" style="70" customWidth="1"/>
    <col min="10506" max="10506" width="12.5703125" style="70" bestFit="1" customWidth="1"/>
    <col min="10507" max="10507" width="7.7109375" style="70" customWidth="1"/>
    <col min="10508" max="10508" width="11.28515625" style="70" customWidth="1"/>
    <col min="10509" max="10509" width="12.5703125" style="70" bestFit="1" customWidth="1"/>
    <col min="10510" max="10510" width="7.5703125" style="70" customWidth="1"/>
    <col min="10511" max="10512" width="12.5703125" style="70" bestFit="1" customWidth="1"/>
    <col min="10513" max="10513" width="7.5703125" style="70" customWidth="1"/>
    <col min="10514" max="10515" width="12.5703125" style="70" bestFit="1" customWidth="1"/>
    <col min="10516" max="10516" width="25.28515625" style="70" customWidth="1"/>
    <col min="10517" max="10517" width="21" style="70" customWidth="1"/>
    <col min="10518" max="10755" width="9.140625" style="70"/>
    <col min="10756" max="10756" width="4.7109375" style="70" customWidth="1"/>
    <col min="10757" max="10757" width="45.5703125" style="70" customWidth="1"/>
    <col min="10758" max="10758" width="15" style="70" customWidth="1"/>
    <col min="10759" max="10759" width="6.140625" style="70" customWidth="1"/>
    <col min="10760" max="10760" width="7.5703125" style="70" customWidth="1"/>
    <col min="10761" max="10761" width="11.42578125" style="70" customWidth="1"/>
    <col min="10762" max="10762" width="12.5703125" style="70" bestFit="1" customWidth="1"/>
    <col min="10763" max="10763" width="7.7109375" style="70" customWidth="1"/>
    <col min="10764" max="10764" width="11.28515625" style="70" customWidth="1"/>
    <col min="10765" max="10765" width="12.5703125" style="70" bestFit="1" customWidth="1"/>
    <col min="10766" max="10766" width="7.5703125" style="70" customWidth="1"/>
    <col min="10767" max="10768" width="12.5703125" style="70" bestFit="1" customWidth="1"/>
    <col min="10769" max="10769" width="7.5703125" style="70" customWidth="1"/>
    <col min="10770" max="10771" width="12.5703125" style="70" bestFit="1" customWidth="1"/>
    <col min="10772" max="10772" width="25.28515625" style="70" customWidth="1"/>
    <col min="10773" max="10773" width="21" style="70" customWidth="1"/>
    <col min="10774" max="11011" width="9.140625" style="70"/>
    <col min="11012" max="11012" width="4.7109375" style="70" customWidth="1"/>
    <col min="11013" max="11013" width="45.5703125" style="70" customWidth="1"/>
    <col min="11014" max="11014" width="15" style="70" customWidth="1"/>
    <col min="11015" max="11015" width="6.140625" style="70" customWidth="1"/>
    <col min="11016" max="11016" width="7.5703125" style="70" customWidth="1"/>
    <col min="11017" max="11017" width="11.42578125" style="70" customWidth="1"/>
    <col min="11018" max="11018" width="12.5703125" style="70" bestFit="1" customWidth="1"/>
    <col min="11019" max="11019" width="7.7109375" style="70" customWidth="1"/>
    <col min="11020" max="11020" width="11.28515625" style="70" customWidth="1"/>
    <col min="11021" max="11021" width="12.5703125" style="70" bestFit="1" customWidth="1"/>
    <col min="11022" max="11022" width="7.5703125" style="70" customWidth="1"/>
    <col min="11023" max="11024" width="12.5703125" style="70" bestFit="1" customWidth="1"/>
    <col min="11025" max="11025" width="7.5703125" style="70" customWidth="1"/>
    <col min="11026" max="11027" width="12.5703125" style="70" bestFit="1" customWidth="1"/>
    <col min="11028" max="11028" width="25.28515625" style="70" customWidth="1"/>
    <col min="11029" max="11029" width="21" style="70" customWidth="1"/>
    <col min="11030" max="11267" width="9.140625" style="70"/>
    <col min="11268" max="11268" width="4.7109375" style="70" customWidth="1"/>
    <col min="11269" max="11269" width="45.5703125" style="70" customWidth="1"/>
    <col min="11270" max="11270" width="15" style="70" customWidth="1"/>
    <col min="11271" max="11271" width="6.140625" style="70" customWidth="1"/>
    <col min="11272" max="11272" width="7.5703125" style="70" customWidth="1"/>
    <col min="11273" max="11273" width="11.42578125" style="70" customWidth="1"/>
    <col min="11274" max="11274" width="12.5703125" style="70" bestFit="1" customWidth="1"/>
    <col min="11275" max="11275" width="7.7109375" style="70" customWidth="1"/>
    <col min="11276" max="11276" width="11.28515625" style="70" customWidth="1"/>
    <col min="11277" max="11277" width="12.5703125" style="70" bestFit="1" customWidth="1"/>
    <col min="11278" max="11278" width="7.5703125" style="70" customWidth="1"/>
    <col min="11279" max="11280" width="12.5703125" style="70" bestFit="1" customWidth="1"/>
    <col min="11281" max="11281" width="7.5703125" style="70" customWidth="1"/>
    <col min="11282" max="11283" width="12.5703125" style="70" bestFit="1" customWidth="1"/>
    <col min="11284" max="11284" width="25.28515625" style="70" customWidth="1"/>
    <col min="11285" max="11285" width="21" style="70" customWidth="1"/>
    <col min="11286" max="11523" width="9.140625" style="70"/>
    <col min="11524" max="11524" width="4.7109375" style="70" customWidth="1"/>
    <col min="11525" max="11525" width="45.5703125" style="70" customWidth="1"/>
    <col min="11526" max="11526" width="15" style="70" customWidth="1"/>
    <col min="11527" max="11527" width="6.140625" style="70" customWidth="1"/>
    <col min="11528" max="11528" width="7.5703125" style="70" customWidth="1"/>
    <col min="11529" max="11529" width="11.42578125" style="70" customWidth="1"/>
    <col min="11530" max="11530" width="12.5703125" style="70" bestFit="1" customWidth="1"/>
    <col min="11531" max="11531" width="7.7109375" style="70" customWidth="1"/>
    <col min="11532" max="11532" width="11.28515625" style="70" customWidth="1"/>
    <col min="11533" max="11533" width="12.5703125" style="70" bestFit="1" customWidth="1"/>
    <col min="11534" max="11534" width="7.5703125" style="70" customWidth="1"/>
    <col min="11535" max="11536" width="12.5703125" style="70" bestFit="1" customWidth="1"/>
    <col min="11537" max="11537" width="7.5703125" style="70" customWidth="1"/>
    <col min="11538" max="11539" width="12.5703125" style="70" bestFit="1" customWidth="1"/>
    <col min="11540" max="11540" width="25.28515625" style="70" customWidth="1"/>
    <col min="11541" max="11541" width="21" style="70" customWidth="1"/>
    <col min="11542" max="11779" width="9.140625" style="70"/>
    <col min="11780" max="11780" width="4.7109375" style="70" customWidth="1"/>
    <col min="11781" max="11781" width="45.5703125" style="70" customWidth="1"/>
    <col min="11782" max="11782" width="15" style="70" customWidth="1"/>
    <col min="11783" max="11783" width="6.140625" style="70" customWidth="1"/>
    <col min="11784" max="11784" width="7.5703125" style="70" customWidth="1"/>
    <col min="11785" max="11785" width="11.42578125" style="70" customWidth="1"/>
    <col min="11786" max="11786" width="12.5703125" style="70" bestFit="1" customWidth="1"/>
    <col min="11787" max="11787" width="7.7109375" style="70" customWidth="1"/>
    <col min="11788" max="11788" width="11.28515625" style="70" customWidth="1"/>
    <col min="11789" max="11789" width="12.5703125" style="70" bestFit="1" customWidth="1"/>
    <col min="11790" max="11790" width="7.5703125" style="70" customWidth="1"/>
    <col min="11791" max="11792" width="12.5703125" style="70" bestFit="1" customWidth="1"/>
    <col min="11793" max="11793" width="7.5703125" style="70" customWidth="1"/>
    <col min="11794" max="11795" width="12.5703125" style="70" bestFit="1" customWidth="1"/>
    <col min="11796" max="11796" width="25.28515625" style="70" customWidth="1"/>
    <col min="11797" max="11797" width="21" style="70" customWidth="1"/>
    <col min="11798" max="12035" width="9.140625" style="70"/>
    <col min="12036" max="12036" width="4.7109375" style="70" customWidth="1"/>
    <col min="12037" max="12037" width="45.5703125" style="70" customWidth="1"/>
    <col min="12038" max="12038" width="15" style="70" customWidth="1"/>
    <col min="12039" max="12039" width="6.140625" style="70" customWidth="1"/>
    <col min="12040" max="12040" width="7.5703125" style="70" customWidth="1"/>
    <col min="12041" max="12041" width="11.42578125" style="70" customWidth="1"/>
    <col min="12042" max="12042" width="12.5703125" style="70" bestFit="1" customWidth="1"/>
    <col min="12043" max="12043" width="7.7109375" style="70" customWidth="1"/>
    <col min="12044" max="12044" width="11.28515625" style="70" customWidth="1"/>
    <col min="12045" max="12045" width="12.5703125" style="70" bestFit="1" customWidth="1"/>
    <col min="12046" max="12046" width="7.5703125" style="70" customWidth="1"/>
    <col min="12047" max="12048" width="12.5703125" style="70" bestFit="1" customWidth="1"/>
    <col min="12049" max="12049" width="7.5703125" style="70" customWidth="1"/>
    <col min="12050" max="12051" width="12.5703125" style="70" bestFit="1" customWidth="1"/>
    <col min="12052" max="12052" width="25.28515625" style="70" customWidth="1"/>
    <col min="12053" max="12053" width="21" style="70" customWidth="1"/>
    <col min="12054" max="12291" width="9.140625" style="70"/>
    <col min="12292" max="12292" width="4.7109375" style="70" customWidth="1"/>
    <col min="12293" max="12293" width="45.5703125" style="70" customWidth="1"/>
    <col min="12294" max="12294" width="15" style="70" customWidth="1"/>
    <col min="12295" max="12295" width="6.140625" style="70" customWidth="1"/>
    <col min="12296" max="12296" width="7.5703125" style="70" customWidth="1"/>
    <col min="12297" max="12297" width="11.42578125" style="70" customWidth="1"/>
    <col min="12298" max="12298" width="12.5703125" style="70" bestFit="1" customWidth="1"/>
    <col min="12299" max="12299" width="7.7109375" style="70" customWidth="1"/>
    <col min="12300" max="12300" width="11.28515625" style="70" customWidth="1"/>
    <col min="12301" max="12301" width="12.5703125" style="70" bestFit="1" customWidth="1"/>
    <col min="12302" max="12302" width="7.5703125" style="70" customWidth="1"/>
    <col min="12303" max="12304" width="12.5703125" style="70" bestFit="1" customWidth="1"/>
    <col min="12305" max="12305" width="7.5703125" style="70" customWidth="1"/>
    <col min="12306" max="12307" width="12.5703125" style="70" bestFit="1" customWidth="1"/>
    <col min="12308" max="12308" width="25.28515625" style="70" customWidth="1"/>
    <col min="12309" max="12309" width="21" style="70" customWidth="1"/>
    <col min="12310" max="12547" width="9.140625" style="70"/>
    <col min="12548" max="12548" width="4.7109375" style="70" customWidth="1"/>
    <col min="12549" max="12549" width="45.5703125" style="70" customWidth="1"/>
    <col min="12550" max="12550" width="15" style="70" customWidth="1"/>
    <col min="12551" max="12551" width="6.140625" style="70" customWidth="1"/>
    <col min="12552" max="12552" width="7.5703125" style="70" customWidth="1"/>
    <col min="12553" max="12553" width="11.42578125" style="70" customWidth="1"/>
    <col min="12554" max="12554" width="12.5703125" style="70" bestFit="1" customWidth="1"/>
    <col min="12555" max="12555" width="7.7109375" style="70" customWidth="1"/>
    <col min="12556" max="12556" width="11.28515625" style="70" customWidth="1"/>
    <col min="12557" max="12557" width="12.5703125" style="70" bestFit="1" customWidth="1"/>
    <col min="12558" max="12558" width="7.5703125" style="70" customWidth="1"/>
    <col min="12559" max="12560" width="12.5703125" style="70" bestFit="1" customWidth="1"/>
    <col min="12561" max="12561" width="7.5703125" style="70" customWidth="1"/>
    <col min="12562" max="12563" width="12.5703125" style="70" bestFit="1" customWidth="1"/>
    <col min="12564" max="12564" width="25.28515625" style="70" customWidth="1"/>
    <col min="12565" max="12565" width="21" style="70" customWidth="1"/>
    <col min="12566" max="12803" width="9.140625" style="70"/>
    <col min="12804" max="12804" width="4.7109375" style="70" customWidth="1"/>
    <col min="12805" max="12805" width="45.5703125" style="70" customWidth="1"/>
    <col min="12806" max="12806" width="15" style="70" customWidth="1"/>
    <col min="12807" max="12807" width="6.140625" style="70" customWidth="1"/>
    <col min="12808" max="12808" width="7.5703125" style="70" customWidth="1"/>
    <col min="12809" max="12809" width="11.42578125" style="70" customWidth="1"/>
    <col min="12810" max="12810" width="12.5703125" style="70" bestFit="1" customWidth="1"/>
    <col min="12811" max="12811" width="7.7109375" style="70" customWidth="1"/>
    <col min="12812" max="12812" width="11.28515625" style="70" customWidth="1"/>
    <col min="12813" max="12813" width="12.5703125" style="70" bestFit="1" customWidth="1"/>
    <col min="12814" max="12814" width="7.5703125" style="70" customWidth="1"/>
    <col min="12815" max="12816" width="12.5703125" style="70" bestFit="1" customWidth="1"/>
    <col min="12817" max="12817" width="7.5703125" style="70" customWidth="1"/>
    <col min="12818" max="12819" width="12.5703125" style="70" bestFit="1" customWidth="1"/>
    <col min="12820" max="12820" width="25.28515625" style="70" customWidth="1"/>
    <col min="12821" max="12821" width="21" style="70" customWidth="1"/>
    <col min="12822" max="13059" width="9.140625" style="70"/>
    <col min="13060" max="13060" width="4.7109375" style="70" customWidth="1"/>
    <col min="13061" max="13061" width="45.5703125" style="70" customWidth="1"/>
    <col min="13062" max="13062" width="15" style="70" customWidth="1"/>
    <col min="13063" max="13063" width="6.140625" style="70" customWidth="1"/>
    <col min="13064" max="13064" width="7.5703125" style="70" customWidth="1"/>
    <col min="13065" max="13065" width="11.42578125" style="70" customWidth="1"/>
    <col min="13066" max="13066" width="12.5703125" style="70" bestFit="1" customWidth="1"/>
    <col min="13067" max="13067" width="7.7109375" style="70" customWidth="1"/>
    <col min="13068" max="13068" width="11.28515625" style="70" customWidth="1"/>
    <col min="13069" max="13069" width="12.5703125" style="70" bestFit="1" customWidth="1"/>
    <col min="13070" max="13070" width="7.5703125" style="70" customWidth="1"/>
    <col min="13071" max="13072" width="12.5703125" style="70" bestFit="1" customWidth="1"/>
    <col min="13073" max="13073" width="7.5703125" style="70" customWidth="1"/>
    <col min="13074" max="13075" width="12.5703125" style="70" bestFit="1" customWidth="1"/>
    <col min="13076" max="13076" width="25.28515625" style="70" customWidth="1"/>
    <col min="13077" max="13077" width="21" style="70" customWidth="1"/>
    <col min="13078" max="13315" width="9.140625" style="70"/>
    <col min="13316" max="13316" width="4.7109375" style="70" customWidth="1"/>
    <col min="13317" max="13317" width="45.5703125" style="70" customWidth="1"/>
    <col min="13318" max="13318" width="15" style="70" customWidth="1"/>
    <col min="13319" max="13319" width="6.140625" style="70" customWidth="1"/>
    <col min="13320" max="13320" width="7.5703125" style="70" customWidth="1"/>
    <col min="13321" max="13321" width="11.42578125" style="70" customWidth="1"/>
    <col min="13322" max="13322" width="12.5703125" style="70" bestFit="1" customWidth="1"/>
    <col min="13323" max="13323" width="7.7109375" style="70" customWidth="1"/>
    <col min="13324" max="13324" width="11.28515625" style="70" customWidth="1"/>
    <col min="13325" max="13325" width="12.5703125" style="70" bestFit="1" customWidth="1"/>
    <col min="13326" max="13326" width="7.5703125" style="70" customWidth="1"/>
    <col min="13327" max="13328" width="12.5703125" style="70" bestFit="1" customWidth="1"/>
    <col min="13329" max="13329" width="7.5703125" style="70" customWidth="1"/>
    <col min="13330" max="13331" width="12.5703125" style="70" bestFit="1" customWidth="1"/>
    <col min="13332" max="13332" width="25.28515625" style="70" customWidth="1"/>
    <col min="13333" max="13333" width="21" style="70" customWidth="1"/>
    <col min="13334" max="13571" width="9.140625" style="70"/>
    <col min="13572" max="13572" width="4.7109375" style="70" customWidth="1"/>
    <col min="13573" max="13573" width="45.5703125" style="70" customWidth="1"/>
    <col min="13574" max="13574" width="15" style="70" customWidth="1"/>
    <col min="13575" max="13575" width="6.140625" style="70" customWidth="1"/>
    <col min="13576" max="13576" width="7.5703125" style="70" customWidth="1"/>
    <col min="13577" max="13577" width="11.42578125" style="70" customWidth="1"/>
    <col min="13578" max="13578" width="12.5703125" style="70" bestFit="1" customWidth="1"/>
    <col min="13579" max="13579" width="7.7109375" style="70" customWidth="1"/>
    <col min="13580" max="13580" width="11.28515625" style="70" customWidth="1"/>
    <col min="13581" max="13581" width="12.5703125" style="70" bestFit="1" customWidth="1"/>
    <col min="13582" max="13582" width="7.5703125" style="70" customWidth="1"/>
    <col min="13583" max="13584" width="12.5703125" style="70" bestFit="1" customWidth="1"/>
    <col min="13585" max="13585" width="7.5703125" style="70" customWidth="1"/>
    <col min="13586" max="13587" width="12.5703125" style="70" bestFit="1" customWidth="1"/>
    <col min="13588" max="13588" width="25.28515625" style="70" customWidth="1"/>
    <col min="13589" max="13589" width="21" style="70" customWidth="1"/>
    <col min="13590" max="13827" width="9.140625" style="70"/>
    <col min="13828" max="13828" width="4.7109375" style="70" customWidth="1"/>
    <col min="13829" max="13829" width="45.5703125" style="70" customWidth="1"/>
    <col min="13830" max="13830" width="15" style="70" customWidth="1"/>
    <col min="13831" max="13831" width="6.140625" style="70" customWidth="1"/>
    <col min="13832" max="13832" width="7.5703125" style="70" customWidth="1"/>
    <col min="13833" max="13833" width="11.42578125" style="70" customWidth="1"/>
    <col min="13834" max="13834" width="12.5703125" style="70" bestFit="1" customWidth="1"/>
    <col min="13835" max="13835" width="7.7109375" style="70" customWidth="1"/>
    <col min="13836" max="13836" width="11.28515625" style="70" customWidth="1"/>
    <col min="13837" max="13837" width="12.5703125" style="70" bestFit="1" customWidth="1"/>
    <col min="13838" max="13838" width="7.5703125" style="70" customWidth="1"/>
    <col min="13839" max="13840" width="12.5703125" style="70" bestFit="1" customWidth="1"/>
    <col min="13841" max="13841" width="7.5703125" style="70" customWidth="1"/>
    <col min="13842" max="13843" width="12.5703125" style="70" bestFit="1" customWidth="1"/>
    <col min="13844" max="13844" width="25.28515625" style="70" customWidth="1"/>
    <col min="13845" max="13845" width="21" style="70" customWidth="1"/>
    <col min="13846" max="14083" width="9.140625" style="70"/>
    <col min="14084" max="14084" width="4.7109375" style="70" customWidth="1"/>
    <col min="14085" max="14085" width="45.5703125" style="70" customWidth="1"/>
    <col min="14086" max="14086" width="15" style="70" customWidth="1"/>
    <col min="14087" max="14087" width="6.140625" style="70" customWidth="1"/>
    <col min="14088" max="14088" width="7.5703125" style="70" customWidth="1"/>
    <col min="14089" max="14089" width="11.42578125" style="70" customWidth="1"/>
    <col min="14090" max="14090" width="12.5703125" style="70" bestFit="1" customWidth="1"/>
    <col min="14091" max="14091" width="7.7109375" style="70" customWidth="1"/>
    <col min="14092" max="14092" width="11.28515625" style="70" customWidth="1"/>
    <col min="14093" max="14093" width="12.5703125" style="70" bestFit="1" customWidth="1"/>
    <col min="14094" max="14094" width="7.5703125" style="70" customWidth="1"/>
    <col min="14095" max="14096" width="12.5703125" style="70" bestFit="1" customWidth="1"/>
    <col min="14097" max="14097" width="7.5703125" style="70" customWidth="1"/>
    <col min="14098" max="14099" width="12.5703125" style="70" bestFit="1" customWidth="1"/>
    <col min="14100" max="14100" width="25.28515625" style="70" customWidth="1"/>
    <col min="14101" max="14101" width="21" style="70" customWidth="1"/>
    <col min="14102" max="14339" width="9.140625" style="70"/>
    <col min="14340" max="14340" width="4.7109375" style="70" customWidth="1"/>
    <col min="14341" max="14341" width="45.5703125" style="70" customWidth="1"/>
    <col min="14342" max="14342" width="15" style="70" customWidth="1"/>
    <col min="14343" max="14343" width="6.140625" style="70" customWidth="1"/>
    <col min="14344" max="14344" width="7.5703125" style="70" customWidth="1"/>
    <col min="14345" max="14345" width="11.42578125" style="70" customWidth="1"/>
    <col min="14346" max="14346" width="12.5703125" style="70" bestFit="1" customWidth="1"/>
    <col min="14347" max="14347" width="7.7109375" style="70" customWidth="1"/>
    <col min="14348" max="14348" width="11.28515625" style="70" customWidth="1"/>
    <col min="14349" max="14349" width="12.5703125" style="70" bestFit="1" customWidth="1"/>
    <col min="14350" max="14350" width="7.5703125" style="70" customWidth="1"/>
    <col min="14351" max="14352" width="12.5703125" style="70" bestFit="1" customWidth="1"/>
    <col min="14353" max="14353" width="7.5703125" style="70" customWidth="1"/>
    <col min="14354" max="14355" width="12.5703125" style="70" bestFit="1" customWidth="1"/>
    <col min="14356" max="14356" width="25.28515625" style="70" customWidth="1"/>
    <col min="14357" max="14357" width="21" style="70" customWidth="1"/>
    <col min="14358" max="14595" width="9.140625" style="70"/>
    <col min="14596" max="14596" width="4.7109375" style="70" customWidth="1"/>
    <col min="14597" max="14597" width="45.5703125" style="70" customWidth="1"/>
    <col min="14598" max="14598" width="15" style="70" customWidth="1"/>
    <col min="14599" max="14599" width="6.140625" style="70" customWidth="1"/>
    <col min="14600" max="14600" width="7.5703125" style="70" customWidth="1"/>
    <col min="14601" max="14601" width="11.42578125" style="70" customWidth="1"/>
    <col min="14602" max="14602" width="12.5703125" style="70" bestFit="1" customWidth="1"/>
    <col min="14603" max="14603" width="7.7109375" style="70" customWidth="1"/>
    <col min="14604" max="14604" width="11.28515625" style="70" customWidth="1"/>
    <col min="14605" max="14605" width="12.5703125" style="70" bestFit="1" customWidth="1"/>
    <col min="14606" max="14606" width="7.5703125" style="70" customWidth="1"/>
    <col min="14607" max="14608" width="12.5703125" style="70" bestFit="1" customWidth="1"/>
    <col min="14609" max="14609" width="7.5703125" style="70" customWidth="1"/>
    <col min="14610" max="14611" width="12.5703125" style="70" bestFit="1" customWidth="1"/>
    <col min="14612" max="14612" width="25.28515625" style="70" customWidth="1"/>
    <col min="14613" max="14613" width="21" style="70" customWidth="1"/>
    <col min="14614" max="14851" width="9.140625" style="70"/>
    <col min="14852" max="14852" width="4.7109375" style="70" customWidth="1"/>
    <col min="14853" max="14853" width="45.5703125" style="70" customWidth="1"/>
    <col min="14854" max="14854" width="15" style="70" customWidth="1"/>
    <col min="14855" max="14855" width="6.140625" style="70" customWidth="1"/>
    <col min="14856" max="14856" width="7.5703125" style="70" customWidth="1"/>
    <col min="14857" max="14857" width="11.42578125" style="70" customWidth="1"/>
    <col min="14858" max="14858" width="12.5703125" style="70" bestFit="1" customWidth="1"/>
    <col min="14859" max="14859" width="7.7109375" style="70" customWidth="1"/>
    <col min="14860" max="14860" width="11.28515625" style="70" customWidth="1"/>
    <col min="14861" max="14861" width="12.5703125" style="70" bestFit="1" customWidth="1"/>
    <col min="14862" max="14862" width="7.5703125" style="70" customWidth="1"/>
    <col min="14863" max="14864" width="12.5703125" style="70" bestFit="1" customWidth="1"/>
    <col min="14865" max="14865" width="7.5703125" style="70" customWidth="1"/>
    <col min="14866" max="14867" width="12.5703125" style="70" bestFit="1" customWidth="1"/>
    <col min="14868" max="14868" width="25.28515625" style="70" customWidth="1"/>
    <col min="14869" max="14869" width="21" style="70" customWidth="1"/>
    <col min="14870" max="15107" width="9.140625" style="70"/>
    <col min="15108" max="15108" width="4.7109375" style="70" customWidth="1"/>
    <col min="15109" max="15109" width="45.5703125" style="70" customWidth="1"/>
    <col min="15110" max="15110" width="15" style="70" customWidth="1"/>
    <col min="15111" max="15111" width="6.140625" style="70" customWidth="1"/>
    <col min="15112" max="15112" width="7.5703125" style="70" customWidth="1"/>
    <col min="15113" max="15113" width="11.42578125" style="70" customWidth="1"/>
    <col min="15114" max="15114" width="12.5703125" style="70" bestFit="1" customWidth="1"/>
    <col min="15115" max="15115" width="7.7109375" style="70" customWidth="1"/>
    <col min="15116" max="15116" width="11.28515625" style="70" customWidth="1"/>
    <col min="15117" max="15117" width="12.5703125" style="70" bestFit="1" customWidth="1"/>
    <col min="15118" max="15118" width="7.5703125" style="70" customWidth="1"/>
    <col min="15119" max="15120" width="12.5703125" style="70" bestFit="1" customWidth="1"/>
    <col min="15121" max="15121" width="7.5703125" style="70" customWidth="1"/>
    <col min="15122" max="15123" width="12.5703125" style="70" bestFit="1" customWidth="1"/>
    <col min="15124" max="15124" width="25.28515625" style="70" customWidth="1"/>
    <col min="15125" max="15125" width="21" style="70" customWidth="1"/>
    <col min="15126" max="15363" width="9.140625" style="70"/>
    <col min="15364" max="15364" width="4.7109375" style="70" customWidth="1"/>
    <col min="15365" max="15365" width="45.5703125" style="70" customWidth="1"/>
    <col min="15366" max="15366" width="15" style="70" customWidth="1"/>
    <col min="15367" max="15367" width="6.140625" style="70" customWidth="1"/>
    <col min="15368" max="15368" width="7.5703125" style="70" customWidth="1"/>
    <col min="15369" max="15369" width="11.42578125" style="70" customWidth="1"/>
    <col min="15370" max="15370" width="12.5703125" style="70" bestFit="1" customWidth="1"/>
    <col min="15371" max="15371" width="7.7109375" style="70" customWidth="1"/>
    <col min="15372" max="15372" width="11.28515625" style="70" customWidth="1"/>
    <col min="15373" max="15373" width="12.5703125" style="70" bestFit="1" customWidth="1"/>
    <col min="15374" max="15374" width="7.5703125" style="70" customWidth="1"/>
    <col min="15375" max="15376" width="12.5703125" style="70" bestFit="1" customWidth="1"/>
    <col min="15377" max="15377" width="7.5703125" style="70" customWidth="1"/>
    <col min="15378" max="15379" width="12.5703125" style="70" bestFit="1" customWidth="1"/>
    <col min="15380" max="15380" width="25.28515625" style="70" customWidth="1"/>
    <col min="15381" max="15381" width="21" style="70" customWidth="1"/>
    <col min="15382" max="15619" width="9.140625" style="70"/>
    <col min="15620" max="15620" width="4.7109375" style="70" customWidth="1"/>
    <col min="15621" max="15621" width="45.5703125" style="70" customWidth="1"/>
    <col min="15622" max="15622" width="15" style="70" customWidth="1"/>
    <col min="15623" max="15623" width="6.140625" style="70" customWidth="1"/>
    <col min="15624" max="15624" width="7.5703125" style="70" customWidth="1"/>
    <col min="15625" max="15625" width="11.42578125" style="70" customWidth="1"/>
    <col min="15626" max="15626" width="12.5703125" style="70" bestFit="1" customWidth="1"/>
    <col min="15627" max="15627" width="7.7109375" style="70" customWidth="1"/>
    <col min="15628" max="15628" width="11.28515625" style="70" customWidth="1"/>
    <col min="15629" max="15629" width="12.5703125" style="70" bestFit="1" customWidth="1"/>
    <col min="15630" max="15630" width="7.5703125" style="70" customWidth="1"/>
    <col min="15631" max="15632" width="12.5703125" style="70" bestFit="1" customWidth="1"/>
    <col min="15633" max="15633" width="7.5703125" style="70" customWidth="1"/>
    <col min="15634" max="15635" width="12.5703125" style="70" bestFit="1" customWidth="1"/>
    <col min="15636" max="15636" width="25.28515625" style="70" customWidth="1"/>
    <col min="15637" max="15637" width="21" style="70" customWidth="1"/>
    <col min="15638" max="15875" width="9.140625" style="70"/>
    <col min="15876" max="15876" width="4.7109375" style="70" customWidth="1"/>
    <col min="15877" max="15877" width="45.5703125" style="70" customWidth="1"/>
    <col min="15878" max="15878" width="15" style="70" customWidth="1"/>
    <col min="15879" max="15879" width="6.140625" style="70" customWidth="1"/>
    <col min="15880" max="15880" width="7.5703125" style="70" customWidth="1"/>
    <col min="15881" max="15881" width="11.42578125" style="70" customWidth="1"/>
    <col min="15882" max="15882" width="12.5703125" style="70" bestFit="1" customWidth="1"/>
    <col min="15883" max="15883" width="7.7109375" style="70" customWidth="1"/>
    <col min="15884" max="15884" width="11.28515625" style="70" customWidth="1"/>
    <col min="15885" max="15885" width="12.5703125" style="70" bestFit="1" customWidth="1"/>
    <col min="15886" max="15886" width="7.5703125" style="70" customWidth="1"/>
    <col min="15887" max="15888" width="12.5703125" style="70" bestFit="1" customWidth="1"/>
    <col min="15889" max="15889" width="7.5703125" style="70" customWidth="1"/>
    <col min="15890" max="15891" width="12.5703125" style="70" bestFit="1" customWidth="1"/>
    <col min="15892" max="15892" width="25.28515625" style="70" customWidth="1"/>
    <col min="15893" max="15893" width="21" style="70" customWidth="1"/>
    <col min="15894" max="16131" width="9.140625" style="70"/>
    <col min="16132" max="16132" width="4.7109375" style="70" customWidth="1"/>
    <col min="16133" max="16133" width="45.5703125" style="70" customWidth="1"/>
    <col min="16134" max="16134" width="15" style="70" customWidth="1"/>
    <col min="16135" max="16135" width="6.140625" style="70" customWidth="1"/>
    <col min="16136" max="16136" width="7.5703125" style="70" customWidth="1"/>
    <col min="16137" max="16137" width="11.42578125" style="70" customWidth="1"/>
    <col min="16138" max="16138" width="12.5703125" style="70" bestFit="1" customWidth="1"/>
    <col min="16139" max="16139" width="7.7109375" style="70" customWidth="1"/>
    <col min="16140" max="16140" width="11.28515625" style="70" customWidth="1"/>
    <col min="16141" max="16141" width="12.5703125" style="70" bestFit="1" customWidth="1"/>
    <col min="16142" max="16142" width="7.5703125" style="70" customWidth="1"/>
    <col min="16143" max="16144" width="12.5703125" style="70" bestFit="1" customWidth="1"/>
    <col min="16145" max="16145" width="7.5703125" style="70" customWidth="1"/>
    <col min="16146" max="16147" width="12.5703125" style="70" bestFit="1" customWidth="1"/>
    <col min="16148" max="16148" width="25.28515625" style="70" customWidth="1"/>
    <col min="16149" max="16149" width="21" style="70" customWidth="1"/>
    <col min="16150" max="16384" width="9.140625" style="70"/>
  </cols>
  <sheetData>
    <row r="1" spans="1:23" ht="18">
      <c r="B1" s="597"/>
      <c r="C1" s="597"/>
      <c r="D1" s="597"/>
      <c r="E1" s="3115" t="s">
        <v>2440</v>
      </c>
      <c r="F1" s="3115"/>
      <c r="G1" s="3115"/>
      <c r="H1" s="3115"/>
      <c r="I1" s="3115"/>
      <c r="J1" s="3115"/>
      <c r="K1" s="597"/>
      <c r="L1" s="597"/>
      <c r="M1" s="597"/>
      <c r="N1" s="597"/>
      <c r="O1" s="597"/>
      <c r="P1" s="597"/>
      <c r="Q1" s="597"/>
      <c r="R1" s="597"/>
      <c r="S1" s="597"/>
    </row>
    <row r="2" spans="1:23" ht="12" customHeight="1">
      <c r="A2" s="1960"/>
      <c r="B2" s="1961"/>
      <c r="C2" s="109"/>
      <c r="D2" s="1995"/>
      <c r="E2" s="1960"/>
      <c r="F2" s="108"/>
      <c r="G2" s="108"/>
      <c r="H2" s="1960"/>
      <c r="I2" s="108"/>
      <c r="J2" s="108"/>
      <c r="K2" s="1960"/>
      <c r="L2" s="108"/>
      <c r="M2" s="108"/>
      <c r="N2" s="1960"/>
      <c r="O2" s="108"/>
      <c r="P2" s="108"/>
      <c r="Q2" s="108"/>
      <c r="R2" s="108"/>
      <c r="S2" s="108"/>
    </row>
    <row r="3" spans="1:23" ht="22.5" customHeight="1">
      <c r="B3" s="3334" t="s">
        <v>2441</v>
      </c>
      <c r="C3" s="3334"/>
      <c r="D3" s="3334"/>
      <c r="E3" s="3334"/>
      <c r="F3" s="3334"/>
      <c r="G3" s="3334"/>
      <c r="H3" s="3334"/>
      <c r="I3" s="3334"/>
      <c r="J3" s="3334"/>
      <c r="K3" s="3334"/>
      <c r="L3" s="3334"/>
      <c r="M3" s="3334"/>
      <c r="N3" s="600"/>
      <c r="O3" s="600"/>
      <c r="P3" s="600"/>
      <c r="Q3" s="600"/>
      <c r="R3" s="600"/>
      <c r="S3" s="600"/>
    </row>
    <row r="4" spans="1:23" ht="15.75">
      <c r="A4" s="1905"/>
      <c r="B4" s="1963"/>
      <c r="C4" s="2000"/>
      <c r="D4" s="2016"/>
      <c r="E4" s="1905"/>
      <c r="F4" s="627"/>
      <c r="G4" s="627"/>
      <c r="H4" s="1905"/>
      <c r="I4" s="627"/>
      <c r="J4" s="627"/>
      <c r="K4" s="1905"/>
      <c r="L4" s="627"/>
      <c r="M4" s="627"/>
      <c r="N4" s="1905"/>
      <c r="O4" s="627"/>
      <c r="P4" s="1923" t="s">
        <v>89</v>
      </c>
      <c r="Q4" s="1903"/>
      <c r="R4" s="1903"/>
      <c r="S4" s="1903"/>
    </row>
    <row r="5" spans="1:23" ht="15.75">
      <c r="A5" s="3124" t="s">
        <v>2</v>
      </c>
      <c r="B5" s="3124" t="s">
        <v>3</v>
      </c>
      <c r="C5" s="3028" t="s">
        <v>4</v>
      </c>
      <c r="D5" s="3363" t="s">
        <v>5</v>
      </c>
      <c r="E5" s="3336" t="s">
        <v>1664</v>
      </c>
      <c r="F5" s="3336"/>
      <c r="G5" s="3336"/>
      <c r="H5" s="3336" t="s">
        <v>1665</v>
      </c>
      <c r="I5" s="3336"/>
      <c r="J5" s="3336"/>
      <c r="K5" s="3336" t="s">
        <v>1666</v>
      </c>
      <c r="L5" s="3336"/>
      <c r="M5" s="3336"/>
      <c r="N5" s="3336" t="s">
        <v>1667</v>
      </c>
      <c r="O5" s="3336"/>
      <c r="P5" s="3336"/>
      <c r="Q5" s="3336" t="s">
        <v>1691</v>
      </c>
      <c r="R5" s="3336"/>
      <c r="S5" s="3336"/>
    </row>
    <row r="6" spans="1:23" ht="15.75">
      <c r="A6" s="3124"/>
      <c r="B6" s="3124"/>
      <c r="C6" s="3028"/>
      <c r="D6" s="3364"/>
      <c r="E6" s="1902" t="s">
        <v>143</v>
      </c>
      <c r="F6" s="1902" t="s">
        <v>9</v>
      </c>
      <c r="G6" s="1902" t="s">
        <v>1668</v>
      </c>
      <c r="H6" s="1902" t="s">
        <v>143</v>
      </c>
      <c r="I6" s="1902" t="s">
        <v>9</v>
      </c>
      <c r="J6" s="1902" t="s">
        <v>1668</v>
      </c>
      <c r="K6" s="1902" t="s">
        <v>143</v>
      </c>
      <c r="L6" s="1902" t="s">
        <v>9</v>
      </c>
      <c r="M6" s="1902" t="s">
        <v>1668</v>
      </c>
      <c r="N6" s="1902" t="s">
        <v>143</v>
      </c>
      <c r="O6" s="1902" t="s">
        <v>9</v>
      </c>
      <c r="P6" s="1902" t="s">
        <v>1668</v>
      </c>
      <c r="Q6" s="1902" t="s">
        <v>143</v>
      </c>
      <c r="R6" s="1902" t="s">
        <v>9</v>
      </c>
      <c r="S6" s="1902" t="s">
        <v>1668</v>
      </c>
    </row>
    <row r="7" spans="1:23" ht="15.75">
      <c r="A7" s="602">
        <v>1</v>
      </c>
      <c r="B7" s="1967">
        <v>2</v>
      </c>
      <c r="C7" s="602">
        <v>3</v>
      </c>
      <c r="D7" s="1967">
        <v>4</v>
      </c>
      <c r="E7" s="602">
        <v>5</v>
      </c>
      <c r="F7" s="1967">
        <v>6</v>
      </c>
      <c r="G7" s="602">
        <v>7</v>
      </c>
      <c r="H7" s="1967">
        <v>8</v>
      </c>
      <c r="I7" s="602">
        <v>9</v>
      </c>
      <c r="J7" s="1967">
        <v>10</v>
      </c>
      <c r="K7" s="602">
        <v>11</v>
      </c>
      <c r="L7" s="1967">
        <v>12</v>
      </c>
      <c r="M7" s="602">
        <v>13</v>
      </c>
      <c r="N7" s="1967">
        <v>14</v>
      </c>
      <c r="O7" s="602">
        <v>15</v>
      </c>
      <c r="P7" s="1967">
        <v>16</v>
      </c>
      <c r="Q7" s="602">
        <v>17</v>
      </c>
      <c r="R7" s="1902">
        <v>18</v>
      </c>
      <c r="S7" s="1902">
        <v>19</v>
      </c>
    </row>
    <row r="8" spans="1:23" ht="18.75" customHeight="1">
      <c r="A8" s="3337">
        <v>1</v>
      </c>
      <c r="B8" s="1840" t="s">
        <v>2425</v>
      </c>
      <c r="C8" s="1828"/>
      <c r="D8" s="1829"/>
      <c r="E8" s="1829"/>
      <c r="F8" s="1829"/>
      <c r="G8" s="1829"/>
      <c r="H8" s="1829"/>
      <c r="I8" s="1829"/>
      <c r="J8" s="1829"/>
      <c r="K8" s="1829"/>
      <c r="L8" s="1829"/>
      <c r="M8" s="1829"/>
      <c r="N8" s="1829"/>
      <c r="O8" s="1829"/>
      <c r="P8" s="1830"/>
      <c r="Q8" s="1829"/>
      <c r="R8" s="1829"/>
      <c r="S8" s="1830"/>
    </row>
    <row r="9" spans="1:23" ht="21" customHeight="1">
      <c r="A9" s="3338"/>
      <c r="B9" s="1840" t="s">
        <v>2388</v>
      </c>
      <c r="C9" s="1855">
        <v>7132210018</v>
      </c>
      <c r="D9" s="1080" t="s">
        <v>33</v>
      </c>
      <c r="E9" s="1080">
        <v>1</v>
      </c>
      <c r="F9" s="1081">
        <f>VLOOKUP(C9,'[25]SOR RATE'!A:D,4,0)</f>
        <v>62449.99</v>
      </c>
      <c r="G9" s="1081">
        <f>F9*E9</f>
        <v>62449.99</v>
      </c>
      <c r="H9" s="1080"/>
      <c r="I9" s="1081"/>
      <c r="J9" s="1081"/>
      <c r="K9" s="1080"/>
      <c r="L9" s="1081"/>
      <c r="M9" s="1081"/>
      <c r="N9" s="1080"/>
      <c r="O9" s="1081"/>
      <c r="P9" s="1081"/>
      <c r="Q9" s="1081"/>
      <c r="R9" s="1081"/>
      <c r="S9" s="1081"/>
      <c r="T9" s="2017"/>
    </row>
    <row r="10" spans="1:23" ht="21" customHeight="1">
      <c r="A10" s="3338"/>
      <c r="B10" s="1840" t="s">
        <v>2389</v>
      </c>
      <c r="C10" s="1855">
        <v>7132210019</v>
      </c>
      <c r="D10" s="1080" t="s">
        <v>33</v>
      </c>
      <c r="E10" s="1080"/>
      <c r="F10" s="1081"/>
      <c r="G10" s="1081"/>
      <c r="H10" s="1080">
        <v>1</v>
      </c>
      <c r="I10" s="1081">
        <f>VLOOKUP(C10,'[25]SOR RATE'!A:D,4,0)</f>
        <v>120435.39</v>
      </c>
      <c r="J10" s="1081">
        <f>I10*H10</f>
        <v>120435.39</v>
      </c>
      <c r="K10" s="1080"/>
      <c r="L10" s="1081"/>
      <c r="M10" s="1081"/>
      <c r="N10" s="1080"/>
      <c r="O10" s="1081"/>
      <c r="P10" s="1081"/>
      <c r="Q10" s="1081"/>
      <c r="R10" s="1081"/>
      <c r="S10" s="1081"/>
      <c r="T10" s="2017"/>
      <c r="U10" s="364"/>
      <c r="V10" s="364"/>
      <c r="W10" s="364"/>
    </row>
    <row r="11" spans="1:23" ht="21" customHeight="1">
      <c r="A11" s="3338"/>
      <c r="B11" s="1840" t="s">
        <v>2351</v>
      </c>
      <c r="C11" s="1855">
        <v>7132210020</v>
      </c>
      <c r="D11" s="1080" t="s">
        <v>33</v>
      </c>
      <c r="E11" s="1080"/>
      <c r="F11" s="1081"/>
      <c r="G11" s="1081"/>
      <c r="H11" s="1080"/>
      <c r="I11" s="1081"/>
      <c r="J11" s="1081"/>
      <c r="K11" s="1080">
        <v>1</v>
      </c>
      <c r="L11" s="1081">
        <f>VLOOKUP(C11,'[25]SOR RATE'!A:D,4,0)</f>
        <v>158302.13</v>
      </c>
      <c r="M11" s="1081">
        <f>L11*K11</f>
        <v>158302.13</v>
      </c>
      <c r="N11" s="1080"/>
      <c r="O11" s="1081"/>
      <c r="P11" s="1081"/>
      <c r="Q11" s="1081"/>
      <c r="R11" s="1081"/>
      <c r="S11" s="1081"/>
      <c r="T11" s="2017"/>
    </row>
    <row r="12" spans="1:23" ht="21" customHeight="1">
      <c r="A12" s="3338"/>
      <c r="B12" s="1840" t="s">
        <v>2390</v>
      </c>
      <c r="C12" s="1855">
        <v>7132210021</v>
      </c>
      <c r="D12" s="1080" t="s">
        <v>33</v>
      </c>
      <c r="E12" s="1080"/>
      <c r="F12" s="1081"/>
      <c r="G12" s="1081"/>
      <c r="H12" s="1080"/>
      <c r="I12" s="1081"/>
      <c r="J12" s="1081"/>
      <c r="K12" s="1080"/>
      <c r="L12" s="1081"/>
      <c r="M12" s="1081"/>
      <c r="N12" s="1080">
        <v>1</v>
      </c>
      <c r="O12" s="1081">
        <f>VLOOKUP(C12,'[25]SOR RATE'!A:D,4,0)</f>
        <v>291828.78999999998</v>
      </c>
      <c r="P12" s="1081">
        <f t="shared" ref="P12:P23" si="0">O12*N12</f>
        <v>291828.78999999998</v>
      </c>
      <c r="Q12" s="1081"/>
      <c r="R12" s="1081"/>
      <c r="S12" s="1081"/>
      <c r="T12" s="2017"/>
    </row>
    <row r="13" spans="1:23" ht="33" customHeight="1">
      <c r="A13" s="3339"/>
      <c r="B13" s="1840" t="s">
        <v>2391</v>
      </c>
      <c r="C13" s="1855">
        <v>7132220081</v>
      </c>
      <c r="D13" s="1080" t="s">
        <v>33</v>
      </c>
      <c r="E13" s="1080"/>
      <c r="F13" s="1081"/>
      <c r="G13" s="1081"/>
      <c r="H13" s="1080"/>
      <c r="I13" s="1081"/>
      <c r="J13" s="1081"/>
      <c r="K13" s="1080"/>
      <c r="L13" s="1081"/>
      <c r="M13" s="1081"/>
      <c r="N13" s="1080"/>
      <c r="O13" s="1081"/>
      <c r="P13" s="1081"/>
      <c r="Q13" s="1832">
        <v>1</v>
      </c>
      <c r="R13" s="1081">
        <f>VLOOKUP(C13,'[25]SOR RATE'!A:D,4,0)</f>
        <v>802876.84</v>
      </c>
      <c r="S13" s="1081">
        <f>R13*Q13</f>
        <v>802876.84</v>
      </c>
      <c r="T13" s="1970" t="s">
        <v>119</v>
      </c>
    </row>
    <row r="14" spans="1:23" ht="51" customHeight="1">
      <c r="A14" s="1080">
        <v>2</v>
      </c>
      <c r="B14" s="1840" t="s">
        <v>1699</v>
      </c>
      <c r="C14" s="1907">
        <v>7130601965</v>
      </c>
      <c r="D14" s="1907" t="s">
        <v>26</v>
      </c>
      <c r="E14" s="1080">
        <v>816.2</v>
      </c>
      <c r="F14" s="1081">
        <f>VLOOKUP(C14,'[25]SOR RATE'!A:D,4,0)/1000</f>
        <v>63.913519999999998</v>
      </c>
      <c r="G14" s="1081">
        <f>F14*E14</f>
        <v>52166.215024000005</v>
      </c>
      <c r="H14" s="1080">
        <f>+E14</f>
        <v>816.2</v>
      </c>
      <c r="I14" s="1081">
        <f>+F14</f>
        <v>63.913519999999998</v>
      </c>
      <c r="J14" s="1081">
        <f>I14*H14</f>
        <v>52166.215024000005</v>
      </c>
      <c r="K14" s="1831">
        <f>+H14</f>
        <v>816.2</v>
      </c>
      <c r="L14" s="1849">
        <f>+I14</f>
        <v>63.913519999999998</v>
      </c>
      <c r="M14" s="1081">
        <f>L14*K14</f>
        <v>52166.215024000005</v>
      </c>
      <c r="N14" s="1831">
        <f>+K14</f>
        <v>816.2</v>
      </c>
      <c r="O14" s="1849">
        <f>+L14</f>
        <v>63.913519999999998</v>
      </c>
      <c r="P14" s="1081">
        <f>O14*N14</f>
        <v>52166.215024000005</v>
      </c>
      <c r="Q14" s="1080">
        <v>816.2</v>
      </c>
      <c r="R14" s="1081">
        <f>VLOOKUP(C14,'[25]SOR RATE'!A:D,4,0)/1000</f>
        <v>63.913519999999998</v>
      </c>
      <c r="S14" s="1081">
        <f>R14*Q14</f>
        <v>52166.215024000005</v>
      </c>
      <c r="T14" s="83"/>
      <c r="U14" s="83"/>
    </row>
    <row r="15" spans="1:23" ht="20.25" customHeight="1">
      <c r="A15" s="1080">
        <v>3</v>
      </c>
      <c r="B15" s="1840" t="s">
        <v>1669</v>
      </c>
      <c r="C15" s="1855">
        <v>7130810517</v>
      </c>
      <c r="D15" s="1080" t="s">
        <v>40</v>
      </c>
      <c r="E15" s="1080">
        <v>1</v>
      </c>
      <c r="F15" s="1081">
        <f>VLOOKUP(C15,'[25]SOR RATE'!A:D,4,0)</f>
        <v>5987.84</v>
      </c>
      <c r="G15" s="1081">
        <f t="shared" ref="G15:G23" si="1">F15*E15</f>
        <v>5987.84</v>
      </c>
      <c r="H15" s="1080">
        <v>1</v>
      </c>
      <c r="I15" s="1081">
        <f t="shared" ref="I15:I24" si="2">+F15</f>
        <v>5987.84</v>
      </c>
      <c r="J15" s="1081">
        <f t="shared" ref="J15:J25" si="3">I15*H15</f>
        <v>5987.84</v>
      </c>
      <c r="K15" s="1080">
        <v>1</v>
      </c>
      <c r="L15" s="1081">
        <f t="shared" ref="L15:L29" si="4">+F15</f>
        <v>5987.84</v>
      </c>
      <c r="M15" s="1081">
        <f t="shared" ref="M15:M25" si="5">L15*K15</f>
        <v>5987.84</v>
      </c>
      <c r="N15" s="1080">
        <v>1</v>
      </c>
      <c r="O15" s="1081">
        <f t="shared" ref="O15:O23" si="6">+F15</f>
        <v>5987.84</v>
      </c>
      <c r="P15" s="1081">
        <f t="shared" si="0"/>
        <v>5987.84</v>
      </c>
      <c r="Q15" s="1832">
        <v>1</v>
      </c>
      <c r="R15" s="1081">
        <f>VLOOKUP(C15,'[25]SOR RATE'!A:D,4,0)</f>
        <v>5987.84</v>
      </c>
      <c r="S15" s="1081">
        <f t="shared" ref="S15:S28" si="7">R15*Q15</f>
        <v>5987.84</v>
      </c>
    </row>
    <row r="16" spans="1:23" ht="17.25" customHeight="1">
      <c r="A16" s="3337">
        <v>4</v>
      </c>
      <c r="B16" s="1840" t="s">
        <v>67</v>
      </c>
      <c r="C16" s="1855">
        <v>7130820010</v>
      </c>
      <c r="D16" s="1080" t="s">
        <v>12</v>
      </c>
      <c r="E16" s="1080">
        <v>3</v>
      </c>
      <c r="F16" s="1081">
        <f>VLOOKUP(C16,'[25]SOR RATE'!A:D,4,0)</f>
        <v>118.97</v>
      </c>
      <c r="G16" s="1081">
        <f t="shared" si="1"/>
        <v>356.90999999999997</v>
      </c>
      <c r="H16" s="1080">
        <v>3</v>
      </c>
      <c r="I16" s="1081">
        <f t="shared" si="2"/>
        <v>118.97</v>
      </c>
      <c r="J16" s="1081">
        <f t="shared" si="3"/>
        <v>356.90999999999997</v>
      </c>
      <c r="K16" s="1080">
        <v>3</v>
      </c>
      <c r="L16" s="1081">
        <f t="shared" si="4"/>
        <v>118.97</v>
      </c>
      <c r="M16" s="1081">
        <f t="shared" si="5"/>
        <v>356.90999999999997</v>
      </c>
      <c r="N16" s="1080">
        <v>3</v>
      </c>
      <c r="O16" s="1081">
        <f t="shared" si="6"/>
        <v>118.97</v>
      </c>
      <c r="P16" s="1081">
        <f t="shared" si="0"/>
        <v>356.90999999999997</v>
      </c>
      <c r="Q16" s="1832">
        <v>3</v>
      </c>
      <c r="R16" s="1081">
        <f>VLOOKUP(C16,'[25]SOR RATE'!A:D,4,0)</f>
        <v>118.97</v>
      </c>
      <c r="S16" s="1081">
        <f t="shared" si="7"/>
        <v>356.90999999999997</v>
      </c>
      <c r="U16" s="622"/>
    </row>
    <row r="17" spans="1:21" ht="17.25" customHeight="1">
      <c r="A17" s="3339"/>
      <c r="B17" s="1840" t="s">
        <v>2393</v>
      </c>
      <c r="C17" s="1855">
        <v>7130820241</v>
      </c>
      <c r="D17" s="1080" t="s">
        <v>68</v>
      </c>
      <c r="E17" s="1080">
        <v>3</v>
      </c>
      <c r="F17" s="1081">
        <f>VLOOKUP(C17,'[25]SOR RATE'!A:D,4,0)</f>
        <v>153.49</v>
      </c>
      <c r="G17" s="1081">
        <f t="shared" si="1"/>
        <v>460.47</v>
      </c>
      <c r="H17" s="1080">
        <v>3</v>
      </c>
      <c r="I17" s="1081">
        <f>+F17</f>
        <v>153.49</v>
      </c>
      <c r="J17" s="1081">
        <f t="shared" si="3"/>
        <v>460.47</v>
      </c>
      <c r="K17" s="1080">
        <v>3</v>
      </c>
      <c r="L17" s="1081">
        <f t="shared" si="4"/>
        <v>153.49</v>
      </c>
      <c r="M17" s="1081">
        <f t="shared" si="5"/>
        <v>460.47</v>
      </c>
      <c r="N17" s="1080">
        <v>3</v>
      </c>
      <c r="O17" s="1081">
        <f t="shared" si="6"/>
        <v>153.49</v>
      </c>
      <c r="P17" s="1081">
        <f t="shared" si="0"/>
        <v>460.47</v>
      </c>
      <c r="Q17" s="1832">
        <v>3</v>
      </c>
      <c r="R17" s="1081">
        <f>VLOOKUP(C17,'[25]SOR RATE'!A:D,4,0)</f>
        <v>153.49</v>
      </c>
      <c r="S17" s="1081">
        <f t="shared" si="7"/>
        <v>460.47</v>
      </c>
    </row>
    <row r="18" spans="1:21" ht="17.25" customHeight="1">
      <c r="A18" s="1080">
        <v>5</v>
      </c>
      <c r="B18" s="1887" t="s">
        <v>19</v>
      </c>
      <c r="C18" s="1826">
        <v>7130820008</v>
      </c>
      <c r="D18" s="1080" t="s">
        <v>12</v>
      </c>
      <c r="E18" s="1080">
        <v>6</v>
      </c>
      <c r="F18" s="1081">
        <f>VLOOKUP(C18,'[25]SOR RATE'!A:D,4,0)</f>
        <v>157.08000000000001</v>
      </c>
      <c r="G18" s="1081">
        <f t="shared" si="1"/>
        <v>942.48</v>
      </c>
      <c r="H18" s="1080">
        <v>6</v>
      </c>
      <c r="I18" s="1081">
        <f>+F18</f>
        <v>157.08000000000001</v>
      </c>
      <c r="J18" s="1081">
        <f t="shared" si="3"/>
        <v>942.48</v>
      </c>
      <c r="K18" s="1080">
        <v>6</v>
      </c>
      <c r="L18" s="1081">
        <f t="shared" si="4"/>
        <v>157.08000000000001</v>
      </c>
      <c r="M18" s="1081">
        <f t="shared" si="5"/>
        <v>942.48</v>
      </c>
      <c r="N18" s="1080">
        <v>6</v>
      </c>
      <c r="O18" s="1081">
        <f t="shared" si="6"/>
        <v>157.08000000000001</v>
      </c>
      <c r="P18" s="1081">
        <f t="shared" si="0"/>
        <v>942.48</v>
      </c>
      <c r="Q18" s="1832">
        <v>6</v>
      </c>
      <c r="R18" s="1081">
        <f>VLOOKUP(C18,'[25]SOR RATE'!A:D,4,0)</f>
        <v>157.08000000000001</v>
      </c>
      <c r="S18" s="1081">
        <f t="shared" si="7"/>
        <v>942.48</v>
      </c>
      <c r="T18" s="377"/>
      <c r="U18" s="622"/>
    </row>
    <row r="19" spans="1:21" ht="31.5" customHeight="1">
      <c r="A19" s="1918">
        <v>6</v>
      </c>
      <c r="B19" s="1827" t="s">
        <v>1671</v>
      </c>
      <c r="C19" s="2277">
        <v>7130810509</v>
      </c>
      <c r="D19" s="1832" t="s">
        <v>12</v>
      </c>
      <c r="E19" s="1832">
        <v>1</v>
      </c>
      <c r="F19" s="1081">
        <f>VLOOKUP(C19,'[25]SOR RATE'!A:D,4,0)</f>
        <v>2187.33</v>
      </c>
      <c r="G19" s="1081">
        <f t="shared" si="1"/>
        <v>2187.33</v>
      </c>
      <c r="H19" s="1832">
        <v>1</v>
      </c>
      <c r="I19" s="1081">
        <f t="shared" si="2"/>
        <v>2187.33</v>
      </c>
      <c r="J19" s="1081">
        <f t="shared" si="3"/>
        <v>2187.33</v>
      </c>
      <c r="K19" s="1832">
        <v>1</v>
      </c>
      <c r="L19" s="1081">
        <f t="shared" si="4"/>
        <v>2187.33</v>
      </c>
      <c r="M19" s="1081">
        <f t="shared" si="5"/>
        <v>2187.33</v>
      </c>
      <c r="N19" s="1832">
        <v>1</v>
      </c>
      <c r="O19" s="1081">
        <f t="shared" si="6"/>
        <v>2187.33</v>
      </c>
      <c r="P19" s="1081">
        <f t="shared" si="0"/>
        <v>2187.33</v>
      </c>
      <c r="Q19" s="1832">
        <v>1</v>
      </c>
      <c r="R19" s="1081">
        <f>VLOOKUP(C19,'[25]SOR RATE'!A:D,4,0)</f>
        <v>2187.33</v>
      </c>
      <c r="S19" s="1081">
        <f t="shared" si="7"/>
        <v>2187.33</v>
      </c>
    </row>
    <row r="20" spans="1:21" ht="18" customHeight="1">
      <c r="A20" s="1080">
        <v>7</v>
      </c>
      <c r="B20" s="1840" t="s">
        <v>1672</v>
      </c>
      <c r="C20" s="1855">
        <v>7131930412</v>
      </c>
      <c r="D20" s="1080" t="s">
        <v>33</v>
      </c>
      <c r="E20" s="1080">
        <v>3</v>
      </c>
      <c r="F20" s="1081">
        <f>VLOOKUP(C20,'[25]SOR RATE'!A:D,4,0)</f>
        <v>1123.1500000000001</v>
      </c>
      <c r="G20" s="1081">
        <f t="shared" si="1"/>
        <v>3369.4500000000003</v>
      </c>
      <c r="H20" s="1080">
        <v>3</v>
      </c>
      <c r="I20" s="1081">
        <f t="shared" si="2"/>
        <v>1123.1500000000001</v>
      </c>
      <c r="J20" s="1081">
        <f t="shared" si="3"/>
        <v>3369.4500000000003</v>
      </c>
      <c r="K20" s="1080">
        <v>3</v>
      </c>
      <c r="L20" s="1081">
        <f t="shared" si="4"/>
        <v>1123.1500000000001</v>
      </c>
      <c r="M20" s="1081">
        <f t="shared" si="5"/>
        <v>3369.4500000000003</v>
      </c>
      <c r="N20" s="1080">
        <v>3</v>
      </c>
      <c r="O20" s="1081">
        <f t="shared" si="6"/>
        <v>1123.1500000000001</v>
      </c>
      <c r="P20" s="1081">
        <f t="shared" si="0"/>
        <v>3369.4500000000003</v>
      </c>
      <c r="Q20" s="1832">
        <v>3</v>
      </c>
      <c r="R20" s="1081">
        <f>VLOOKUP(C20,'[25]SOR RATE'!A:D,4,0)</f>
        <v>1123.1500000000001</v>
      </c>
      <c r="S20" s="1081">
        <f t="shared" si="7"/>
        <v>3369.4500000000003</v>
      </c>
    </row>
    <row r="21" spans="1:21" ht="31.5" customHeight="1">
      <c r="A21" s="1080">
        <v>8</v>
      </c>
      <c r="B21" s="1840" t="s">
        <v>2427</v>
      </c>
      <c r="C21" s="1855">
        <v>7130810692</v>
      </c>
      <c r="D21" s="1080" t="s">
        <v>15</v>
      </c>
      <c r="E21" s="1080">
        <v>8</v>
      </c>
      <c r="F21" s="1081">
        <f>VLOOKUP(C21,'[25]SOR RATE'!A:D,4,0)</f>
        <v>410.25</v>
      </c>
      <c r="G21" s="1081">
        <f>F21*E21</f>
        <v>3282</v>
      </c>
      <c r="H21" s="1080">
        <v>8</v>
      </c>
      <c r="I21" s="1081">
        <f>VLOOKUP(C21,'[25]SOR RATE'!A:D,4,0)</f>
        <v>410.25</v>
      </c>
      <c r="J21" s="1081">
        <f t="shared" si="3"/>
        <v>3282</v>
      </c>
      <c r="K21" s="1080">
        <v>8</v>
      </c>
      <c r="L21" s="1081">
        <f>VLOOKUP(C21,'[25]SOR RATE'!A:D,4,0)</f>
        <v>410.25</v>
      </c>
      <c r="M21" s="1081">
        <f t="shared" si="5"/>
        <v>3282</v>
      </c>
      <c r="N21" s="1080">
        <v>8</v>
      </c>
      <c r="O21" s="1081">
        <f>VLOOKUP(C21,'[25]SOR RATE'!A:D,4,0)</f>
        <v>410.25</v>
      </c>
      <c r="P21" s="1081">
        <f t="shared" si="0"/>
        <v>3282</v>
      </c>
      <c r="Q21" s="1832">
        <v>8</v>
      </c>
      <c r="R21" s="1081">
        <f>VLOOKUP(C21,'[25]SOR RATE'!A:D,4,0)</f>
        <v>410.25</v>
      </c>
      <c r="S21" s="1081">
        <f>R21*Q21</f>
        <v>3282</v>
      </c>
      <c r="T21" s="1970" t="s">
        <v>119</v>
      </c>
    </row>
    <row r="22" spans="1:21" ht="34.5" customHeight="1">
      <c r="A22" s="1080">
        <v>9</v>
      </c>
      <c r="B22" s="1840" t="s">
        <v>1688</v>
      </c>
      <c r="C22" s="1907">
        <v>7130600023</v>
      </c>
      <c r="D22" s="1907" t="s">
        <v>1705</v>
      </c>
      <c r="E22" s="1080">
        <v>20</v>
      </c>
      <c r="F22" s="1081">
        <f>VLOOKUP(C22,'[25]SOR RATE'!A:D,4,0)/1000</f>
        <v>54.512970000000003</v>
      </c>
      <c r="G22" s="1081">
        <f t="shared" si="1"/>
        <v>1090.2594000000001</v>
      </c>
      <c r="H22" s="1080">
        <v>20</v>
      </c>
      <c r="I22" s="1081">
        <f>+F22</f>
        <v>54.512970000000003</v>
      </c>
      <c r="J22" s="1081">
        <f t="shared" si="3"/>
        <v>1090.2594000000001</v>
      </c>
      <c r="K22" s="1080">
        <v>20</v>
      </c>
      <c r="L22" s="1081">
        <f t="shared" si="4"/>
        <v>54.512970000000003</v>
      </c>
      <c r="M22" s="1081">
        <f t="shared" si="5"/>
        <v>1090.2594000000001</v>
      </c>
      <c r="N22" s="1080">
        <v>20</v>
      </c>
      <c r="O22" s="1081">
        <f t="shared" si="6"/>
        <v>54.512970000000003</v>
      </c>
      <c r="P22" s="1081">
        <f t="shared" si="0"/>
        <v>1090.2594000000001</v>
      </c>
      <c r="Q22" s="1832">
        <v>20</v>
      </c>
      <c r="R22" s="1081">
        <f>VLOOKUP(C22,'[25]SOR RATE'!A:D,4,0)/1000</f>
        <v>54.512970000000003</v>
      </c>
      <c r="S22" s="1081">
        <f t="shared" si="7"/>
        <v>1090.2594000000001</v>
      </c>
    </row>
    <row r="23" spans="1:21" ht="18" customHeight="1">
      <c r="A23" s="3337">
        <v>10</v>
      </c>
      <c r="B23" s="1840" t="s">
        <v>1673</v>
      </c>
      <c r="C23" s="1855">
        <v>7130860032</v>
      </c>
      <c r="D23" s="1080" t="s">
        <v>12</v>
      </c>
      <c r="E23" s="1080">
        <v>4</v>
      </c>
      <c r="F23" s="1081">
        <f>VLOOKUP(C23,'[25]SOR RATE'!A:D,4,0)</f>
        <v>566.19000000000005</v>
      </c>
      <c r="G23" s="1081">
        <f t="shared" si="1"/>
        <v>2264.7600000000002</v>
      </c>
      <c r="H23" s="1080">
        <v>4</v>
      </c>
      <c r="I23" s="1081">
        <f>+F23</f>
        <v>566.19000000000005</v>
      </c>
      <c r="J23" s="1081">
        <f t="shared" si="3"/>
        <v>2264.7600000000002</v>
      </c>
      <c r="K23" s="1080">
        <v>4</v>
      </c>
      <c r="L23" s="1081">
        <f t="shared" si="4"/>
        <v>566.19000000000005</v>
      </c>
      <c r="M23" s="1081">
        <f t="shared" si="5"/>
        <v>2264.7600000000002</v>
      </c>
      <c r="N23" s="1080">
        <v>4</v>
      </c>
      <c r="O23" s="1081">
        <f t="shared" si="6"/>
        <v>566.19000000000005</v>
      </c>
      <c r="P23" s="1081">
        <f t="shared" si="0"/>
        <v>2264.7600000000002</v>
      </c>
      <c r="Q23" s="1832">
        <v>4</v>
      </c>
      <c r="R23" s="1081">
        <f>VLOOKUP(C23,'[25]SOR RATE'!A:D,4,0)</f>
        <v>566.19000000000005</v>
      </c>
      <c r="S23" s="1081">
        <f t="shared" si="7"/>
        <v>2264.7600000000002</v>
      </c>
    </row>
    <row r="24" spans="1:21" ht="33.75" customHeight="1">
      <c r="A24" s="3338"/>
      <c r="B24" s="1840" t="s">
        <v>1674</v>
      </c>
      <c r="C24" s="1855">
        <v>7130860077</v>
      </c>
      <c r="D24" s="1080" t="s">
        <v>26</v>
      </c>
      <c r="E24" s="1080">
        <v>22</v>
      </c>
      <c r="F24" s="1081">
        <f>VLOOKUP(C24,'[25]SOR RATE'!A:D,4,0)/1000</f>
        <v>93.76643</v>
      </c>
      <c r="G24" s="1081">
        <f>F24*E24</f>
        <v>2062.8614600000001</v>
      </c>
      <c r="H24" s="1080">
        <v>22</v>
      </c>
      <c r="I24" s="1081">
        <f t="shared" si="2"/>
        <v>93.76643</v>
      </c>
      <c r="J24" s="1081">
        <f>I24*H24</f>
        <v>2062.8614600000001</v>
      </c>
      <c r="K24" s="1080">
        <v>22</v>
      </c>
      <c r="L24" s="1081">
        <f t="shared" si="4"/>
        <v>93.76643</v>
      </c>
      <c r="M24" s="1081">
        <f>L24*K24</f>
        <v>2062.8614600000001</v>
      </c>
      <c r="N24" s="1080">
        <v>22</v>
      </c>
      <c r="O24" s="1081">
        <f>+F24</f>
        <v>93.76643</v>
      </c>
      <c r="P24" s="1081">
        <f>O24*N24</f>
        <v>2062.8614600000001</v>
      </c>
      <c r="Q24" s="1832">
        <v>22</v>
      </c>
      <c r="R24" s="1081">
        <f>VLOOKUP(C24,'[25]SOR RATE'!A:D,4,0)/1000</f>
        <v>93.76643</v>
      </c>
      <c r="S24" s="1081">
        <f>R24*Q24</f>
        <v>2062.8614600000001</v>
      </c>
    </row>
    <row r="25" spans="1:21" ht="20.25" customHeight="1">
      <c r="A25" s="3338"/>
      <c r="B25" s="1908" t="s">
        <v>1506</v>
      </c>
      <c r="C25" s="1052">
        <v>7130810692</v>
      </c>
      <c r="D25" s="380" t="s">
        <v>15</v>
      </c>
      <c r="E25" s="1080">
        <v>4</v>
      </c>
      <c r="F25" s="1081">
        <f>VLOOKUP(C25,'[25]SOR RATE'!A:D,4,0)</f>
        <v>410.25</v>
      </c>
      <c r="G25" s="1081">
        <f>F25*E25</f>
        <v>1641</v>
      </c>
      <c r="H25" s="1080">
        <v>4</v>
      </c>
      <c r="I25" s="1081">
        <f>+F25</f>
        <v>410.25</v>
      </c>
      <c r="J25" s="1081">
        <f t="shared" si="3"/>
        <v>1641</v>
      </c>
      <c r="K25" s="1080">
        <v>4</v>
      </c>
      <c r="L25" s="1081">
        <f t="shared" si="4"/>
        <v>410.25</v>
      </c>
      <c r="M25" s="1081">
        <f t="shared" si="5"/>
        <v>1641</v>
      </c>
      <c r="N25" s="1080">
        <v>4</v>
      </c>
      <c r="O25" s="1081">
        <f>+I25</f>
        <v>410.25</v>
      </c>
      <c r="P25" s="1081">
        <f>O25*N25</f>
        <v>1641</v>
      </c>
      <c r="Q25" s="1832">
        <v>4</v>
      </c>
      <c r="R25" s="1081">
        <f>VLOOKUP(C25,'[25]SOR RATE'!A:D,4,0)</f>
        <v>410.25</v>
      </c>
      <c r="S25" s="1081">
        <f>R25*Q25</f>
        <v>1641</v>
      </c>
    </row>
    <row r="26" spans="1:21" ht="48" customHeight="1">
      <c r="A26" s="1080">
        <v>11</v>
      </c>
      <c r="B26" s="1840" t="s">
        <v>2430</v>
      </c>
      <c r="C26" s="1855">
        <v>7130200202</v>
      </c>
      <c r="D26" s="1080" t="s">
        <v>76</v>
      </c>
      <c r="E26" s="1846">
        <f>(2*0.6)+(4*0.2)+(2*0.05)</f>
        <v>2.1</v>
      </c>
      <c r="F26" s="1081">
        <f>VLOOKUP(C26,'[25]SOR RATE'!A:D,4,0)</f>
        <v>2970</v>
      </c>
      <c r="G26" s="1081">
        <f>E26*F26</f>
        <v>6237</v>
      </c>
      <c r="H26" s="1846">
        <f>(2*0.6)+(4*0.2)+(2*0.05)</f>
        <v>2.1</v>
      </c>
      <c r="I26" s="1081">
        <f>+F26</f>
        <v>2970</v>
      </c>
      <c r="J26" s="1081">
        <f>H26*I26</f>
        <v>6237</v>
      </c>
      <c r="K26" s="1846">
        <f>(2*0.6)+(4*0.2)+(2*0.05)</f>
        <v>2.1</v>
      </c>
      <c r="L26" s="1081">
        <f t="shared" si="4"/>
        <v>2970</v>
      </c>
      <c r="M26" s="1081">
        <f>K26*L26</f>
        <v>6237</v>
      </c>
      <c r="N26" s="1846">
        <f>(2*0.6)+(4*0.2)+(2*0.05)</f>
        <v>2.1</v>
      </c>
      <c r="O26" s="1081">
        <f>+I26</f>
        <v>2970</v>
      </c>
      <c r="P26" s="1081">
        <f>N26*O26</f>
        <v>6237</v>
      </c>
      <c r="Q26" s="1846">
        <f>(2*0.6)+(4*0.2)+(2*0.05)</f>
        <v>2.1</v>
      </c>
      <c r="R26" s="1081">
        <f>VLOOKUP(C26,'[25]SOR RATE'!A:D,4,0)</f>
        <v>2970</v>
      </c>
      <c r="S26" s="1081">
        <f>R26*Q26</f>
        <v>6237</v>
      </c>
      <c r="T26" s="1971" t="s">
        <v>47</v>
      </c>
    </row>
    <row r="27" spans="1:21" ht="34.5" customHeight="1">
      <c r="A27" s="1080">
        <v>12</v>
      </c>
      <c r="B27" s="1051" t="s">
        <v>2361</v>
      </c>
      <c r="C27" s="1855">
        <v>7130600023</v>
      </c>
      <c r="D27" s="1080" t="s">
        <v>26</v>
      </c>
      <c r="E27" s="1080">
        <v>34</v>
      </c>
      <c r="F27" s="1081">
        <f>VLOOKUP(C27,'[25]SOR RATE'!A:D,4,0)/1000</f>
        <v>54.512970000000003</v>
      </c>
      <c r="G27" s="1081">
        <f>F27*E27</f>
        <v>1853.4409800000001</v>
      </c>
      <c r="H27" s="1080">
        <v>34</v>
      </c>
      <c r="I27" s="1081">
        <f>+F27</f>
        <v>54.512970000000003</v>
      </c>
      <c r="J27" s="1081">
        <f>I27*H27</f>
        <v>1853.4409800000001</v>
      </c>
      <c r="K27" s="1080">
        <v>34</v>
      </c>
      <c r="L27" s="1081">
        <f t="shared" si="4"/>
        <v>54.512970000000003</v>
      </c>
      <c r="M27" s="1081">
        <f>L27*K27</f>
        <v>1853.4409800000001</v>
      </c>
      <c r="N27" s="1080">
        <v>34</v>
      </c>
      <c r="O27" s="1081">
        <f>+F27</f>
        <v>54.512970000000003</v>
      </c>
      <c r="P27" s="1081">
        <f>O27*N27</f>
        <v>1853.4409800000001</v>
      </c>
      <c r="Q27" s="1832">
        <v>34</v>
      </c>
      <c r="R27" s="1081">
        <f>VLOOKUP(C27,'[25]SOR RATE'!A:D,4,0)/1000</f>
        <v>54.512970000000003</v>
      </c>
      <c r="S27" s="1081">
        <f>R27*Q27</f>
        <v>1853.4409800000001</v>
      </c>
    </row>
    <row r="28" spans="1:21" ht="35.25" customHeight="1">
      <c r="A28" s="1080">
        <v>13</v>
      </c>
      <c r="B28" s="1840" t="s">
        <v>2396</v>
      </c>
      <c r="C28" s="1855">
        <v>7130850201</v>
      </c>
      <c r="D28" s="1080" t="s">
        <v>40</v>
      </c>
      <c r="E28" s="1080">
        <v>1</v>
      </c>
      <c r="F28" s="1081">
        <f>VLOOKUP(C28,'[25]SOR RATE'!A279:D279,4,0)</f>
        <v>5987.84</v>
      </c>
      <c r="G28" s="1081">
        <f>F28*E28</f>
        <v>5987.84</v>
      </c>
      <c r="H28" s="1080">
        <v>1</v>
      </c>
      <c r="I28" s="1081">
        <f>+F28</f>
        <v>5987.84</v>
      </c>
      <c r="J28" s="1081">
        <f>I28*H28</f>
        <v>5987.84</v>
      </c>
      <c r="K28" s="1080">
        <v>1</v>
      </c>
      <c r="L28" s="1081">
        <f t="shared" si="4"/>
        <v>5987.84</v>
      </c>
      <c r="M28" s="1081">
        <f>L28*K28</f>
        <v>5987.84</v>
      </c>
      <c r="N28" s="1080">
        <v>1</v>
      </c>
      <c r="O28" s="1081">
        <f>+F28</f>
        <v>5987.84</v>
      </c>
      <c r="P28" s="1081">
        <f>O28*N28</f>
        <v>5987.84</v>
      </c>
      <c r="Q28" s="1832">
        <v>1</v>
      </c>
      <c r="R28" s="1081">
        <f>VLOOKUP(C28,'[25]SOR RATE'!A279:D279,4,0)</f>
        <v>5987.84</v>
      </c>
      <c r="S28" s="1081">
        <f t="shared" si="7"/>
        <v>5987.84</v>
      </c>
    </row>
    <row r="29" spans="1:21" ht="18" customHeight="1">
      <c r="A29" s="1080">
        <v>14</v>
      </c>
      <c r="B29" s="1840" t="s">
        <v>32</v>
      </c>
      <c r="C29" s="2277">
        <v>7130880041</v>
      </c>
      <c r="D29" s="1918" t="s">
        <v>33</v>
      </c>
      <c r="E29" s="1918">
        <v>1</v>
      </c>
      <c r="F29" s="1848">
        <f>VLOOKUP(C29,'[25]SOR RATE'!A:D,4,0)</f>
        <v>113.77</v>
      </c>
      <c r="G29" s="1848">
        <f>F29*E29</f>
        <v>113.77</v>
      </c>
      <c r="H29" s="1918">
        <v>1</v>
      </c>
      <c r="I29" s="1848">
        <f>+F29</f>
        <v>113.77</v>
      </c>
      <c r="J29" s="1848">
        <f>I29*H29</f>
        <v>113.77</v>
      </c>
      <c r="K29" s="1918">
        <v>1</v>
      </c>
      <c r="L29" s="1848">
        <f t="shared" si="4"/>
        <v>113.77</v>
      </c>
      <c r="M29" s="1848">
        <f>L29*K29</f>
        <v>113.77</v>
      </c>
      <c r="N29" s="1918">
        <v>1</v>
      </c>
      <c r="O29" s="1848">
        <f>+F29</f>
        <v>113.77</v>
      </c>
      <c r="P29" s="1848">
        <f>O29*N29</f>
        <v>113.77</v>
      </c>
      <c r="Q29" s="2282">
        <v>1</v>
      </c>
      <c r="R29" s="1848">
        <f>VLOOKUP(C29,'[25]SOR RATE'!A:D,4,0)</f>
        <v>113.77</v>
      </c>
      <c r="S29" s="1848">
        <f>R29*Q29</f>
        <v>113.77</v>
      </c>
    </row>
    <row r="30" spans="1:21" ht="35.25" customHeight="1">
      <c r="A30" s="3337">
        <v>15</v>
      </c>
      <c r="B30" s="2270" t="s">
        <v>2363</v>
      </c>
      <c r="C30" s="1852"/>
      <c r="D30" s="1853"/>
      <c r="E30" s="1853"/>
      <c r="F30" s="1853"/>
      <c r="G30" s="1853"/>
      <c r="H30" s="1853"/>
      <c r="I30" s="1853"/>
      <c r="J30" s="1853"/>
      <c r="K30" s="1853"/>
      <c r="L30" s="1853"/>
      <c r="M30" s="1853"/>
      <c r="N30" s="1853"/>
      <c r="O30" s="1853"/>
      <c r="P30" s="1853"/>
      <c r="Q30" s="1853"/>
      <c r="R30" s="2292"/>
      <c r="S30" s="1854"/>
    </row>
    <row r="31" spans="1:21" ht="18" customHeight="1">
      <c r="A31" s="3338"/>
      <c r="B31" s="1840" t="s">
        <v>1675</v>
      </c>
      <c r="C31" s="2274">
        <v>7130641396</v>
      </c>
      <c r="D31" s="1919" t="s">
        <v>21</v>
      </c>
      <c r="E31" s="1919">
        <v>9</v>
      </c>
      <c r="F31" s="2275">
        <f>VLOOKUP(C31,'[25]SOR RATE'!A:D,4,0)</f>
        <v>253.11</v>
      </c>
      <c r="G31" s="2275">
        <f>F31*E31</f>
        <v>2277.9900000000002</v>
      </c>
      <c r="H31" s="1919">
        <v>9</v>
      </c>
      <c r="I31" s="2275">
        <f>+F31</f>
        <v>253.11</v>
      </c>
      <c r="J31" s="2275">
        <f>I31*H31</f>
        <v>2277.9900000000002</v>
      </c>
      <c r="K31" s="1919">
        <v>9</v>
      </c>
      <c r="L31" s="2275">
        <f>+F31</f>
        <v>253.11</v>
      </c>
      <c r="M31" s="2275">
        <f t="shared" ref="M31:M36" si="8">L31*K31</f>
        <v>2277.9900000000002</v>
      </c>
      <c r="N31" s="1919">
        <v>9</v>
      </c>
      <c r="O31" s="2275">
        <f t="shared" ref="O31:O36" si="9">+F31</f>
        <v>253.11</v>
      </c>
      <c r="P31" s="2275">
        <f t="shared" ref="P31:P36" si="10">O31*N31</f>
        <v>2277.9900000000002</v>
      </c>
      <c r="Q31" s="2322">
        <v>9</v>
      </c>
      <c r="R31" s="2275">
        <f>VLOOKUP(C31,'[25]SOR RATE'!A:D,4,0)</f>
        <v>253.11</v>
      </c>
      <c r="S31" s="2275">
        <f t="shared" ref="S31:S36" si="11">R31*Q31</f>
        <v>2277.9900000000002</v>
      </c>
    </row>
    <row r="32" spans="1:21" ht="18.75" customHeight="1">
      <c r="A32" s="3339"/>
      <c r="B32" s="1840" t="s">
        <v>1676</v>
      </c>
      <c r="C32" s="1855">
        <v>7130870043</v>
      </c>
      <c r="D32" s="1080" t="s">
        <v>26</v>
      </c>
      <c r="E32" s="1080">
        <v>15</v>
      </c>
      <c r="F32" s="1081">
        <f>VLOOKUP(C32,'[25]SOR RATE'!A:D,4,0)/1000</f>
        <v>80.521839999999997</v>
      </c>
      <c r="G32" s="1081">
        <f>F32*E32</f>
        <v>1207.8276000000001</v>
      </c>
      <c r="H32" s="1080">
        <v>15</v>
      </c>
      <c r="I32" s="1081">
        <f>+F32</f>
        <v>80.521839999999997</v>
      </c>
      <c r="J32" s="1081">
        <f>I32*H32</f>
        <v>1207.8276000000001</v>
      </c>
      <c r="K32" s="1080">
        <v>15</v>
      </c>
      <c r="L32" s="1081">
        <f>+F32</f>
        <v>80.521839999999997</v>
      </c>
      <c r="M32" s="1081">
        <f t="shared" si="8"/>
        <v>1207.8276000000001</v>
      </c>
      <c r="N32" s="1080">
        <v>15</v>
      </c>
      <c r="O32" s="1081">
        <f t="shared" si="9"/>
        <v>80.521839999999997</v>
      </c>
      <c r="P32" s="1081">
        <f t="shared" si="10"/>
        <v>1207.8276000000001</v>
      </c>
      <c r="Q32" s="1832">
        <v>15</v>
      </c>
      <c r="R32" s="1081">
        <f>VLOOKUP(C32,'[25]SOR RATE'!A:D,4,0)/1000</f>
        <v>80.521839999999997</v>
      </c>
      <c r="S32" s="1081">
        <f t="shared" si="11"/>
        <v>1207.8276000000001</v>
      </c>
    </row>
    <row r="33" spans="1:22" ht="19.5" customHeight="1">
      <c r="A33" s="1080">
        <v>16</v>
      </c>
      <c r="B33" s="1051" t="s">
        <v>31</v>
      </c>
      <c r="C33" s="1052">
        <v>7130610206</v>
      </c>
      <c r="D33" s="1080" t="s">
        <v>26</v>
      </c>
      <c r="E33" s="1080">
        <v>4</v>
      </c>
      <c r="F33" s="1081">
        <f>VLOOKUP(C33,'[25]SOR RATE'!A:D,4,0)/1000</f>
        <v>97.233429999999998</v>
      </c>
      <c r="G33" s="1081">
        <f>F33*E33</f>
        <v>388.93371999999999</v>
      </c>
      <c r="H33" s="1080">
        <v>4</v>
      </c>
      <c r="I33" s="1081">
        <f t="shared" ref="I33" si="12">+F33</f>
        <v>97.233429999999998</v>
      </c>
      <c r="J33" s="1081">
        <f>I33*H33</f>
        <v>388.93371999999999</v>
      </c>
      <c r="K33" s="1080">
        <v>4</v>
      </c>
      <c r="L33" s="1081">
        <f t="shared" ref="L33" si="13">+F33</f>
        <v>97.233429999999998</v>
      </c>
      <c r="M33" s="1081">
        <f t="shared" si="8"/>
        <v>388.93371999999999</v>
      </c>
      <c r="N33" s="1080">
        <v>8</v>
      </c>
      <c r="O33" s="1081">
        <f t="shared" si="9"/>
        <v>97.233429999999998</v>
      </c>
      <c r="P33" s="1081">
        <f t="shared" si="10"/>
        <v>777.86743999999999</v>
      </c>
      <c r="Q33" s="1832">
        <v>8</v>
      </c>
      <c r="R33" s="1081">
        <f>VLOOKUP(C33,'[25]SOR RATE'!A:D,4,0)/1000</f>
        <v>97.233429999999998</v>
      </c>
      <c r="S33" s="1081">
        <f t="shared" si="11"/>
        <v>777.86743999999999</v>
      </c>
      <c r="T33" s="1972"/>
      <c r="U33" s="87"/>
      <c r="V33" s="85"/>
    </row>
    <row r="34" spans="1:22" ht="18" customHeight="1">
      <c r="A34" s="1080">
        <v>17</v>
      </c>
      <c r="B34" s="1840" t="s">
        <v>28</v>
      </c>
      <c r="C34" s="1855">
        <v>7130211158</v>
      </c>
      <c r="D34" s="1080" t="s">
        <v>29</v>
      </c>
      <c r="E34" s="1080">
        <v>1</v>
      </c>
      <c r="F34" s="1081">
        <f>VLOOKUP(C34,'[25]SOR RATE'!A:D,4,0)</f>
        <v>193.62</v>
      </c>
      <c r="G34" s="1081">
        <f t="shared" ref="G34:G35" si="14">F34*E34</f>
        <v>193.62</v>
      </c>
      <c r="H34" s="1080">
        <v>1</v>
      </c>
      <c r="I34" s="1081">
        <f>+F34</f>
        <v>193.62</v>
      </c>
      <c r="J34" s="1081">
        <f t="shared" ref="J34:J35" si="15">I34*H34</f>
        <v>193.62</v>
      </c>
      <c r="K34" s="1080">
        <v>3</v>
      </c>
      <c r="L34" s="1081">
        <f>+F34</f>
        <v>193.62</v>
      </c>
      <c r="M34" s="1081">
        <f t="shared" si="8"/>
        <v>580.86</v>
      </c>
      <c r="N34" s="1080">
        <v>3</v>
      </c>
      <c r="O34" s="1081">
        <f t="shared" si="9"/>
        <v>193.62</v>
      </c>
      <c r="P34" s="1081">
        <f t="shared" si="10"/>
        <v>580.86</v>
      </c>
      <c r="Q34" s="1832">
        <v>3</v>
      </c>
      <c r="R34" s="1081">
        <f>VLOOKUP(C34,'[25]SOR RATE'!A:D,4,0)</f>
        <v>193.62</v>
      </c>
      <c r="S34" s="1081">
        <f t="shared" si="11"/>
        <v>580.86</v>
      </c>
    </row>
    <row r="35" spans="1:22" ht="18.75" customHeight="1">
      <c r="A35" s="1080">
        <v>18</v>
      </c>
      <c r="B35" s="1840" t="s">
        <v>30</v>
      </c>
      <c r="C35" s="1855">
        <v>7130210809</v>
      </c>
      <c r="D35" s="1080" t="s">
        <v>29</v>
      </c>
      <c r="E35" s="1080">
        <v>1</v>
      </c>
      <c r="F35" s="1081">
        <f>VLOOKUP(C35,'[25]SOR RATE'!A:D,4,0)</f>
        <v>432.63</v>
      </c>
      <c r="G35" s="1081">
        <f t="shared" si="14"/>
        <v>432.63</v>
      </c>
      <c r="H35" s="1080">
        <v>1</v>
      </c>
      <c r="I35" s="1081">
        <f>+F35</f>
        <v>432.63</v>
      </c>
      <c r="J35" s="1081">
        <f t="shared" si="15"/>
        <v>432.63</v>
      </c>
      <c r="K35" s="1080">
        <v>3</v>
      </c>
      <c r="L35" s="1081">
        <f>+F35</f>
        <v>432.63</v>
      </c>
      <c r="M35" s="1081">
        <f t="shared" si="8"/>
        <v>1297.8899999999999</v>
      </c>
      <c r="N35" s="1080">
        <v>3</v>
      </c>
      <c r="O35" s="1081">
        <f t="shared" si="9"/>
        <v>432.63</v>
      </c>
      <c r="P35" s="1081">
        <f t="shared" si="10"/>
        <v>1297.8899999999999</v>
      </c>
      <c r="Q35" s="1832">
        <v>3</v>
      </c>
      <c r="R35" s="1081">
        <f>VLOOKUP(C35,'[25]SOR RATE'!A:D,4,0)</f>
        <v>432.63</v>
      </c>
      <c r="S35" s="1081">
        <f t="shared" si="11"/>
        <v>1297.8899999999999</v>
      </c>
    </row>
    <row r="36" spans="1:22" ht="18.75" customHeight="1">
      <c r="A36" s="1080">
        <v>19</v>
      </c>
      <c r="B36" s="1840" t="s">
        <v>712</v>
      </c>
      <c r="C36" s="1855">
        <v>7130840029</v>
      </c>
      <c r="D36" s="1080" t="s">
        <v>33</v>
      </c>
      <c r="E36" s="1080">
        <v>3</v>
      </c>
      <c r="F36" s="1081">
        <f>VLOOKUP(C36,'[25]SOR RATE'!A:D,4,0)</f>
        <v>368.52</v>
      </c>
      <c r="G36" s="1081">
        <f>F36*E36</f>
        <v>1105.56</v>
      </c>
      <c r="H36" s="1080">
        <v>3</v>
      </c>
      <c r="I36" s="1081">
        <f>+F36</f>
        <v>368.52</v>
      </c>
      <c r="J36" s="1081">
        <f>I36*H36</f>
        <v>1105.56</v>
      </c>
      <c r="K36" s="1080">
        <v>3</v>
      </c>
      <c r="L36" s="1081">
        <f>+F36</f>
        <v>368.52</v>
      </c>
      <c r="M36" s="1081">
        <f t="shared" si="8"/>
        <v>1105.56</v>
      </c>
      <c r="N36" s="1080">
        <v>3</v>
      </c>
      <c r="O36" s="1081">
        <f t="shared" si="9"/>
        <v>368.52</v>
      </c>
      <c r="P36" s="1081">
        <f t="shared" si="10"/>
        <v>1105.56</v>
      </c>
      <c r="Q36" s="1832">
        <v>3</v>
      </c>
      <c r="R36" s="1081">
        <f>VLOOKUP(C36,'[25]SOR RATE'!A:D,4,0)</f>
        <v>368.52</v>
      </c>
      <c r="S36" s="1081">
        <f t="shared" si="11"/>
        <v>1105.56</v>
      </c>
      <c r="U36" s="622"/>
    </row>
    <row r="37" spans="1:22" ht="17.25" customHeight="1">
      <c r="A37" s="3337">
        <v>20</v>
      </c>
      <c r="B37" s="1840" t="s">
        <v>1678</v>
      </c>
      <c r="C37" s="1855"/>
      <c r="D37" s="1080" t="s">
        <v>26</v>
      </c>
      <c r="E37" s="1922">
        <v>14</v>
      </c>
      <c r="F37" s="1081"/>
      <c r="G37" s="1081"/>
      <c r="H37" s="1922">
        <v>14</v>
      </c>
      <c r="I37" s="1081"/>
      <c r="J37" s="1081"/>
      <c r="K37" s="1922">
        <v>14</v>
      </c>
      <c r="L37" s="1081"/>
      <c r="M37" s="1081"/>
      <c r="N37" s="1922">
        <v>14</v>
      </c>
      <c r="O37" s="1081"/>
      <c r="P37" s="1081"/>
      <c r="Q37" s="2323">
        <v>14</v>
      </c>
      <c r="R37" s="1081"/>
      <c r="S37" s="1081"/>
    </row>
    <row r="38" spans="1:22" ht="17.25" customHeight="1">
      <c r="A38" s="3338"/>
      <c r="B38" s="2280" t="s">
        <v>79</v>
      </c>
      <c r="C38" s="1855">
        <v>7130620609</v>
      </c>
      <c r="D38" s="1080" t="s">
        <v>26</v>
      </c>
      <c r="E38" s="1080">
        <v>1</v>
      </c>
      <c r="F38" s="1081">
        <f>VLOOKUP(C38,'[25]SOR RATE'!A:D,4,0)</f>
        <v>87.23</v>
      </c>
      <c r="G38" s="1081">
        <f>F38*E38</f>
        <v>87.23</v>
      </c>
      <c r="H38" s="1080">
        <v>1</v>
      </c>
      <c r="I38" s="1081">
        <f>+F38</f>
        <v>87.23</v>
      </c>
      <c r="J38" s="1081">
        <f>I38*H38</f>
        <v>87.23</v>
      </c>
      <c r="K38" s="1080">
        <v>1</v>
      </c>
      <c r="L38" s="1081">
        <f>+F38</f>
        <v>87.23</v>
      </c>
      <c r="M38" s="1081">
        <f>L38*K38</f>
        <v>87.23</v>
      </c>
      <c r="N38" s="1080">
        <v>1</v>
      </c>
      <c r="O38" s="1081">
        <f>+F38</f>
        <v>87.23</v>
      </c>
      <c r="P38" s="1081">
        <f>O38*N38</f>
        <v>87.23</v>
      </c>
      <c r="Q38" s="1832">
        <v>1</v>
      </c>
      <c r="R38" s="1081">
        <f>VLOOKUP(C38,'[25]SOR RATE'!A:D,4,0)</f>
        <v>87.23</v>
      </c>
      <c r="S38" s="1081">
        <f>R38*Q38</f>
        <v>87.23</v>
      </c>
    </row>
    <row r="39" spans="1:22" ht="17.25" customHeight="1">
      <c r="A39" s="3338"/>
      <c r="B39" s="2280" t="s">
        <v>111</v>
      </c>
      <c r="C39" s="1855">
        <v>7130620614</v>
      </c>
      <c r="D39" s="1080" t="s">
        <v>26</v>
      </c>
      <c r="E39" s="1080">
        <v>4</v>
      </c>
      <c r="F39" s="1081">
        <f>VLOOKUP(C39,'[25]SOR RATE'!A:D,4,0)</f>
        <v>85.77</v>
      </c>
      <c r="G39" s="1081">
        <f>F39*E39</f>
        <v>343.08</v>
      </c>
      <c r="H39" s="1080">
        <v>4</v>
      </c>
      <c r="I39" s="1081">
        <f>+F39</f>
        <v>85.77</v>
      </c>
      <c r="J39" s="1081">
        <f>I39*H39</f>
        <v>343.08</v>
      </c>
      <c r="K39" s="1080">
        <v>4</v>
      </c>
      <c r="L39" s="1081">
        <f>+F39</f>
        <v>85.77</v>
      </c>
      <c r="M39" s="1081">
        <f>L39*K39</f>
        <v>343.08</v>
      </c>
      <c r="N39" s="1080">
        <v>4</v>
      </c>
      <c r="O39" s="1081">
        <f>+F39</f>
        <v>85.77</v>
      </c>
      <c r="P39" s="1081">
        <f>O39*N39</f>
        <v>343.08</v>
      </c>
      <c r="Q39" s="1832">
        <v>4</v>
      </c>
      <c r="R39" s="1081">
        <f>VLOOKUP(C39,'[25]SOR RATE'!A:D,4,0)</f>
        <v>85.77</v>
      </c>
      <c r="S39" s="1081">
        <f>R39*Q39</f>
        <v>343.08</v>
      </c>
    </row>
    <row r="40" spans="1:22" ht="17.25" customHeight="1">
      <c r="A40" s="3338"/>
      <c r="B40" s="2280" t="s">
        <v>112</v>
      </c>
      <c r="C40" s="1855">
        <v>7130620625</v>
      </c>
      <c r="D40" s="1080" t="s">
        <v>26</v>
      </c>
      <c r="E40" s="1080">
        <v>4</v>
      </c>
      <c r="F40" s="1081">
        <f>VLOOKUP(C40,'[25]SOR RATE'!A:D,4,0)</f>
        <v>84.32</v>
      </c>
      <c r="G40" s="1081">
        <f>F40*E40</f>
        <v>337.28</v>
      </c>
      <c r="H40" s="1080">
        <v>4</v>
      </c>
      <c r="I40" s="1081">
        <f>+F40</f>
        <v>84.32</v>
      </c>
      <c r="J40" s="1081">
        <f>I40*H40</f>
        <v>337.28</v>
      </c>
      <c r="K40" s="1080">
        <v>4</v>
      </c>
      <c r="L40" s="1081">
        <f>+F40</f>
        <v>84.32</v>
      </c>
      <c r="M40" s="1081">
        <f>L40*K40</f>
        <v>337.28</v>
      </c>
      <c r="N40" s="1080">
        <v>4</v>
      </c>
      <c r="O40" s="1081">
        <f>+F40</f>
        <v>84.32</v>
      </c>
      <c r="P40" s="1081">
        <f>O40*N40</f>
        <v>337.28</v>
      </c>
      <c r="Q40" s="1832">
        <v>4</v>
      </c>
      <c r="R40" s="1081">
        <f>VLOOKUP(C40,'[25]SOR RATE'!A:D,4,0)</f>
        <v>84.32</v>
      </c>
      <c r="S40" s="1081">
        <f>R40*Q40</f>
        <v>337.28</v>
      </c>
    </row>
    <row r="41" spans="1:22" ht="17.25" customHeight="1">
      <c r="A41" s="3339"/>
      <c r="B41" s="2280" t="s">
        <v>80</v>
      </c>
      <c r="C41" s="1855">
        <v>7130620631</v>
      </c>
      <c r="D41" s="1080" t="s">
        <v>26</v>
      </c>
      <c r="E41" s="1080">
        <v>5</v>
      </c>
      <c r="F41" s="1081">
        <f>VLOOKUP(C41,'[25]SOR RATE'!A:D,4,0)</f>
        <v>84.32</v>
      </c>
      <c r="G41" s="1081">
        <f>F41*E41</f>
        <v>421.59999999999997</v>
      </c>
      <c r="H41" s="1080">
        <v>5</v>
      </c>
      <c r="I41" s="1081">
        <f>+F41</f>
        <v>84.32</v>
      </c>
      <c r="J41" s="1081">
        <f>I41*H41</f>
        <v>421.59999999999997</v>
      </c>
      <c r="K41" s="1080">
        <v>5</v>
      </c>
      <c r="L41" s="1081">
        <f>+F41</f>
        <v>84.32</v>
      </c>
      <c r="M41" s="1081">
        <f>L41*K41</f>
        <v>421.59999999999997</v>
      </c>
      <c r="N41" s="1080">
        <v>5</v>
      </c>
      <c r="O41" s="1081">
        <f>+F41</f>
        <v>84.32</v>
      </c>
      <c r="P41" s="1081">
        <f>O41*N41</f>
        <v>421.59999999999997</v>
      </c>
      <c r="Q41" s="1832">
        <v>5</v>
      </c>
      <c r="R41" s="1081">
        <f>VLOOKUP(C41,'[25]SOR RATE'!A:D,4,0)</f>
        <v>84.32</v>
      </c>
      <c r="S41" s="1081">
        <f>R41*Q41</f>
        <v>421.59999999999997</v>
      </c>
    </row>
    <row r="42" spans="1:22" ht="17.25" customHeight="1">
      <c r="A42" s="1080">
        <v>21</v>
      </c>
      <c r="B42" s="1840" t="s">
        <v>2364</v>
      </c>
      <c r="C42" s="1855">
        <v>7131920254</v>
      </c>
      <c r="D42" s="1080" t="s">
        <v>12</v>
      </c>
      <c r="E42" s="1080">
        <v>1</v>
      </c>
      <c r="F42" s="1081">
        <f>VLOOKUP(C42,'[25]SOR RATE'!A:D,4,0)</f>
        <v>2126.1</v>
      </c>
      <c r="G42" s="1081">
        <f>F42*E42</f>
        <v>2126.1</v>
      </c>
      <c r="H42" s="1831" t="s">
        <v>1534</v>
      </c>
      <c r="I42" s="1081"/>
      <c r="J42" s="1081"/>
      <c r="K42" s="1831" t="s">
        <v>1534</v>
      </c>
      <c r="L42" s="1081"/>
      <c r="M42" s="1081"/>
      <c r="N42" s="1831" t="s">
        <v>1534</v>
      </c>
      <c r="O42" s="1081"/>
      <c r="P42" s="1081"/>
      <c r="Q42" s="1831" t="s">
        <v>1534</v>
      </c>
      <c r="R42" s="1081"/>
      <c r="S42" s="1081"/>
    </row>
    <row r="43" spans="1:22" ht="17.25" customHeight="1">
      <c r="A43" s="1080">
        <v>22</v>
      </c>
      <c r="B43" s="1886" t="s">
        <v>2397</v>
      </c>
      <c r="C43" s="1852"/>
      <c r="D43" s="1853"/>
      <c r="E43" s="1853"/>
      <c r="F43" s="1853"/>
      <c r="G43" s="1853"/>
      <c r="H43" s="1853"/>
      <c r="I43" s="1853"/>
      <c r="J43" s="1853"/>
      <c r="K43" s="1853"/>
      <c r="L43" s="1853"/>
      <c r="M43" s="1853"/>
      <c r="N43" s="1853"/>
      <c r="O43" s="1853"/>
      <c r="P43" s="1854"/>
      <c r="Q43" s="1839"/>
      <c r="R43" s="1839"/>
      <c r="S43" s="1839"/>
    </row>
    <row r="44" spans="1:22" ht="17.25" customHeight="1">
      <c r="A44" s="1080" t="s">
        <v>1680</v>
      </c>
      <c r="B44" s="1840" t="s">
        <v>2365</v>
      </c>
      <c r="C44" s="1855">
        <v>7130311008</v>
      </c>
      <c r="D44" s="1080" t="s">
        <v>21</v>
      </c>
      <c r="E44" s="1080">
        <v>120</v>
      </c>
      <c r="F44" s="1081">
        <f>VLOOKUP(C44,'[25]SOR RATE'!A:D,4,0)/1000</f>
        <v>24.908200000000001</v>
      </c>
      <c r="G44" s="1081">
        <f>F44*E44</f>
        <v>2988.9839999999999</v>
      </c>
      <c r="H44" s="1831" t="s">
        <v>1534</v>
      </c>
      <c r="I44" s="1081"/>
      <c r="J44" s="1081"/>
      <c r="K44" s="1831" t="s">
        <v>1534</v>
      </c>
      <c r="L44" s="1081"/>
      <c r="M44" s="1081"/>
      <c r="N44" s="1831" t="s">
        <v>1534</v>
      </c>
      <c r="O44" s="1081"/>
      <c r="P44" s="1081"/>
      <c r="Q44" s="1831" t="s">
        <v>1534</v>
      </c>
      <c r="R44" s="1081"/>
      <c r="S44" s="1081"/>
    </row>
    <row r="45" spans="1:22" ht="17.25" customHeight="1">
      <c r="A45" s="1080" t="s">
        <v>1681</v>
      </c>
      <c r="B45" s="1840" t="s">
        <v>2398</v>
      </c>
      <c r="C45" s="1855">
        <v>7130310021</v>
      </c>
      <c r="D45" s="1080" t="s">
        <v>21</v>
      </c>
      <c r="E45" s="1831" t="s">
        <v>1534</v>
      </c>
      <c r="F45" s="1081"/>
      <c r="G45" s="1081"/>
      <c r="H45" s="1080">
        <v>80</v>
      </c>
      <c r="I45" s="1081">
        <f>VLOOKUP(C45,'[25]SOR RATE'!A:D,4,0)/1000</f>
        <v>42.882390000000001</v>
      </c>
      <c r="J45" s="1081">
        <f>I45*H45</f>
        <v>3430.5911999999998</v>
      </c>
      <c r="K45" s="1080"/>
      <c r="L45" s="1081"/>
      <c r="M45" s="1081"/>
      <c r="N45" s="1831"/>
      <c r="O45" s="1081"/>
      <c r="P45" s="1081"/>
      <c r="Q45" s="1081"/>
      <c r="R45" s="1081"/>
      <c r="S45" s="1081"/>
    </row>
    <row r="46" spans="1:22" ht="17.25" customHeight="1">
      <c r="A46" s="1080" t="s">
        <v>1682</v>
      </c>
      <c r="B46" s="1840" t="s">
        <v>2399</v>
      </c>
      <c r="C46" s="1855">
        <v>7130311009</v>
      </c>
      <c r="D46" s="1080" t="s">
        <v>21</v>
      </c>
      <c r="E46" s="1831" t="s">
        <v>1534</v>
      </c>
      <c r="F46" s="1081"/>
      <c r="G46" s="1081"/>
      <c r="H46" s="1831">
        <v>40</v>
      </c>
      <c r="I46" s="1081">
        <f>VLOOKUP(C46,'[25]SOR RATE'!A:D,4,0)/1000</f>
        <v>58.80433</v>
      </c>
      <c r="J46" s="1081">
        <f>I46*H46</f>
        <v>2352.1732000000002</v>
      </c>
      <c r="K46" s="1080">
        <v>120</v>
      </c>
      <c r="L46" s="1081">
        <f>+I46</f>
        <v>58.80433</v>
      </c>
      <c r="M46" s="1081">
        <f>L46*K46</f>
        <v>7056.5195999999996</v>
      </c>
      <c r="N46" s="1080"/>
      <c r="O46" s="1081"/>
      <c r="P46" s="1081"/>
      <c r="Q46" s="1081"/>
      <c r="R46" s="1081"/>
      <c r="S46" s="1081"/>
    </row>
    <row r="47" spans="1:22" ht="17.25" customHeight="1">
      <c r="A47" s="1080" t="s">
        <v>1684</v>
      </c>
      <c r="B47" s="1840" t="s">
        <v>2366</v>
      </c>
      <c r="C47" s="1855">
        <v>7130311010</v>
      </c>
      <c r="D47" s="1080" t="s">
        <v>21</v>
      </c>
      <c r="E47" s="1831"/>
      <c r="F47" s="1081"/>
      <c r="G47" s="1081"/>
      <c r="H47" s="1831"/>
      <c r="I47" s="1081"/>
      <c r="J47" s="1081"/>
      <c r="K47" s="1080">
        <v>40</v>
      </c>
      <c r="L47" s="1081">
        <f>VLOOKUP(C47,'[25]SOR RATE'!A:D,4,0)/1000</f>
        <v>79.580550000000002</v>
      </c>
      <c r="M47" s="1081">
        <f>L47*K47</f>
        <v>3183.2220000000002</v>
      </c>
      <c r="N47" s="1618"/>
      <c r="O47" s="1618"/>
      <c r="P47" s="1618"/>
      <c r="Q47" s="1081"/>
      <c r="R47" s="1081"/>
      <c r="S47" s="1081"/>
    </row>
    <row r="48" spans="1:22" ht="17.25" customHeight="1">
      <c r="A48" s="1080" t="s">
        <v>1689</v>
      </c>
      <c r="B48" s="1840" t="s">
        <v>1683</v>
      </c>
      <c r="C48" s="1855">
        <v>7130311011</v>
      </c>
      <c r="D48" s="1080" t="s">
        <v>21</v>
      </c>
      <c r="E48" s="1080"/>
      <c r="F48" s="1081"/>
      <c r="G48" s="1081"/>
      <c r="H48" s="1080"/>
      <c r="I48" s="1081"/>
      <c r="J48" s="1081"/>
      <c r="K48" s="1080"/>
      <c r="L48" s="1081"/>
      <c r="M48" s="1081"/>
      <c r="N48" s="1080">
        <v>120</v>
      </c>
      <c r="O48" s="1081">
        <f>VLOOKUP(C48,'[25]SOR RATE'!A:D,4,0)/1000</f>
        <v>155.45142000000001</v>
      </c>
      <c r="P48" s="1081">
        <f>N48*O48</f>
        <v>18654.170400000003</v>
      </c>
      <c r="Q48" s="1832">
        <v>120</v>
      </c>
      <c r="R48" s="1081">
        <f>VLOOKUP(C48,'[25]SOR RATE'!A:D,4,0)/1000</f>
        <v>155.45142000000001</v>
      </c>
      <c r="S48" s="1081">
        <f>R48*Q48</f>
        <v>18654.170400000003</v>
      </c>
    </row>
    <row r="49" spans="1:22" ht="17.25" customHeight="1">
      <c r="A49" s="1080" t="s">
        <v>1825</v>
      </c>
      <c r="B49" s="1840" t="s">
        <v>1685</v>
      </c>
      <c r="C49" s="2277">
        <v>7130311012</v>
      </c>
      <c r="D49" s="1918" t="s">
        <v>21</v>
      </c>
      <c r="E49" s="1918"/>
      <c r="F49" s="1848"/>
      <c r="G49" s="1848"/>
      <c r="H49" s="1918"/>
      <c r="I49" s="1848"/>
      <c r="J49" s="1848"/>
      <c r="K49" s="1918"/>
      <c r="L49" s="1848"/>
      <c r="M49" s="1848"/>
      <c r="N49" s="1918">
        <v>40</v>
      </c>
      <c r="O49" s="1848">
        <f>VLOOKUP(C49,'[25]SOR RATE'!A:D,4,0)/1000</f>
        <v>305.83782000000002</v>
      </c>
      <c r="P49" s="1848">
        <f>N49*O49</f>
        <v>12233.5128</v>
      </c>
      <c r="Q49" s="2282">
        <v>40</v>
      </c>
      <c r="R49" s="1848">
        <f>VLOOKUP(C49,'[25]SOR RATE'!A:D,4,0)/1000</f>
        <v>305.83782000000002</v>
      </c>
      <c r="S49" s="1848">
        <f>R49*Q49</f>
        <v>12233.5128</v>
      </c>
      <c r="T49" s="1970" t="s">
        <v>119</v>
      </c>
    </row>
    <row r="50" spans="1:22" ht="49.5" customHeight="1">
      <c r="A50" s="1080">
        <v>23</v>
      </c>
      <c r="B50" s="2283" t="s">
        <v>2367</v>
      </c>
      <c r="C50" s="1852"/>
      <c r="D50" s="1853"/>
      <c r="E50" s="1853"/>
      <c r="F50" s="1853"/>
      <c r="G50" s="1853"/>
      <c r="H50" s="1853"/>
      <c r="I50" s="1853"/>
      <c r="J50" s="1853"/>
      <c r="K50" s="1853"/>
      <c r="L50" s="1853"/>
      <c r="M50" s="1853"/>
      <c r="N50" s="1853"/>
      <c r="O50" s="1853"/>
      <c r="P50" s="1853"/>
      <c r="Q50" s="1853"/>
      <c r="R50" s="1854"/>
      <c r="S50" s="1854"/>
    </row>
    <row r="51" spans="1:22" ht="18" customHeight="1">
      <c r="A51" s="1080" t="s">
        <v>1680</v>
      </c>
      <c r="B51" s="1840" t="s">
        <v>2368</v>
      </c>
      <c r="C51" s="2274">
        <v>7131950065</v>
      </c>
      <c r="D51" s="1919" t="s">
        <v>33</v>
      </c>
      <c r="E51" s="1919"/>
      <c r="F51" s="2275"/>
      <c r="G51" s="2275"/>
      <c r="H51" s="1919">
        <v>1</v>
      </c>
      <c r="I51" s="2275">
        <f>VLOOKUP(C51,'[25]SOR RATE'!A:D,4,0)</f>
        <v>18477.650000000001</v>
      </c>
      <c r="J51" s="2275">
        <f>I51*H51</f>
        <v>18477.650000000001</v>
      </c>
      <c r="K51" s="2284" t="s">
        <v>1534</v>
      </c>
      <c r="L51" s="2275"/>
      <c r="M51" s="2275"/>
      <c r="N51" s="2284" t="s">
        <v>1534</v>
      </c>
      <c r="O51" s="2275"/>
      <c r="P51" s="2275"/>
      <c r="Q51" s="2284" t="s">
        <v>1534</v>
      </c>
      <c r="R51" s="2275"/>
      <c r="S51" s="2275"/>
    </row>
    <row r="52" spans="1:22" ht="18" customHeight="1">
      <c r="A52" s="1080" t="s">
        <v>1681</v>
      </c>
      <c r="B52" s="1840" t="s">
        <v>2369</v>
      </c>
      <c r="C52" s="1855">
        <v>7131950105</v>
      </c>
      <c r="D52" s="1080" t="s">
        <v>33</v>
      </c>
      <c r="E52" s="1080"/>
      <c r="F52" s="1081"/>
      <c r="G52" s="1081"/>
      <c r="H52" s="1080"/>
      <c r="I52" s="1081"/>
      <c r="J52" s="2275"/>
      <c r="K52" s="1080">
        <v>1</v>
      </c>
      <c r="L52" s="1081">
        <f>VLOOKUP(C52,'[25]SOR RATE'!A:D,4,0)</f>
        <v>23098.03</v>
      </c>
      <c r="M52" s="1081">
        <f>L52*K52</f>
        <v>23098.03</v>
      </c>
      <c r="N52" s="1831" t="s">
        <v>1534</v>
      </c>
      <c r="O52" s="1081"/>
      <c r="P52" s="1081"/>
      <c r="Q52" s="1831" t="s">
        <v>1534</v>
      </c>
      <c r="R52" s="1081"/>
      <c r="S52" s="1081"/>
    </row>
    <row r="53" spans="1:22" ht="18" customHeight="1">
      <c r="A53" s="1080" t="s">
        <v>1682</v>
      </c>
      <c r="B53" s="1840" t="s">
        <v>2370</v>
      </c>
      <c r="C53" s="1855">
        <v>7131950200</v>
      </c>
      <c r="D53" s="1080" t="s">
        <v>33</v>
      </c>
      <c r="E53" s="1080"/>
      <c r="F53" s="1081"/>
      <c r="G53" s="1081"/>
      <c r="H53" s="1080"/>
      <c r="I53" s="1081"/>
      <c r="J53" s="1081"/>
      <c r="K53" s="1080"/>
      <c r="L53" s="1081"/>
      <c r="M53" s="1081"/>
      <c r="N53" s="1080">
        <v>1</v>
      </c>
      <c r="O53" s="1081">
        <f>VLOOKUP(C53,'[25]SOR RATE'!A:D,4,0)</f>
        <v>46194.13</v>
      </c>
      <c r="P53" s="1081">
        <f>O53*N53</f>
        <v>46194.13</v>
      </c>
      <c r="Q53" s="1081"/>
      <c r="R53" s="1081"/>
      <c r="S53" s="1081"/>
    </row>
    <row r="54" spans="1:22" ht="18" customHeight="1">
      <c r="A54" s="1080" t="s">
        <v>1684</v>
      </c>
      <c r="B54" s="1840" t="s">
        <v>1692</v>
      </c>
      <c r="C54" s="1855">
        <v>7131950207</v>
      </c>
      <c r="D54" s="1080" t="s">
        <v>33</v>
      </c>
      <c r="E54" s="1080"/>
      <c r="F54" s="1081"/>
      <c r="G54" s="1081"/>
      <c r="H54" s="1080"/>
      <c r="I54" s="1081"/>
      <c r="J54" s="1081"/>
      <c r="K54" s="1080"/>
      <c r="L54" s="1081"/>
      <c r="M54" s="1081"/>
      <c r="N54" s="1080"/>
      <c r="O54" s="1081"/>
      <c r="P54" s="1081"/>
      <c r="Q54" s="1832">
        <v>1</v>
      </c>
      <c r="R54" s="1081">
        <f>VLOOKUP(C54,'[25]SOR RATE'!A:D,4,0)</f>
        <v>39637.360000000001</v>
      </c>
      <c r="S54" s="1081">
        <f>R54*Q54</f>
        <v>39637.360000000001</v>
      </c>
      <c r="T54" s="1970" t="s">
        <v>119</v>
      </c>
    </row>
    <row r="55" spans="1:22" ht="18" customHeight="1">
      <c r="A55" s="1080">
        <v>24</v>
      </c>
      <c r="B55" s="1840" t="s">
        <v>1686</v>
      </c>
      <c r="C55" s="1855">
        <v>7131930221</v>
      </c>
      <c r="D55" s="1080" t="s">
        <v>33</v>
      </c>
      <c r="E55" s="1831" t="s">
        <v>1534</v>
      </c>
      <c r="F55" s="1081"/>
      <c r="G55" s="1081"/>
      <c r="H55" s="1831" t="s">
        <v>1534</v>
      </c>
      <c r="I55" s="1081"/>
      <c r="J55" s="1081"/>
      <c r="K55" s="1831">
        <v>1</v>
      </c>
      <c r="L55" s="1081">
        <f>VLOOKUP(C55,'[25]SOR RATE'!A:D,4,0)</f>
        <v>9934.19</v>
      </c>
      <c r="M55" s="1081">
        <f>L55*K55</f>
        <v>9934.19</v>
      </c>
      <c r="N55" s="1831">
        <v>1</v>
      </c>
      <c r="O55" s="1081">
        <f>VLOOKUP(C55,'[25]SOR RATE'!A:D,4,0)</f>
        <v>9934.19</v>
      </c>
      <c r="P55" s="1081">
        <f>O55*N55</f>
        <v>9934.19</v>
      </c>
      <c r="Q55" s="1832">
        <v>1</v>
      </c>
      <c r="R55" s="1081">
        <f>VLOOKUP(C55,'[25]SOR RATE'!A:D,4,0)</f>
        <v>9934.19</v>
      </c>
      <c r="S55" s="1081">
        <f>R55*Q55</f>
        <v>9934.19</v>
      </c>
    </row>
    <row r="56" spans="1:22" ht="34.5" customHeight="1">
      <c r="A56" s="1922">
        <v>25</v>
      </c>
      <c r="B56" s="1074" t="s">
        <v>48</v>
      </c>
      <c r="C56" s="1836"/>
      <c r="D56" s="2098"/>
      <c r="E56" s="1922"/>
      <c r="F56" s="1922"/>
      <c r="G56" s="1837">
        <f>SUM(G9:G55)</f>
        <v>164364.45218400002</v>
      </c>
      <c r="H56" s="1837"/>
      <c r="I56" s="1837"/>
      <c r="J56" s="1837">
        <f>SUM(J9:J55)</f>
        <v>241495.18258399997</v>
      </c>
      <c r="K56" s="1837"/>
      <c r="L56" s="1837"/>
      <c r="M56" s="1837">
        <f>SUM(M9:M55)</f>
        <v>299625.96978400002</v>
      </c>
      <c r="N56" s="1837"/>
      <c r="O56" s="1837"/>
      <c r="P56" s="1837">
        <f>SUM(P9:P55)</f>
        <v>477285.60510400002</v>
      </c>
      <c r="Q56" s="1837"/>
      <c r="R56" s="1837"/>
      <c r="S56" s="1837">
        <f>SUM(S9:S55)</f>
        <v>981776.88510399964</v>
      </c>
      <c r="T56" s="364"/>
      <c r="U56" s="108"/>
    </row>
    <row r="57" spans="1:22" ht="34.5" customHeight="1">
      <c r="A57" s="1924">
        <v>26</v>
      </c>
      <c r="B57" s="1074" t="s">
        <v>49</v>
      </c>
      <c r="C57" s="1836"/>
      <c r="D57" s="1922"/>
      <c r="E57" s="1922"/>
      <c r="F57" s="1922"/>
      <c r="G57" s="1837">
        <f>G56/1.18</f>
        <v>139291.90863050849</v>
      </c>
      <c r="H57" s="1893"/>
      <c r="I57" s="1837"/>
      <c r="J57" s="1837">
        <f>J56/1.18</f>
        <v>204656.93439322032</v>
      </c>
      <c r="K57" s="1893"/>
      <c r="L57" s="1837"/>
      <c r="M57" s="1837">
        <f>M56/1.18</f>
        <v>253920.31337627122</v>
      </c>
      <c r="N57" s="1893"/>
      <c r="O57" s="1837"/>
      <c r="P57" s="1837">
        <f>P56/1.18</f>
        <v>404479.32635932206</v>
      </c>
      <c r="Q57" s="1837"/>
      <c r="R57" s="1837"/>
      <c r="S57" s="1837">
        <f>S56/1.18</f>
        <v>832014.30941016925</v>
      </c>
      <c r="T57" s="364"/>
      <c r="U57" s="108"/>
    </row>
    <row r="58" spans="1:22" ht="31.5" customHeight="1">
      <c r="A58" s="1918">
        <v>27</v>
      </c>
      <c r="B58" s="1051" t="s">
        <v>50</v>
      </c>
      <c r="C58" s="1839"/>
      <c r="D58" s="1839"/>
      <c r="E58" s="1839"/>
      <c r="F58" s="1826">
        <v>7.4999999999999997E-2</v>
      </c>
      <c r="G58" s="1081">
        <f>G56*F58</f>
        <v>12327.333913800001</v>
      </c>
      <c r="H58" s="2286"/>
      <c r="I58" s="1826">
        <v>7.4999999999999997E-2</v>
      </c>
      <c r="J58" s="1081">
        <f>J56*I58</f>
        <v>18112.138693799996</v>
      </c>
      <c r="K58" s="2286"/>
      <c r="L58" s="1826">
        <v>7.4999999999999997E-2</v>
      </c>
      <c r="M58" s="1081">
        <f>M56*L58</f>
        <v>22471.9477338</v>
      </c>
      <c r="N58" s="2286"/>
      <c r="O58" s="1826">
        <v>7.4999999999999997E-2</v>
      </c>
      <c r="P58" s="1081">
        <f>P56*O58</f>
        <v>35796.420382800003</v>
      </c>
      <c r="Q58" s="1081"/>
      <c r="R58" s="1826">
        <v>7.4999999999999997E-2</v>
      </c>
      <c r="S58" s="1081">
        <f>S56*R58</f>
        <v>73633.266382799964</v>
      </c>
      <c r="T58" s="85"/>
      <c r="U58" s="364"/>
    </row>
    <row r="59" spans="1:22" ht="33" customHeight="1">
      <c r="A59" s="1907">
        <v>28</v>
      </c>
      <c r="B59" s="1051" t="s">
        <v>2442</v>
      </c>
      <c r="C59" s="1860"/>
      <c r="D59" s="1907" t="s">
        <v>12</v>
      </c>
      <c r="E59" s="1907">
        <v>1</v>
      </c>
      <c r="F59" s="1090">
        <f>1119.45*3</f>
        <v>3358.3500000000004</v>
      </c>
      <c r="G59" s="1054">
        <f>F59*E59</f>
        <v>3358.3500000000004</v>
      </c>
      <c r="H59" s="1907">
        <v>1</v>
      </c>
      <c r="I59" s="1054">
        <f>+F59</f>
        <v>3358.3500000000004</v>
      </c>
      <c r="J59" s="1054">
        <f>I59*H59</f>
        <v>3358.3500000000004</v>
      </c>
      <c r="K59" s="1053">
        <v>1</v>
      </c>
      <c r="L59" s="1054">
        <f>+F59</f>
        <v>3358.3500000000004</v>
      </c>
      <c r="M59" s="1054">
        <f>L59*K59</f>
        <v>3358.3500000000004</v>
      </c>
      <c r="N59" s="1080">
        <v>1</v>
      </c>
      <c r="O59" s="1054">
        <f>+L59</f>
        <v>3358.3500000000004</v>
      </c>
      <c r="P59" s="1054">
        <f>O59*N59</f>
        <v>3358.3500000000004</v>
      </c>
      <c r="Q59" s="1053">
        <v>1</v>
      </c>
      <c r="R59" s="1090">
        <f>1119.45*3</f>
        <v>3358.3500000000004</v>
      </c>
      <c r="S59" s="1054">
        <f>R59*Q59</f>
        <v>3358.3500000000004</v>
      </c>
      <c r="T59" s="107"/>
      <c r="U59" s="1940"/>
      <c r="V59" s="1937"/>
    </row>
    <row r="60" spans="1:22" ht="21" customHeight="1">
      <c r="A60" s="1080">
        <v>29</v>
      </c>
      <c r="B60" s="1840" t="s">
        <v>2443</v>
      </c>
      <c r="C60" s="1855"/>
      <c r="D60" s="1080"/>
      <c r="E60" s="1080"/>
      <c r="F60" s="1080"/>
      <c r="G60" s="1081">
        <v>12727.36</v>
      </c>
      <c r="H60" s="1080"/>
      <c r="I60" s="1080"/>
      <c r="J60" s="1081">
        <v>12997.24</v>
      </c>
      <c r="K60" s="1080"/>
      <c r="L60" s="1080"/>
      <c r="M60" s="1081">
        <f>+J60</f>
        <v>12997.24</v>
      </c>
      <c r="N60" s="1080"/>
      <c r="O60" s="1080"/>
      <c r="P60" s="1081">
        <v>16883.46</v>
      </c>
      <c r="Q60" s="1081"/>
      <c r="R60" s="1081"/>
      <c r="S60" s="1081">
        <v>16883.46</v>
      </c>
      <c r="T60" s="90"/>
      <c r="U60" s="1940"/>
      <c r="V60" s="1937"/>
    </row>
    <row r="61" spans="1:22" ht="21" customHeight="1">
      <c r="A61" s="1080">
        <v>30</v>
      </c>
      <c r="B61" s="1908" t="s">
        <v>82</v>
      </c>
      <c r="C61" s="1855"/>
      <c r="D61" s="2287" t="s">
        <v>76</v>
      </c>
      <c r="E61" s="1080">
        <v>2.1</v>
      </c>
      <c r="F61" s="1054">
        <f>665.173187113158*1.043</f>
        <v>693.77563415902364</v>
      </c>
      <c r="G61" s="1081">
        <f>E61*F61</f>
        <v>1456.9288317339497</v>
      </c>
      <c r="H61" s="1080">
        <v>2.1</v>
      </c>
      <c r="I61" s="1054">
        <f>665.173187113158*1.043</f>
        <v>693.77563415902364</v>
      </c>
      <c r="J61" s="1081">
        <f>H61*I61</f>
        <v>1456.9288317339497</v>
      </c>
      <c r="K61" s="1080">
        <v>2.1</v>
      </c>
      <c r="L61" s="1054">
        <f>665.173187113158*1.043</f>
        <v>693.77563415902364</v>
      </c>
      <c r="M61" s="1081">
        <f>K61*L61</f>
        <v>1456.9288317339497</v>
      </c>
      <c r="N61" s="1080">
        <v>2.1</v>
      </c>
      <c r="O61" s="1054">
        <f>665.173187113158*1.043</f>
        <v>693.77563415902364</v>
      </c>
      <c r="P61" s="1081">
        <f>N61*O61</f>
        <v>1456.9288317339497</v>
      </c>
      <c r="Q61" s="2324">
        <v>2.1</v>
      </c>
      <c r="R61" s="1054">
        <f>665.173187113158*1.043</f>
        <v>693.77563415902364</v>
      </c>
      <c r="S61" s="1081">
        <f>R61*Q61</f>
        <v>1456.9288317339497</v>
      </c>
      <c r="T61" s="375"/>
    </row>
    <row r="62" spans="1:22" ht="39" customHeight="1">
      <c r="A62" s="1080">
        <v>31</v>
      </c>
      <c r="B62" s="2288" t="s">
        <v>1716</v>
      </c>
      <c r="C62" s="1855"/>
      <c r="D62" s="2287"/>
      <c r="E62" s="1080"/>
      <c r="F62" s="1054">
        <v>0.02</v>
      </c>
      <c r="G62" s="1894">
        <f>(G9/1.18)*F62</f>
        <v>1058.4744067796612</v>
      </c>
      <c r="H62" s="1080"/>
      <c r="I62" s="1054">
        <v>0.02</v>
      </c>
      <c r="J62" s="1894">
        <f>(J10/1.18)*I62</f>
        <v>2041.2777966101696</v>
      </c>
      <c r="K62" s="1080"/>
      <c r="L62" s="1054">
        <v>0.02</v>
      </c>
      <c r="M62" s="1081">
        <f>(M11/1.18)*L62</f>
        <v>2683.0869491525427</v>
      </c>
      <c r="N62" s="1080"/>
      <c r="O62" s="1054">
        <v>0.02</v>
      </c>
      <c r="P62" s="1081">
        <f>(P12/1.18)*O62</f>
        <v>4946.2506779661016</v>
      </c>
      <c r="Q62" s="2324"/>
      <c r="R62" s="1054"/>
      <c r="S62" s="1081"/>
      <c r="T62" s="1975" t="s">
        <v>119</v>
      </c>
    </row>
    <row r="63" spans="1:22" ht="37.5" customHeight="1">
      <c r="A63" s="1080">
        <v>32</v>
      </c>
      <c r="B63" s="2288" t="s">
        <v>2373</v>
      </c>
      <c r="C63" s="1855"/>
      <c r="D63" s="2287"/>
      <c r="E63" s="1080"/>
      <c r="F63" s="1054"/>
      <c r="G63" s="1894"/>
      <c r="H63" s="1080"/>
      <c r="I63" s="1054"/>
      <c r="J63" s="1894"/>
      <c r="K63" s="1080"/>
      <c r="L63" s="1054"/>
      <c r="M63" s="1081"/>
      <c r="N63" s="1080"/>
      <c r="O63" s="1054"/>
      <c r="P63" s="1081"/>
      <c r="Q63" s="2324"/>
      <c r="R63" s="1054">
        <v>0.01</v>
      </c>
      <c r="S63" s="1081">
        <f>(S13/1.18)*R63</f>
        <v>6804.0410169491524</v>
      </c>
      <c r="T63" s="1975" t="s">
        <v>119</v>
      </c>
    </row>
    <row r="64" spans="1:22" ht="51" customHeight="1">
      <c r="A64" s="1080">
        <v>33</v>
      </c>
      <c r="B64" s="1840" t="s">
        <v>2374</v>
      </c>
      <c r="C64" s="1860"/>
      <c r="D64" s="1080"/>
      <c r="E64" s="1080"/>
      <c r="F64" s="1918">
        <v>0.04</v>
      </c>
      <c r="G64" s="1894">
        <f>((G56-G9)/1.18)*F64</f>
        <v>3454.727531661018</v>
      </c>
      <c r="H64" s="1080"/>
      <c r="I64" s="1918">
        <v>0.04</v>
      </c>
      <c r="J64" s="1894">
        <f>((J56-J10)/1.18)*I64</f>
        <v>4103.7217825084736</v>
      </c>
      <c r="K64" s="1080"/>
      <c r="L64" s="1918">
        <v>0.04</v>
      </c>
      <c r="M64" s="1081">
        <f>((M56-M11)/1.18)*L64</f>
        <v>4790.6386367457635</v>
      </c>
      <c r="N64" s="1080"/>
      <c r="O64" s="1918">
        <v>0.04</v>
      </c>
      <c r="P64" s="1081">
        <f>((P56-P12)/1.18)*O64</f>
        <v>6286.6716984406803</v>
      </c>
      <c r="Q64" s="1081"/>
      <c r="R64" s="1918">
        <v>0.04</v>
      </c>
      <c r="S64" s="1081">
        <f>((S56-S13)/1.18)*R64</f>
        <v>6064.4083086101582</v>
      </c>
      <c r="T64" s="1976" t="s">
        <v>1827</v>
      </c>
      <c r="U64" s="1977"/>
    </row>
    <row r="65" spans="1:21" ht="48" customHeight="1">
      <c r="A65" s="1080">
        <v>34</v>
      </c>
      <c r="B65" s="1841" t="s">
        <v>2444</v>
      </c>
      <c r="C65" s="1860"/>
      <c r="D65" s="1080"/>
      <c r="E65" s="1080"/>
      <c r="F65" s="1080"/>
      <c r="G65" s="1894"/>
      <c r="H65" s="1080"/>
      <c r="I65" s="1080"/>
      <c r="J65" s="1894"/>
      <c r="K65" s="1080"/>
      <c r="L65" s="1080"/>
      <c r="M65" s="1081"/>
      <c r="N65" s="1080"/>
      <c r="O65" s="1080"/>
      <c r="P65" s="1081"/>
      <c r="Q65" s="1081"/>
      <c r="R65" s="1081"/>
      <c r="S65" s="1081"/>
      <c r="T65" s="2018"/>
      <c r="U65" s="1977"/>
    </row>
    <row r="66" spans="1:21" ht="21" customHeight="1">
      <c r="A66" s="2293" t="s">
        <v>1493</v>
      </c>
      <c r="B66" s="1079" t="s">
        <v>2432</v>
      </c>
      <c r="C66" s="1860"/>
      <c r="D66" s="1080"/>
      <c r="E66" s="1080"/>
      <c r="F66" s="1080"/>
      <c r="G66" s="1894">
        <f>(G56+G58+G59+G60+G61+G62+G64)*0.125</f>
        <v>24843.45335849683</v>
      </c>
      <c r="H66" s="1080"/>
      <c r="I66" s="1080"/>
      <c r="J66" s="1894">
        <f>(J56+J58+J59+J60+J61+J62+J64)*0.125</f>
        <v>35445.604961081561</v>
      </c>
      <c r="K66" s="1080"/>
      <c r="L66" s="1080"/>
      <c r="M66" s="1081">
        <f>(M56+M58+M59+M60+M61+M62+M64)*0.125</f>
        <v>43423.020241929022</v>
      </c>
      <c r="N66" s="1080"/>
      <c r="O66" s="1080"/>
      <c r="P66" s="1081">
        <f>(P56+P58+P59+P60+P61+P62+P64)*0.125</f>
        <v>68251.710836867584</v>
      </c>
      <c r="Q66" s="1081"/>
      <c r="R66" s="1081"/>
      <c r="S66" s="1618"/>
      <c r="T66" s="1975" t="s">
        <v>119</v>
      </c>
      <c r="U66" s="1977"/>
    </row>
    <row r="67" spans="1:21" ht="32.25" customHeight="1">
      <c r="A67" s="2293" t="s">
        <v>1494</v>
      </c>
      <c r="B67" s="1079" t="s">
        <v>2433</v>
      </c>
      <c r="C67" s="1860"/>
      <c r="D67" s="1080"/>
      <c r="E67" s="1080"/>
      <c r="F67" s="1080"/>
      <c r="G67" s="1894"/>
      <c r="H67" s="1080"/>
      <c r="I67" s="1080"/>
      <c r="J67" s="1894"/>
      <c r="K67" s="1080"/>
      <c r="L67" s="1080"/>
      <c r="M67" s="1081"/>
      <c r="N67" s="1080"/>
      <c r="O67" s="1080"/>
      <c r="P67" s="1081"/>
      <c r="Q67" s="1081"/>
      <c r="R67" s="1081"/>
      <c r="S67" s="1081">
        <f>(S56+S58+S59+S60+S61+S63+S64)*0.125</f>
        <v>136247.1674555116</v>
      </c>
      <c r="T67" s="1975" t="s">
        <v>119</v>
      </c>
      <c r="U67" s="1977"/>
    </row>
    <row r="68" spans="1:21" ht="82.5" customHeight="1">
      <c r="A68" s="1922">
        <v>35</v>
      </c>
      <c r="B68" s="1842" t="s">
        <v>2434</v>
      </c>
      <c r="C68" s="1860"/>
      <c r="D68" s="1080"/>
      <c r="E68" s="1080"/>
      <c r="F68" s="1080"/>
      <c r="G68" s="1837">
        <f>SUM(G57:G66)</f>
        <v>198518.53667297994</v>
      </c>
      <c r="H68" s="1837"/>
      <c r="I68" s="1837"/>
      <c r="J68" s="1837">
        <f>SUM(J57:J66)</f>
        <v>282172.19645895448</v>
      </c>
      <c r="K68" s="1837"/>
      <c r="L68" s="1837"/>
      <c r="M68" s="1837">
        <f>SUM(M57:M66)</f>
        <v>345101.52576963243</v>
      </c>
      <c r="N68" s="1837"/>
      <c r="O68" s="1837"/>
      <c r="P68" s="1837">
        <f>SUM(P57:P66)</f>
        <v>541459.11878713034</v>
      </c>
      <c r="Q68" s="1837"/>
      <c r="R68" s="1837"/>
      <c r="S68" s="1837">
        <f>SUM(S57:S67)</f>
        <v>1076461.9314057741</v>
      </c>
      <c r="T68" s="1976" t="s">
        <v>1827</v>
      </c>
    </row>
    <row r="69" spans="1:21" ht="21" customHeight="1">
      <c r="A69" s="1080">
        <v>36</v>
      </c>
      <c r="B69" s="1051" t="s">
        <v>2435</v>
      </c>
      <c r="C69" s="1860"/>
      <c r="D69" s="1080"/>
      <c r="E69" s="1080"/>
      <c r="F69" s="1080">
        <v>0.09</v>
      </c>
      <c r="G69" s="1081">
        <f>G68*F69</f>
        <v>17866.668300568195</v>
      </c>
      <c r="H69" s="1081"/>
      <c r="I69" s="1081">
        <v>0.09</v>
      </c>
      <c r="J69" s="1081">
        <f>J68*I69</f>
        <v>25395.497681305904</v>
      </c>
      <c r="K69" s="1081"/>
      <c r="L69" s="1081">
        <v>0.09</v>
      </c>
      <c r="M69" s="1081">
        <f>M68*L69</f>
        <v>31059.137319266916</v>
      </c>
      <c r="N69" s="1081"/>
      <c r="O69" s="1081">
        <v>0.09</v>
      </c>
      <c r="P69" s="1081">
        <f>P68*O69</f>
        <v>48731.320690841727</v>
      </c>
      <c r="Q69" s="1081"/>
      <c r="R69" s="1081">
        <v>0.09</v>
      </c>
      <c r="S69" s="1081">
        <f>S68*R69</f>
        <v>96881.573826519671</v>
      </c>
      <c r="T69" s="377"/>
    </row>
    <row r="70" spans="1:21" ht="21" customHeight="1">
      <c r="A70" s="1080">
        <v>37</v>
      </c>
      <c r="B70" s="1051" t="s">
        <v>2436</v>
      </c>
      <c r="C70" s="1860"/>
      <c r="D70" s="1080"/>
      <c r="E70" s="1080"/>
      <c r="F70" s="1080">
        <v>0.09</v>
      </c>
      <c r="G70" s="1081">
        <f>G68*F70</f>
        <v>17866.668300568195</v>
      </c>
      <c r="H70" s="1080"/>
      <c r="I70" s="1080">
        <v>0.09</v>
      </c>
      <c r="J70" s="1081">
        <f>J68*I70</f>
        <v>25395.497681305904</v>
      </c>
      <c r="K70" s="1080"/>
      <c r="L70" s="1080">
        <v>0.09</v>
      </c>
      <c r="M70" s="1081">
        <f>M68*L70</f>
        <v>31059.137319266916</v>
      </c>
      <c r="N70" s="1080"/>
      <c r="O70" s="1080">
        <v>0.09</v>
      </c>
      <c r="P70" s="1081">
        <f>P68*O70</f>
        <v>48731.320690841727</v>
      </c>
      <c r="Q70" s="1081"/>
      <c r="R70" s="1081">
        <v>0.09</v>
      </c>
      <c r="S70" s="1081">
        <f>S68*R70</f>
        <v>96881.573826519671</v>
      </c>
      <c r="T70" s="2019"/>
    </row>
    <row r="71" spans="1:21" ht="32.25" customHeight="1">
      <c r="A71" s="1080">
        <v>38</v>
      </c>
      <c r="B71" s="1841" t="s">
        <v>2437</v>
      </c>
      <c r="C71" s="1855"/>
      <c r="D71" s="1080"/>
      <c r="E71" s="1080"/>
      <c r="F71" s="1080"/>
      <c r="G71" s="1081">
        <f>G68+G69+G70</f>
        <v>234251.87327411631</v>
      </c>
      <c r="H71" s="1081"/>
      <c r="I71" s="1081"/>
      <c r="J71" s="1081">
        <f>J68+J69+J70</f>
        <v>332963.19182156632</v>
      </c>
      <c r="K71" s="1081"/>
      <c r="L71" s="1081"/>
      <c r="M71" s="1081">
        <f>M68+M69+M70</f>
        <v>407219.80040816625</v>
      </c>
      <c r="N71" s="1081"/>
      <c r="O71" s="1081"/>
      <c r="P71" s="1081">
        <f>P68+P69+P70</f>
        <v>638921.76016881387</v>
      </c>
      <c r="Q71" s="1081"/>
      <c r="R71" s="1081"/>
      <c r="S71" s="1081">
        <f>S68+S69+S70</f>
        <v>1270225.0790588136</v>
      </c>
    </row>
    <row r="72" spans="1:21" ht="36" customHeight="1">
      <c r="A72" s="1922">
        <v>39</v>
      </c>
      <c r="B72" s="1082" t="s">
        <v>59</v>
      </c>
      <c r="C72" s="1075"/>
      <c r="D72" s="1922"/>
      <c r="E72" s="1922"/>
      <c r="F72" s="1922"/>
      <c r="G72" s="356">
        <f>ROUND(G71,0)</f>
        <v>234252</v>
      </c>
      <c r="H72" s="356"/>
      <c r="I72" s="356"/>
      <c r="J72" s="356">
        <f>ROUND(J71,0)</f>
        <v>332963</v>
      </c>
      <c r="K72" s="356"/>
      <c r="L72" s="356"/>
      <c r="M72" s="356">
        <f>ROUND(M71,0)</f>
        <v>407220</v>
      </c>
      <c r="N72" s="356"/>
      <c r="O72" s="356"/>
      <c r="P72" s="356">
        <f>ROUND(P71,0)</f>
        <v>638922</v>
      </c>
      <c r="Q72" s="356"/>
      <c r="R72" s="356"/>
      <c r="S72" s="356">
        <f>ROUND(S71,0)</f>
        <v>1270225</v>
      </c>
    </row>
    <row r="73" spans="1:21" ht="12.75" customHeight="1">
      <c r="A73" s="2020"/>
      <c r="B73" s="2021"/>
      <c r="C73" s="2022"/>
      <c r="D73" s="2020"/>
      <c r="E73" s="2020"/>
      <c r="F73" s="2020"/>
      <c r="G73" s="2023"/>
      <c r="H73" s="2020"/>
      <c r="I73" s="2020"/>
      <c r="J73" s="2023"/>
      <c r="K73" s="2020"/>
      <c r="L73" s="2020"/>
      <c r="M73" s="2023"/>
      <c r="N73" s="2020"/>
      <c r="O73" s="2020"/>
      <c r="P73" s="2023"/>
      <c r="Q73" s="2023"/>
      <c r="R73" s="2023"/>
      <c r="S73" s="2023"/>
    </row>
    <row r="74" spans="1:21" ht="19.5" customHeight="1">
      <c r="A74" s="610"/>
      <c r="B74" s="3365" t="s">
        <v>2438</v>
      </c>
      <c r="C74" s="3365"/>
      <c r="D74" s="3365"/>
      <c r="E74" s="3365"/>
      <c r="F74" s="3365"/>
      <c r="G74" s="3365"/>
      <c r="H74" s="3365"/>
      <c r="I74" s="1961"/>
      <c r="J74" s="1961"/>
      <c r="K74" s="1961"/>
      <c r="L74" s="1961"/>
      <c r="M74" s="1961"/>
      <c r="N74" s="1961"/>
      <c r="O74" s="1961"/>
      <c r="P74" s="1961"/>
      <c r="Q74" s="1961"/>
      <c r="R74" s="1961"/>
      <c r="S74" s="1961"/>
    </row>
    <row r="75" spans="1:21" ht="18.75" customHeight="1">
      <c r="B75" s="3366" t="s">
        <v>2439</v>
      </c>
      <c r="C75" s="3366"/>
      <c r="D75" s="3366"/>
      <c r="E75" s="3366"/>
      <c r="F75" s="3366"/>
      <c r="G75" s="3366"/>
      <c r="H75" s="3366"/>
    </row>
    <row r="77" spans="1:21" ht="33.75" customHeight="1">
      <c r="B77" s="3342" t="s">
        <v>2384</v>
      </c>
      <c r="C77" s="3342"/>
      <c r="D77" s="3342"/>
      <c r="E77" s="3342"/>
      <c r="F77" s="3342"/>
      <c r="G77" s="3342"/>
      <c r="H77" s="3342"/>
    </row>
    <row r="78" spans="1:21" ht="18">
      <c r="A78" s="614" t="s">
        <v>62</v>
      </c>
      <c r="B78" s="622" t="s">
        <v>2180</v>
      </c>
      <c r="C78" s="605"/>
      <c r="D78" s="605"/>
      <c r="E78" s="605"/>
      <c r="F78" s="605"/>
      <c r="G78" s="605"/>
      <c r="H78" s="605"/>
      <c r="I78" s="605"/>
      <c r="J78" s="605"/>
      <c r="K78" s="605"/>
      <c r="L78" s="605"/>
      <c r="M78" s="605"/>
      <c r="N78" s="605"/>
      <c r="O78" s="605"/>
    </row>
    <row r="79" spans="1:21">
      <c r="A79" s="631"/>
      <c r="B79" s="605"/>
      <c r="C79" s="605"/>
      <c r="D79" s="605"/>
      <c r="E79" s="605"/>
      <c r="F79" s="605"/>
      <c r="G79" s="605"/>
      <c r="H79" s="605"/>
      <c r="I79" s="605"/>
      <c r="J79" s="605"/>
      <c r="K79" s="605"/>
      <c r="L79" s="605"/>
      <c r="M79" s="605"/>
      <c r="N79" s="605"/>
      <c r="O79" s="605"/>
    </row>
    <row r="80" spans="1:21">
      <c r="A80" s="631"/>
      <c r="B80" s="605"/>
      <c r="C80" s="605"/>
      <c r="D80" s="605"/>
      <c r="E80" s="605"/>
      <c r="F80" s="605"/>
      <c r="G80" s="605"/>
      <c r="H80" s="605"/>
      <c r="I80" s="605"/>
      <c r="J80" s="605"/>
      <c r="K80" s="605"/>
      <c r="L80" s="605"/>
      <c r="M80" s="605"/>
      <c r="N80" s="605"/>
      <c r="O80" s="605"/>
      <c r="P80" s="605"/>
      <c r="Q80" s="605"/>
      <c r="R80" s="605"/>
      <c r="S80" s="605"/>
    </row>
    <row r="81" spans="1:19">
      <c r="A81" s="631"/>
      <c r="B81" s="605"/>
      <c r="C81" s="605"/>
      <c r="D81" s="605"/>
      <c r="E81" s="605"/>
      <c r="F81" s="605"/>
      <c r="G81" s="605"/>
      <c r="H81" s="605"/>
      <c r="I81" s="605"/>
      <c r="J81" s="605"/>
      <c r="K81" s="605"/>
      <c r="L81" s="605"/>
      <c r="M81" s="605"/>
      <c r="N81" s="605"/>
      <c r="O81" s="605"/>
      <c r="P81" s="605"/>
      <c r="Q81" s="605"/>
      <c r="R81" s="605"/>
      <c r="S81" s="605"/>
    </row>
    <row r="82" spans="1:19">
      <c r="A82" s="631"/>
      <c r="B82" s="605"/>
      <c r="C82" s="605"/>
      <c r="D82" s="605"/>
      <c r="E82" s="605"/>
      <c r="F82" s="605"/>
      <c r="G82" s="605"/>
      <c r="H82" s="605"/>
      <c r="I82" s="605"/>
      <c r="J82" s="605"/>
      <c r="K82" s="605"/>
      <c r="L82" s="605"/>
      <c r="M82" s="605"/>
      <c r="N82" s="605"/>
      <c r="O82" s="605"/>
      <c r="P82" s="605"/>
      <c r="Q82" s="605"/>
      <c r="R82" s="605"/>
      <c r="S82" s="605"/>
    </row>
    <row r="83" spans="1:19">
      <c r="A83" s="631"/>
      <c r="B83" s="605"/>
      <c r="C83" s="605"/>
      <c r="D83" s="605"/>
      <c r="E83" s="605"/>
      <c r="F83" s="605"/>
      <c r="G83" s="605"/>
      <c r="H83" s="605"/>
      <c r="I83" s="605"/>
      <c r="J83" s="605"/>
      <c r="K83" s="605"/>
      <c r="L83" s="605"/>
      <c r="M83" s="605"/>
      <c r="N83" s="605"/>
      <c r="O83" s="605"/>
      <c r="P83" s="605"/>
      <c r="Q83" s="605"/>
      <c r="R83" s="605"/>
      <c r="S83" s="605"/>
    </row>
    <row r="84" spans="1:19">
      <c r="A84" s="631"/>
      <c r="B84" s="605"/>
      <c r="C84" s="605"/>
      <c r="D84" s="605"/>
      <c r="E84" s="605"/>
      <c r="F84" s="605"/>
      <c r="G84" s="605"/>
      <c r="H84" s="605"/>
      <c r="I84" s="605"/>
      <c r="J84" s="605"/>
      <c r="K84" s="605"/>
      <c r="L84" s="605"/>
      <c r="M84" s="605"/>
      <c r="N84" s="605"/>
      <c r="O84" s="605"/>
      <c r="P84" s="605"/>
      <c r="Q84" s="605"/>
      <c r="R84" s="605"/>
      <c r="S84" s="605"/>
    </row>
    <row r="85" spans="1:19">
      <c r="A85" s="631"/>
      <c r="B85" s="605"/>
      <c r="C85" s="605"/>
      <c r="D85" s="605"/>
      <c r="E85" s="605"/>
      <c r="F85" s="605"/>
      <c r="G85" s="605"/>
      <c r="H85" s="605"/>
      <c r="I85" s="605"/>
      <c r="J85" s="605"/>
      <c r="K85" s="605"/>
      <c r="L85" s="605"/>
      <c r="M85" s="605"/>
      <c r="N85" s="605"/>
      <c r="O85" s="605"/>
      <c r="P85" s="605"/>
      <c r="Q85" s="605"/>
      <c r="R85" s="605"/>
      <c r="S85" s="605"/>
    </row>
    <row r="86" spans="1:19">
      <c r="A86" s="631"/>
      <c r="B86" s="605"/>
      <c r="C86" s="605"/>
      <c r="D86" s="605"/>
      <c r="E86" s="605"/>
      <c r="F86" s="605"/>
      <c r="G86" s="605"/>
      <c r="H86" s="605"/>
      <c r="I86" s="605"/>
      <c r="J86" s="605"/>
      <c r="K86" s="605"/>
      <c r="L86" s="605"/>
      <c r="M86" s="605"/>
      <c r="N86" s="605"/>
      <c r="O86" s="605"/>
      <c r="P86" s="605"/>
      <c r="Q86" s="605"/>
      <c r="R86" s="605"/>
      <c r="S86" s="605"/>
    </row>
    <row r="87" spans="1:19">
      <c r="A87" s="631"/>
      <c r="B87" s="605"/>
      <c r="C87" s="605"/>
      <c r="D87" s="605"/>
      <c r="E87" s="605"/>
      <c r="F87" s="605"/>
      <c r="G87" s="605"/>
      <c r="H87" s="605"/>
      <c r="I87" s="605"/>
      <c r="J87" s="605"/>
      <c r="K87" s="605"/>
      <c r="L87" s="605"/>
      <c r="M87" s="605"/>
      <c r="N87" s="605"/>
      <c r="O87" s="605"/>
      <c r="P87" s="605"/>
      <c r="Q87" s="605"/>
      <c r="R87" s="605"/>
      <c r="S87" s="605"/>
    </row>
    <row r="88" spans="1:19">
      <c r="A88" s="631"/>
      <c r="B88" s="605"/>
      <c r="C88" s="605"/>
      <c r="D88" s="605"/>
      <c r="E88" s="605"/>
      <c r="F88" s="605"/>
      <c r="G88" s="605"/>
      <c r="H88" s="605"/>
      <c r="I88" s="605"/>
      <c r="J88" s="605"/>
      <c r="K88" s="605"/>
      <c r="L88" s="605"/>
      <c r="M88" s="605"/>
      <c r="N88" s="605"/>
      <c r="O88" s="605"/>
      <c r="P88" s="605"/>
      <c r="Q88" s="605"/>
      <c r="R88" s="605"/>
      <c r="S88" s="605"/>
    </row>
    <row r="89" spans="1:19">
      <c r="A89" s="631"/>
      <c r="B89" s="605"/>
      <c r="C89" s="605"/>
      <c r="D89" s="605"/>
      <c r="E89" s="605"/>
      <c r="F89" s="605"/>
      <c r="G89" s="605"/>
      <c r="H89" s="605"/>
      <c r="I89" s="605"/>
      <c r="J89" s="605"/>
      <c r="K89" s="605"/>
      <c r="L89" s="605"/>
      <c r="M89" s="605"/>
      <c r="N89" s="605"/>
      <c r="O89" s="605"/>
      <c r="P89" s="605"/>
      <c r="Q89" s="605"/>
      <c r="R89" s="605"/>
      <c r="S89" s="605"/>
    </row>
    <row r="90" spans="1:19">
      <c r="A90" s="631"/>
      <c r="B90" s="605"/>
      <c r="C90" s="605"/>
      <c r="D90" s="605"/>
      <c r="E90" s="605"/>
      <c r="F90" s="605"/>
      <c r="G90" s="605"/>
      <c r="H90" s="605"/>
      <c r="I90" s="605"/>
      <c r="J90" s="605"/>
      <c r="K90" s="605"/>
      <c r="L90" s="605"/>
      <c r="M90" s="605"/>
      <c r="N90" s="605"/>
      <c r="O90" s="605"/>
      <c r="P90" s="605"/>
      <c r="Q90" s="605"/>
      <c r="R90" s="605"/>
      <c r="S90" s="605"/>
    </row>
    <row r="91" spans="1:19">
      <c r="A91" s="631"/>
      <c r="B91" s="605"/>
      <c r="C91" s="605"/>
      <c r="D91" s="605"/>
      <c r="E91" s="605"/>
      <c r="F91" s="605"/>
      <c r="G91" s="605"/>
      <c r="H91" s="605"/>
      <c r="I91" s="605"/>
      <c r="J91" s="605"/>
      <c r="K91" s="605"/>
      <c r="L91" s="605"/>
      <c r="M91" s="605"/>
      <c r="N91" s="605"/>
      <c r="O91" s="605"/>
      <c r="P91" s="605"/>
      <c r="Q91" s="605"/>
      <c r="R91" s="605"/>
      <c r="S91" s="605"/>
    </row>
    <row r="92" spans="1:19">
      <c r="A92" s="631"/>
      <c r="B92" s="605"/>
      <c r="C92" s="605"/>
      <c r="D92" s="605"/>
      <c r="E92" s="605"/>
      <c r="F92" s="605"/>
      <c r="G92" s="605"/>
      <c r="H92" s="605"/>
      <c r="I92" s="605"/>
      <c r="J92" s="605"/>
      <c r="K92" s="605"/>
      <c r="L92" s="605"/>
      <c r="M92" s="605"/>
      <c r="N92" s="605"/>
      <c r="O92" s="605"/>
      <c r="P92" s="605"/>
      <c r="Q92" s="605"/>
      <c r="R92" s="605"/>
      <c r="S92" s="605"/>
    </row>
    <row r="93" spans="1:19">
      <c r="A93" s="631"/>
      <c r="B93" s="605"/>
      <c r="C93" s="605"/>
      <c r="D93" s="605"/>
      <c r="E93" s="605"/>
      <c r="F93" s="605"/>
      <c r="G93" s="605"/>
      <c r="H93" s="605"/>
      <c r="I93" s="605"/>
      <c r="J93" s="605"/>
      <c r="K93" s="605"/>
      <c r="L93" s="605"/>
      <c r="M93" s="605"/>
      <c r="N93" s="605"/>
      <c r="O93" s="605"/>
      <c r="P93" s="605"/>
      <c r="Q93" s="605"/>
      <c r="R93" s="605"/>
      <c r="S93" s="605"/>
    </row>
    <row r="94" spans="1:19">
      <c r="A94" s="631"/>
      <c r="B94" s="605"/>
      <c r="C94" s="605"/>
      <c r="D94" s="605"/>
      <c r="E94" s="605"/>
      <c r="F94" s="605"/>
      <c r="G94" s="605"/>
      <c r="H94" s="605"/>
      <c r="I94" s="605"/>
      <c r="J94" s="605"/>
      <c r="K94" s="605"/>
      <c r="L94" s="605"/>
      <c r="M94" s="605"/>
      <c r="N94" s="605"/>
      <c r="O94" s="605"/>
      <c r="P94" s="605"/>
      <c r="Q94" s="605"/>
      <c r="R94" s="605"/>
      <c r="S94" s="605"/>
    </row>
    <row r="95" spans="1:19">
      <c r="A95" s="631"/>
      <c r="B95" s="605"/>
      <c r="C95" s="605"/>
      <c r="D95" s="605"/>
      <c r="E95" s="605"/>
      <c r="F95" s="605"/>
      <c r="G95" s="605"/>
      <c r="H95" s="605"/>
      <c r="I95" s="605"/>
      <c r="J95" s="605"/>
      <c r="K95" s="605"/>
      <c r="L95" s="605"/>
      <c r="M95" s="605"/>
      <c r="N95" s="605"/>
      <c r="O95" s="605"/>
      <c r="P95" s="605"/>
      <c r="Q95" s="605"/>
      <c r="R95" s="605"/>
      <c r="S95" s="605"/>
    </row>
    <row r="96" spans="1:19" ht="15.75">
      <c r="A96" s="631"/>
      <c r="B96" s="2024"/>
      <c r="C96" s="605"/>
      <c r="D96" s="605"/>
      <c r="E96" s="605"/>
      <c r="F96" s="605"/>
      <c r="G96" s="605"/>
      <c r="H96" s="605"/>
      <c r="I96" s="605"/>
      <c r="J96" s="605"/>
      <c r="K96" s="605"/>
      <c r="L96" s="605"/>
      <c r="M96" s="605"/>
      <c r="N96" s="605"/>
      <c r="O96" s="605"/>
      <c r="P96" s="605"/>
      <c r="Q96" s="605"/>
      <c r="R96" s="605"/>
      <c r="S96" s="605"/>
    </row>
    <row r="97" spans="1:19">
      <c r="A97" s="631"/>
      <c r="B97" s="605"/>
      <c r="C97" s="605"/>
      <c r="D97" s="605"/>
      <c r="E97" s="605"/>
      <c r="F97" s="605"/>
      <c r="G97" s="605"/>
      <c r="H97" s="605"/>
      <c r="I97" s="605"/>
      <c r="J97" s="605"/>
      <c r="K97" s="605"/>
      <c r="L97" s="605"/>
      <c r="M97" s="605"/>
      <c r="N97" s="605"/>
      <c r="O97" s="605"/>
      <c r="P97" s="605"/>
      <c r="Q97" s="605"/>
      <c r="R97" s="605"/>
      <c r="S97" s="605"/>
    </row>
    <row r="98" spans="1:19">
      <c r="A98" s="631"/>
      <c r="B98" s="605"/>
      <c r="C98" s="605"/>
      <c r="D98" s="605"/>
      <c r="E98" s="605"/>
      <c r="F98" s="605"/>
      <c r="G98" s="605"/>
      <c r="H98" s="605"/>
      <c r="I98" s="605"/>
      <c r="J98" s="605"/>
      <c r="K98" s="605"/>
      <c r="L98" s="605"/>
      <c r="M98" s="605"/>
      <c r="N98" s="605"/>
      <c r="O98" s="605"/>
      <c r="P98" s="605"/>
      <c r="Q98" s="605"/>
      <c r="R98" s="605"/>
      <c r="S98" s="605"/>
    </row>
    <row r="99" spans="1:19" ht="15">
      <c r="A99" s="1977"/>
      <c r="B99" s="1978"/>
      <c r="C99" s="1981"/>
      <c r="D99" s="1977"/>
      <c r="E99" s="1977"/>
      <c r="F99" s="1982"/>
      <c r="G99" s="1982"/>
      <c r="H99" s="1983"/>
      <c r="I99" s="1982"/>
      <c r="J99" s="1982"/>
      <c r="K99" s="1983"/>
      <c r="L99" s="1982"/>
      <c r="M99" s="1982"/>
      <c r="N99" s="1983"/>
      <c r="O99" s="1982"/>
      <c r="P99" s="1982"/>
      <c r="Q99" s="1982"/>
      <c r="R99" s="1982"/>
      <c r="S99" s="1982"/>
    </row>
    <row r="100" spans="1:19">
      <c r="A100" s="631"/>
      <c r="B100" s="605"/>
      <c r="C100" s="605"/>
      <c r="D100" s="605"/>
      <c r="E100" s="605"/>
      <c r="F100" s="605"/>
      <c r="G100" s="605"/>
      <c r="H100" s="605"/>
      <c r="I100" s="605"/>
      <c r="J100" s="605"/>
      <c r="K100" s="605"/>
      <c r="L100" s="605"/>
      <c r="M100" s="605"/>
      <c r="N100" s="605"/>
      <c r="O100" s="605"/>
      <c r="P100" s="605"/>
      <c r="Q100" s="605"/>
      <c r="R100" s="605"/>
      <c r="S100" s="605"/>
    </row>
    <row r="101" spans="1:19">
      <c r="A101" s="631"/>
      <c r="B101" s="605"/>
      <c r="C101" s="605"/>
      <c r="D101" s="605"/>
      <c r="E101" s="605"/>
      <c r="F101" s="605"/>
      <c r="G101" s="605"/>
      <c r="H101" s="605"/>
      <c r="I101" s="605"/>
      <c r="J101" s="605"/>
      <c r="K101" s="605"/>
      <c r="L101" s="605"/>
      <c r="M101" s="605"/>
      <c r="N101" s="605"/>
      <c r="O101" s="605"/>
      <c r="P101" s="605"/>
      <c r="Q101" s="605"/>
      <c r="R101" s="605"/>
      <c r="S101" s="605"/>
    </row>
    <row r="102" spans="1:19">
      <c r="A102" s="631"/>
      <c r="B102" s="605"/>
      <c r="C102" s="605"/>
      <c r="D102" s="605"/>
      <c r="E102" s="605"/>
      <c r="F102" s="605"/>
      <c r="G102" s="605"/>
      <c r="H102" s="605"/>
      <c r="I102" s="605"/>
      <c r="J102" s="605"/>
      <c r="K102" s="605"/>
      <c r="L102" s="605"/>
      <c r="M102" s="605"/>
      <c r="N102" s="605"/>
      <c r="O102" s="605"/>
      <c r="P102" s="605"/>
      <c r="Q102" s="605"/>
      <c r="R102" s="605"/>
      <c r="S102" s="605"/>
    </row>
    <row r="103" spans="1:19">
      <c r="A103" s="631"/>
      <c r="B103" s="605"/>
      <c r="C103" s="605"/>
      <c r="D103" s="605"/>
      <c r="E103" s="605"/>
      <c r="F103" s="605"/>
      <c r="G103" s="605"/>
      <c r="H103" s="605"/>
      <c r="I103" s="605"/>
      <c r="J103" s="605"/>
      <c r="K103" s="605"/>
      <c r="L103" s="605"/>
      <c r="M103" s="605"/>
      <c r="N103" s="605"/>
      <c r="O103" s="605"/>
      <c r="P103" s="605"/>
      <c r="Q103" s="605"/>
      <c r="R103" s="605"/>
      <c r="S103" s="605"/>
    </row>
    <row r="104" spans="1:19">
      <c r="A104" s="631"/>
      <c r="B104" s="605"/>
      <c r="C104" s="605"/>
      <c r="D104" s="605"/>
      <c r="E104" s="605"/>
      <c r="F104" s="605"/>
      <c r="G104" s="605"/>
      <c r="H104" s="605"/>
      <c r="I104" s="605"/>
      <c r="J104" s="605"/>
      <c r="K104" s="605"/>
      <c r="L104" s="605"/>
      <c r="M104" s="605"/>
      <c r="N104" s="605"/>
      <c r="O104" s="605"/>
      <c r="P104" s="605"/>
      <c r="Q104" s="605"/>
      <c r="R104" s="605"/>
      <c r="S104" s="605"/>
    </row>
    <row r="105" spans="1:19">
      <c r="A105" s="631"/>
      <c r="B105" s="605"/>
      <c r="C105" s="605"/>
      <c r="D105" s="605"/>
      <c r="E105" s="605"/>
      <c r="F105" s="605"/>
      <c r="G105" s="605"/>
      <c r="H105" s="605"/>
      <c r="I105" s="605"/>
      <c r="J105" s="605"/>
      <c r="K105" s="605"/>
      <c r="L105" s="605"/>
      <c r="M105" s="605"/>
      <c r="N105" s="605"/>
      <c r="O105" s="605"/>
      <c r="P105" s="605"/>
      <c r="Q105" s="605"/>
      <c r="R105" s="605"/>
      <c r="S105" s="605"/>
    </row>
    <row r="106" spans="1:19">
      <c r="A106" s="631"/>
      <c r="B106" s="605"/>
      <c r="C106" s="605"/>
      <c r="D106" s="605"/>
      <c r="E106" s="605"/>
      <c r="F106" s="605"/>
      <c r="G106" s="605"/>
      <c r="H106" s="605"/>
      <c r="I106" s="605"/>
      <c r="J106" s="605"/>
      <c r="K106" s="605"/>
      <c r="L106" s="605"/>
      <c r="M106" s="605"/>
      <c r="N106" s="605"/>
      <c r="O106" s="605"/>
      <c r="P106" s="605"/>
      <c r="Q106" s="605"/>
      <c r="R106" s="605"/>
      <c r="S106" s="605"/>
    </row>
    <row r="107" spans="1:19">
      <c r="A107" s="631"/>
      <c r="B107" s="605"/>
      <c r="C107" s="605"/>
      <c r="D107" s="605"/>
      <c r="E107" s="605"/>
      <c r="F107" s="605"/>
      <c r="G107" s="605"/>
      <c r="H107" s="605"/>
      <c r="I107" s="605"/>
      <c r="J107" s="605"/>
      <c r="K107" s="605"/>
      <c r="L107" s="605"/>
      <c r="M107" s="605"/>
      <c r="N107" s="605"/>
      <c r="O107" s="605"/>
      <c r="P107" s="605"/>
      <c r="Q107" s="605"/>
      <c r="R107" s="605"/>
      <c r="S107" s="605"/>
    </row>
    <row r="108" spans="1:19">
      <c r="A108" s="631"/>
      <c r="B108" s="605"/>
      <c r="C108" s="605"/>
      <c r="D108" s="605"/>
      <c r="E108" s="605"/>
      <c r="F108" s="605"/>
      <c r="G108" s="605"/>
      <c r="H108" s="605"/>
      <c r="I108" s="605"/>
      <c r="J108" s="605"/>
      <c r="K108" s="605"/>
      <c r="L108" s="605"/>
      <c r="M108" s="605"/>
      <c r="N108" s="605"/>
      <c r="O108" s="605"/>
      <c r="P108" s="605"/>
      <c r="Q108" s="605"/>
      <c r="R108" s="605"/>
      <c r="S108" s="605"/>
    </row>
    <row r="109" spans="1:19">
      <c r="A109" s="631"/>
      <c r="B109" s="605"/>
      <c r="C109" s="605"/>
      <c r="D109" s="605"/>
      <c r="E109" s="605"/>
      <c r="F109" s="605"/>
      <c r="G109" s="605"/>
      <c r="H109" s="605"/>
      <c r="I109" s="605"/>
      <c r="J109" s="605"/>
      <c r="K109" s="605"/>
      <c r="L109" s="605"/>
      <c r="M109" s="605"/>
      <c r="N109" s="605"/>
      <c r="O109" s="605"/>
      <c r="P109" s="605"/>
      <c r="Q109" s="605"/>
      <c r="R109" s="605"/>
      <c r="S109" s="605"/>
    </row>
    <row r="110" spans="1:19">
      <c r="A110" s="631"/>
      <c r="B110" s="605"/>
      <c r="C110" s="605"/>
      <c r="D110" s="605"/>
      <c r="E110" s="605"/>
      <c r="F110" s="605"/>
      <c r="G110" s="605"/>
      <c r="H110" s="605"/>
      <c r="I110" s="605"/>
      <c r="J110" s="605"/>
      <c r="K110" s="605"/>
      <c r="L110" s="605"/>
      <c r="M110" s="605"/>
      <c r="N110" s="605"/>
      <c r="O110" s="605"/>
      <c r="P110" s="605"/>
      <c r="Q110" s="605"/>
      <c r="R110" s="605"/>
      <c r="S110" s="605"/>
    </row>
    <row r="111" spans="1:19">
      <c r="A111" s="631"/>
      <c r="B111" s="605"/>
      <c r="C111" s="605"/>
      <c r="D111" s="605"/>
      <c r="E111" s="605"/>
      <c r="F111" s="605"/>
      <c r="G111" s="605"/>
      <c r="H111" s="605"/>
      <c r="I111" s="605"/>
      <c r="J111" s="605"/>
      <c r="K111" s="605"/>
      <c r="L111" s="605"/>
      <c r="M111" s="605"/>
      <c r="N111" s="605"/>
      <c r="O111" s="605"/>
      <c r="P111" s="605"/>
      <c r="Q111" s="605"/>
      <c r="R111" s="605"/>
      <c r="S111" s="605"/>
    </row>
    <row r="112" spans="1:19">
      <c r="A112" s="631"/>
      <c r="B112" s="605"/>
      <c r="C112" s="605"/>
      <c r="D112" s="605"/>
      <c r="E112" s="605"/>
      <c r="F112" s="605"/>
      <c r="G112" s="605"/>
      <c r="H112" s="605"/>
      <c r="I112" s="605"/>
      <c r="J112" s="605"/>
      <c r="K112" s="605"/>
      <c r="L112" s="605"/>
      <c r="M112" s="605"/>
      <c r="N112" s="605"/>
      <c r="O112" s="605"/>
      <c r="P112" s="605"/>
      <c r="Q112" s="605"/>
      <c r="R112" s="605"/>
      <c r="S112" s="605"/>
    </row>
    <row r="113" spans="1:19">
      <c r="A113" s="631"/>
      <c r="B113" s="605"/>
      <c r="C113" s="605"/>
      <c r="D113" s="605"/>
      <c r="E113" s="605"/>
      <c r="F113" s="605"/>
      <c r="G113" s="605"/>
      <c r="H113" s="605"/>
      <c r="I113" s="605"/>
      <c r="J113" s="605"/>
      <c r="K113" s="605"/>
      <c r="L113" s="605"/>
      <c r="M113" s="605"/>
      <c r="N113" s="605"/>
      <c r="O113" s="605"/>
      <c r="P113" s="605"/>
      <c r="Q113" s="605"/>
      <c r="R113" s="605"/>
      <c r="S113" s="605"/>
    </row>
    <row r="114" spans="1:19">
      <c r="A114" s="631"/>
      <c r="B114" s="605"/>
      <c r="C114" s="605"/>
      <c r="D114" s="605"/>
      <c r="E114" s="605"/>
      <c r="F114" s="605"/>
      <c r="G114" s="605"/>
      <c r="H114" s="605"/>
      <c r="I114" s="605"/>
      <c r="J114" s="605"/>
      <c r="K114" s="605"/>
      <c r="L114" s="605"/>
      <c r="M114" s="605"/>
      <c r="N114" s="605"/>
      <c r="O114" s="605"/>
      <c r="P114" s="605"/>
      <c r="Q114" s="605"/>
      <c r="R114" s="605"/>
      <c r="S114" s="605"/>
    </row>
    <row r="115" spans="1:19">
      <c r="A115" s="631"/>
      <c r="B115" s="605"/>
      <c r="C115" s="605"/>
      <c r="D115" s="605"/>
      <c r="E115" s="605"/>
      <c r="F115" s="605"/>
      <c r="G115" s="605"/>
      <c r="H115" s="605"/>
      <c r="I115" s="605"/>
      <c r="J115" s="605"/>
      <c r="K115" s="605"/>
      <c r="L115" s="605"/>
      <c r="M115" s="605"/>
      <c r="N115" s="605"/>
      <c r="O115" s="605"/>
      <c r="P115" s="605"/>
      <c r="Q115" s="605"/>
      <c r="R115" s="605"/>
      <c r="S115" s="605"/>
    </row>
    <row r="116" spans="1:19">
      <c r="A116" s="631"/>
      <c r="B116" s="605"/>
      <c r="C116" s="605"/>
      <c r="D116" s="605"/>
      <c r="E116" s="605"/>
      <c r="F116" s="605"/>
      <c r="G116" s="605"/>
      <c r="H116" s="605"/>
      <c r="I116" s="605"/>
      <c r="J116" s="605"/>
      <c r="K116" s="605"/>
      <c r="L116" s="605"/>
      <c r="M116" s="605"/>
      <c r="N116" s="605"/>
      <c r="O116" s="605"/>
      <c r="P116" s="605"/>
      <c r="Q116" s="605"/>
      <c r="R116" s="605"/>
      <c r="S116" s="605"/>
    </row>
    <row r="117" spans="1:19">
      <c r="A117" s="631"/>
      <c r="B117" s="605"/>
      <c r="C117" s="605"/>
      <c r="D117" s="605"/>
      <c r="E117" s="605"/>
      <c r="F117" s="605"/>
      <c r="G117" s="605"/>
      <c r="H117" s="605"/>
      <c r="I117" s="605"/>
      <c r="J117" s="605"/>
      <c r="K117" s="605"/>
      <c r="L117" s="605"/>
      <c r="M117" s="605"/>
      <c r="N117" s="605"/>
      <c r="O117" s="605"/>
      <c r="P117" s="605"/>
      <c r="Q117" s="605"/>
      <c r="R117" s="605"/>
      <c r="S117" s="605"/>
    </row>
    <row r="118" spans="1:19">
      <c r="A118" s="631"/>
      <c r="B118" s="605"/>
      <c r="C118" s="605"/>
      <c r="D118" s="605"/>
      <c r="E118" s="605"/>
      <c r="F118" s="605"/>
      <c r="G118" s="605"/>
      <c r="H118" s="605"/>
      <c r="I118" s="605"/>
      <c r="J118" s="605"/>
      <c r="K118" s="605"/>
      <c r="L118" s="605"/>
      <c r="M118" s="605"/>
      <c r="N118" s="605"/>
      <c r="O118" s="605"/>
      <c r="P118" s="605"/>
      <c r="Q118" s="605"/>
      <c r="R118" s="605"/>
      <c r="S118" s="605"/>
    </row>
    <row r="119" spans="1:19">
      <c r="A119" s="631"/>
      <c r="B119" s="605"/>
      <c r="C119" s="605"/>
      <c r="D119" s="605"/>
      <c r="E119" s="605"/>
      <c r="F119" s="605"/>
      <c r="G119" s="605"/>
      <c r="H119" s="605"/>
      <c r="I119" s="605"/>
      <c r="J119" s="605"/>
      <c r="K119" s="605"/>
      <c r="L119" s="605"/>
      <c r="M119" s="605"/>
      <c r="N119" s="605"/>
      <c r="O119" s="605"/>
      <c r="P119" s="605"/>
      <c r="Q119" s="605"/>
      <c r="R119" s="605"/>
      <c r="S119" s="605"/>
    </row>
    <row r="120" spans="1:19">
      <c r="A120" s="631"/>
      <c r="B120" s="605"/>
      <c r="C120" s="605"/>
      <c r="D120" s="605"/>
      <c r="E120" s="605"/>
      <c r="F120" s="605"/>
      <c r="G120" s="605"/>
      <c r="H120" s="605"/>
      <c r="I120" s="605"/>
      <c r="J120" s="605"/>
      <c r="K120" s="605"/>
      <c r="L120" s="605"/>
      <c r="M120" s="605"/>
      <c r="N120" s="605"/>
      <c r="O120" s="605"/>
      <c r="P120" s="605"/>
      <c r="Q120" s="605"/>
      <c r="R120" s="605"/>
      <c r="S120" s="605"/>
    </row>
    <row r="121" spans="1:19">
      <c r="A121" s="631"/>
      <c r="B121" s="605"/>
      <c r="C121" s="605"/>
      <c r="D121" s="605"/>
      <c r="E121" s="605"/>
      <c r="F121" s="605"/>
      <c r="G121" s="605"/>
      <c r="H121" s="605"/>
      <c r="I121" s="605"/>
      <c r="J121" s="605"/>
      <c r="K121" s="605"/>
      <c r="L121" s="605"/>
      <c r="M121" s="605"/>
      <c r="N121" s="605"/>
      <c r="O121" s="605"/>
      <c r="P121" s="605"/>
      <c r="Q121" s="605"/>
      <c r="R121" s="605"/>
      <c r="S121" s="605"/>
    </row>
    <row r="122" spans="1:19">
      <c r="A122" s="631"/>
      <c r="B122" s="605"/>
      <c r="C122" s="605"/>
      <c r="D122" s="605"/>
      <c r="E122" s="605"/>
      <c r="F122" s="605"/>
      <c r="G122" s="605"/>
      <c r="H122" s="605"/>
      <c r="I122" s="605"/>
      <c r="J122" s="605"/>
      <c r="K122" s="605"/>
      <c r="L122" s="605"/>
      <c r="M122" s="605"/>
      <c r="N122" s="605"/>
      <c r="O122" s="605"/>
      <c r="P122" s="605"/>
      <c r="Q122" s="605"/>
      <c r="R122" s="605"/>
      <c r="S122" s="605"/>
    </row>
    <row r="123" spans="1:19">
      <c r="A123" s="631"/>
      <c r="B123" s="605"/>
      <c r="C123" s="605"/>
      <c r="D123" s="605"/>
      <c r="E123" s="605"/>
      <c r="F123" s="605"/>
      <c r="G123" s="605"/>
      <c r="H123" s="605"/>
      <c r="I123" s="605"/>
      <c r="J123" s="605"/>
      <c r="K123" s="605"/>
      <c r="L123" s="605"/>
      <c r="M123" s="605"/>
      <c r="N123" s="605"/>
      <c r="O123" s="605"/>
      <c r="P123" s="605"/>
      <c r="Q123" s="605"/>
      <c r="R123" s="605"/>
      <c r="S123" s="605"/>
    </row>
    <row r="124" spans="1:19">
      <c r="A124" s="631"/>
      <c r="B124" s="605"/>
      <c r="C124" s="605"/>
      <c r="D124" s="605"/>
      <c r="E124" s="605"/>
      <c r="F124" s="605"/>
      <c r="G124" s="605"/>
      <c r="H124" s="605"/>
      <c r="I124" s="605"/>
      <c r="J124" s="605"/>
      <c r="K124" s="605"/>
      <c r="L124" s="605"/>
      <c r="M124" s="605"/>
      <c r="N124" s="605"/>
      <c r="O124" s="605"/>
      <c r="P124" s="605"/>
      <c r="Q124" s="605"/>
      <c r="R124" s="605"/>
      <c r="S124" s="605"/>
    </row>
    <row r="125" spans="1:19">
      <c r="A125" s="631"/>
      <c r="B125" s="605"/>
      <c r="C125" s="605"/>
      <c r="D125" s="605"/>
      <c r="E125" s="605"/>
      <c r="F125" s="605"/>
      <c r="G125" s="605"/>
      <c r="H125" s="605"/>
      <c r="I125" s="605"/>
      <c r="J125" s="605"/>
      <c r="K125" s="605"/>
      <c r="L125" s="605"/>
      <c r="M125" s="605"/>
      <c r="N125" s="605"/>
      <c r="O125" s="605"/>
      <c r="P125" s="605"/>
      <c r="Q125" s="605"/>
      <c r="R125" s="605"/>
      <c r="S125" s="605"/>
    </row>
    <row r="126" spans="1:19">
      <c r="A126" s="631"/>
      <c r="B126" s="605"/>
      <c r="C126" s="605"/>
      <c r="D126" s="605"/>
      <c r="E126" s="605"/>
      <c r="F126" s="605"/>
      <c r="G126" s="605"/>
      <c r="H126" s="605"/>
      <c r="I126" s="605"/>
      <c r="J126" s="605"/>
      <c r="K126" s="605"/>
      <c r="L126" s="605"/>
      <c r="M126" s="605"/>
      <c r="N126" s="605"/>
      <c r="O126" s="605"/>
      <c r="P126" s="605"/>
      <c r="Q126" s="605"/>
      <c r="R126" s="605"/>
      <c r="S126" s="605"/>
    </row>
    <row r="127" spans="1:19">
      <c r="A127" s="631"/>
      <c r="B127" s="605"/>
    </row>
    <row r="128" spans="1:19">
      <c r="A128" s="631"/>
      <c r="B128" s="605"/>
    </row>
    <row r="129" spans="1:2">
      <c r="A129" s="631"/>
      <c r="B129" s="605"/>
    </row>
    <row r="130" spans="1:2">
      <c r="A130" s="631"/>
      <c r="B130" s="605"/>
    </row>
    <row r="131" spans="1:2">
      <c r="A131" s="631"/>
      <c r="B131" s="605"/>
    </row>
    <row r="132" spans="1:2">
      <c r="A132" s="631"/>
      <c r="B132" s="605"/>
    </row>
    <row r="133" spans="1:2">
      <c r="A133" s="631"/>
      <c r="B133" s="605"/>
    </row>
    <row r="134" spans="1:2">
      <c r="A134" s="631"/>
      <c r="B134" s="605"/>
    </row>
    <row r="135" spans="1:2">
      <c r="A135" s="631"/>
      <c r="B135" s="605"/>
    </row>
    <row r="136" spans="1:2">
      <c r="A136" s="631"/>
      <c r="B136" s="605"/>
    </row>
    <row r="137" spans="1:2">
      <c r="A137" s="631"/>
      <c r="B137" s="605"/>
    </row>
    <row r="138" spans="1:2">
      <c r="A138" s="631"/>
      <c r="B138" s="605"/>
    </row>
    <row r="139" spans="1:2">
      <c r="A139" s="631"/>
      <c r="B139" s="605"/>
    </row>
    <row r="140" spans="1:2">
      <c r="A140" s="631"/>
      <c r="B140" s="605"/>
    </row>
    <row r="141" spans="1:2">
      <c r="A141" s="631"/>
      <c r="B141" s="605"/>
    </row>
    <row r="142" spans="1:2">
      <c r="A142" s="631"/>
      <c r="B142" s="605"/>
    </row>
    <row r="143" spans="1:2">
      <c r="A143" s="631"/>
      <c r="B143" s="605"/>
    </row>
    <row r="144" spans="1:2">
      <c r="A144" s="631"/>
      <c r="B144" s="605"/>
    </row>
    <row r="145" spans="1:2">
      <c r="A145" s="631"/>
      <c r="B145" s="605"/>
    </row>
    <row r="146" spans="1:2">
      <c r="A146" s="631"/>
      <c r="B146" s="605"/>
    </row>
    <row r="147" spans="1:2">
      <c r="A147" s="631"/>
      <c r="B147" s="605"/>
    </row>
    <row r="148" spans="1:2">
      <c r="A148" s="631"/>
      <c r="B148" s="605"/>
    </row>
    <row r="149" spans="1:2">
      <c r="A149" s="631"/>
      <c r="B149" s="605"/>
    </row>
    <row r="150" spans="1:2">
      <c r="A150" s="631"/>
      <c r="B150" s="605"/>
    </row>
    <row r="151" spans="1:2">
      <c r="A151" s="631"/>
      <c r="B151" s="605"/>
    </row>
    <row r="152" spans="1:2">
      <c r="A152" s="631"/>
      <c r="B152" s="605"/>
    </row>
    <row r="153" spans="1:2">
      <c r="A153" s="631"/>
      <c r="B153" s="605"/>
    </row>
    <row r="154" spans="1:2">
      <c r="A154" s="631"/>
      <c r="B154" s="605"/>
    </row>
    <row r="155" spans="1:2">
      <c r="A155" s="631"/>
      <c r="B155" s="605"/>
    </row>
    <row r="156" spans="1:2">
      <c r="A156" s="631"/>
      <c r="B156" s="605"/>
    </row>
    <row r="157" spans="1:2">
      <c r="A157" s="631"/>
      <c r="B157" s="605"/>
    </row>
    <row r="158" spans="1:2">
      <c r="A158" s="631"/>
      <c r="B158" s="605"/>
    </row>
    <row r="159" spans="1:2">
      <c r="A159" s="631"/>
      <c r="B159" s="605"/>
    </row>
    <row r="160" spans="1:2">
      <c r="A160" s="631"/>
      <c r="B160" s="605"/>
    </row>
    <row r="161" spans="1:2">
      <c r="A161" s="631"/>
      <c r="B161" s="605"/>
    </row>
    <row r="162" spans="1:2">
      <c r="A162" s="631"/>
      <c r="B162" s="605"/>
    </row>
    <row r="163" spans="1:2">
      <c r="A163" s="631"/>
      <c r="B163" s="605"/>
    </row>
    <row r="164" spans="1:2">
      <c r="A164" s="631"/>
      <c r="B164" s="605"/>
    </row>
    <row r="165" spans="1:2">
      <c r="A165" s="631"/>
      <c r="B165" s="605"/>
    </row>
    <row r="166" spans="1:2">
      <c r="A166" s="631"/>
      <c r="B166" s="605"/>
    </row>
    <row r="167" spans="1:2">
      <c r="A167" s="631"/>
      <c r="B167" s="605"/>
    </row>
    <row r="168" spans="1:2">
      <c r="A168" s="631"/>
      <c r="B168" s="605"/>
    </row>
    <row r="169" spans="1:2">
      <c r="A169" s="631"/>
      <c r="B169" s="605"/>
    </row>
    <row r="170" spans="1:2">
      <c r="A170" s="631"/>
      <c r="B170" s="605"/>
    </row>
  </sheetData>
  <mergeCells count="19">
    <mergeCell ref="A37:A41"/>
    <mergeCell ref="B74:H74"/>
    <mergeCell ref="B75:H75"/>
    <mergeCell ref="B77:H77"/>
    <mergeCell ref="N5:P5"/>
    <mergeCell ref="Q5:S5"/>
    <mergeCell ref="A8:A13"/>
    <mergeCell ref="A16:A17"/>
    <mergeCell ref="A23:A25"/>
    <mergeCell ref="A30:A32"/>
    <mergeCell ref="E1:J1"/>
    <mergeCell ref="B3:M3"/>
    <mergeCell ref="A5:A6"/>
    <mergeCell ref="B5:B6"/>
    <mergeCell ref="C5:C6"/>
    <mergeCell ref="D5:D6"/>
    <mergeCell ref="E5:G5"/>
    <mergeCell ref="H5:J5"/>
    <mergeCell ref="K5:M5"/>
  </mergeCells>
  <conditionalFormatting sqref="B56">
    <cfRule type="cellIs" dxfId="81" priority="2" stopIfTrue="1" operator="equal">
      <formula>"?"</formula>
    </cfRule>
  </conditionalFormatting>
  <conditionalFormatting sqref="B57">
    <cfRule type="cellIs" dxfId="80" priority="1" stopIfTrue="1" operator="equal">
      <formula>"?"</formula>
    </cfRule>
  </conditionalFormatting>
  <pageMargins left="0.74803149606299213" right="0.35433070866141736" top="0.55118110236220474" bottom="0.47244094488188981" header="0.31496062992125984" footer="0.15748031496062992"/>
  <pageSetup paperSize="9" scale="81" fitToHeight="3" orientation="landscape" verticalDpi="300"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7"/>
  <sheetViews>
    <sheetView workbookViewId="0">
      <pane xSplit="2" ySplit="9" topLeftCell="C43" activePane="bottomRight" state="frozen"/>
      <selection pane="topRight" activeCell="C1" sqref="C1"/>
      <selection pane="bottomLeft" activeCell="A10" sqref="A10"/>
      <selection pane="bottomRight" activeCell="J12" sqref="J12"/>
    </sheetView>
  </sheetViews>
  <sheetFormatPr defaultRowHeight="12.75"/>
  <cols>
    <col min="1" max="1" width="4.7109375" style="137" customWidth="1"/>
    <col min="2" max="2" width="48.5703125" style="70" customWidth="1"/>
    <col min="3" max="3" width="15" style="70" customWidth="1"/>
    <col min="4" max="4" width="6.140625" style="70" customWidth="1"/>
    <col min="5" max="5" width="10.5703125" style="70" customWidth="1"/>
    <col min="6" max="6" width="6.42578125" style="70" bestFit="1" customWidth="1"/>
    <col min="7" max="7" width="12.140625" style="70" bestFit="1" customWidth="1"/>
    <col min="8" max="8" width="6.42578125" style="70" bestFit="1" customWidth="1"/>
    <col min="9" max="9" width="12.140625" style="70" bestFit="1" customWidth="1"/>
    <col min="10" max="10" width="24" style="70" customWidth="1"/>
    <col min="11" max="11" width="21" style="70" customWidth="1"/>
    <col min="12" max="12" width="16.28515625" style="70" customWidth="1"/>
    <col min="13" max="256" width="9.140625" style="70"/>
    <col min="257" max="257" width="4.7109375" style="70" customWidth="1"/>
    <col min="258" max="258" width="48.5703125" style="70" customWidth="1"/>
    <col min="259" max="259" width="15" style="70" customWidth="1"/>
    <col min="260" max="260" width="6.140625" style="70" customWidth="1"/>
    <col min="261" max="261" width="10.5703125" style="70" customWidth="1"/>
    <col min="262" max="262" width="6.42578125" style="70" bestFit="1" customWidth="1"/>
    <col min="263" max="263" width="12.140625" style="70" bestFit="1" customWidth="1"/>
    <col min="264" max="264" width="6.42578125" style="70" bestFit="1" customWidth="1"/>
    <col min="265" max="265" width="12.140625" style="70" bestFit="1" customWidth="1"/>
    <col min="266" max="266" width="24" style="70" customWidth="1"/>
    <col min="267" max="267" width="21" style="70" customWidth="1"/>
    <col min="268" max="268" width="16.28515625" style="70" customWidth="1"/>
    <col min="269" max="512" width="9.140625" style="70"/>
    <col min="513" max="513" width="4.7109375" style="70" customWidth="1"/>
    <col min="514" max="514" width="48.5703125" style="70" customWidth="1"/>
    <col min="515" max="515" width="15" style="70" customWidth="1"/>
    <col min="516" max="516" width="6.140625" style="70" customWidth="1"/>
    <col min="517" max="517" width="10.5703125" style="70" customWidth="1"/>
    <col min="518" max="518" width="6.42578125" style="70" bestFit="1" customWidth="1"/>
    <col min="519" max="519" width="12.140625" style="70" bestFit="1" customWidth="1"/>
    <col min="520" max="520" width="6.42578125" style="70" bestFit="1" customWidth="1"/>
    <col min="521" max="521" width="12.140625" style="70" bestFit="1" customWidth="1"/>
    <col min="522" max="522" width="24" style="70" customWidth="1"/>
    <col min="523" max="523" width="21" style="70" customWidth="1"/>
    <col min="524" max="524" width="16.28515625" style="70" customWidth="1"/>
    <col min="525" max="768" width="9.140625" style="70"/>
    <col min="769" max="769" width="4.7109375" style="70" customWidth="1"/>
    <col min="770" max="770" width="48.5703125" style="70" customWidth="1"/>
    <col min="771" max="771" width="15" style="70" customWidth="1"/>
    <col min="772" max="772" width="6.140625" style="70" customWidth="1"/>
    <col min="773" max="773" width="10.5703125" style="70" customWidth="1"/>
    <col min="774" max="774" width="6.42578125" style="70" bestFit="1" customWidth="1"/>
    <col min="775" max="775" width="12.140625" style="70" bestFit="1" customWidth="1"/>
    <col min="776" max="776" width="6.42578125" style="70" bestFit="1" customWidth="1"/>
    <col min="777" max="777" width="12.140625" style="70" bestFit="1" customWidth="1"/>
    <col min="778" max="778" width="24" style="70" customWidth="1"/>
    <col min="779" max="779" width="21" style="70" customWidth="1"/>
    <col min="780" max="780" width="16.28515625" style="70" customWidth="1"/>
    <col min="781" max="1024" width="9.140625" style="70"/>
    <col min="1025" max="1025" width="4.7109375" style="70" customWidth="1"/>
    <col min="1026" max="1026" width="48.5703125" style="70" customWidth="1"/>
    <col min="1027" max="1027" width="15" style="70" customWidth="1"/>
    <col min="1028" max="1028" width="6.140625" style="70" customWidth="1"/>
    <col min="1029" max="1029" width="10.5703125" style="70" customWidth="1"/>
    <col min="1030" max="1030" width="6.42578125" style="70" bestFit="1" customWidth="1"/>
    <col min="1031" max="1031" width="12.140625" style="70" bestFit="1" customWidth="1"/>
    <col min="1032" max="1032" width="6.42578125" style="70" bestFit="1" customWidth="1"/>
    <col min="1033" max="1033" width="12.140625" style="70" bestFit="1" customWidth="1"/>
    <col min="1034" max="1034" width="24" style="70" customWidth="1"/>
    <col min="1035" max="1035" width="21" style="70" customWidth="1"/>
    <col min="1036" max="1036" width="16.28515625" style="70" customWidth="1"/>
    <col min="1037" max="1280" width="9.140625" style="70"/>
    <col min="1281" max="1281" width="4.7109375" style="70" customWidth="1"/>
    <col min="1282" max="1282" width="48.5703125" style="70" customWidth="1"/>
    <col min="1283" max="1283" width="15" style="70" customWidth="1"/>
    <col min="1284" max="1284" width="6.140625" style="70" customWidth="1"/>
    <col min="1285" max="1285" width="10.5703125" style="70" customWidth="1"/>
    <col min="1286" max="1286" width="6.42578125" style="70" bestFit="1" customWidth="1"/>
    <col min="1287" max="1287" width="12.140625" style="70" bestFit="1" customWidth="1"/>
    <col min="1288" max="1288" width="6.42578125" style="70" bestFit="1" customWidth="1"/>
    <col min="1289" max="1289" width="12.140625" style="70" bestFit="1" customWidth="1"/>
    <col min="1290" max="1290" width="24" style="70" customWidth="1"/>
    <col min="1291" max="1291" width="21" style="70" customWidth="1"/>
    <col min="1292" max="1292" width="16.28515625" style="70" customWidth="1"/>
    <col min="1293" max="1536" width="9.140625" style="70"/>
    <col min="1537" max="1537" width="4.7109375" style="70" customWidth="1"/>
    <col min="1538" max="1538" width="48.5703125" style="70" customWidth="1"/>
    <col min="1539" max="1539" width="15" style="70" customWidth="1"/>
    <col min="1540" max="1540" width="6.140625" style="70" customWidth="1"/>
    <col min="1541" max="1541" width="10.5703125" style="70" customWidth="1"/>
    <col min="1542" max="1542" width="6.42578125" style="70" bestFit="1" customWidth="1"/>
    <col min="1543" max="1543" width="12.140625" style="70" bestFit="1" customWidth="1"/>
    <col min="1544" max="1544" width="6.42578125" style="70" bestFit="1" customWidth="1"/>
    <col min="1545" max="1545" width="12.140625" style="70" bestFit="1" customWidth="1"/>
    <col min="1546" max="1546" width="24" style="70" customWidth="1"/>
    <col min="1547" max="1547" width="21" style="70" customWidth="1"/>
    <col min="1548" max="1548" width="16.28515625" style="70" customWidth="1"/>
    <col min="1549" max="1792" width="9.140625" style="70"/>
    <col min="1793" max="1793" width="4.7109375" style="70" customWidth="1"/>
    <col min="1794" max="1794" width="48.5703125" style="70" customWidth="1"/>
    <col min="1795" max="1795" width="15" style="70" customWidth="1"/>
    <col min="1796" max="1796" width="6.140625" style="70" customWidth="1"/>
    <col min="1797" max="1797" width="10.5703125" style="70" customWidth="1"/>
    <col min="1798" max="1798" width="6.42578125" style="70" bestFit="1" customWidth="1"/>
    <col min="1799" max="1799" width="12.140625" style="70" bestFit="1" customWidth="1"/>
    <col min="1800" max="1800" width="6.42578125" style="70" bestFit="1" customWidth="1"/>
    <col min="1801" max="1801" width="12.140625" style="70" bestFit="1" customWidth="1"/>
    <col min="1802" max="1802" width="24" style="70" customWidth="1"/>
    <col min="1803" max="1803" width="21" style="70" customWidth="1"/>
    <col min="1804" max="1804" width="16.28515625" style="70" customWidth="1"/>
    <col min="1805" max="2048" width="9.140625" style="70"/>
    <col min="2049" max="2049" width="4.7109375" style="70" customWidth="1"/>
    <col min="2050" max="2050" width="48.5703125" style="70" customWidth="1"/>
    <col min="2051" max="2051" width="15" style="70" customWidth="1"/>
    <col min="2052" max="2052" width="6.140625" style="70" customWidth="1"/>
    <col min="2053" max="2053" width="10.5703125" style="70" customWidth="1"/>
    <col min="2054" max="2054" width="6.42578125" style="70" bestFit="1" customWidth="1"/>
    <col min="2055" max="2055" width="12.140625" style="70" bestFit="1" customWidth="1"/>
    <col min="2056" max="2056" width="6.42578125" style="70" bestFit="1" customWidth="1"/>
    <col min="2057" max="2057" width="12.140625" style="70" bestFit="1" customWidth="1"/>
    <col min="2058" max="2058" width="24" style="70" customWidth="1"/>
    <col min="2059" max="2059" width="21" style="70" customWidth="1"/>
    <col min="2060" max="2060" width="16.28515625" style="70" customWidth="1"/>
    <col min="2061" max="2304" width="9.140625" style="70"/>
    <col min="2305" max="2305" width="4.7109375" style="70" customWidth="1"/>
    <col min="2306" max="2306" width="48.5703125" style="70" customWidth="1"/>
    <col min="2307" max="2307" width="15" style="70" customWidth="1"/>
    <col min="2308" max="2308" width="6.140625" style="70" customWidth="1"/>
    <col min="2309" max="2309" width="10.5703125" style="70" customWidth="1"/>
    <col min="2310" max="2310" width="6.42578125" style="70" bestFit="1" customWidth="1"/>
    <col min="2311" max="2311" width="12.140625" style="70" bestFit="1" customWidth="1"/>
    <col min="2312" max="2312" width="6.42578125" style="70" bestFit="1" customWidth="1"/>
    <col min="2313" max="2313" width="12.140625" style="70" bestFit="1" customWidth="1"/>
    <col min="2314" max="2314" width="24" style="70" customWidth="1"/>
    <col min="2315" max="2315" width="21" style="70" customWidth="1"/>
    <col min="2316" max="2316" width="16.28515625" style="70" customWidth="1"/>
    <col min="2317" max="2560" width="9.140625" style="70"/>
    <col min="2561" max="2561" width="4.7109375" style="70" customWidth="1"/>
    <col min="2562" max="2562" width="48.5703125" style="70" customWidth="1"/>
    <col min="2563" max="2563" width="15" style="70" customWidth="1"/>
    <col min="2564" max="2564" width="6.140625" style="70" customWidth="1"/>
    <col min="2565" max="2565" width="10.5703125" style="70" customWidth="1"/>
    <col min="2566" max="2566" width="6.42578125" style="70" bestFit="1" customWidth="1"/>
    <col min="2567" max="2567" width="12.140625" style="70" bestFit="1" customWidth="1"/>
    <col min="2568" max="2568" width="6.42578125" style="70" bestFit="1" customWidth="1"/>
    <col min="2569" max="2569" width="12.140625" style="70" bestFit="1" customWidth="1"/>
    <col min="2570" max="2570" width="24" style="70" customWidth="1"/>
    <col min="2571" max="2571" width="21" style="70" customWidth="1"/>
    <col min="2572" max="2572" width="16.28515625" style="70" customWidth="1"/>
    <col min="2573" max="2816" width="9.140625" style="70"/>
    <col min="2817" max="2817" width="4.7109375" style="70" customWidth="1"/>
    <col min="2818" max="2818" width="48.5703125" style="70" customWidth="1"/>
    <col min="2819" max="2819" width="15" style="70" customWidth="1"/>
    <col min="2820" max="2820" width="6.140625" style="70" customWidth="1"/>
    <col min="2821" max="2821" width="10.5703125" style="70" customWidth="1"/>
    <col min="2822" max="2822" width="6.42578125" style="70" bestFit="1" customWidth="1"/>
    <col min="2823" max="2823" width="12.140625" style="70" bestFit="1" customWidth="1"/>
    <col min="2824" max="2824" width="6.42578125" style="70" bestFit="1" customWidth="1"/>
    <col min="2825" max="2825" width="12.140625" style="70" bestFit="1" customWidth="1"/>
    <col min="2826" max="2826" width="24" style="70" customWidth="1"/>
    <col min="2827" max="2827" width="21" style="70" customWidth="1"/>
    <col min="2828" max="2828" width="16.28515625" style="70" customWidth="1"/>
    <col min="2829" max="3072" width="9.140625" style="70"/>
    <col min="3073" max="3073" width="4.7109375" style="70" customWidth="1"/>
    <col min="3074" max="3074" width="48.5703125" style="70" customWidth="1"/>
    <col min="3075" max="3075" width="15" style="70" customWidth="1"/>
    <col min="3076" max="3076" width="6.140625" style="70" customWidth="1"/>
    <col min="3077" max="3077" width="10.5703125" style="70" customWidth="1"/>
    <col min="3078" max="3078" width="6.42578125" style="70" bestFit="1" customWidth="1"/>
    <col min="3079" max="3079" width="12.140625" style="70" bestFit="1" customWidth="1"/>
    <col min="3080" max="3080" width="6.42578125" style="70" bestFit="1" customWidth="1"/>
    <col min="3081" max="3081" width="12.140625" style="70" bestFit="1" customWidth="1"/>
    <col min="3082" max="3082" width="24" style="70" customWidth="1"/>
    <col min="3083" max="3083" width="21" style="70" customWidth="1"/>
    <col min="3084" max="3084" width="16.28515625" style="70" customWidth="1"/>
    <col min="3085" max="3328" width="9.140625" style="70"/>
    <col min="3329" max="3329" width="4.7109375" style="70" customWidth="1"/>
    <col min="3330" max="3330" width="48.5703125" style="70" customWidth="1"/>
    <col min="3331" max="3331" width="15" style="70" customWidth="1"/>
    <col min="3332" max="3332" width="6.140625" style="70" customWidth="1"/>
    <col min="3333" max="3333" width="10.5703125" style="70" customWidth="1"/>
    <col min="3334" max="3334" width="6.42578125" style="70" bestFit="1" customWidth="1"/>
    <col min="3335" max="3335" width="12.140625" style="70" bestFit="1" customWidth="1"/>
    <col min="3336" max="3336" width="6.42578125" style="70" bestFit="1" customWidth="1"/>
    <col min="3337" max="3337" width="12.140625" style="70" bestFit="1" customWidth="1"/>
    <col min="3338" max="3338" width="24" style="70" customWidth="1"/>
    <col min="3339" max="3339" width="21" style="70" customWidth="1"/>
    <col min="3340" max="3340" width="16.28515625" style="70" customWidth="1"/>
    <col min="3341" max="3584" width="9.140625" style="70"/>
    <col min="3585" max="3585" width="4.7109375" style="70" customWidth="1"/>
    <col min="3586" max="3586" width="48.5703125" style="70" customWidth="1"/>
    <col min="3587" max="3587" width="15" style="70" customWidth="1"/>
    <col min="3588" max="3588" width="6.140625" style="70" customWidth="1"/>
    <col min="3589" max="3589" width="10.5703125" style="70" customWidth="1"/>
    <col min="3590" max="3590" width="6.42578125" style="70" bestFit="1" customWidth="1"/>
    <col min="3591" max="3591" width="12.140625" style="70" bestFit="1" customWidth="1"/>
    <col min="3592" max="3592" width="6.42578125" style="70" bestFit="1" customWidth="1"/>
    <col min="3593" max="3593" width="12.140625" style="70" bestFit="1" customWidth="1"/>
    <col min="3594" max="3594" width="24" style="70" customWidth="1"/>
    <col min="3595" max="3595" width="21" style="70" customWidth="1"/>
    <col min="3596" max="3596" width="16.28515625" style="70" customWidth="1"/>
    <col min="3597" max="3840" width="9.140625" style="70"/>
    <col min="3841" max="3841" width="4.7109375" style="70" customWidth="1"/>
    <col min="3842" max="3842" width="48.5703125" style="70" customWidth="1"/>
    <col min="3843" max="3843" width="15" style="70" customWidth="1"/>
    <col min="3844" max="3844" width="6.140625" style="70" customWidth="1"/>
    <col min="3845" max="3845" width="10.5703125" style="70" customWidth="1"/>
    <col min="3846" max="3846" width="6.42578125" style="70" bestFit="1" customWidth="1"/>
    <col min="3847" max="3847" width="12.140625" style="70" bestFit="1" customWidth="1"/>
    <col min="3848" max="3848" width="6.42578125" style="70" bestFit="1" customWidth="1"/>
    <col min="3849" max="3849" width="12.140625" style="70" bestFit="1" customWidth="1"/>
    <col min="3850" max="3850" width="24" style="70" customWidth="1"/>
    <col min="3851" max="3851" width="21" style="70" customWidth="1"/>
    <col min="3852" max="3852" width="16.28515625" style="70" customWidth="1"/>
    <col min="3853" max="4096" width="9.140625" style="70"/>
    <col min="4097" max="4097" width="4.7109375" style="70" customWidth="1"/>
    <col min="4098" max="4098" width="48.5703125" style="70" customWidth="1"/>
    <col min="4099" max="4099" width="15" style="70" customWidth="1"/>
    <col min="4100" max="4100" width="6.140625" style="70" customWidth="1"/>
    <col min="4101" max="4101" width="10.5703125" style="70" customWidth="1"/>
    <col min="4102" max="4102" width="6.42578125" style="70" bestFit="1" customWidth="1"/>
    <col min="4103" max="4103" width="12.140625" style="70" bestFit="1" customWidth="1"/>
    <col min="4104" max="4104" width="6.42578125" style="70" bestFit="1" customWidth="1"/>
    <col min="4105" max="4105" width="12.140625" style="70" bestFit="1" customWidth="1"/>
    <col min="4106" max="4106" width="24" style="70" customWidth="1"/>
    <col min="4107" max="4107" width="21" style="70" customWidth="1"/>
    <col min="4108" max="4108" width="16.28515625" style="70" customWidth="1"/>
    <col min="4109" max="4352" width="9.140625" style="70"/>
    <col min="4353" max="4353" width="4.7109375" style="70" customWidth="1"/>
    <col min="4354" max="4354" width="48.5703125" style="70" customWidth="1"/>
    <col min="4355" max="4355" width="15" style="70" customWidth="1"/>
    <col min="4356" max="4356" width="6.140625" style="70" customWidth="1"/>
    <col min="4357" max="4357" width="10.5703125" style="70" customWidth="1"/>
    <col min="4358" max="4358" width="6.42578125" style="70" bestFit="1" customWidth="1"/>
    <col min="4359" max="4359" width="12.140625" style="70" bestFit="1" customWidth="1"/>
    <col min="4360" max="4360" width="6.42578125" style="70" bestFit="1" customWidth="1"/>
    <col min="4361" max="4361" width="12.140625" style="70" bestFit="1" customWidth="1"/>
    <col min="4362" max="4362" width="24" style="70" customWidth="1"/>
    <col min="4363" max="4363" width="21" style="70" customWidth="1"/>
    <col min="4364" max="4364" width="16.28515625" style="70" customWidth="1"/>
    <col min="4365" max="4608" width="9.140625" style="70"/>
    <col min="4609" max="4609" width="4.7109375" style="70" customWidth="1"/>
    <col min="4610" max="4610" width="48.5703125" style="70" customWidth="1"/>
    <col min="4611" max="4611" width="15" style="70" customWidth="1"/>
    <col min="4612" max="4612" width="6.140625" style="70" customWidth="1"/>
    <col min="4613" max="4613" width="10.5703125" style="70" customWidth="1"/>
    <col min="4614" max="4614" width="6.42578125" style="70" bestFit="1" customWidth="1"/>
    <col min="4615" max="4615" width="12.140625" style="70" bestFit="1" customWidth="1"/>
    <col min="4616" max="4616" width="6.42578125" style="70" bestFit="1" customWidth="1"/>
    <col min="4617" max="4617" width="12.140625" style="70" bestFit="1" customWidth="1"/>
    <col min="4618" max="4618" width="24" style="70" customWidth="1"/>
    <col min="4619" max="4619" width="21" style="70" customWidth="1"/>
    <col min="4620" max="4620" width="16.28515625" style="70" customWidth="1"/>
    <col min="4621" max="4864" width="9.140625" style="70"/>
    <col min="4865" max="4865" width="4.7109375" style="70" customWidth="1"/>
    <col min="4866" max="4866" width="48.5703125" style="70" customWidth="1"/>
    <col min="4867" max="4867" width="15" style="70" customWidth="1"/>
    <col min="4868" max="4868" width="6.140625" style="70" customWidth="1"/>
    <col min="4869" max="4869" width="10.5703125" style="70" customWidth="1"/>
    <col min="4870" max="4870" width="6.42578125" style="70" bestFit="1" customWidth="1"/>
    <col min="4871" max="4871" width="12.140625" style="70" bestFit="1" customWidth="1"/>
    <col min="4872" max="4872" width="6.42578125" style="70" bestFit="1" customWidth="1"/>
    <col min="4873" max="4873" width="12.140625" style="70" bestFit="1" customWidth="1"/>
    <col min="4874" max="4874" width="24" style="70" customWidth="1"/>
    <col min="4875" max="4875" width="21" style="70" customWidth="1"/>
    <col min="4876" max="4876" width="16.28515625" style="70" customWidth="1"/>
    <col min="4877" max="5120" width="9.140625" style="70"/>
    <col min="5121" max="5121" width="4.7109375" style="70" customWidth="1"/>
    <col min="5122" max="5122" width="48.5703125" style="70" customWidth="1"/>
    <col min="5123" max="5123" width="15" style="70" customWidth="1"/>
    <col min="5124" max="5124" width="6.140625" style="70" customWidth="1"/>
    <col min="5125" max="5125" width="10.5703125" style="70" customWidth="1"/>
    <col min="5126" max="5126" width="6.42578125" style="70" bestFit="1" customWidth="1"/>
    <col min="5127" max="5127" width="12.140625" style="70" bestFit="1" customWidth="1"/>
    <col min="5128" max="5128" width="6.42578125" style="70" bestFit="1" customWidth="1"/>
    <col min="5129" max="5129" width="12.140625" style="70" bestFit="1" customWidth="1"/>
    <col min="5130" max="5130" width="24" style="70" customWidth="1"/>
    <col min="5131" max="5131" width="21" style="70" customWidth="1"/>
    <col min="5132" max="5132" width="16.28515625" style="70" customWidth="1"/>
    <col min="5133" max="5376" width="9.140625" style="70"/>
    <col min="5377" max="5377" width="4.7109375" style="70" customWidth="1"/>
    <col min="5378" max="5378" width="48.5703125" style="70" customWidth="1"/>
    <col min="5379" max="5379" width="15" style="70" customWidth="1"/>
    <col min="5380" max="5380" width="6.140625" style="70" customWidth="1"/>
    <col min="5381" max="5381" width="10.5703125" style="70" customWidth="1"/>
    <col min="5382" max="5382" width="6.42578125" style="70" bestFit="1" customWidth="1"/>
    <col min="5383" max="5383" width="12.140625" style="70" bestFit="1" customWidth="1"/>
    <col min="5384" max="5384" width="6.42578125" style="70" bestFit="1" customWidth="1"/>
    <col min="5385" max="5385" width="12.140625" style="70" bestFit="1" customWidth="1"/>
    <col min="5386" max="5386" width="24" style="70" customWidth="1"/>
    <col min="5387" max="5387" width="21" style="70" customWidth="1"/>
    <col min="5388" max="5388" width="16.28515625" style="70" customWidth="1"/>
    <col min="5389" max="5632" width="9.140625" style="70"/>
    <col min="5633" max="5633" width="4.7109375" style="70" customWidth="1"/>
    <col min="5634" max="5634" width="48.5703125" style="70" customWidth="1"/>
    <col min="5635" max="5635" width="15" style="70" customWidth="1"/>
    <col min="5636" max="5636" width="6.140625" style="70" customWidth="1"/>
    <col min="5637" max="5637" width="10.5703125" style="70" customWidth="1"/>
    <col min="5638" max="5638" width="6.42578125" style="70" bestFit="1" customWidth="1"/>
    <col min="5639" max="5639" width="12.140625" style="70" bestFit="1" customWidth="1"/>
    <col min="5640" max="5640" width="6.42578125" style="70" bestFit="1" customWidth="1"/>
    <col min="5641" max="5641" width="12.140625" style="70" bestFit="1" customWidth="1"/>
    <col min="5642" max="5642" width="24" style="70" customWidth="1"/>
    <col min="5643" max="5643" width="21" style="70" customWidth="1"/>
    <col min="5644" max="5644" width="16.28515625" style="70" customWidth="1"/>
    <col min="5645" max="5888" width="9.140625" style="70"/>
    <col min="5889" max="5889" width="4.7109375" style="70" customWidth="1"/>
    <col min="5890" max="5890" width="48.5703125" style="70" customWidth="1"/>
    <col min="5891" max="5891" width="15" style="70" customWidth="1"/>
    <col min="5892" max="5892" width="6.140625" style="70" customWidth="1"/>
    <col min="5893" max="5893" width="10.5703125" style="70" customWidth="1"/>
    <col min="5894" max="5894" width="6.42578125" style="70" bestFit="1" customWidth="1"/>
    <col min="5895" max="5895" width="12.140625" style="70" bestFit="1" customWidth="1"/>
    <col min="5896" max="5896" width="6.42578125" style="70" bestFit="1" customWidth="1"/>
    <col min="5897" max="5897" width="12.140625" style="70" bestFit="1" customWidth="1"/>
    <col min="5898" max="5898" width="24" style="70" customWidth="1"/>
    <col min="5899" max="5899" width="21" style="70" customWidth="1"/>
    <col min="5900" max="5900" width="16.28515625" style="70" customWidth="1"/>
    <col min="5901" max="6144" width="9.140625" style="70"/>
    <col min="6145" max="6145" width="4.7109375" style="70" customWidth="1"/>
    <col min="6146" max="6146" width="48.5703125" style="70" customWidth="1"/>
    <col min="6147" max="6147" width="15" style="70" customWidth="1"/>
    <col min="6148" max="6148" width="6.140625" style="70" customWidth="1"/>
    <col min="6149" max="6149" width="10.5703125" style="70" customWidth="1"/>
    <col min="6150" max="6150" width="6.42578125" style="70" bestFit="1" customWidth="1"/>
    <col min="6151" max="6151" width="12.140625" style="70" bestFit="1" customWidth="1"/>
    <col min="6152" max="6152" width="6.42578125" style="70" bestFit="1" customWidth="1"/>
    <col min="6153" max="6153" width="12.140625" style="70" bestFit="1" customWidth="1"/>
    <col min="6154" max="6154" width="24" style="70" customWidth="1"/>
    <col min="6155" max="6155" width="21" style="70" customWidth="1"/>
    <col min="6156" max="6156" width="16.28515625" style="70" customWidth="1"/>
    <col min="6157" max="6400" width="9.140625" style="70"/>
    <col min="6401" max="6401" width="4.7109375" style="70" customWidth="1"/>
    <col min="6402" max="6402" width="48.5703125" style="70" customWidth="1"/>
    <col min="6403" max="6403" width="15" style="70" customWidth="1"/>
    <col min="6404" max="6404" width="6.140625" style="70" customWidth="1"/>
    <col min="6405" max="6405" width="10.5703125" style="70" customWidth="1"/>
    <col min="6406" max="6406" width="6.42578125" style="70" bestFit="1" customWidth="1"/>
    <col min="6407" max="6407" width="12.140625" style="70" bestFit="1" customWidth="1"/>
    <col min="6408" max="6408" width="6.42578125" style="70" bestFit="1" customWidth="1"/>
    <col min="6409" max="6409" width="12.140625" style="70" bestFit="1" customWidth="1"/>
    <col min="6410" max="6410" width="24" style="70" customWidth="1"/>
    <col min="6411" max="6411" width="21" style="70" customWidth="1"/>
    <col min="6412" max="6412" width="16.28515625" style="70" customWidth="1"/>
    <col min="6413" max="6656" width="9.140625" style="70"/>
    <col min="6657" max="6657" width="4.7109375" style="70" customWidth="1"/>
    <col min="6658" max="6658" width="48.5703125" style="70" customWidth="1"/>
    <col min="6659" max="6659" width="15" style="70" customWidth="1"/>
    <col min="6660" max="6660" width="6.140625" style="70" customWidth="1"/>
    <col min="6661" max="6661" width="10.5703125" style="70" customWidth="1"/>
    <col min="6662" max="6662" width="6.42578125" style="70" bestFit="1" customWidth="1"/>
    <col min="6663" max="6663" width="12.140625" style="70" bestFit="1" customWidth="1"/>
    <col min="6664" max="6664" width="6.42578125" style="70" bestFit="1" customWidth="1"/>
    <col min="6665" max="6665" width="12.140625" style="70" bestFit="1" customWidth="1"/>
    <col min="6666" max="6666" width="24" style="70" customWidth="1"/>
    <col min="6667" max="6667" width="21" style="70" customWidth="1"/>
    <col min="6668" max="6668" width="16.28515625" style="70" customWidth="1"/>
    <col min="6669" max="6912" width="9.140625" style="70"/>
    <col min="6913" max="6913" width="4.7109375" style="70" customWidth="1"/>
    <col min="6914" max="6914" width="48.5703125" style="70" customWidth="1"/>
    <col min="6915" max="6915" width="15" style="70" customWidth="1"/>
    <col min="6916" max="6916" width="6.140625" style="70" customWidth="1"/>
    <col min="6917" max="6917" width="10.5703125" style="70" customWidth="1"/>
    <col min="6918" max="6918" width="6.42578125" style="70" bestFit="1" customWidth="1"/>
    <col min="6919" max="6919" width="12.140625" style="70" bestFit="1" customWidth="1"/>
    <col min="6920" max="6920" width="6.42578125" style="70" bestFit="1" customWidth="1"/>
    <col min="6921" max="6921" width="12.140625" style="70" bestFit="1" customWidth="1"/>
    <col min="6922" max="6922" width="24" style="70" customWidth="1"/>
    <col min="6923" max="6923" width="21" style="70" customWidth="1"/>
    <col min="6924" max="6924" width="16.28515625" style="70" customWidth="1"/>
    <col min="6925" max="7168" width="9.140625" style="70"/>
    <col min="7169" max="7169" width="4.7109375" style="70" customWidth="1"/>
    <col min="7170" max="7170" width="48.5703125" style="70" customWidth="1"/>
    <col min="7171" max="7171" width="15" style="70" customWidth="1"/>
    <col min="7172" max="7172" width="6.140625" style="70" customWidth="1"/>
    <col min="7173" max="7173" width="10.5703125" style="70" customWidth="1"/>
    <col min="7174" max="7174" width="6.42578125" style="70" bestFit="1" customWidth="1"/>
    <col min="7175" max="7175" width="12.140625" style="70" bestFit="1" customWidth="1"/>
    <col min="7176" max="7176" width="6.42578125" style="70" bestFit="1" customWidth="1"/>
    <col min="7177" max="7177" width="12.140625" style="70" bestFit="1" customWidth="1"/>
    <col min="7178" max="7178" width="24" style="70" customWidth="1"/>
    <col min="7179" max="7179" width="21" style="70" customWidth="1"/>
    <col min="7180" max="7180" width="16.28515625" style="70" customWidth="1"/>
    <col min="7181" max="7424" width="9.140625" style="70"/>
    <col min="7425" max="7425" width="4.7109375" style="70" customWidth="1"/>
    <col min="7426" max="7426" width="48.5703125" style="70" customWidth="1"/>
    <col min="7427" max="7427" width="15" style="70" customWidth="1"/>
    <col min="7428" max="7428" width="6.140625" style="70" customWidth="1"/>
    <col min="7429" max="7429" width="10.5703125" style="70" customWidth="1"/>
    <col min="7430" max="7430" width="6.42578125" style="70" bestFit="1" customWidth="1"/>
    <col min="7431" max="7431" width="12.140625" style="70" bestFit="1" customWidth="1"/>
    <col min="7432" max="7432" width="6.42578125" style="70" bestFit="1" customWidth="1"/>
    <col min="7433" max="7433" width="12.140625" style="70" bestFit="1" customWidth="1"/>
    <col min="7434" max="7434" width="24" style="70" customWidth="1"/>
    <col min="7435" max="7435" width="21" style="70" customWidth="1"/>
    <col min="7436" max="7436" width="16.28515625" style="70" customWidth="1"/>
    <col min="7437" max="7680" width="9.140625" style="70"/>
    <col min="7681" max="7681" width="4.7109375" style="70" customWidth="1"/>
    <col min="7682" max="7682" width="48.5703125" style="70" customWidth="1"/>
    <col min="7683" max="7683" width="15" style="70" customWidth="1"/>
    <col min="7684" max="7684" width="6.140625" style="70" customWidth="1"/>
    <col min="7685" max="7685" width="10.5703125" style="70" customWidth="1"/>
    <col min="7686" max="7686" width="6.42578125" style="70" bestFit="1" customWidth="1"/>
    <col min="7687" max="7687" width="12.140625" style="70" bestFit="1" customWidth="1"/>
    <col min="7688" max="7688" width="6.42578125" style="70" bestFit="1" customWidth="1"/>
    <col min="7689" max="7689" width="12.140625" style="70" bestFit="1" customWidth="1"/>
    <col min="7690" max="7690" width="24" style="70" customWidth="1"/>
    <col min="7691" max="7691" width="21" style="70" customWidth="1"/>
    <col min="7692" max="7692" width="16.28515625" style="70" customWidth="1"/>
    <col min="7693" max="7936" width="9.140625" style="70"/>
    <col min="7937" max="7937" width="4.7109375" style="70" customWidth="1"/>
    <col min="7938" max="7938" width="48.5703125" style="70" customWidth="1"/>
    <col min="7939" max="7939" width="15" style="70" customWidth="1"/>
    <col min="7940" max="7940" width="6.140625" style="70" customWidth="1"/>
    <col min="7941" max="7941" width="10.5703125" style="70" customWidth="1"/>
    <col min="7942" max="7942" width="6.42578125" style="70" bestFit="1" customWidth="1"/>
    <col min="7943" max="7943" width="12.140625" style="70" bestFit="1" customWidth="1"/>
    <col min="7944" max="7944" width="6.42578125" style="70" bestFit="1" customWidth="1"/>
    <col min="7945" max="7945" width="12.140625" style="70" bestFit="1" customWidth="1"/>
    <col min="7946" max="7946" width="24" style="70" customWidth="1"/>
    <col min="7947" max="7947" width="21" style="70" customWidth="1"/>
    <col min="7948" max="7948" width="16.28515625" style="70" customWidth="1"/>
    <col min="7949" max="8192" width="9.140625" style="70"/>
    <col min="8193" max="8193" width="4.7109375" style="70" customWidth="1"/>
    <col min="8194" max="8194" width="48.5703125" style="70" customWidth="1"/>
    <col min="8195" max="8195" width="15" style="70" customWidth="1"/>
    <col min="8196" max="8196" width="6.140625" style="70" customWidth="1"/>
    <col min="8197" max="8197" width="10.5703125" style="70" customWidth="1"/>
    <col min="8198" max="8198" width="6.42578125" style="70" bestFit="1" customWidth="1"/>
    <col min="8199" max="8199" width="12.140625" style="70" bestFit="1" customWidth="1"/>
    <col min="8200" max="8200" width="6.42578125" style="70" bestFit="1" customWidth="1"/>
    <col min="8201" max="8201" width="12.140625" style="70" bestFit="1" customWidth="1"/>
    <col min="8202" max="8202" width="24" style="70" customWidth="1"/>
    <col min="8203" max="8203" width="21" style="70" customWidth="1"/>
    <col min="8204" max="8204" width="16.28515625" style="70" customWidth="1"/>
    <col min="8205" max="8448" width="9.140625" style="70"/>
    <col min="8449" max="8449" width="4.7109375" style="70" customWidth="1"/>
    <col min="8450" max="8450" width="48.5703125" style="70" customWidth="1"/>
    <col min="8451" max="8451" width="15" style="70" customWidth="1"/>
    <col min="8452" max="8452" width="6.140625" style="70" customWidth="1"/>
    <col min="8453" max="8453" width="10.5703125" style="70" customWidth="1"/>
    <col min="8454" max="8454" width="6.42578125" style="70" bestFit="1" customWidth="1"/>
    <col min="8455" max="8455" width="12.140625" style="70" bestFit="1" customWidth="1"/>
    <col min="8456" max="8456" width="6.42578125" style="70" bestFit="1" customWidth="1"/>
    <col min="8457" max="8457" width="12.140625" style="70" bestFit="1" customWidth="1"/>
    <col min="8458" max="8458" width="24" style="70" customWidth="1"/>
    <col min="8459" max="8459" width="21" style="70" customWidth="1"/>
    <col min="8460" max="8460" width="16.28515625" style="70" customWidth="1"/>
    <col min="8461" max="8704" width="9.140625" style="70"/>
    <col min="8705" max="8705" width="4.7109375" style="70" customWidth="1"/>
    <col min="8706" max="8706" width="48.5703125" style="70" customWidth="1"/>
    <col min="8707" max="8707" width="15" style="70" customWidth="1"/>
    <col min="8708" max="8708" width="6.140625" style="70" customWidth="1"/>
    <col min="8709" max="8709" width="10.5703125" style="70" customWidth="1"/>
    <col min="8710" max="8710" width="6.42578125" style="70" bestFit="1" customWidth="1"/>
    <col min="8711" max="8711" width="12.140625" style="70" bestFit="1" customWidth="1"/>
    <col min="8712" max="8712" width="6.42578125" style="70" bestFit="1" customWidth="1"/>
    <col min="8713" max="8713" width="12.140625" style="70" bestFit="1" customWidth="1"/>
    <col min="8714" max="8714" width="24" style="70" customWidth="1"/>
    <col min="8715" max="8715" width="21" style="70" customWidth="1"/>
    <col min="8716" max="8716" width="16.28515625" style="70" customWidth="1"/>
    <col min="8717" max="8960" width="9.140625" style="70"/>
    <col min="8961" max="8961" width="4.7109375" style="70" customWidth="1"/>
    <col min="8962" max="8962" width="48.5703125" style="70" customWidth="1"/>
    <col min="8963" max="8963" width="15" style="70" customWidth="1"/>
    <col min="8964" max="8964" width="6.140625" style="70" customWidth="1"/>
    <col min="8965" max="8965" width="10.5703125" style="70" customWidth="1"/>
    <col min="8966" max="8966" width="6.42578125" style="70" bestFit="1" customWidth="1"/>
    <col min="8967" max="8967" width="12.140625" style="70" bestFit="1" customWidth="1"/>
    <col min="8968" max="8968" width="6.42578125" style="70" bestFit="1" customWidth="1"/>
    <col min="8969" max="8969" width="12.140625" style="70" bestFit="1" customWidth="1"/>
    <col min="8970" max="8970" width="24" style="70" customWidth="1"/>
    <col min="8971" max="8971" width="21" style="70" customWidth="1"/>
    <col min="8972" max="8972" width="16.28515625" style="70" customWidth="1"/>
    <col min="8973" max="9216" width="9.140625" style="70"/>
    <col min="9217" max="9217" width="4.7109375" style="70" customWidth="1"/>
    <col min="9218" max="9218" width="48.5703125" style="70" customWidth="1"/>
    <col min="9219" max="9219" width="15" style="70" customWidth="1"/>
    <col min="9220" max="9220" width="6.140625" style="70" customWidth="1"/>
    <col min="9221" max="9221" width="10.5703125" style="70" customWidth="1"/>
    <col min="9222" max="9222" width="6.42578125" style="70" bestFit="1" customWidth="1"/>
    <col min="9223" max="9223" width="12.140625" style="70" bestFit="1" customWidth="1"/>
    <col min="9224" max="9224" width="6.42578125" style="70" bestFit="1" customWidth="1"/>
    <col min="9225" max="9225" width="12.140625" style="70" bestFit="1" customWidth="1"/>
    <col min="9226" max="9226" width="24" style="70" customWidth="1"/>
    <col min="9227" max="9227" width="21" style="70" customWidth="1"/>
    <col min="9228" max="9228" width="16.28515625" style="70" customWidth="1"/>
    <col min="9229" max="9472" width="9.140625" style="70"/>
    <col min="9473" max="9473" width="4.7109375" style="70" customWidth="1"/>
    <col min="9474" max="9474" width="48.5703125" style="70" customWidth="1"/>
    <col min="9475" max="9475" width="15" style="70" customWidth="1"/>
    <col min="9476" max="9476" width="6.140625" style="70" customWidth="1"/>
    <col min="9477" max="9477" width="10.5703125" style="70" customWidth="1"/>
    <col min="9478" max="9478" width="6.42578125" style="70" bestFit="1" customWidth="1"/>
    <col min="9479" max="9479" width="12.140625" style="70" bestFit="1" customWidth="1"/>
    <col min="9480" max="9480" width="6.42578125" style="70" bestFit="1" customWidth="1"/>
    <col min="9481" max="9481" width="12.140625" style="70" bestFit="1" customWidth="1"/>
    <col min="9482" max="9482" width="24" style="70" customWidth="1"/>
    <col min="9483" max="9483" width="21" style="70" customWidth="1"/>
    <col min="9484" max="9484" width="16.28515625" style="70" customWidth="1"/>
    <col min="9485" max="9728" width="9.140625" style="70"/>
    <col min="9729" max="9729" width="4.7109375" style="70" customWidth="1"/>
    <col min="9730" max="9730" width="48.5703125" style="70" customWidth="1"/>
    <col min="9731" max="9731" width="15" style="70" customWidth="1"/>
    <col min="9732" max="9732" width="6.140625" style="70" customWidth="1"/>
    <col min="9733" max="9733" width="10.5703125" style="70" customWidth="1"/>
    <col min="9734" max="9734" width="6.42578125" style="70" bestFit="1" customWidth="1"/>
    <col min="9735" max="9735" width="12.140625" style="70" bestFit="1" customWidth="1"/>
    <col min="9736" max="9736" width="6.42578125" style="70" bestFit="1" customWidth="1"/>
    <col min="9737" max="9737" width="12.140625" style="70" bestFit="1" customWidth="1"/>
    <col min="9738" max="9738" width="24" style="70" customWidth="1"/>
    <col min="9739" max="9739" width="21" style="70" customWidth="1"/>
    <col min="9740" max="9740" width="16.28515625" style="70" customWidth="1"/>
    <col min="9741" max="9984" width="9.140625" style="70"/>
    <col min="9985" max="9985" width="4.7109375" style="70" customWidth="1"/>
    <col min="9986" max="9986" width="48.5703125" style="70" customWidth="1"/>
    <col min="9987" max="9987" width="15" style="70" customWidth="1"/>
    <col min="9988" max="9988" width="6.140625" style="70" customWidth="1"/>
    <col min="9989" max="9989" width="10.5703125" style="70" customWidth="1"/>
    <col min="9990" max="9990" width="6.42578125" style="70" bestFit="1" customWidth="1"/>
    <col min="9991" max="9991" width="12.140625" style="70" bestFit="1" customWidth="1"/>
    <col min="9992" max="9992" width="6.42578125" style="70" bestFit="1" customWidth="1"/>
    <col min="9993" max="9993" width="12.140625" style="70" bestFit="1" customWidth="1"/>
    <col min="9994" max="9994" width="24" style="70" customWidth="1"/>
    <col min="9995" max="9995" width="21" style="70" customWidth="1"/>
    <col min="9996" max="9996" width="16.28515625" style="70" customWidth="1"/>
    <col min="9997" max="10240" width="9.140625" style="70"/>
    <col min="10241" max="10241" width="4.7109375" style="70" customWidth="1"/>
    <col min="10242" max="10242" width="48.5703125" style="70" customWidth="1"/>
    <col min="10243" max="10243" width="15" style="70" customWidth="1"/>
    <col min="10244" max="10244" width="6.140625" style="70" customWidth="1"/>
    <col min="10245" max="10245" width="10.5703125" style="70" customWidth="1"/>
    <col min="10246" max="10246" width="6.42578125" style="70" bestFit="1" customWidth="1"/>
    <col min="10247" max="10247" width="12.140625" style="70" bestFit="1" customWidth="1"/>
    <col min="10248" max="10248" width="6.42578125" style="70" bestFit="1" customWidth="1"/>
    <col min="10249" max="10249" width="12.140625" style="70" bestFit="1" customWidth="1"/>
    <col min="10250" max="10250" width="24" style="70" customWidth="1"/>
    <col min="10251" max="10251" width="21" style="70" customWidth="1"/>
    <col min="10252" max="10252" width="16.28515625" style="70" customWidth="1"/>
    <col min="10253" max="10496" width="9.140625" style="70"/>
    <col min="10497" max="10497" width="4.7109375" style="70" customWidth="1"/>
    <col min="10498" max="10498" width="48.5703125" style="70" customWidth="1"/>
    <col min="10499" max="10499" width="15" style="70" customWidth="1"/>
    <col min="10500" max="10500" width="6.140625" style="70" customWidth="1"/>
    <col min="10501" max="10501" width="10.5703125" style="70" customWidth="1"/>
    <col min="10502" max="10502" width="6.42578125" style="70" bestFit="1" customWidth="1"/>
    <col min="10503" max="10503" width="12.140625" style="70" bestFit="1" customWidth="1"/>
    <col min="10504" max="10504" width="6.42578125" style="70" bestFit="1" customWidth="1"/>
    <col min="10505" max="10505" width="12.140625" style="70" bestFit="1" customWidth="1"/>
    <col min="10506" max="10506" width="24" style="70" customWidth="1"/>
    <col min="10507" max="10507" width="21" style="70" customWidth="1"/>
    <col min="10508" max="10508" width="16.28515625" style="70" customWidth="1"/>
    <col min="10509" max="10752" width="9.140625" style="70"/>
    <col min="10753" max="10753" width="4.7109375" style="70" customWidth="1"/>
    <col min="10754" max="10754" width="48.5703125" style="70" customWidth="1"/>
    <col min="10755" max="10755" width="15" style="70" customWidth="1"/>
    <col min="10756" max="10756" width="6.140625" style="70" customWidth="1"/>
    <col min="10757" max="10757" width="10.5703125" style="70" customWidth="1"/>
    <col min="10758" max="10758" width="6.42578125" style="70" bestFit="1" customWidth="1"/>
    <col min="10759" max="10759" width="12.140625" style="70" bestFit="1" customWidth="1"/>
    <col min="10760" max="10760" width="6.42578125" style="70" bestFit="1" customWidth="1"/>
    <col min="10761" max="10761" width="12.140625" style="70" bestFit="1" customWidth="1"/>
    <col min="10762" max="10762" width="24" style="70" customWidth="1"/>
    <col min="10763" max="10763" width="21" style="70" customWidth="1"/>
    <col min="10764" max="10764" width="16.28515625" style="70" customWidth="1"/>
    <col min="10765" max="11008" width="9.140625" style="70"/>
    <col min="11009" max="11009" width="4.7109375" style="70" customWidth="1"/>
    <col min="11010" max="11010" width="48.5703125" style="70" customWidth="1"/>
    <col min="11011" max="11011" width="15" style="70" customWidth="1"/>
    <col min="11012" max="11012" width="6.140625" style="70" customWidth="1"/>
    <col min="11013" max="11013" width="10.5703125" style="70" customWidth="1"/>
    <col min="11014" max="11014" width="6.42578125" style="70" bestFit="1" customWidth="1"/>
    <col min="11015" max="11015" width="12.140625" style="70" bestFit="1" customWidth="1"/>
    <col min="11016" max="11016" width="6.42578125" style="70" bestFit="1" customWidth="1"/>
    <col min="11017" max="11017" width="12.140625" style="70" bestFit="1" customWidth="1"/>
    <col min="11018" max="11018" width="24" style="70" customWidth="1"/>
    <col min="11019" max="11019" width="21" style="70" customWidth="1"/>
    <col min="11020" max="11020" width="16.28515625" style="70" customWidth="1"/>
    <col min="11021" max="11264" width="9.140625" style="70"/>
    <col min="11265" max="11265" width="4.7109375" style="70" customWidth="1"/>
    <col min="11266" max="11266" width="48.5703125" style="70" customWidth="1"/>
    <col min="11267" max="11267" width="15" style="70" customWidth="1"/>
    <col min="11268" max="11268" width="6.140625" style="70" customWidth="1"/>
    <col min="11269" max="11269" width="10.5703125" style="70" customWidth="1"/>
    <col min="11270" max="11270" width="6.42578125" style="70" bestFit="1" customWidth="1"/>
    <col min="11271" max="11271" width="12.140625" style="70" bestFit="1" customWidth="1"/>
    <col min="11272" max="11272" width="6.42578125" style="70" bestFit="1" customWidth="1"/>
    <col min="11273" max="11273" width="12.140625" style="70" bestFit="1" customWidth="1"/>
    <col min="11274" max="11274" width="24" style="70" customWidth="1"/>
    <col min="11275" max="11275" width="21" style="70" customWidth="1"/>
    <col min="11276" max="11276" width="16.28515625" style="70" customWidth="1"/>
    <col min="11277" max="11520" width="9.140625" style="70"/>
    <col min="11521" max="11521" width="4.7109375" style="70" customWidth="1"/>
    <col min="11522" max="11522" width="48.5703125" style="70" customWidth="1"/>
    <col min="11523" max="11523" width="15" style="70" customWidth="1"/>
    <col min="11524" max="11524" width="6.140625" style="70" customWidth="1"/>
    <col min="11525" max="11525" width="10.5703125" style="70" customWidth="1"/>
    <col min="11526" max="11526" width="6.42578125" style="70" bestFit="1" customWidth="1"/>
    <col min="11527" max="11527" width="12.140625" style="70" bestFit="1" customWidth="1"/>
    <col min="11528" max="11528" width="6.42578125" style="70" bestFit="1" customWidth="1"/>
    <col min="11529" max="11529" width="12.140625" style="70" bestFit="1" customWidth="1"/>
    <col min="11530" max="11530" width="24" style="70" customWidth="1"/>
    <col min="11531" max="11531" width="21" style="70" customWidth="1"/>
    <col min="11532" max="11532" width="16.28515625" style="70" customWidth="1"/>
    <col min="11533" max="11776" width="9.140625" style="70"/>
    <col min="11777" max="11777" width="4.7109375" style="70" customWidth="1"/>
    <col min="11778" max="11778" width="48.5703125" style="70" customWidth="1"/>
    <col min="11779" max="11779" width="15" style="70" customWidth="1"/>
    <col min="11780" max="11780" width="6.140625" style="70" customWidth="1"/>
    <col min="11781" max="11781" width="10.5703125" style="70" customWidth="1"/>
    <col min="11782" max="11782" width="6.42578125" style="70" bestFit="1" customWidth="1"/>
    <col min="11783" max="11783" width="12.140625" style="70" bestFit="1" customWidth="1"/>
    <col min="11784" max="11784" width="6.42578125" style="70" bestFit="1" customWidth="1"/>
    <col min="11785" max="11785" width="12.140625" style="70" bestFit="1" customWidth="1"/>
    <col min="11786" max="11786" width="24" style="70" customWidth="1"/>
    <col min="11787" max="11787" width="21" style="70" customWidth="1"/>
    <col min="11788" max="11788" width="16.28515625" style="70" customWidth="1"/>
    <col min="11789" max="12032" width="9.140625" style="70"/>
    <col min="12033" max="12033" width="4.7109375" style="70" customWidth="1"/>
    <col min="12034" max="12034" width="48.5703125" style="70" customWidth="1"/>
    <col min="12035" max="12035" width="15" style="70" customWidth="1"/>
    <col min="12036" max="12036" width="6.140625" style="70" customWidth="1"/>
    <col min="12037" max="12037" width="10.5703125" style="70" customWidth="1"/>
    <col min="12038" max="12038" width="6.42578125" style="70" bestFit="1" customWidth="1"/>
    <col min="12039" max="12039" width="12.140625" style="70" bestFit="1" customWidth="1"/>
    <col min="12040" max="12040" width="6.42578125" style="70" bestFit="1" customWidth="1"/>
    <col min="12041" max="12041" width="12.140625" style="70" bestFit="1" customWidth="1"/>
    <col min="12042" max="12042" width="24" style="70" customWidth="1"/>
    <col min="12043" max="12043" width="21" style="70" customWidth="1"/>
    <col min="12044" max="12044" width="16.28515625" style="70" customWidth="1"/>
    <col min="12045" max="12288" width="9.140625" style="70"/>
    <col min="12289" max="12289" width="4.7109375" style="70" customWidth="1"/>
    <col min="12290" max="12290" width="48.5703125" style="70" customWidth="1"/>
    <col min="12291" max="12291" width="15" style="70" customWidth="1"/>
    <col min="12292" max="12292" width="6.140625" style="70" customWidth="1"/>
    <col min="12293" max="12293" width="10.5703125" style="70" customWidth="1"/>
    <col min="12294" max="12294" width="6.42578125" style="70" bestFit="1" customWidth="1"/>
    <col min="12295" max="12295" width="12.140625" style="70" bestFit="1" customWidth="1"/>
    <col min="12296" max="12296" width="6.42578125" style="70" bestFit="1" customWidth="1"/>
    <col min="12297" max="12297" width="12.140625" style="70" bestFit="1" customWidth="1"/>
    <col min="12298" max="12298" width="24" style="70" customWidth="1"/>
    <col min="12299" max="12299" width="21" style="70" customWidth="1"/>
    <col min="12300" max="12300" width="16.28515625" style="70" customWidth="1"/>
    <col min="12301" max="12544" width="9.140625" style="70"/>
    <col min="12545" max="12545" width="4.7109375" style="70" customWidth="1"/>
    <col min="12546" max="12546" width="48.5703125" style="70" customWidth="1"/>
    <col min="12547" max="12547" width="15" style="70" customWidth="1"/>
    <col min="12548" max="12548" width="6.140625" style="70" customWidth="1"/>
    <col min="12549" max="12549" width="10.5703125" style="70" customWidth="1"/>
    <col min="12550" max="12550" width="6.42578125" style="70" bestFit="1" customWidth="1"/>
    <col min="12551" max="12551" width="12.140625" style="70" bestFit="1" customWidth="1"/>
    <col min="12552" max="12552" width="6.42578125" style="70" bestFit="1" customWidth="1"/>
    <col min="12553" max="12553" width="12.140625" style="70" bestFit="1" customWidth="1"/>
    <col min="12554" max="12554" width="24" style="70" customWidth="1"/>
    <col min="12555" max="12555" width="21" style="70" customWidth="1"/>
    <col min="12556" max="12556" width="16.28515625" style="70" customWidth="1"/>
    <col min="12557" max="12800" width="9.140625" style="70"/>
    <col min="12801" max="12801" width="4.7109375" style="70" customWidth="1"/>
    <col min="12802" max="12802" width="48.5703125" style="70" customWidth="1"/>
    <col min="12803" max="12803" width="15" style="70" customWidth="1"/>
    <col min="12804" max="12804" width="6.140625" style="70" customWidth="1"/>
    <col min="12805" max="12805" width="10.5703125" style="70" customWidth="1"/>
    <col min="12806" max="12806" width="6.42578125" style="70" bestFit="1" customWidth="1"/>
    <col min="12807" max="12807" width="12.140625" style="70" bestFit="1" customWidth="1"/>
    <col min="12808" max="12808" width="6.42578125" style="70" bestFit="1" customWidth="1"/>
    <col min="12809" max="12809" width="12.140625" style="70" bestFit="1" customWidth="1"/>
    <col min="12810" max="12810" width="24" style="70" customWidth="1"/>
    <col min="12811" max="12811" width="21" style="70" customWidth="1"/>
    <col min="12812" max="12812" width="16.28515625" style="70" customWidth="1"/>
    <col min="12813" max="13056" width="9.140625" style="70"/>
    <col min="13057" max="13057" width="4.7109375" style="70" customWidth="1"/>
    <col min="13058" max="13058" width="48.5703125" style="70" customWidth="1"/>
    <col min="13059" max="13059" width="15" style="70" customWidth="1"/>
    <col min="13060" max="13060" width="6.140625" style="70" customWidth="1"/>
    <col min="13061" max="13061" width="10.5703125" style="70" customWidth="1"/>
    <col min="13062" max="13062" width="6.42578125" style="70" bestFit="1" customWidth="1"/>
    <col min="13063" max="13063" width="12.140625" style="70" bestFit="1" customWidth="1"/>
    <col min="13064" max="13064" width="6.42578125" style="70" bestFit="1" customWidth="1"/>
    <col min="13065" max="13065" width="12.140625" style="70" bestFit="1" customWidth="1"/>
    <col min="13066" max="13066" width="24" style="70" customWidth="1"/>
    <col min="13067" max="13067" width="21" style="70" customWidth="1"/>
    <col min="13068" max="13068" width="16.28515625" style="70" customWidth="1"/>
    <col min="13069" max="13312" width="9.140625" style="70"/>
    <col min="13313" max="13313" width="4.7109375" style="70" customWidth="1"/>
    <col min="13314" max="13314" width="48.5703125" style="70" customWidth="1"/>
    <col min="13315" max="13315" width="15" style="70" customWidth="1"/>
    <col min="13316" max="13316" width="6.140625" style="70" customWidth="1"/>
    <col min="13317" max="13317" width="10.5703125" style="70" customWidth="1"/>
    <col min="13318" max="13318" width="6.42578125" style="70" bestFit="1" customWidth="1"/>
    <col min="13319" max="13319" width="12.140625" style="70" bestFit="1" customWidth="1"/>
    <col min="13320" max="13320" width="6.42578125" style="70" bestFit="1" customWidth="1"/>
    <col min="13321" max="13321" width="12.140625" style="70" bestFit="1" customWidth="1"/>
    <col min="13322" max="13322" width="24" style="70" customWidth="1"/>
    <col min="13323" max="13323" width="21" style="70" customWidth="1"/>
    <col min="13324" max="13324" width="16.28515625" style="70" customWidth="1"/>
    <col min="13325" max="13568" width="9.140625" style="70"/>
    <col min="13569" max="13569" width="4.7109375" style="70" customWidth="1"/>
    <col min="13570" max="13570" width="48.5703125" style="70" customWidth="1"/>
    <col min="13571" max="13571" width="15" style="70" customWidth="1"/>
    <col min="13572" max="13572" width="6.140625" style="70" customWidth="1"/>
    <col min="13573" max="13573" width="10.5703125" style="70" customWidth="1"/>
    <col min="13574" max="13574" width="6.42578125" style="70" bestFit="1" customWidth="1"/>
    <col min="13575" max="13575" width="12.140625" style="70" bestFit="1" customWidth="1"/>
    <col min="13576" max="13576" width="6.42578125" style="70" bestFit="1" customWidth="1"/>
    <col min="13577" max="13577" width="12.140625" style="70" bestFit="1" customWidth="1"/>
    <col min="13578" max="13578" width="24" style="70" customWidth="1"/>
    <col min="13579" max="13579" width="21" style="70" customWidth="1"/>
    <col min="13580" max="13580" width="16.28515625" style="70" customWidth="1"/>
    <col min="13581" max="13824" width="9.140625" style="70"/>
    <col min="13825" max="13825" width="4.7109375" style="70" customWidth="1"/>
    <col min="13826" max="13826" width="48.5703125" style="70" customWidth="1"/>
    <col min="13827" max="13827" width="15" style="70" customWidth="1"/>
    <col min="13828" max="13828" width="6.140625" style="70" customWidth="1"/>
    <col min="13829" max="13829" width="10.5703125" style="70" customWidth="1"/>
    <col min="13830" max="13830" width="6.42578125" style="70" bestFit="1" customWidth="1"/>
    <col min="13831" max="13831" width="12.140625" style="70" bestFit="1" customWidth="1"/>
    <col min="13832" max="13832" width="6.42578125" style="70" bestFit="1" customWidth="1"/>
    <col min="13833" max="13833" width="12.140625" style="70" bestFit="1" customWidth="1"/>
    <col min="13834" max="13834" width="24" style="70" customWidth="1"/>
    <col min="13835" max="13835" width="21" style="70" customWidth="1"/>
    <col min="13836" max="13836" width="16.28515625" style="70" customWidth="1"/>
    <col min="13837" max="14080" width="9.140625" style="70"/>
    <col min="14081" max="14081" width="4.7109375" style="70" customWidth="1"/>
    <col min="14082" max="14082" width="48.5703125" style="70" customWidth="1"/>
    <col min="14083" max="14083" width="15" style="70" customWidth="1"/>
    <col min="14084" max="14084" width="6.140625" style="70" customWidth="1"/>
    <col min="14085" max="14085" width="10.5703125" style="70" customWidth="1"/>
    <col min="14086" max="14086" width="6.42578125" style="70" bestFit="1" customWidth="1"/>
    <col min="14087" max="14087" width="12.140625" style="70" bestFit="1" customWidth="1"/>
    <col min="14088" max="14088" width="6.42578125" style="70" bestFit="1" customWidth="1"/>
    <col min="14089" max="14089" width="12.140625" style="70" bestFit="1" customWidth="1"/>
    <col min="14090" max="14090" width="24" style="70" customWidth="1"/>
    <col min="14091" max="14091" width="21" style="70" customWidth="1"/>
    <col min="14092" max="14092" width="16.28515625" style="70" customWidth="1"/>
    <col min="14093" max="14336" width="9.140625" style="70"/>
    <col min="14337" max="14337" width="4.7109375" style="70" customWidth="1"/>
    <col min="14338" max="14338" width="48.5703125" style="70" customWidth="1"/>
    <col min="14339" max="14339" width="15" style="70" customWidth="1"/>
    <col min="14340" max="14340" width="6.140625" style="70" customWidth="1"/>
    <col min="14341" max="14341" width="10.5703125" style="70" customWidth="1"/>
    <col min="14342" max="14342" width="6.42578125" style="70" bestFit="1" customWidth="1"/>
    <col min="14343" max="14343" width="12.140625" style="70" bestFit="1" customWidth="1"/>
    <col min="14344" max="14344" width="6.42578125" style="70" bestFit="1" customWidth="1"/>
    <col min="14345" max="14345" width="12.140625" style="70" bestFit="1" customWidth="1"/>
    <col min="14346" max="14346" width="24" style="70" customWidth="1"/>
    <col min="14347" max="14347" width="21" style="70" customWidth="1"/>
    <col min="14348" max="14348" width="16.28515625" style="70" customWidth="1"/>
    <col min="14349" max="14592" width="9.140625" style="70"/>
    <col min="14593" max="14593" width="4.7109375" style="70" customWidth="1"/>
    <col min="14594" max="14594" width="48.5703125" style="70" customWidth="1"/>
    <col min="14595" max="14595" width="15" style="70" customWidth="1"/>
    <col min="14596" max="14596" width="6.140625" style="70" customWidth="1"/>
    <col min="14597" max="14597" width="10.5703125" style="70" customWidth="1"/>
    <col min="14598" max="14598" width="6.42578125" style="70" bestFit="1" customWidth="1"/>
    <col min="14599" max="14599" width="12.140625" style="70" bestFit="1" customWidth="1"/>
    <col min="14600" max="14600" width="6.42578125" style="70" bestFit="1" customWidth="1"/>
    <col min="14601" max="14601" width="12.140625" style="70" bestFit="1" customWidth="1"/>
    <col min="14602" max="14602" width="24" style="70" customWidth="1"/>
    <col min="14603" max="14603" width="21" style="70" customWidth="1"/>
    <col min="14604" max="14604" width="16.28515625" style="70" customWidth="1"/>
    <col min="14605" max="14848" width="9.140625" style="70"/>
    <col min="14849" max="14849" width="4.7109375" style="70" customWidth="1"/>
    <col min="14850" max="14850" width="48.5703125" style="70" customWidth="1"/>
    <col min="14851" max="14851" width="15" style="70" customWidth="1"/>
    <col min="14852" max="14852" width="6.140625" style="70" customWidth="1"/>
    <col min="14853" max="14853" width="10.5703125" style="70" customWidth="1"/>
    <col min="14854" max="14854" width="6.42578125" style="70" bestFit="1" customWidth="1"/>
    <col min="14855" max="14855" width="12.140625" style="70" bestFit="1" customWidth="1"/>
    <col min="14856" max="14856" width="6.42578125" style="70" bestFit="1" customWidth="1"/>
    <col min="14857" max="14857" width="12.140625" style="70" bestFit="1" customWidth="1"/>
    <col min="14858" max="14858" width="24" style="70" customWidth="1"/>
    <col min="14859" max="14859" width="21" style="70" customWidth="1"/>
    <col min="14860" max="14860" width="16.28515625" style="70" customWidth="1"/>
    <col min="14861" max="15104" width="9.140625" style="70"/>
    <col min="15105" max="15105" width="4.7109375" style="70" customWidth="1"/>
    <col min="15106" max="15106" width="48.5703125" style="70" customWidth="1"/>
    <col min="15107" max="15107" width="15" style="70" customWidth="1"/>
    <col min="15108" max="15108" width="6.140625" style="70" customWidth="1"/>
    <col min="15109" max="15109" width="10.5703125" style="70" customWidth="1"/>
    <col min="15110" max="15110" width="6.42578125" style="70" bestFit="1" customWidth="1"/>
    <col min="15111" max="15111" width="12.140625" style="70" bestFit="1" customWidth="1"/>
    <col min="15112" max="15112" width="6.42578125" style="70" bestFit="1" customWidth="1"/>
    <col min="15113" max="15113" width="12.140625" style="70" bestFit="1" customWidth="1"/>
    <col min="15114" max="15114" width="24" style="70" customWidth="1"/>
    <col min="15115" max="15115" width="21" style="70" customWidth="1"/>
    <col min="15116" max="15116" width="16.28515625" style="70" customWidth="1"/>
    <col min="15117" max="15360" width="9.140625" style="70"/>
    <col min="15361" max="15361" width="4.7109375" style="70" customWidth="1"/>
    <col min="15362" max="15362" width="48.5703125" style="70" customWidth="1"/>
    <col min="15363" max="15363" width="15" style="70" customWidth="1"/>
    <col min="15364" max="15364" width="6.140625" style="70" customWidth="1"/>
    <col min="15365" max="15365" width="10.5703125" style="70" customWidth="1"/>
    <col min="15366" max="15366" width="6.42578125" style="70" bestFit="1" customWidth="1"/>
    <col min="15367" max="15367" width="12.140625" style="70" bestFit="1" customWidth="1"/>
    <col min="15368" max="15368" width="6.42578125" style="70" bestFit="1" customWidth="1"/>
    <col min="15369" max="15369" width="12.140625" style="70" bestFit="1" customWidth="1"/>
    <col min="15370" max="15370" width="24" style="70" customWidth="1"/>
    <col min="15371" max="15371" width="21" style="70" customWidth="1"/>
    <col min="15372" max="15372" width="16.28515625" style="70" customWidth="1"/>
    <col min="15373" max="15616" width="9.140625" style="70"/>
    <col min="15617" max="15617" width="4.7109375" style="70" customWidth="1"/>
    <col min="15618" max="15618" width="48.5703125" style="70" customWidth="1"/>
    <col min="15619" max="15619" width="15" style="70" customWidth="1"/>
    <col min="15620" max="15620" width="6.140625" style="70" customWidth="1"/>
    <col min="15621" max="15621" width="10.5703125" style="70" customWidth="1"/>
    <col min="15622" max="15622" width="6.42578125" style="70" bestFit="1" customWidth="1"/>
    <col min="15623" max="15623" width="12.140625" style="70" bestFit="1" customWidth="1"/>
    <col min="15624" max="15624" width="6.42578125" style="70" bestFit="1" customWidth="1"/>
    <col min="15625" max="15625" width="12.140625" style="70" bestFit="1" customWidth="1"/>
    <col min="15626" max="15626" width="24" style="70" customWidth="1"/>
    <col min="15627" max="15627" width="21" style="70" customWidth="1"/>
    <col min="15628" max="15628" width="16.28515625" style="70" customWidth="1"/>
    <col min="15629" max="15872" width="9.140625" style="70"/>
    <col min="15873" max="15873" width="4.7109375" style="70" customWidth="1"/>
    <col min="15874" max="15874" width="48.5703125" style="70" customWidth="1"/>
    <col min="15875" max="15875" width="15" style="70" customWidth="1"/>
    <col min="15876" max="15876" width="6.140625" style="70" customWidth="1"/>
    <col min="15877" max="15877" width="10.5703125" style="70" customWidth="1"/>
    <col min="15878" max="15878" width="6.42578125" style="70" bestFit="1" customWidth="1"/>
    <col min="15879" max="15879" width="12.140625" style="70" bestFit="1" customWidth="1"/>
    <col min="15880" max="15880" width="6.42578125" style="70" bestFit="1" customWidth="1"/>
    <col min="15881" max="15881" width="12.140625" style="70" bestFit="1" customWidth="1"/>
    <col min="15882" max="15882" width="24" style="70" customWidth="1"/>
    <col min="15883" max="15883" width="21" style="70" customWidth="1"/>
    <col min="15884" max="15884" width="16.28515625" style="70" customWidth="1"/>
    <col min="15885" max="16128" width="9.140625" style="70"/>
    <col min="16129" max="16129" width="4.7109375" style="70" customWidth="1"/>
    <col min="16130" max="16130" width="48.5703125" style="70" customWidth="1"/>
    <col min="16131" max="16131" width="15" style="70" customWidth="1"/>
    <col min="16132" max="16132" width="6.140625" style="70" customWidth="1"/>
    <col min="16133" max="16133" width="10.5703125" style="70" customWidth="1"/>
    <col min="16134" max="16134" width="6.42578125" style="70" bestFit="1" customWidth="1"/>
    <col min="16135" max="16135" width="12.140625" style="70" bestFit="1" customWidth="1"/>
    <col min="16136" max="16136" width="6.42578125" style="70" bestFit="1" customWidth="1"/>
    <col min="16137" max="16137" width="12.140625" style="70" bestFit="1" customWidth="1"/>
    <col min="16138" max="16138" width="24" style="70" customWidth="1"/>
    <col min="16139" max="16139" width="21" style="70" customWidth="1"/>
    <col min="16140" max="16140" width="16.28515625" style="70" customWidth="1"/>
    <col min="16141" max="16384" width="9.140625" style="70"/>
  </cols>
  <sheetData>
    <row r="1" spans="1:14" ht="18">
      <c r="B1" s="3109" t="s">
        <v>2409</v>
      </c>
      <c r="C1" s="3109"/>
      <c r="D1" s="3109"/>
      <c r="E1" s="3109"/>
    </row>
    <row r="2" spans="1:14" ht="6.75" customHeight="1">
      <c r="A2" s="73"/>
      <c r="B2" s="73"/>
      <c r="C2" s="74"/>
      <c r="D2" s="73"/>
      <c r="E2" s="73"/>
    </row>
    <row r="3" spans="1:14" ht="36" customHeight="1">
      <c r="A3" s="3095" t="s">
        <v>2410</v>
      </c>
      <c r="B3" s="3095"/>
      <c r="C3" s="3095"/>
      <c r="D3" s="3095"/>
      <c r="E3" s="3095"/>
      <c r="F3" s="3095"/>
      <c r="G3" s="3095"/>
      <c r="H3" s="3095"/>
      <c r="I3" s="1898"/>
    </row>
    <row r="4" spans="1:14" ht="7.5" customHeight="1">
      <c r="A4" s="573"/>
      <c r="B4" s="573"/>
      <c r="C4" s="573"/>
      <c r="D4" s="573"/>
      <c r="E4" s="573"/>
      <c r="F4" s="573"/>
      <c r="G4" s="573"/>
      <c r="H4" s="573"/>
      <c r="I4" s="573"/>
    </row>
    <row r="5" spans="1:14" ht="15.75">
      <c r="A5" s="832"/>
      <c r="B5" s="832"/>
      <c r="C5" s="1984"/>
      <c r="D5" s="832"/>
      <c r="E5" s="832"/>
      <c r="F5" s="1985"/>
      <c r="G5" s="1923" t="s">
        <v>89</v>
      </c>
      <c r="H5" s="1985"/>
      <c r="I5" s="1985"/>
    </row>
    <row r="6" spans="1:14" ht="15">
      <c r="A6" s="832"/>
      <c r="B6" s="832"/>
      <c r="C6" s="1984"/>
      <c r="D6" s="832"/>
      <c r="E6" s="832"/>
      <c r="F6" s="1986"/>
      <c r="G6" s="1986"/>
      <c r="H6" s="1986"/>
      <c r="I6" s="1986"/>
    </row>
    <row r="7" spans="1:14" ht="48" customHeight="1">
      <c r="A7" s="3124" t="s">
        <v>2</v>
      </c>
      <c r="B7" s="3124" t="s">
        <v>3</v>
      </c>
      <c r="C7" s="3371" t="s">
        <v>4</v>
      </c>
      <c r="D7" s="3124" t="s">
        <v>5</v>
      </c>
      <c r="E7" s="3373" t="s">
        <v>9</v>
      </c>
      <c r="F7" s="3375" t="s">
        <v>2411</v>
      </c>
      <c r="G7" s="3376"/>
      <c r="H7" s="3124" t="s">
        <v>2412</v>
      </c>
      <c r="I7" s="3124"/>
    </row>
    <row r="8" spans="1:14" ht="18" customHeight="1">
      <c r="A8" s="3124"/>
      <c r="B8" s="3124"/>
      <c r="C8" s="3372"/>
      <c r="D8" s="3124"/>
      <c r="E8" s="3374"/>
      <c r="F8" s="1901" t="s">
        <v>95</v>
      </c>
      <c r="G8" s="1902" t="s">
        <v>10</v>
      </c>
      <c r="H8" s="1901" t="s">
        <v>95</v>
      </c>
      <c r="I8" s="1902" t="s">
        <v>10</v>
      </c>
    </row>
    <row r="9" spans="1:14" ht="15.75">
      <c r="A9" s="1987">
        <v>1</v>
      </c>
      <c r="B9" s="1987">
        <v>2</v>
      </c>
      <c r="C9" s="1987">
        <v>3</v>
      </c>
      <c r="D9" s="1987">
        <v>4</v>
      </c>
      <c r="E9" s="1987">
        <v>5</v>
      </c>
      <c r="F9" s="1987">
        <v>6</v>
      </c>
      <c r="G9" s="1987">
        <v>7</v>
      </c>
      <c r="H9" s="1987">
        <v>8</v>
      </c>
      <c r="I9" s="1987">
        <v>9</v>
      </c>
    </row>
    <row r="10" spans="1:14" ht="17.25" customHeight="1">
      <c r="A10" s="2325">
        <v>1</v>
      </c>
      <c r="B10" s="1822" t="s">
        <v>98</v>
      </c>
      <c r="C10" s="2326">
        <v>7130800002</v>
      </c>
      <c r="D10" s="2327" t="s">
        <v>12</v>
      </c>
      <c r="E10" s="2328">
        <f>VLOOKUP(C10,'[25]SOR RATE'!A:D,4,0)</f>
        <v>7656.89</v>
      </c>
      <c r="F10" s="2329">
        <v>12</v>
      </c>
      <c r="G10" s="2330">
        <f t="shared" ref="G10:G16" si="0">E10*F10</f>
        <v>91882.680000000008</v>
      </c>
      <c r="H10" s="2329">
        <v>12</v>
      </c>
      <c r="I10" s="2330">
        <f t="shared" ref="I10:I15" si="1">E10*H10</f>
        <v>91882.680000000008</v>
      </c>
      <c r="K10" s="84"/>
      <c r="L10" s="84"/>
      <c r="M10" s="1978"/>
      <c r="N10" s="1978"/>
    </row>
    <row r="11" spans="1:14" ht="14.25">
      <c r="A11" s="2325">
        <v>2</v>
      </c>
      <c r="B11" s="2331" t="s">
        <v>2272</v>
      </c>
      <c r="C11" s="2326">
        <v>7130810495</v>
      </c>
      <c r="D11" s="2325" t="s">
        <v>12</v>
      </c>
      <c r="E11" s="2328">
        <f>VLOOKUP(C11,'[25]SOR RATE'!A:D,4,0)</f>
        <v>1380.08</v>
      </c>
      <c r="F11" s="2329">
        <v>12</v>
      </c>
      <c r="G11" s="2328">
        <f t="shared" si="0"/>
        <v>16560.96</v>
      </c>
      <c r="H11" s="2329">
        <v>12</v>
      </c>
      <c r="I11" s="2328">
        <f t="shared" si="1"/>
        <v>16560.96</v>
      </c>
    </row>
    <row r="12" spans="1:14" ht="15.75" customHeight="1">
      <c r="A12" s="2325">
        <v>3</v>
      </c>
      <c r="B12" s="1822" t="s">
        <v>2413</v>
      </c>
      <c r="C12" s="2332">
        <v>7130810193</v>
      </c>
      <c r="D12" s="1628" t="s">
        <v>15</v>
      </c>
      <c r="E12" s="2328">
        <f>VLOOKUP(C12,'[25]SOR RATE'!A:D,4,0)</f>
        <v>369.79</v>
      </c>
      <c r="F12" s="2329">
        <v>12</v>
      </c>
      <c r="G12" s="2328">
        <f t="shared" si="0"/>
        <v>4437.4800000000005</v>
      </c>
      <c r="H12" s="2329">
        <v>12</v>
      </c>
      <c r="I12" s="2328">
        <f t="shared" si="1"/>
        <v>4437.4800000000005</v>
      </c>
    </row>
    <row r="13" spans="1:14" ht="17.25" customHeight="1">
      <c r="A13" s="2325">
        <v>4</v>
      </c>
      <c r="B13" s="2331" t="s">
        <v>2273</v>
      </c>
      <c r="C13" s="2326">
        <v>7130810679</v>
      </c>
      <c r="D13" s="2325" t="s">
        <v>12</v>
      </c>
      <c r="E13" s="2328">
        <f>VLOOKUP(C13,'[25]SOR RATE'!A:D,4,0)</f>
        <v>387.16</v>
      </c>
      <c r="F13" s="2329">
        <v>12</v>
      </c>
      <c r="G13" s="2328">
        <f t="shared" si="0"/>
        <v>4645.92</v>
      </c>
      <c r="H13" s="2329">
        <v>12</v>
      </c>
      <c r="I13" s="2328">
        <f t="shared" si="1"/>
        <v>4645.92</v>
      </c>
    </row>
    <row r="14" spans="1:14" ht="18" customHeight="1">
      <c r="A14" s="2325">
        <v>5</v>
      </c>
      <c r="B14" s="2333" t="s">
        <v>77</v>
      </c>
      <c r="C14" s="2326">
        <v>7130870013</v>
      </c>
      <c r="D14" s="2325" t="s">
        <v>12</v>
      </c>
      <c r="E14" s="2328">
        <f>VLOOKUP(C14,'[25]SOR RATE'!A:D,4,0)</f>
        <v>152.88999999999999</v>
      </c>
      <c r="F14" s="2329">
        <v>12</v>
      </c>
      <c r="G14" s="2328">
        <f t="shared" si="0"/>
        <v>1834.6799999999998</v>
      </c>
      <c r="H14" s="2329">
        <v>12</v>
      </c>
      <c r="I14" s="2328">
        <f t="shared" si="1"/>
        <v>1834.6799999999998</v>
      </c>
    </row>
    <row r="15" spans="1:14" ht="15.75" customHeight="1">
      <c r="A15" s="2325">
        <v>6</v>
      </c>
      <c r="B15" s="1822" t="s">
        <v>102</v>
      </c>
      <c r="C15" s="2332">
        <v>7130820008</v>
      </c>
      <c r="D15" s="2325" t="s">
        <v>12</v>
      </c>
      <c r="E15" s="2328">
        <f>VLOOKUP(C15,'[25]SOR RATE'!A:D,4,0)</f>
        <v>157.08000000000001</v>
      </c>
      <c r="F15" s="2329">
        <v>36</v>
      </c>
      <c r="G15" s="2328">
        <f t="shared" si="0"/>
        <v>5654.88</v>
      </c>
      <c r="H15" s="2329">
        <v>36</v>
      </c>
      <c r="I15" s="2328">
        <f t="shared" si="1"/>
        <v>5654.88</v>
      </c>
      <c r="K15" s="85"/>
      <c r="L15" s="85"/>
    </row>
    <row r="16" spans="1:14" ht="16.5" customHeight="1">
      <c r="A16" s="2334">
        <v>7</v>
      </c>
      <c r="B16" s="2331" t="s">
        <v>2414</v>
      </c>
      <c r="C16" s="2332">
        <v>7130830060</v>
      </c>
      <c r="D16" s="2335" t="s">
        <v>21</v>
      </c>
      <c r="E16" s="2328">
        <f>VLOOKUP(C16,'[25]SOR RATE'!A:D,4,0)/1000</f>
        <v>70.920659999999998</v>
      </c>
      <c r="F16" s="2329">
        <v>3100</v>
      </c>
      <c r="G16" s="2328">
        <f t="shared" si="0"/>
        <v>219854.046</v>
      </c>
      <c r="H16" s="2329"/>
      <c r="I16" s="2328"/>
    </row>
    <row r="17" spans="1:12" ht="17.25" customHeight="1">
      <c r="A17" s="2325">
        <v>8</v>
      </c>
      <c r="B17" s="2331" t="s">
        <v>2415</v>
      </c>
      <c r="C17" s="2332">
        <v>7130830063</v>
      </c>
      <c r="D17" s="2335" t="s">
        <v>21</v>
      </c>
      <c r="E17" s="2328">
        <f>VLOOKUP(C17,'[25]SOR RATE'!A:D,4,0)/1000</f>
        <v>92.285690000000002</v>
      </c>
      <c r="F17" s="2328"/>
      <c r="G17" s="2328"/>
      <c r="H17" s="2329">
        <v>3100</v>
      </c>
      <c r="I17" s="2328">
        <f>E17*H17</f>
        <v>286085.63900000002</v>
      </c>
      <c r="K17" s="807"/>
      <c r="L17" s="1988"/>
    </row>
    <row r="18" spans="1:12" ht="29.25" customHeight="1">
      <c r="A18" s="2325">
        <v>9</v>
      </c>
      <c r="B18" s="2331" t="s">
        <v>2274</v>
      </c>
      <c r="C18" s="2335">
        <v>7130830051</v>
      </c>
      <c r="D18" s="2335" t="s">
        <v>12</v>
      </c>
      <c r="E18" s="2328">
        <f>VLOOKUP(C18,'[25]SOR RATE'!A:D,4,0)</f>
        <v>182.86</v>
      </c>
      <c r="F18" s="2329">
        <v>6</v>
      </c>
      <c r="G18" s="2328">
        <f>E18*F18</f>
        <v>1097.1600000000001</v>
      </c>
      <c r="H18" s="2329">
        <v>6</v>
      </c>
      <c r="I18" s="2328">
        <f>E18*H18</f>
        <v>1097.1600000000001</v>
      </c>
      <c r="J18" s="1989"/>
    </row>
    <row r="19" spans="1:12" ht="14.25">
      <c r="A19" s="3367">
        <v>10</v>
      </c>
      <c r="B19" s="2336" t="s">
        <v>2416</v>
      </c>
      <c r="C19" s="2332">
        <v>7130860033</v>
      </c>
      <c r="D19" s="2327" t="s">
        <v>12</v>
      </c>
      <c r="E19" s="2328">
        <f>VLOOKUP(C19,'[25]SOR RATE'!A:D,4,0)</f>
        <v>1031.6600000000001</v>
      </c>
      <c r="F19" s="2329">
        <v>4</v>
      </c>
      <c r="G19" s="2328">
        <f>E19*F19</f>
        <v>4126.6400000000003</v>
      </c>
      <c r="H19" s="2329">
        <v>4</v>
      </c>
      <c r="I19" s="2328">
        <f>E19*H19</f>
        <v>4126.6400000000003</v>
      </c>
    </row>
    <row r="20" spans="1:12" ht="14.25">
      <c r="A20" s="3368"/>
      <c r="B20" s="2336" t="s">
        <v>2417</v>
      </c>
      <c r="C20" s="2332">
        <v>7130860076</v>
      </c>
      <c r="D20" s="2327" t="s">
        <v>26</v>
      </c>
      <c r="E20" s="2328">
        <f>VLOOKUP(C20,'[25]SOR RATE'!A:D,4,0)/1000</f>
        <v>92.856940000000009</v>
      </c>
      <c r="F20" s="2329">
        <v>34</v>
      </c>
      <c r="G20" s="2328">
        <f>E20*F20</f>
        <v>3157.1359600000005</v>
      </c>
      <c r="H20" s="2329">
        <v>34</v>
      </c>
      <c r="I20" s="2328">
        <f>E20*H20</f>
        <v>3157.1359600000005</v>
      </c>
    </row>
    <row r="21" spans="1:12" ht="15.75" customHeight="1">
      <c r="A21" s="3368"/>
      <c r="B21" s="2336" t="s">
        <v>215</v>
      </c>
      <c r="C21" s="2337"/>
      <c r="D21" s="2338"/>
      <c r="E21" s="2339"/>
      <c r="F21" s="2340"/>
      <c r="G21" s="2328"/>
      <c r="H21" s="2340"/>
      <c r="I21" s="2328"/>
    </row>
    <row r="22" spans="1:12" ht="14.25">
      <c r="A22" s="3369"/>
      <c r="B22" s="1822" t="s">
        <v>1428</v>
      </c>
      <c r="C22" s="2332">
        <v>7130810193</v>
      </c>
      <c r="D22" s="1628" t="s">
        <v>15</v>
      </c>
      <c r="E22" s="2328">
        <f>VLOOKUP(C22,'[25]SOR RATE'!A:D,4,0)</f>
        <v>369.79</v>
      </c>
      <c r="F22" s="2329">
        <v>4</v>
      </c>
      <c r="G22" s="2328">
        <f t="shared" ref="G22:G28" si="2">E22*F22</f>
        <v>1479.16</v>
      </c>
      <c r="H22" s="2329">
        <v>4</v>
      </c>
      <c r="I22" s="2328">
        <f t="shared" ref="I22:I28" si="3">E22*H22</f>
        <v>1479.16</v>
      </c>
    </row>
    <row r="23" spans="1:12" ht="32.25" customHeight="1">
      <c r="A23" s="2335">
        <v>11</v>
      </c>
      <c r="B23" s="2333" t="s">
        <v>2418</v>
      </c>
      <c r="C23" s="2326">
        <v>7130200202</v>
      </c>
      <c r="D23" s="2341" t="s">
        <v>76</v>
      </c>
      <c r="E23" s="2328">
        <f>VLOOKUP(C23,'[25]SOR RATE'!A:D,4,0)</f>
        <v>2970</v>
      </c>
      <c r="F23" s="2341">
        <f>(12*0.55)+(4*0.3)</f>
        <v>7.8000000000000007</v>
      </c>
      <c r="G23" s="2328">
        <f t="shared" si="2"/>
        <v>23166.000000000004</v>
      </c>
      <c r="H23" s="2341">
        <f>(12*0.55)+(4*0.3)</f>
        <v>7.8000000000000007</v>
      </c>
      <c r="I23" s="2328">
        <f t="shared" si="3"/>
        <v>23166.000000000004</v>
      </c>
      <c r="J23" s="1990" t="s">
        <v>47</v>
      </c>
    </row>
    <row r="24" spans="1:12" ht="17.25" customHeight="1">
      <c r="A24" s="2325">
        <v>12</v>
      </c>
      <c r="B24" s="2336" t="s">
        <v>28</v>
      </c>
      <c r="C24" s="2326">
        <v>7130211158</v>
      </c>
      <c r="D24" s="2325" t="s">
        <v>29</v>
      </c>
      <c r="E24" s="2328">
        <f>VLOOKUP(C24,'[25]SOR RATE'!A:D,4,0)</f>
        <v>193.62</v>
      </c>
      <c r="F24" s="2329">
        <v>2</v>
      </c>
      <c r="G24" s="2328">
        <f t="shared" si="2"/>
        <v>387.24</v>
      </c>
      <c r="H24" s="2329">
        <v>2</v>
      </c>
      <c r="I24" s="2328">
        <f t="shared" si="3"/>
        <v>387.24</v>
      </c>
    </row>
    <row r="25" spans="1:12" ht="17.25" customHeight="1">
      <c r="A25" s="2325">
        <v>13</v>
      </c>
      <c r="B25" s="2336" t="s">
        <v>30</v>
      </c>
      <c r="C25" s="2326">
        <v>7130210809</v>
      </c>
      <c r="D25" s="2325" t="s">
        <v>29</v>
      </c>
      <c r="E25" s="2328">
        <f>VLOOKUP(C25,'[25]SOR RATE'!A:D,4,0)</f>
        <v>432.63</v>
      </c>
      <c r="F25" s="2329">
        <v>2</v>
      </c>
      <c r="G25" s="2328">
        <f t="shared" si="2"/>
        <v>865.26</v>
      </c>
      <c r="H25" s="2329">
        <v>2</v>
      </c>
      <c r="I25" s="2328">
        <f t="shared" si="3"/>
        <v>865.26</v>
      </c>
    </row>
    <row r="26" spans="1:12" ht="17.25" customHeight="1">
      <c r="A26" s="2325">
        <v>14</v>
      </c>
      <c r="B26" s="1822" t="s">
        <v>2419</v>
      </c>
      <c r="C26" s="2332">
        <v>7130610206</v>
      </c>
      <c r="D26" s="2325" t="s">
        <v>26</v>
      </c>
      <c r="E26" s="2328">
        <f>VLOOKUP(C26,'[25]SOR RATE'!A:D,4,0)/1000</f>
        <v>97.233429999999998</v>
      </c>
      <c r="F26" s="2329">
        <v>24</v>
      </c>
      <c r="G26" s="2328">
        <f t="shared" si="2"/>
        <v>2333.60232</v>
      </c>
      <c r="H26" s="2329">
        <v>24</v>
      </c>
      <c r="I26" s="2328">
        <f t="shared" si="3"/>
        <v>2333.60232</v>
      </c>
      <c r="J26" s="1972"/>
      <c r="K26" s="87"/>
    </row>
    <row r="27" spans="1:12" ht="16.5" customHeight="1">
      <c r="A27" s="2325">
        <v>15</v>
      </c>
      <c r="B27" s="2342" t="s">
        <v>32</v>
      </c>
      <c r="C27" s="2326">
        <v>7130880041</v>
      </c>
      <c r="D27" s="2325" t="s">
        <v>33</v>
      </c>
      <c r="E27" s="2328">
        <f>VLOOKUP(C27,'[25]SOR RATE'!A:D,4,0)</f>
        <v>113.77</v>
      </c>
      <c r="F27" s="2329">
        <v>12</v>
      </c>
      <c r="G27" s="2328">
        <f t="shared" si="2"/>
        <v>1365.24</v>
      </c>
      <c r="H27" s="2329">
        <v>12</v>
      </c>
      <c r="I27" s="2328">
        <f t="shared" si="3"/>
        <v>1365.24</v>
      </c>
    </row>
    <row r="28" spans="1:12" ht="16.5" customHeight="1">
      <c r="A28" s="2325">
        <v>16</v>
      </c>
      <c r="B28" s="2342" t="s">
        <v>110</v>
      </c>
      <c r="C28" s="2326">
        <v>7130830006</v>
      </c>
      <c r="D28" s="2325" t="s">
        <v>26</v>
      </c>
      <c r="E28" s="2328">
        <f>VLOOKUP(C28,'[25]SOR RATE'!A:D,4,0)</f>
        <v>201.5</v>
      </c>
      <c r="F28" s="2329">
        <v>6</v>
      </c>
      <c r="G28" s="2328">
        <f t="shared" si="2"/>
        <v>1209</v>
      </c>
      <c r="H28" s="2329">
        <v>6</v>
      </c>
      <c r="I28" s="2328">
        <f t="shared" si="3"/>
        <v>1209</v>
      </c>
    </row>
    <row r="29" spans="1:12" ht="16.5" customHeight="1">
      <c r="A29" s="3367">
        <v>17</v>
      </c>
      <c r="B29" s="2336" t="s">
        <v>35</v>
      </c>
      <c r="C29" s="2326"/>
      <c r="D29" s="2325" t="s">
        <v>26</v>
      </c>
      <c r="E29" s="2339"/>
      <c r="F29" s="2329">
        <f>SUM(F30:F32)</f>
        <v>24</v>
      </c>
      <c r="G29" s="2329"/>
      <c r="H29" s="2329">
        <f>SUM(H30:H32)</f>
        <v>24</v>
      </c>
      <c r="I29" s="2328"/>
    </row>
    <row r="30" spans="1:12" ht="16.5" customHeight="1">
      <c r="A30" s="3368"/>
      <c r="B30" s="2343" t="s">
        <v>79</v>
      </c>
      <c r="C30" s="2326">
        <v>7130620609</v>
      </c>
      <c r="D30" s="2325" t="s">
        <v>26</v>
      </c>
      <c r="E30" s="2328">
        <f>VLOOKUP(C30,'[25]SOR RATE'!A:D,4,0)</f>
        <v>87.23</v>
      </c>
      <c r="F30" s="2329">
        <v>1</v>
      </c>
      <c r="G30" s="2328">
        <f>E30*F30</f>
        <v>87.23</v>
      </c>
      <c r="H30" s="2329">
        <v>1</v>
      </c>
      <c r="I30" s="2328">
        <f>E30*H30</f>
        <v>87.23</v>
      </c>
    </row>
    <row r="31" spans="1:12" ht="16.5" customHeight="1">
      <c r="A31" s="3368"/>
      <c r="B31" s="2343" t="s">
        <v>111</v>
      </c>
      <c r="C31" s="2326">
        <v>7130620614</v>
      </c>
      <c r="D31" s="2325" t="s">
        <v>26</v>
      </c>
      <c r="E31" s="2328">
        <f>VLOOKUP(C31,'[25]SOR RATE'!A:D,4,0)</f>
        <v>85.77</v>
      </c>
      <c r="F31" s="2329">
        <v>12</v>
      </c>
      <c r="G31" s="2328">
        <f>E31*F31</f>
        <v>1029.24</v>
      </c>
      <c r="H31" s="2329">
        <v>12</v>
      </c>
      <c r="I31" s="2328">
        <f>E31*H31</f>
        <v>1029.24</v>
      </c>
    </row>
    <row r="32" spans="1:12" ht="16.5" customHeight="1">
      <c r="A32" s="3369"/>
      <c r="B32" s="2343" t="s">
        <v>112</v>
      </c>
      <c r="C32" s="2326">
        <v>7130620625</v>
      </c>
      <c r="D32" s="2325" t="s">
        <v>26</v>
      </c>
      <c r="E32" s="2328">
        <f>VLOOKUP(C32,'[25]SOR RATE'!A:D,4,0)</f>
        <v>84.32</v>
      </c>
      <c r="F32" s="2329">
        <v>11</v>
      </c>
      <c r="G32" s="2328">
        <f>E32*F32</f>
        <v>927.52</v>
      </c>
      <c r="H32" s="2329">
        <v>11</v>
      </c>
      <c r="I32" s="2328">
        <f>E32*H32</f>
        <v>927.52</v>
      </c>
    </row>
    <row r="33" spans="1:11" ht="16.5" customHeight="1">
      <c r="A33" s="2344">
        <v>18</v>
      </c>
      <c r="B33" s="2345" t="s">
        <v>48</v>
      </c>
      <c r="C33" s="2326"/>
      <c r="D33" s="2344"/>
      <c r="E33" s="2344"/>
      <c r="F33" s="2346"/>
      <c r="G33" s="2346">
        <f>SUM(G10:G32)</f>
        <v>386101.07427999994</v>
      </c>
      <c r="H33" s="2346"/>
      <c r="I33" s="2346">
        <f>SUM(I10:I32)</f>
        <v>452332.66727999999</v>
      </c>
      <c r="J33" s="364"/>
      <c r="K33" s="108"/>
    </row>
    <row r="34" spans="1:11" ht="16.5" customHeight="1">
      <c r="A34" s="2344">
        <v>19</v>
      </c>
      <c r="B34" s="2345" t="s">
        <v>49</v>
      </c>
      <c r="C34" s="2326"/>
      <c r="D34" s="2344"/>
      <c r="E34" s="2344"/>
      <c r="F34" s="2346"/>
      <c r="G34" s="2346">
        <f>G33/1.18</f>
        <v>327204.30023728812</v>
      </c>
      <c r="H34" s="2346"/>
      <c r="I34" s="2346">
        <f>I33/1.18</f>
        <v>383332.76888135594</v>
      </c>
      <c r="J34" s="1991"/>
      <c r="K34" s="108"/>
    </row>
    <row r="35" spans="1:11" ht="18" customHeight="1">
      <c r="A35" s="2325">
        <v>20</v>
      </c>
      <c r="B35" s="1822" t="s">
        <v>50</v>
      </c>
      <c r="C35" s="2347"/>
      <c r="D35" s="2347"/>
      <c r="E35" s="2326">
        <v>7.4999999999999997E-2</v>
      </c>
      <c r="F35" s="2328"/>
      <c r="G35" s="2328">
        <f>G33*E35</f>
        <v>28957.580570999995</v>
      </c>
      <c r="H35" s="2328"/>
      <c r="I35" s="2328">
        <f>I33*E35</f>
        <v>33924.950045999998</v>
      </c>
      <c r="J35" s="89"/>
      <c r="K35" s="364"/>
    </row>
    <row r="36" spans="1:11" ht="16.5" customHeight="1">
      <c r="A36" s="2348">
        <v>21</v>
      </c>
      <c r="B36" s="2349" t="s">
        <v>82</v>
      </c>
      <c r="C36" s="2350"/>
      <c r="D36" s="2325" t="s">
        <v>76</v>
      </c>
      <c r="E36" s="1202">
        <f>665.173187113158*1.043</f>
        <v>693.77563415902364</v>
      </c>
      <c r="F36" s="2351">
        <v>7.8</v>
      </c>
      <c r="G36" s="2352">
        <f>E36*F36</f>
        <v>5411.4499464403843</v>
      </c>
      <c r="H36" s="2351">
        <v>7.8</v>
      </c>
      <c r="I36" s="2328">
        <f>E36*H36</f>
        <v>5411.4499464403843</v>
      </c>
      <c r="J36" s="91"/>
    </row>
    <row r="37" spans="1:11" ht="16.5" customHeight="1">
      <c r="A37" s="2335">
        <v>22</v>
      </c>
      <c r="B37" s="2336" t="s">
        <v>2420</v>
      </c>
      <c r="C37" s="2332"/>
      <c r="D37" s="2335"/>
      <c r="E37" s="2339"/>
      <c r="F37" s="2353"/>
      <c r="G37" s="2339">
        <v>68188.73</v>
      </c>
      <c r="H37" s="2353"/>
      <c r="I37" s="2339">
        <v>70347.740000000005</v>
      </c>
    </row>
    <row r="38" spans="1:11" ht="17.25" customHeight="1">
      <c r="A38" s="2335">
        <v>23</v>
      </c>
      <c r="B38" s="2331" t="s">
        <v>2421</v>
      </c>
      <c r="C38" s="2332"/>
      <c r="D38" s="2335"/>
      <c r="E38" s="2354">
        <v>0.04</v>
      </c>
      <c r="F38" s="2339"/>
      <c r="G38" s="2339">
        <f>G34*E38</f>
        <v>13088.172009491525</v>
      </c>
      <c r="H38" s="2339"/>
      <c r="I38" s="2339">
        <f>I34*E38</f>
        <v>15333.310755254237</v>
      </c>
      <c r="J38" s="1945" t="s">
        <v>1827</v>
      </c>
      <c r="K38" s="82"/>
    </row>
    <row r="39" spans="1:11" ht="45.75" customHeight="1">
      <c r="A39" s="2335">
        <v>24</v>
      </c>
      <c r="B39" s="1820" t="s">
        <v>2422</v>
      </c>
      <c r="C39" s="2332"/>
      <c r="D39" s="2335"/>
      <c r="E39" s="2355"/>
      <c r="F39" s="2339"/>
      <c r="G39" s="2354">
        <f>(G33+G35+G36+G37+G38)*0.125</f>
        <v>62718.375850866483</v>
      </c>
      <c r="H39" s="2339"/>
      <c r="I39" s="2354">
        <f>(I33+I35+I36+I37+I38)*0.125</f>
        <v>72168.76475346183</v>
      </c>
      <c r="J39" s="92"/>
      <c r="K39" s="1977"/>
    </row>
    <row r="40" spans="1:11" ht="30">
      <c r="A40" s="2356">
        <v>25</v>
      </c>
      <c r="B40" s="1821" t="s">
        <v>1600</v>
      </c>
      <c r="C40" s="2332"/>
      <c r="D40" s="2335"/>
      <c r="E40" s="2339"/>
      <c r="F40" s="2357"/>
      <c r="G40" s="2357">
        <f>SUM(G34:G39)</f>
        <v>505568.60861508653</v>
      </c>
      <c r="H40" s="2357"/>
      <c r="I40" s="2357">
        <f>SUM(I34:I39)</f>
        <v>580518.9843825124</v>
      </c>
      <c r="J40" s="377"/>
    </row>
    <row r="41" spans="1:11" ht="17.25" customHeight="1">
      <c r="A41" s="2335">
        <v>26</v>
      </c>
      <c r="B41" s="1822" t="s">
        <v>1601</v>
      </c>
      <c r="C41" s="2332"/>
      <c r="D41" s="2335"/>
      <c r="E41" s="2339">
        <v>0.09</v>
      </c>
      <c r="F41" s="2357"/>
      <c r="G41" s="2339">
        <f>G40*E41</f>
        <v>45501.174775357787</v>
      </c>
      <c r="H41" s="2339"/>
      <c r="I41" s="2339">
        <f>I40*E41</f>
        <v>52246.708594426113</v>
      </c>
      <c r="J41" s="377"/>
    </row>
    <row r="42" spans="1:11" ht="17.25" customHeight="1">
      <c r="A42" s="2335">
        <v>27</v>
      </c>
      <c r="B42" s="1822" t="s">
        <v>1602</v>
      </c>
      <c r="C42" s="2332"/>
      <c r="D42" s="2335"/>
      <c r="E42" s="2339">
        <v>0.09</v>
      </c>
      <c r="F42" s="2339"/>
      <c r="G42" s="2339">
        <f>G40*E42</f>
        <v>45501.174775357787</v>
      </c>
      <c r="H42" s="2339"/>
      <c r="I42" s="2339">
        <f>I40*E42</f>
        <v>52246.708594426113</v>
      </c>
      <c r="J42" s="578"/>
    </row>
    <row r="43" spans="1:11" ht="31.5" customHeight="1">
      <c r="A43" s="2335">
        <v>28</v>
      </c>
      <c r="B43" s="1820" t="s">
        <v>1603</v>
      </c>
      <c r="C43" s="2332"/>
      <c r="D43" s="1907"/>
      <c r="E43" s="1907"/>
      <c r="F43" s="1054"/>
      <c r="G43" s="2339">
        <f>G40+G41+G42</f>
        <v>596570.95816580218</v>
      </c>
      <c r="H43" s="2339"/>
      <c r="I43" s="2339">
        <f>I40+I41+I42</f>
        <v>685012.40157136472</v>
      </c>
    </row>
    <row r="44" spans="1:11" ht="33.75" customHeight="1">
      <c r="A44" s="2356">
        <v>29</v>
      </c>
      <c r="B44" s="1823" t="s">
        <v>59</v>
      </c>
      <c r="C44" s="2358"/>
      <c r="D44" s="1920"/>
      <c r="E44" s="1920"/>
      <c r="F44" s="356"/>
      <c r="G44" s="2357">
        <f>ROUND(G43,0)</f>
        <v>596571</v>
      </c>
      <c r="H44" s="2357"/>
      <c r="I44" s="2357">
        <f>ROUND(I43,0)</f>
        <v>685012</v>
      </c>
    </row>
    <row r="45" spans="1:11" ht="15">
      <c r="A45" s="1906"/>
      <c r="B45" s="108"/>
      <c r="C45" s="109"/>
      <c r="D45" s="108"/>
      <c r="E45" s="108"/>
      <c r="F45" s="108"/>
      <c r="G45" s="108"/>
      <c r="H45" s="108"/>
      <c r="I45" s="108"/>
    </row>
    <row r="46" spans="1:11" ht="18.75" customHeight="1">
      <c r="A46" s="1992"/>
      <c r="B46" s="3370" t="s">
        <v>2275</v>
      </c>
      <c r="C46" s="3370"/>
      <c r="D46" s="3370"/>
      <c r="E46" s="1993"/>
      <c r="F46" s="1994"/>
      <c r="G46" s="1994"/>
      <c r="H46" s="1994"/>
      <c r="I46" s="1994"/>
    </row>
    <row r="47" spans="1:11" ht="15">
      <c r="A47" s="1992"/>
    </row>
  </sheetData>
  <mergeCells count="12">
    <mergeCell ref="A19:A22"/>
    <mergeCell ref="A29:A32"/>
    <mergeCell ref="B46:D46"/>
    <mergeCell ref="B1:E1"/>
    <mergeCell ref="A3:H3"/>
    <mergeCell ref="A7:A8"/>
    <mergeCell ref="B7:B8"/>
    <mergeCell ref="C7:C8"/>
    <mergeCell ref="D7:D8"/>
    <mergeCell ref="E7:E8"/>
    <mergeCell ref="F7:G7"/>
    <mergeCell ref="H7:I7"/>
  </mergeCells>
  <conditionalFormatting sqref="B33">
    <cfRule type="cellIs" dxfId="79" priority="2" stopIfTrue="1" operator="equal">
      <formula>"?"</formula>
    </cfRule>
  </conditionalFormatting>
  <conditionalFormatting sqref="B34">
    <cfRule type="cellIs" dxfId="78" priority="1" stopIfTrue="1" operator="equal">
      <formula>"?"</formula>
    </cfRule>
  </conditionalFormatting>
  <pageMargins left="0.86614173228346458" right="0.15748031496062992" top="0.62992125984251968" bottom="0.31496062992125984" header="0.51181102362204722" footer="0.15748031496062992"/>
  <pageSetup orientation="landscape" verticalDpi="300"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48"/>
  <sheetViews>
    <sheetView zoomScaleNormal="100" zoomScaleSheetLayoutView="70" workbookViewId="0">
      <pane xSplit="2" ySplit="9" topLeftCell="C44" activePane="bottomRight" state="frozen"/>
      <selection pane="topRight" activeCell="C1" sqref="C1"/>
      <selection pane="bottomLeft" activeCell="A10" sqref="A10"/>
      <selection pane="bottomRight" activeCell="J10" sqref="J10"/>
    </sheetView>
  </sheetViews>
  <sheetFormatPr defaultRowHeight="12.75"/>
  <cols>
    <col min="1" max="1" width="5.5703125" style="863" customWidth="1"/>
    <col min="2" max="2" width="54.85546875" style="4" customWidth="1"/>
    <col min="3" max="3" width="16.7109375" style="4" bestFit="1" customWidth="1"/>
    <col min="4" max="4" width="6.140625" style="4" customWidth="1"/>
    <col min="5" max="5" width="9.5703125" style="4" customWidth="1"/>
    <col min="6" max="6" width="6.5703125" style="4" bestFit="1" customWidth="1"/>
    <col min="7" max="7" width="12.140625" style="4" customWidth="1"/>
    <col min="8" max="8" width="6.5703125" style="4" bestFit="1" customWidth="1"/>
    <col min="9" max="9" width="12.7109375" style="4" customWidth="1"/>
    <col min="10" max="10" width="23.42578125" style="4" customWidth="1"/>
    <col min="11" max="11" width="21" style="4" customWidth="1"/>
    <col min="12" max="12" width="15" style="4" customWidth="1"/>
    <col min="13" max="13" width="24" style="4" bestFit="1" customWidth="1"/>
    <col min="14" max="14" width="8.140625" style="4" bestFit="1" customWidth="1"/>
    <col min="15" max="15" width="5.140625" style="4" bestFit="1" customWidth="1"/>
    <col min="16" max="256" width="9.140625" style="4"/>
    <col min="257" max="257" width="5.5703125" style="4" customWidth="1"/>
    <col min="258" max="258" width="54.85546875" style="4" customWidth="1"/>
    <col min="259" max="259" width="16.7109375" style="4" bestFit="1" customWidth="1"/>
    <col min="260" max="260" width="6.140625" style="4" customWidth="1"/>
    <col min="261" max="261" width="11.28515625" style="4" customWidth="1"/>
    <col min="262" max="262" width="6.5703125" style="4" bestFit="1" customWidth="1"/>
    <col min="263" max="263" width="13.85546875" style="4" customWidth="1"/>
    <col min="264" max="264" width="6.5703125" style="4" bestFit="1" customWidth="1"/>
    <col min="265" max="265" width="13.85546875" style="4" bestFit="1" customWidth="1"/>
    <col min="266" max="266" width="23.42578125" style="4" customWidth="1"/>
    <col min="267" max="267" width="21" style="4" customWidth="1"/>
    <col min="268" max="268" width="15" style="4" customWidth="1"/>
    <col min="269" max="269" width="24" style="4" bestFit="1" customWidth="1"/>
    <col min="270" max="270" width="8.140625" style="4" bestFit="1" customWidth="1"/>
    <col min="271" max="271" width="5.140625" style="4" bestFit="1" customWidth="1"/>
    <col min="272" max="512" width="9.140625" style="4"/>
    <col min="513" max="513" width="5.5703125" style="4" customWidth="1"/>
    <col min="514" max="514" width="54.85546875" style="4" customWidth="1"/>
    <col min="515" max="515" width="16.7109375" style="4" bestFit="1" customWidth="1"/>
    <col min="516" max="516" width="6.140625" style="4" customWidth="1"/>
    <col min="517" max="517" width="11.28515625" style="4" customWidth="1"/>
    <col min="518" max="518" width="6.5703125" style="4" bestFit="1" customWidth="1"/>
    <col min="519" max="519" width="13.85546875" style="4" customWidth="1"/>
    <col min="520" max="520" width="6.5703125" style="4" bestFit="1" customWidth="1"/>
    <col min="521" max="521" width="13.85546875" style="4" bestFit="1" customWidth="1"/>
    <col min="522" max="522" width="23.42578125" style="4" customWidth="1"/>
    <col min="523" max="523" width="21" style="4" customWidth="1"/>
    <col min="524" max="524" width="15" style="4" customWidth="1"/>
    <col min="525" max="525" width="24" style="4" bestFit="1" customWidth="1"/>
    <col min="526" max="526" width="8.140625" style="4" bestFit="1" customWidth="1"/>
    <col min="527" max="527" width="5.140625" style="4" bestFit="1" customWidth="1"/>
    <col min="528" max="768" width="9.140625" style="4"/>
    <col min="769" max="769" width="5.5703125" style="4" customWidth="1"/>
    <col min="770" max="770" width="54.85546875" style="4" customWidth="1"/>
    <col min="771" max="771" width="16.7109375" style="4" bestFit="1" customWidth="1"/>
    <col min="772" max="772" width="6.140625" style="4" customWidth="1"/>
    <col min="773" max="773" width="11.28515625" style="4" customWidth="1"/>
    <col min="774" max="774" width="6.5703125" style="4" bestFit="1" customWidth="1"/>
    <col min="775" max="775" width="13.85546875" style="4" customWidth="1"/>
    <col min="776" max="776" width="6.5703125" style="4" bestFit="1" customWidth="1"/>
    <col min="777" max="777" width="13.85546875" style="4" bestFit="1" customWidth="1"/>
    <col min="778" max="778" width="23.42578125" style="4" customWidth="1"/>
    <col min="779" max="779" width="21" style="4" customWidth="1"/>
    <col min="780" max="780" width="15" style="4" customWidth="1"/>
    <col min="781" max="781" width="24" style="4" bestFit="1" customWidth="1"/>
    <col min="782" max="782" width="8.140625" style="4" bestFit="1" customWidth="1"/>
    <col min="783" max="783" width="5.140625" style="4" bestFit="1" customWidth="1"/>
    <col min="784" max="1024" width="9.140625" style="4"/>
    <col min="1025" max="1025" width="5.5703125" style="4" customWidth="1"/>
    <col min="1026" max="1026" width="54.85546875" style="4" customWidth="1"/>
    <col min="1027" max="1027" width="16.7109375" style="4" bestFit="1" customWidth="1"/>
    <col min="1028" max="1028" width="6.140625" style="4" customWidth="1"/>
    <col min="1029" max="1029" width="11.28515625" style="4" customWidth="1"/>
    <col min="1030" max="1030" width="6.5703125" style="4" bestFit="1" customWidth="1"/>
    <col min="1031" max="1031" width="13.85546875" style="4" customWidth="1"/>
    <col min="1032" max="1032" width="6.5703125" style="4" bestFit="1" customWidth="1"/>
    <col min="1033" max="1033" width="13.85546875" style="4" bestFit="1" customWidth="1"/>
    <col min="1034" max="1034" width="23.42578125" style="4" customWidth="1"/>
    <col min="1035" max="1035" width="21" style="4" customWidth="1"/>
    <col min="1036" max="1036" width="15" style="4" customWidth="1"/>
    <col min="1037" max="1037" width="24" style="4" bestFit="1" customWidth="1"/>
    <col min="1038" max="1038" width="8.140625" style="4" bestFit="1" customWidth="1"/>
    <col min="1039" max="1039" width="5.140625" style="4" bestFit="1" customWidth="1"/>
    <col min="1040" max="1280" width="9.140625" style="4"/>
    <col min="1281" max="1281" width="5.5703125" style="4" customWidth="1"/>
    <col min="1282" max="1282" width="54.85546875" style="4" customWidth="1"/>
    <col min="1283" max="1283" width="16.7109375" style="4" bestFit="1" customWidth="1"/>
    <col min="1284" max="1284" width="6.140625" style="4" customWidth="1"/>
    <col min="1285" max="1285" width="11.28515625" style="4" customWidth="1"/>
    <col min="1286" max="1286" width="6.5703125" style="4" bestFit="1" customWidth="1"/>
    <col min="1287" max="1287" width="13.85546875" style="4" customWidth="1"/>
    <col min="1288" max="1288" width="6.5703125" style="4" bestFit="1" customWidth="1"/>
    <col min="1289" max="1289" width="13.85546875" style="4" bestFit="1" customWidth="1"/>
    <col min="1290" max="1290" width="23.42578125" style="4" customWidth="1"/>
    <col min="1291" max="1291" width="21" style="4" customWidth="1"/>
    <col min="1292" max="1292" width="15" style="4" customWidth="1"/>
    <col min="1293" max="1293" width="24" style="4" bestFit="1" customWidth="1"/>
    <col min="1294" max="1294" width="8.140625" style="4" bestFit="1" customWidth="1"/>
    <col min="1295" max="1295" width="5.140625" style="4" bestFit="1" customWidth="1"/>
    <col min="1296" max="1536" width="9.140625" style="4"/>
    <col min="1537" max="1537" width="5.5703125" style="4" customWidth="1"/>
    <col min="1538" max="1538" width="54.85546875" style="4" customWidth="1"/>
    <col min="1539" max="1539" width="16.7109375" style="4" bestFit="1" customWidth="1"/>
    <col min="1540" max="1540" width="6.140625" style="4" customWidth="1"/>
    <col min="1541" max="1541" width="11.28515625" style="4" customWidth="1"/>
    <col min="1542" max="1542" width="6.5703125" style="4" bestFit="1" customWidth="1"/>
    <col min="1543" max="1543" width="13.85546875" style="4" customWidth="1"/>
    <col min="1544" max="1544" width="6.5703125" style="4" bestFit="1" customWidth="1"/>
    <col min="1545" max="1545" width="13.85546875" style="4" bestFit="1" customWidth="1"/>
    <col min="1546" max="1546" width="23.42578125" style="4" customWidth="1"/>
    <col min="1547" max="1547" width="21" style="4" customWidth="1"/>
    <col min="1548" max="1548" width="15" style="4" customWidth="1"/>
    <col min="1549" max="1549" width="24" style="4" bestFit="1" customWidth="1"/>
    <col min="1550" max="1550" width="8.140625" style="4" bestFit="1" customWidth="1"/>
    <col min="1551" max="1551" width="5.140625" style="4" bestFit="1" customWidth="1"/>
    <col min="1552" max="1792" width="9.140625" style="4"/>
    <col min="1793" max="1793" width="5.5703125" style="4" customWidth="1"/>
    <col min="1794" max="1794" width="54.85546875" style="4" customWidth="1"/>
    <col min="1795" max="1795" width="16.7109375" style="4" bestFit="1" customWidth="1"/>
    <col min="1796" max="1796" width="6.140625" style="4" customWidth="1"/>
    <col min="1797" max="1797" width="11.28515625" style="4" customWidth="1"/>
    <col min="1798" max="1798" width="6.5703125" style="4" bestFit="1" customWidth="1"/>
    <col min="1799" max="1799" width="13.85546875" style="4" customWidth="1"/>
    <col min="1800" max="1800" width="6.5703125" style="4" bestFit="1" customWidth="1"/>
    <col min="1801" max="1801" width="13.85546875" style="4" bestFit="1" customWidth="1"/>
    <col min="1802" max="1802" width="23.42578125" style="4" customWidth="1"/>
    <col min="1803" max="1803" width="21" style="4" customWidth="1"/>
    <col min="1804" max="1804" width="15" style="4" customWidth="1"/>
    <col min="1805" max="1805" width="24" style="4" bestFit="1" customWidth="1"/>
    <col min="1806" max="1806" width="8.140625" style="4" bestFit="1" customWidth="1"/>
    <col min="1807" max="1807" width="5.140625" style="4" bestFit="1" customWidth="1"/>
    <col min="1808" max="2048" width="9.140625" style="4"/>
    <col min="2049" max="2049" width="5.5703125" style="4" customWidth="1"/>
    <col min="2050" max="2050" width="54.85546875" style="4" customWidth="1"/>
    <col min="2051" max="2051" width="16.7109375" style="4" bestFit="1" customWidth="1"/>
    <col min="2052" max="2052" width="6.140625" style="4" customWidth="1"/>
    <col min="2053" max="2053" width="11.28515625" style="4" customWidth="1"/>
    <col min="2054" max="2054" width="6.5703125" style="4" bestFit="1" customWidth="1"/>
    <col min="2055" max="2055" width="13.85546875" style="4" customWidth="1"/>
    <col min="2056" max="2056" width="6.5703125" style="4" bestFit="1" customWidth="1"/>
    <col min="2057" max="2057" width="13.85546875" style="4" bestFit="1" customWidth="1"/>
    <col min="2058" max="2058" width="23.42578125" style="4" customWidth="1"/>
    <col min="2059" max="2059" width="21" style="4" customWidth="1"/>
    <col min="2060" max="2060" width="15" style="4" customWidth="1"/>
    <col min="2061" max="2061" width="24" style="4" bestFit="1" customWidth="1"/>
    <col min="2062" max="2062" width="8.140625" style="4" bestFit="1" customWidth="1"/>
    <col min="2063" max="2063" width="5.140625" style="4" bestFit="1" customWidth="1"/>
    <col min="2064" max="2304" width="9.140625" style="4"/>
    <col min="2305" max="2305" width="5.5703125" style="4" customWidth="1"/>
    <col min="2306" max="2306" width="54.85546875" style="4" customWidth="1"/>
    <col min="2307" max="2307" width="16.7109375" style="4" bestFit="1" customWidth="1"/>
    <col min="2308" max="2308" width="6.140625" style="4" customWidth="1"/>
    <col min="2309" max="2309" width="11.28515625" style="4" customWidth="1"/>
    <col min="2310" max="2310" width="6.5703125" style="4" bestFit="1" customWidth="1"/>
    <col min="2311" max="2311" width="13.85546875" style="4" customWidth="1"/>
    <col min="2312" max="2312" width="6.5703125" style="4" bestFit="1" customWidth="1"/>
    <col min="2313" max="2313" width="13.85546875" style="4" bestFit="1" customWidth="1"/>
    <col min="2314" max="2314" width="23.42578125" style="4" customWidth="1"/>
    <col min="2315" max="2315" width="21" style="4" customWidth="1"/>
    <col min="2316" max="2316" width="15" style="4" customWidth="1"/>
    <col min="2317" max="2317" width="24" style="4" bestFit="1" customWidth="1"/>
    <col min="2318" max="2318" width="8.140625" style="4" bestFit="1" customWidth="1"/>
    <col min="2319" max="2319" width="5.140625" style="4" bestFit="1" customWidth="1"/>
    <col min="2320" max="2560" width="9.140625" style="4"/>
    <col min="2561" max="2561" width="5.5703125" style="4" customWidth="1"/>
    <col min="2562" max="2562" width="54.85546875" style="4" customWidth="1"/>
    <col min="2563" max="2563" width="16.7109375" style="4" bestFit="1" customWidth="1"/>
    <col min="2564" max="2564" width="6.140625" style="4" customWidth="1"/>
    <col min="2565" max="2565" width="11.28515625" style="4" customWidth="1"/>
    <col min="2566" max="2566" width="6.5703125" style="4" bestFit="1" customWidth="1"/>
    <col min="2567" max="2567" width="13.85546875" style="4" customWidth="1"/>
    <col min="2568" max="2568" width="6.5703125" style="4" bestFit="1" customWidth="1"/>
    <col min="2569" max="2569" width="13.85546875" style="4" bestFit="1" customWidth="1"/>
    <col min="2570" max="2570" width="23.42578125" style="4" customWidth="1"/>
    <col min="2571" max="2571" width="21" style="4" customWidth="1"/>
    <col min="2572" max="2572" width="15" style="4" customWidth="1"/>
    <col min="2573" max="2573" width="24" style="4" bestFit="1" customWidth="1"/>
    <col min="2574" max="2574" width="8.140625" style="4" bestFit="1" customWidth="1"/>
    <col min="2575" max="2575" width="5.140625" style="4" bestFit="1" customWidth="1"/>
    <col min="2576" max="2816" width="9.140625" style="4"/>
    <col min="2817" max="2817" width="5.5703125" style="4" customWidth="1"/>
    <col min="2818" max="2818" width="54.85546875" style="4" customWidth="1"/>
    <col min="2819" max="2819" width="16.7109375" style="4" bestFit="1" customWidth="1"/>
    <col min="2820" max="2820" width="6.140625" style="4" customWidth="1"/>
    <col min="2821" max="2821" width="11.28515625" style="4" customWidth="1"/>
    <col min="2822" max="2822" width="6.5703125" style="4" bestFit="1" customWidth="1"/>
    <col min="2823" max="2823" width="13.85546875" style="4" customWidth="1"/>
    <col min="2824" max="2824" width="6.5703125" style="4" bestFit="1" customWidth="1"/>
    <col min="2825" max="2825" width="13.85546875" style="4" bestFit="1" customWidth="1"/>
    <col min="2826" max="2826" width="23.42578125" style="4" customWidth="1"/>
    <col min="2827" max="2827" width="21" style="4" customWidth="1"/>
    <col min="2828" max="2828" width="15" style="4" customWidth="1"/>
    <col min="2829" max="2829" width="24" style="4" bestFit="1" customWidth="1"/>
    <col min="2830" max="2830" width="8.140625" style="4" bestFit="1" customWidth="1"/>
    <col min="2831" max="2831" width="5.140625" style="4" bestFit="1" customWidth="1"/>
    <col min="2832" max="3072" width="9.140625" style="4"/>
    <col min="3073" max="3073" width="5.5703125" style="4" customWidth="1"/>
    <col min="3074" max="3074" width="54.85546875" style="4" customWidth="1"/>
    <col min="3075" max="3075" width="16.7109375" style="4" bestFit="1" customWidth="1"/>
    <col min="3076" max="3076" width="6.140625" style="4" customWidth="1"/>
    <col min="3077" max="3077" width="11.28515625" style="4" customWidth="1"/>
    <col min="3078" max="3078" width="6.5703125" style="4" bestFit="1" customWidth="1"/>
    <col min="3079" max="3079" width="13.85546875" style="4" customWidth="1"/>
    <col min="3080" max="3080" width="6.5703125" style="4" bestFit="1" customWidth="1"/>
    <col min="3081" max="3081" width="13.85546875" style="4" bestFit="1" customWidth="1"/>
    <col min="3082" max="3082" width="23.42578125" style="4" customWidth="1"/>
    <col min="3083" max="3083" width="21" style="4" customWidth="1"/>
    <col min="3084" max="3084" width="15" style="4" customWidth="1"/>
    <col min="3085" max="3085" width="24" style="4" bestFit="1" customWidth="1"/>
    <col min="3086" max="3086" width="8.140625" style="4" bestFit="1" customWidth="1"/>
    <col min="3087" max="3087" width="5.140625" style="4" bestFit="1" customWidth="1"/>
    <col min="3088" max="3328" width="9.140625" style="4"/>
    <col min="3329" max="3329" width="5.5703125" style="4" customWidth="1"/>
    <col min="3330" max="3330" width="54.85546875" style="4" customWidth="1"/>
    <col min="3331" max="3331" width="16.7109375" style="4" bestFit="1" customWidth="1"/>
    <col min="3332" max="3332" width="6.140625" style="4" customWidth="1"/>
    <col min="3333" max="3333" width="11.28515625" style="4" customWidth="1"/>
    <col min="3334" max="3334" width="6.5703125" style="4" bestFit="1" customWidth="1"/>
    <col min="3335" max="3335" width="13.85546875" style="4" customWidth="1"/>
    <col min="3336" max="3336" width="6.5703125" style="4" bestFit="1" customWidth="1"/>
    <col min="3337" max="3337" width="13.85546875" style="4" bestFit="1" customWidth="1"/>
    <col min="3338" max="3338" width="23.42578125" style="4" customWidth="1"/>
    <col min="3339" max="3339" width="21" style="4" customWidth="1"/>
    <col min="3340" max="3340" width="15" style="4" customWidth="1"/>
    <col min="3341" max="3341" width="24" style="4" bestFit="1" customWidth="1"/>
    <col min="3342" max="3342" width="8.140625" style="4" bestFit="1" customWidth="1"/>
    <col min="3343" max="3343" width="5.140625" style="4" bestFit="1" customWidth="1"/>
    <col min="3344" max="3584" width="9.140625" style="4"/>
    <col min="3585" max="3585" width="5.5703125" style="4" customWidth="1"/>
    <col min="3586" max="3586" width="54.85546875" style="4" customWidth="1"/>
    <col min="3587" max="3587" width="16.7109375" style="4" bestFit="1" customWidth="1"/>
    <col min="3588" max="3588" width="6.140625" style="4" customWidth="1"/>
    <col min="3589" max="3589" width="11.28515625" style="4" customWidth="1"/>
    <col min="3590" max="3590" width="6.5703125" style="4" bestFit="1" customWidth="1"/>
    <col min="3591" max="3591" width="13.85546875" style="4" customWidth="1"/>
    <col min="3592" max="3592" width="6.5703125" style="4" bestFit="1" customWidth="1"/>
    <col min="3593" max="3593" width="13.85546875" style="4" bestFit="1" customWidth="1"/>
    <col min="3594" max="3594" width="23.42578125" style="4" customWidth="1"/>
    <col min="3595" max="3595" width="21" style="4" customWidth="1"/>
    <col min="3596" max="3596" width="15" style="4" customWidth="1"/>
    <col min="3597" max="3597" width="24" style="4" bestFit="1" customWidth="1"/>
    <col min="3598" max="3598" width="8.140625" style="4" bestFit="1" customWidth="1"/>
    <col min="3599" max="3599" width="5.140625" style="4" bestFit="1" customWidth="1"/>
    <col min="3600" max="3840" width="9.140625" style="4"/>
    <col min="3841" max="3841" width="5.5703125" style="4" customWidth="1"/>
    <col min="3842" max="3842" width="54.85546875" style="4" customWidth="1"/>
    <col min="3843" max="3843" width="16.7109375" style="4" bestFit="1" customWidth="1"/>
    <col min="3844" max="3844" width="6.140625" style="4" customWidth="1"/>
    <col min="3845" max="3845" width="11.28515625" style="4" customWidth="1"/>
    <col min="3846" max="3846" width="6.5703125" style="4" bestFit="1" customWidth="1"/>
    <col min="3847" max="3847" width="13.85546875" style="4" customWidth="1"/>
    <col min="3848" max="3848" width="6.5703125" style="4" bestFit="1" customWidth="1"/>
    <col min="3849" max="3849" width="13.85546875" style="4" bestFit="1" customWidth="1"/>
    <col min="3850" max="3850" width="23.42578125" style="4" customWidth="1"/>
    <col min="3851" max="3851" width="21" style="4" customWidth="1"/>
    <col min="3852" max="3852" width="15" style="4" customWidth="1"/>
    <col min="3853" max="3853" width="24" style="4" bestFit="1" customWidth="1"/>
    <col min="3854" max="3854" width="8.140625" style="4" bestFit="1" customWidth="1"/>
    <col min="3855" max="3855" width="5.140625" style="4" bestFit="1" customWidth="1"/>
    <col min="3856" max="4096" width="9.140625" style="4"/>
    <col min="4097" max="4097" width="5.5703125" style="4" customWidth="1"/>
    <col min="4098" max="4098" width="54.85546875" style="4" customWidth="1"/>
    <col min="4099" max="4099" width="16.7109375" style="4" bestFit="1" customWidth="1"/>
    <col min="4100" max="4100" width="6.140625" style="4" customWidth="1"/>
    <col min="4101" max="4101" width="11.28515625" style="4" customWidth="1"/>
    <col min="4102" max="4102" width="6.5703125" style="4" bestFit="1" customWidth="1"/>
    <col min="4103" max="4103" width="13.85546875" style="4" customWidth="1"/>
    <col min="4104" max="4104" width="6.5703125" style="4" bestFit="1" customWidth="1"/>
    <col min="4105" max="4105" width="13.85546875" style="4" bestFit="1" customWidth="1"/>
    <col min="4106" max="4106" width="23.42578125" style="4" customWidth="1"/>
    <col min="4107" max="4107" width="21" style="4" customWidth="1"/>
    <col min="4108" max="4108" width="15" style="4" customWidth="1"/>
    <col min="4109" max="4109" width="24" style="4" bestFit="1" customWidth="1"/>
    <col min="4110" max="4110" width="8.140625" style="4" bestFit="1" customWidth="1"/>
    <col min="4111" max="4111" width="5.140625" style="4" bestFit="1" customWidth="1"/>
    <col min="4112" max="4352" width="9.140625" style="4"/>
    <col min="4353" max="4353" width="5.5703125" style="4" customWidth="1"/>
    <col min="4354" max="4354" width="54.85546875" style="4" customWidth="1"/>
    <col min="4355" max="4355" width="16.7109375" style="4" bestFit="1" customWidth="1"/>
    <col min="4356" max="4356" width="6.140625" style="4" customWidth="1"/>
    <col min="4357" max="4357" width="11.28515625" style="4" customWidth="1"/>
    <col min="4358" max="4358" width="6.5703125" style="4" bestFit="1" customWidth="1"/>
    <col min="4359" max="4359" width="13.85546875" style="4" customWidth="1"/>
    <col min="4360" max="4360" width="6.5703125" style="4" bestFit="1" customWidth="1"/>
    <col min="4361" max="4361" width="13.85546875" style="4" bestFit="1" customWidth="1"/>
    <col min="4362" max="4362" width="23.42578125" style="4" customWidth="1"/>
    <col min="4363" max="4363" width="21" style="4" customWidth="1"/>
    <col min="4364" max="4364" width="15" style="4" customWidth="1"/>
    <col min="4365" max="4365" width="24" style="4" bestFit="1" customWidth="1"/>
    <col min="4366" max="4366" width="8.140625" style="4" bestFit="1" customWidth="1"/>
    <col min="4367" max="4367" width="5.140625" style="4" bestFit="1" customWidth="1"/>
    <col min="4368" max="4608" width="9.140625" style="4"/>
    <col min="4609" max="4609" width="5.5703125" style="4" customWidth="1"/>
    <col min="4610" max="4610" width="54.85546875" style="4" customWidth="1"/>
    <col min="4611" max="4611" width="16.7109375" style="4" bestFit="1" customWidth="1"/>
    <col min="4612" max="4612" width="6.140625" style="4" customWidth="1"/>
    <col min="4613" max="4613" width="11.28515625" style="4" customWidth="1"/>
    <col min="4614" max="4614" width="6.5703125" style="4" bestFit="1" customWidth="1"/>
    <col min="4615" max="4615" width="13.85546875" style="4" customWidth="1"/>
    <col min="4616" max="4616" width="6.5703125" style="4" bestFit="1" customWidth="1"/>
    <col min="4617" max="4617" width="13.85546875" style="4" bestFit="1" customWidth="1"/>
    <col min="4618" max="4618" width="23.42578125" style="4" customWidth="1"/>
    <col min="4619" max="4619" width="21" style="4" customWidth="1"/>
    <col min="4620" max="4620" width="15" style="4" customWidth="1"/>
    <col min="4621" max="4621" width="24" style="4" bestFit="1" customWidth="1"/>
    <col min="4622" max="4622" width="8.140625" style="4" bestFit="1" customWidth="1"/>
    <col min="4623" max="4623" width="5.140625" style="4" bestFit="1" customWidth="1"/>
    <col min="4624" max="4864" width="9.140625" style="4"/>
    <col min="4865" max="4865" width="5.5703125" style="4" customWidth="1"/>
    <col min="4866" max="4866" width="54.85546875" style="4" customWidth="1"/>
    <col min="4867" max="4867" width="16.7109375" style="4" bestFit="1" customWidth="1"/>
    <col min="4868" max="4868" width="6.140625" style="4" customWidth="1"/>
    <col min="4869" max="4869" width="11.28515625" style="4" customWidth="1"/>
    <col min="4870" max="4870" width="6.5703125" style="4" bestFit="1" customWidth="1"/>
    <col min="4871" max="4871" width="13.85546875" style="4" customWidth="1"/>
    <col min="4872" max="4872" width="6.5703125" style="4" bestFit="1" customWidth="1"/>
    <col min="4873" max="4873" width="13.85546875" style="4" bestFit="1" customWidth="1"/>
    <col min="4874" max="4874" width="23.42578125" style="4" customWidth="1"/>
    <col min="4875" max="4875" width="21" style="4" customWidth="1"/>
    <col min="4876" max="4876" width="15" style="4" customWidth="1"/>
    <col min="4877" max="4877" width="24" style="4" bestFit="1" customWidth="1"/>
    <col min="4878" max="4878" width="8.140625" style="4" bestFit="1" customWidth="1"/>
    <col min="4879" max="4879" width="5.140625" style="4" bestFit="1" customWidth="1"/>
    <col min="4880" max="5120" width="9.140625" style="4"/>
    <col min="5121" max="5121" width="5.5703125" style="4" customWidth="1"/>
    <col min="5122" max="5122" width="54.85546875" style="4" customWidth="1"/>
    <col min="5123" max="5123" width="16.7109375" style="4" bestFit="1" customWidth="1"/>
    <col min="5124" max="5124" width="6.140625" style="4" customWidth="1"/>
    <col min="5125" max="5125" width="11.28515625" style="4" customWidth="1"/>
    <col min="5126" max="5126" width="6.5703125" style="4" bestFit="1" customWidth="1"/>
    <col min="5127" max="5127" width="13.85546875" style="4" customWidth="1"/>
    <col min="5128" max="5128" width="6.5703125" style="4" bestFit="1" customWidth="1"/>
    <col min="5129" max="5129" width="13.85546875" style="4" bestFit="1" customWidth="1"/>
    <col min="5130" max="5130" width="23.42578125" style="4" customWidth="1"/>
    <col min="5131" max="5131" width="21" style="4" customWidth="1"/>
    <col min="5132" max="5132" width="15" style="4" customWidth="1"/>
    <col min="5133" max="5133" width="24" style="4" bestFit="1" customWidth="1"/>
    <col min="5134" max="5134" width="8.140625" style="4" bestFit="1" customWidth="1"/>
    <col min="5135" max="5135" width="5.140625" style="4" bestFit="1" customWidth="1"/>
    <col min="5136" max="5376" width="9.140625" style="4"/>
    <col min="5377" max="5377" width="5.5703125" style="4" customWidth="1"/>
    <col min="5378" max="5378" width="54.85546875" style="4" customWidth="1"/>
    <col min="5379" max="5379" width="16.7109375" style="4" bestFit="1" customWidth="1"/>
    <col min="5380" max="5380" width="6.140625" style="4" customWidth="1"/>
    <col min="5381" max="5381" width="11.28515625" style="4" customWidth="1"/>
    <col min="5382" max="5382" width="6.5703125" style="4" bestFit="1" customWidth="1"/>
    <col min="5383" max="5383" width="13.85546875" style="4" customWidth="1"/>
    <col min="5384" max="5384" width="6.5703125" style="4" bestFit="1" customWidth="1"/>
    <col min="5385" max="5385" width="13.85546875" style="4" bestFit="1" customWidth="1"/>
    <col min="5386" max="5386" width="23.42578125" style="4" customWidth="1"/>
    <col min="5387" max="5387" width="21" style="4" customWidth="1"/>
    <col min="5388" max="5388" width="15" style="4" customWidth="1"/>
    <col min="5389" max="5389" width="24" style="4" bestFit="1" customWidth="1"/>
    <col min="5390" max="5390" width="8.140625" style="4" bestFit="1" customWidth="1"/>
    <col min="5391" max="5391" width="5.140625" style="4" bestFit="1" customWidth="1"/>
    <col min="5392" max="5632" width="9.140625" style="4"/>
    <col min="5633" max="5633" width="5.5703125" style="4" customWidth="1"/>
    <col min="5634" max="5634" width="54.85546875" style="4" customWidth="1"/>
    <col min="5635" max="5635" width="16.7109375" style="4" bestFit="1" customWidth="1"/>
    <col min="5636" max="5636" width="6.140625" style="4" customWidth="1"/>
    <col min="5637" max="5637" width="11.28515625" style="4" customWidth="1"/>
    <col min="5638" max="5638" width="6.5703125" style="4" bestFit="1" customWidth="1"/>
    <col min="5639" max="5639" width="13.85546875" style="4" customWidth="1"/>
    <col min="5640" max="5640" width="6.5703125" style="4" bestFit="1" customWidth="1"/>
    <col min="5641" max="5641" width="13.85546875" style="4" bestFit="1" customWidth="1"/>
    <col min="5642" max="5642" width="23.42578125" style="4" customWidth="1"/>
    <col min="5643" max="5643" width="21" style="4" customWidth="1"/>
    <col min="5644" max="5644" width="15" style="4" customWidth="1"/>
    <col min="5645" max="5645" width="24" style="4" bestFit="1" customWidth="1"/>
    <col min="5646" max="5646" width="8.140625" style="4" bestFit="1" customWidth="1"/>
    <col min="5647" max="5647" width="5.140625" style="4" bestFit="1" customWidth="1"/>
    <col min="5648" max="5888" width="9.140625" style="4"/>
    <col min="5889" max="5889" width="5.5703125" style="4" customWidth="1"/>
    <col min="5890" max="5890" width="54.85546875" style="4" customWidth="1"/>
    <col min="5891" max="5891" width="16.7109375" style="4" bestFit="1" customWidth="1"/>
    <col min="5892" max="5892" width="6.140625" style="4" customWidth="1"/>
    <col min="5893" max="5893" width="11.28515625" style="4" customWidth="1"/>
    <col min="5894" max="5894" width="6.5703125" style="4" bestFit="1" customWidth="1"/>
    <col min="5895" max="5895" width="13.85546875" style="4" customWidth="1"/>
    <col min="5896" max="5896" width="6.5703125" style="4" bestFit="1" customWidth="1"/>
    <col min="5897" max="5897" width="13.85546875" style="4" bestFit="1" customWidth="1"/>
    <col min="5898" max="5898" width="23.42578125" style="4" customWidth="1"/>
    <col min="5899" max="5899" width="21" style="4" customWidth="1"/>
    <col min="5900" max="5900" width="15" style="4" customWidth="1"/>
    <col min="5901" max="5901" width="24" style="4" bestFit="1" customWidth="1"/>
    <col min="5902" max="5902" width="8.140625" style="4" bestFit="1" customWidth="1"/>
    <col min="5903" max="5903" width="5.140625" style="4" bestFit="1" customWidth="1"/>
    <col min="5904" max="6144" width="9.140625" style="4"/>
    <col min="6145" max="6145" width="5.5703125" style="4" customWidth="1"/>
    <col min="6146" max="6146" width="54.85546875" style="4" customWidth="1"/>
    <col min="6147" max="6147" width="16.7109375" style="4" bestFit="1" customWidth="1"/>
    <col min="6148" max="6148" width="6.140625" style="4" customWidth="1"/>
    <col min="6149" max="6149" width="11.28515625" style="4" customWidth="1"/>
    <col min="6150" max="6150" width="6.5703125" style="4" bestFit="1" customWidth="1"/>
    <col min="6151" max="6151" width="13.85546875" style="4" customWidth="1"/>
    <col min="6152" max="6152" width="6.5703125" style="4" bestFit="1" customWidth="1"/>
    <col min="6153" max="6153" width="13.85546875" style="4" bestFit="1" customWidth="1"/>
    <col min="6154" max="6154" width="23.42578125" style="4" customWidth="1"/>
    <col min="6155" max="6155" width="21" style="4" customWidth="1"/>
    <col min="6156" max="6156" width="15" style="4" customWidth="1"/>
    <col min="6157" max="6157" width="24" style="4" bestFit="1" customWidth="1"/>
    <col min="6158" max="6158" width="8.140625" style="4" bestFit="1" customWidth="1"/>
    <col min="6159" max="6159" width="5.140625" style="4" bestFit="1" customWidth="1"/>
    <col min="6160" max="6400" width="9.140625" style="4"/>
    <col min="6401" max="6401" width="5.5703125" style="4" customWidth="1"/>
    <col min="6402" max="6402" width="54.85546875" style="4" customWidth="1"/>
    <col min="6403" max="6403" width="16.7109375" style="4" bestFit="1" customWidth="1"/>
    <col min="6404" max="6404" width="6.140625" style="4" customWidth="1"/>
    <col min="6405" max="6405" width="11.28515625" style="4" customWidth="1"/>
    <col min="6406" max="6406" width="6.5703125" style="4" bestFit="1" customWidth="1"/>
    <col min="6407" max="6407" width="13.85546875" style="4" customWidth="1"/>
    <col min="6408" max="6408" width="6.5703125" style="4" bestFit="1" customWidth="1"/>
    <col min="6409" max="6409" width="13.85546875" style="4" bestFit="1" customWidth="1"/>
    <col min="6410" max="6410" width="23.42578125" style="4" customWidth="1"/>
    <col min="6411" max="6411" width="21" style="4" customWidth="1"/>
    <col min="6412" max="6412" width="15" style="4" customWidth="1"/>
    <col min="6413" max="6413" width="24" style="4" bestFit="1" customWidth="1"/>
    <col min="6414" max="6414" width="8.140625" style="4" bestFit="1" customWidth="1"/>
    <col min="6415" max="6415" width="5.140625" style="4" bestFit="1" customWidth="1"/>
    <col min="6416" max="6656" width="9.140625" style="4"/>
    <col min="6657" max="6657" width="5.5703125" style="4" customWidth="1"/>
    <col min="6658" max="6658" width="54.85546875" style="4" customWidth="1"/>
    <col min="6659" max="6659" width="16.7109375" style="4" bestFit="1" customWidth="1"/>
    <col min="6660" max="6660" width="6.140625" style="4" customWidth="1"/>
    <col min="6661" max="6661" width="11.28515625" style="4" customWidth="1"/>
    <col min="6662" max="6662" width="6.5703125" style="4" bestFit="1" customWidth="1"/>
    <col min="6663" max="6663" width="13.85546875" style="4" customWidth="1"/>
    <col min="6664" max="6664" width="6.5703125" style="4" bestFit="1" customWidth="1"/>
    <col min="6665" max="6665" width="13.85546875" style="4" bestFit="1" customWidth="1"/>
    <col min="6666" max="6666" width="23.42578125" style="4" customWidth="1"/>
    <col min="6667" max="6667" width="21" style="4" customWidth="1"/>
    <col min="6668" max="6668" width="15" style="4" customWidth="1"/>
    <col min="6669" max="6669" width="24" style="4" bestFit="1" customWidth="1"/>
    <col min="6670" max="6670" width="8.140625" style="4" bestFit="1" customWidth="1"/>
    <col min="6671" max="6671" width="5.140625" style="4" bestFit="1" customWidth="1"/>
    <col min="6672" max="6912" width="9.140625" style="4"/>
    <col min="6913" max="6913" width="5.5703125" style="4" customWidth="1"/>
    <col min="6914" max="6914" width="54.85546875" style="4" customWidth="1"/>
    <col min="6915" max="6915" width="16.7109375" style="4" bestFit="1" customWidth="1"/>
    <col min="6916" max="6916" width="6.140625" style="4" customWidth="1"/>
    <col min="6917" max="6917" width="11.28515625" style="4" customWidth="1"/>
    <col min="6918" max="6918" width="6.5703125" style="4" bestFit="1" customWidth="1"/>
    <col min="6919" max="6919" width="13.85546875" style="4" customWidth="1"/>
    <col min="6920" max="6920" width="6.5703125" style="4" bestFit="1" customWidth="1"/>
    <col min="6921" max="6921" width="13.85546875" style="4" bestFit="1" customWidth="1"/>
    <col min="6922" max="6922" width="23.42578125" style="4" customWidth="1"/>
    <col min="6923" max="6923" width="21" style="4" customWidth="1"/>
    <col min="6924" max="6924" width="15" style="4" customWidth="1"/>
    <col min="6925" max="6925" width="24" style="4" bestFit="1" customWidth="1"/>
    <col min="6926" max="6926" width="8.140625" style="4" bestFit="1" customWidth="1"/>
    <col min="6927" max="6927" width="5.140625" style="4" bestFit="1" customWidth="1"/>
    <col min="6928" max="7168" width="9.140625" style="4"/>
    <col min="7169" max="7169" width="5.5703125" style="4" customWidth="1"/>
    <col min="7170" max="7170" width="54.85546875" style="4" customWidth="1"/>
    <col min="7171" max="7171" width="16.7109375" style="4" bestFit="1" customWidth="1"/>
    <col min="7172" max="7172" width="6.140625" style="4" customWidth="1"/>
    <col min="7173" max="7173" width="11.28515625" style="4" customWidth="1"/>
    <col min="7174" max="7174" width="6.5703125" style="4" bestFit="1" customWidth="1"/>
    <col min="7175" max="7175" width="13.85546875" style="4" customWidth="1"/>
    <col min="7176" max="7176" width="6.5703125" style="4" bestFit="1" customWidth="1"/>
    <col min="7177" max="7177" width="13.85546875" style="4" bestFit="1" customWidth="1"/>
    <col min="7178" max="7178" width="23.42578125" style="4" customWidth="1"/>
    <col min="7179" max="7179" width="21" style="4" customWidth="1"/>
    <col min="7180" max="7180" width="15" style="4" customWidth="1"/>
    <col min="7181" max="7181" width="24" style="4" bestFit="1" customWidth="1"/>
    <col min="7182" max="7182" width="8.140625" style="4" bestFit="1" customWidth="1"/>
    <col min="7183" max="7183" width="5.140625" style="4" bestFit="1" customWidth="1"/>
    <col min="7184" max="7424" width="9.140625" style="4"/>
    <col min="7425" max="7425" width="5.5703125" style="4" customWidth="1"/>
    <col min="7426" max="7426" width="54.85546875" style="4" customWidth="1"/>
    <col min="7427" max="7427" width="16.7109375" style="4" bestFit="1" customWidth="1"/>
    <col min="7428" max="7428" width="6.140625" style="4" customWidth="1"/>
    <col min="7429" max="7429" width="11.28515625" style="4" customWidth="1"/>
    <col min="7430" max="7430" width="6.5703125" style="4" bestFit="1" customWidth="1"/>
    <col min="7431" max="7431" width="13.85546875" style="4" customWidth="1"/>
    <col min="7432" max="7432" width="6.5703125" style="4" bestFit="1" customWidth="1"/>
    <col min="7433" max="7433" width="13.85546875" style="4" bestFit="1" customWidth="1"/>
    <col min="7434" max="7434" width="23.42578125" style="4" customWidth="1"/>
    <col min="7435" max="7435" width="21" style="4" customWidth="1"/>
    <col min="7436" max="7436" width="15" style="4" customWidth="1"/>
    <col min="7437" max="7437" width="24" style="4" bestFit="1" customWidth="1"/>
    <col min="7438" max="7438" width="8.140625" style="4" bestFit="1" customWidth="1"/>
    <col min="7439" max="7439" width="5.140625" style="4" bestFit="1" customWidth="1"/>
    <col min="7440" max="7680" width="9.140625" style="4"/>
    <col min="7681" max="7681" width="5.5703125" style="4" customWidth="1"/>
    <col min="7682" max="7682" width="54.85546875" style="4" customWidth="1"/>
    <col min="7683" max="7683" width="16.7109375" style="4" bestFit="1" customWidth="1"/>
    <col min="7684" max="7684" width="6.140625" style="4" customWidth="1"/>
    <col min="7685" max="7685" width="11.28515625" style="4" customWidth="1"/>
    <col min="7686" max="7686" width="6.5703125" style="4" bestFit="1" customWidth="1"/>
    <col min="7687" max="7687" width="13.85546875" style="4" customWidth="1"/>
    <col min="7688" max="7688" width="6.5703125" style="4" bestFit="1" customWidth="1"/>
    <col min="7689" max="7689" width="13.85546875" style="4" bestFit="1" customWidth="1"/>
    <col min="7690" max="7690" width="23.42578125" style="4" customWidth="1"/>
    <col min="7691" max="7691" width="21" style="4" customWidth="1"/>
    <col min="7692" max="7692" width="15" style="4" customWidth="1"/>
    <col min="7693" max="7693" width="24" style="4" bestFit="1" customWidth="1"/>
    <col min="7694" max="7694" width="8.140625" style="4" bestFit="1" customWidth="1"/>
    <col min="7695" max="7695" width="5.140625" style="4" bestFit="1" customWidth="1"/>
    <col min="7696" max="7936" width="9.140625" style="4"/>
    <col min="7937" max="7937" width="5.5703125" style="4" customWidth="1"/>
    <col min="7938" max="7938" width="54.85546875" style="4" customWidth="1"/>
    <col min="7939" max="7939" width="16.7109375" style="4" bestFit="1" customWidth="1"/>
    <col min="7940" max="7940" width="6.140625" style="4" customWidth="1"/>
    <col min="7941" max="7941" width="11.28515625" style="4" customWidth="1"/>
    <col min="7942" max="7942" width="6.5703125" style="4" bestFit="1" customWidth="1"/>
    <col min="7943" max="7943" width="13.85546875" style="4" customWidth="1"/>
    <col min="7944" max="7944" width="6.5703125" style="4" bestFit="1" customWidth="1"/>
    <col min="7945" max="7945" width="13.85546875" style="4" bestFit="1" customWidth="1"/>
    <col min="7946" max="7946" width="23.42578125" style="4" customWidth="1"/>
    <col min="7947" max="7947" width="21" style="4" customWidth="1"/>
    <col min="7948" max="7948" width="15" style="4" customWidth="1"/>
    <col min="7949" max="7949" width="24" style="4" bestFit="1" customWidth="1"/>
    <col min="7950" max="7950" width="8.140625" style="4" bestFit="1" customWidth="1"/>
    <col min="7951" max="7951" width="5.140625" style="4" bestFit="1" customWidth="1"/>
    <col min="7952" max="8192" width="9.140625" style="4"/>
    <col min="8193" max="8193" width="5.5703125" style="4" customWidth="1"/>
    <col min="8194" max="8194" width="54.85546875" style="4" customWidth="1"/>
    <col min="8195" max="8195" width="16.7109375" style="4" bestFit="1" customWidth="1"/>
    <col min="8196" max="8196" width="6.140625" style="4" customWidth="1"/>
    <col min="8197" max="8197" width="11.28515625" style="4" customWidth="1"/>
    <col min="8198" max="8198" width="6.5703125" style="4" bestFit="1" customWidth="1"/>
    <col min="8199" max="8199" width="13.85546875" style="4" customWidth="1"/>
    <col min="8200" max="8200" width="6.5703125" style="4" bestFit="1" customWidth="1"/>
    <col min="8201" max="8201" width="13.85546875" style="4" bestFit="1" customWidth="1"/>
    <col min="8202" max="8202" width="23.42578125" style="4" customWidth="1"/>
    <col min="8203" max="8203" width="21" style="4" customWidth="1"/>
    <col min="8204" max="8204" width="15" style="4" customWidth="1"/>
    <col min="8205" max="8205" width="24" style="4" bestFit="1" customWidth="1"/>
    <col min="8206" max="8206" width="8.140625" style="4" bestFit="1" customWidth="1"/>
    <col min="8207" max="8207" width="5.140625" style="4" bestFit="1" customWidth="1"/>
    <col min="8208" max="8448" width="9.140625" style="4"/>
    <col min="8449" max="8449" width="5.5703125" style="4" customWidth="1"/>
    <col min="8450" max="8450" width="54.85546875" style="4" customWidth="1"/>
    <col min="8451" max="8451" width="16.7109375" style="4" bestFit="1" customWidth="1"/>
    <col min="8452" max="8452" width="6.140625" style="4" customWidth="1"/>
    <col min="8453" max="8453" width="11.28515625" style="4" customWidth="1"/>
    <col min="8454" max="8454" width="6.5703125" style="4" bestFit="1" customWidth="1"/>
    <col min="8455" max="8455" width="13.85546875" style="4" customWidth="1"/>
    <col min="8456" max="8456" width="6.5703125" style="4" bestFit="1" customWidth="1"/>
    <col min="8457" max="8457" width="13.85546875" style="4" bestFit="1" customWidth="1"/>
    <col min="8458" max="8458" width="23.42578125" style="4" customWidth="1"/>
    <col min="8459" max="8459" width="21" style="4" customWidth="1"/>
    <col min="8460" max="8460" width="15" style="4" customWidth="1"/>
    <col min="8461" max="8461" width="24" style="4" bestFit="1" customWidth="1"/>
    <col min="8462" max="8462" width="8.140625" style="4" bestFit="1" customWidth="1"/>
    <col min="8463" max="8463" width="5.140625" style="4" bestFit="1" customWidth="1"/>
    <col min="8464" max="8704" width="9.140625" style="4"/>
    <col min="8705" max="8705" width="5.5703125" style="4" customWidth="1"/>
    <col min="8706" max="8706" width="54.85546875" style="4" customWidth="1"/>
    <col min="8707" max="8707" width="16.7109375" style="4" bestFit="1" customWidth="1"/>
    <col min="8708" max="8708" width="6.140625" style="4" customWidth="1"/>
    <col min="8709" max="8709" width="11.28515625" style="4" customWidth="1"/>
    <col min="8710" max="8710" width="6.5703125" style="4" bestFit="1" customWidth="1"/>
    <col min="8711" max="8711" width="13.85546875" style="4" customWidth="1"/>
    <col min="8712" max="8712" width="6.5703125" style="4" bestFit="1" customWidth="1"/>
    <col min="8713" max="8713" width="13.85546875" style="4" bestFit="1" customWidth="1"/>
    <col min="8714" max="8714" width="23.42578125" style="4" customWidth="1"/>
    <col min="8715" max="8715" width="21" style="4" customWidth="1"/>
    <col min="8716" max="8716" width="15" style="4" customWidth="1"/>
    <col min="8717" max="8717" width="24" style="4" bestFit="1" customWidth="1"/>
    <col min="8718" max="8718" width="8.140625" style="4" bestFit="1" customWidth="1"/>
    <col min="8719" max="8719" width="5.140625" style="4" bestFit="1" customWidth="1"/>
    <col min="8720" max="8960" width="9.140625" style="4"/>
    <col min="8961" max="8961" width="5.5703125" style="4" customWidth="1"/>
    <col min="8962" max="8962" width="54.85546875" style="4" customWidth="1"/>
    <col min="8963" max="8963" width="16.7109375" style="4" bestFit="1" customWidth="1"/>
    <col min="8964" max="8964" width="6.140625" style="4" customWidth="1"/>
    <col min="8965" max="8965" width="11.28515625" style="4" customWidth="1"/>
    <col min="8966" max="8966" width="6.5703125" style="4" bestFit="1" customWidth="1"/>
    <col min="8967" max="8967" width="13.85546875" style="4" customWidth="1"/>
    <col min="8968" max="8968" width="6.5703125" style="4" bestFit="1" customWidth="1"/>
    <col min="8969" max="8969" width="13.85546875" style="4" bestFit="1" customWidth="1"/>
    <col min="8970" max="8970" width="23.42578125" style="4" customWidth="1"/>
    <col min="8971" max="8971" width="21" style="4" customWidth="1"/>
    <col min="8972" max="8972" width="15" style="4" customWidth="1"/>
    <col min="8973" max="8973" width="24" style="4" bestFit="1" customWidth="1"/>
    <col min="8974" max="8974" width="8.140625" style="4" bestFit="1" customWidth="1"/>
    <col min="8975" max="8975" width="5.140625" style="4" bestFit="1" customWidth="1"/>
    <col min="8976" max="9216" width="9.140625" style="4"/>
    <col min="9217" max="9217" width="5.5703125" style="4" customWidth="1"/>
    <col min="9218" max="9218" width="54.85546875" style="4" customWidth="1"/>
    <col min="9219" max="9219" width="16.7109375" style="4" bestFit="1" customWidth="1"/>
    <col min="9220" max="9220" width="6.140625" style="4" customWidth="1"/>
    <col min="9221" max="9221" width="11.28515625" style="4" customWidth="1"/>
    <col min="9222" max="9222" width="6.5703125" style="4" bestFit="1" customWidth="1"/>
    <col min="9223" max="9223" width="13.85546875" style="4" customWidth="1"/>
    <col min="9224" max="9224" width="6.5703125" style="4" bestFit="1" customWidth="1"/>
    <col min="9225" max="9225" width="13.85546875" style="4" bestFit="1" customWidth="1"/>
    <col min="9226" max="9226" width="23.42578125" style="4" customWidth="1"/>
    <col min="9227" max="9227" width="21" style="4" customWidth="1"/>
    <col min="9228" max="9228" width="15" style="4" customWidth="1"/>
    <col min="9229" max="9229" width="24" style="4" bestFit="1" customWidth="1"/>
    <col min="9230" max="9230" width="8.140625" style="4" bestFit="1" customWidth="1"/>
    <col min="9231" max="9231" width="5.140625" style="4" bestFit="1" customWidth="1"/>
    <col min="9232" max="9472" width="9.140625" style="4"/>
    <col min="9473" max="9473" width="5.5703125" style="4" customWidth="1"/>
    <col min="9474" max="9474" width="54.85546875" style="4" customWidth="1"/>
    <col min="9475" max="9475" width="16.7109375" style="4" bestFit="1" customWidth="1"/>
    <col min="9476" max="9476" width="6.140625" style="4" customWidth="1"/>
    <col min="9477" max="9477" width="11.28515625" style="4" customWidth="1"/>
    <col min="9478" max="9478" width="6.5703125" style="4" bestFit="1" customWidth="1"/>
    <col min="9479" max="9479" width="13.85546875" style="4" customWidth="1"/>
    <col min="9480" max="9480" width="6.5703125" style="4" bestFit="1" customWidth="1"/>
    <col min="9481" max="9481" width="13.85546875" style="4" bestFit="1" customWidth="1"/>
    <col min="9482" max="9482" width="23.42578125" style="4" customWidth="1"/>
    <col min="9483" max="9483" width="21" style="4" customWidth="1"/>
    <col min="9484" max="9484" width="15" style="4" customWidth="1"/>
    <col min="9485" max="9485" width="24" style="4" bestFit="1" customWidth="1"/>
    <col min="9486" max="9486" width="8.140625" style="4" bestFit="1" customWidth="1"/>
    <col min="9487" max="9487" width="5.140625" style="4" bestFit="1" customWidth="1"/>
    <col min="9488" max="9728" width="9.140625" style="4"/>
    <col min="9729" max="9729" width="5.5703125" style="4" customWidth="1"/>
    <col min="9730" max="9730" width="54.85546875" style="4" customWidth="1"/>
    <col min="9731" max="9731" width="16.7109375" style="4" bestFit="1" customWidth="1"/>
    <col min="9732" max="9732" width="6.140625" style="4" customWidth="1"/>
    <col min="9733" max="9733" width="11.28515625" style="4" customWidth="1"/>
    <col min="9734" max="9734" width="6.5703125" style="4" bestFit="1" customWidth="1"/>
    <col min="9735" max="9735" width="13.85546875" style="4" customWidth="1"/>
    <col min="9736" max="9736" width="6.5703125" style="4" bestFit="1" customWidth="1"/>
    <col min="9737" max="9737" width="13.85546875" style="4" bestFit="1" customWidth="1"/>
    <col min="9738" max="9738" width="23.42578125" style="4" customWidth="1"/>
    <col min="9739" max="9739" width="21" style="4" customWidth="1"/>
    <col min="9740" max="9740" width="15" style="4" customWidth="1"/>
    <col min="9741" max="9741" width="24" style="4" bestFit="1" customWidth="1"/>
    <col min="9742" max="9742" width="8.140625" style="4" bestFit="1" customWidth="1"/>
    <col min="9743" max="9743" width="5.140625" style="4" bestFit="1" customWidth="1"/>
    <col min="9744" max="9984" width="9.140625" style="4"/>
    <col min="9985" max="9985" width="5.5703125" style="4" customWidth="1"/>
    <col min="9986" max="9986" width="54.85546875" style="4" customWidth="1"/>
    <col min="9987" max="9987" width="16.7109375" style="4" bestFit="1" customWidth="1"/>
    <col min="9988" max="9988" width="6.140625" style="4" customWidth="1"/>
    <col min="9989" max="9989" width="11.28515625" style="4" customWidth="1"/>
    <col min="9990" max="9990" width="6.5703125" style="4" bestFit="1" customWidth="1"/>
    <col min="9991" max="9991" width="13.85546875" style="4" customWidth="1"/>
    <col min="9992" max="9992" width="6.5703125" style="4" bestFit="1" customWidth="1"/>
    <col min="9993" max="9993" width="13.85546875" style="4" bestFit="1" customWidth="1"/>
    <col min="9994" max="9994" width="23.42578125" style="4" customWidth="1"/>
    <col min="9995" max="9995" width="21" style="4" customWidth="1"/>
    <col min="9996" max="9996" width="15" style="4" customWidth="1"/>
    <col min="9997" max="9997" width="24" style="4" bestFit="1" customWidth="1"/>
    <col min="9998" max="9998" width="8.140625" style="4" bestFit="1" customWidth="1"/>
    <col min="9999" max="9999" width="5.140625" style="4" bestFit="1" customWidth="1"/>
    <col min="10000" max="10240" width="9.140625" style="4"/>
    <col min="10241" max="10241" width="5.5703125" style="4" customWidth="1"/>
    <col min="10242" max="10242" width="54.85546875" style="4" customWidth="1"/>
    <col min="10243" max="10243" width="16.7109375" style="4" bestFit="1" customWidth="1"/>
    <col min="10244" max="10244" width="6.140625" style="4" customWidth="1"/>
    <col min="10245" max="10245" width="11.28515625" style="4" customWidth="1"/>
    <col min="10246" max="10246" width="6.5703125" style="4" bestFit="1" customWidth="1"/>
    <col min="10247" max="10247" width="13.85546875" style="4" customWidth="1"/>
    <col min="10248" max="10248" width="6.5703125" style="4" bestFit="1" customWidth="1"/>
    <col min="10249" max="10249" width="13.85546875" style="4" bestFit="1" customWidth="1"/>
    <col min="10250" max="10250" width="23.42578125" style="4" customWidth="1"/>
    <col min="10251" max="10251" width="21" style="4" customWidth="1"/>
    <col min="10252" max="10252" width="15" style="4" customWidth="1"/>
    <col min="10253" max="10253" width="24" style="4" bestFit="1" customWidth="1"/>
    <col min="10254" max="10254" width="8.140625" style="4" bestFit="1" customWidth="1"/>
    <col min="10255" max="10255" width="5.140625" style="4" bestFit="1" customWidth="1"/>
    <col min="10256" max="10496" width="9.140625" style="4"/>
    <col min="10497" max="10497" width="5.5703125" style="4" customWidth="1"/>
    <col min="10498" max="10498" width="54.85546875" style="4" customWidth="1"/>
    <col min="10499" max="10499" width="16.7109375" style="4" bestFit="1" customWidth="1"/>
    <col min="10500" max="10500" width="6.140625" style="4" customWidth="1"/>
    <col min="10501" max="10501" width="11.28515625" style="4" customWidth="1"/>
    <col min="10502" max="10502" width="6.5703125" style="4" bestFit="1" customWidth="1"/>
    <col min="10503" max="10503" width="13.85546875" style="4" customWidth="1"/>
    <col min="10504" max="10504" width="6.5703125" style="4" bestFit="1" customWidth="1"/>
    <col min="10505" max="10505" width="13.85546875" style="4" bestFit="1" customWidth="1"/>
    <col min="10506" max="10506" width="23.42578125" style="4" customWidth="1"/>
    <col min="10507" max="10507" width="21" style="4" customWidth="1"/>
    <col min="10508" max="10508" width="15" style="4" customWidth="1"/>
    <col min="10509" max="10509" width="24" style="4" bestFit="1" customWidth="1"/>
    <col min="10510" max="10510" width="8.140625" style="4" bestFit="1" customWidth="1"/>
    <col min="10511" max="10511" width="5.140625" style="4" bestFit="1" customWidth="1"/>
    <col min="10512" max="10752" width="9.140625" style="4"/>
    <col min="10753" max="10753" width="5.5703125" style="4" customWidth="1"/>
    <col min="10754" max="10754" width="54.85546875" style="4" customWidth="1"/>
    <col min="10755" max="10755" width="16.7109375" style="4" bestFit="1" customWidth="1"/>
    <col min="10756" max="10756" width="6.140625" style="4" customWidth="1"/>
    <col min="10757" max="10757" width="11.28515625" style="4" customWidth="1"/>
    <col min="10758" max="10758" width="6.5703125" style="4" bestFit="1" customWidth="1"/>
    <col min="10759" max="10759" width="13.85546875" style="4" customWidth="1"/>
    <col min="10760" max="10760" width="6.5703125" style="4" bestFit="1" customWidth="1"/>
    <col min="10761" max="10761" width="13.85546875" style="4" bestFit="1" customWidth="1"/>
    <col min="10762" max="10762" width="23.42578125" style="4" customWidth="1"/>
    <col min="10763" max="10763" width="21" style="4" customWidth="1"/>
    <col min="10764" max="10764" width="15" style="4" customWidth="1"/>
    <col min="10765" max="10765" width="24" style="4" bestFit="1" customWidth="1"/>
    <col min="10766" max="10766" width="8.140625" style="4" bestFit="1" customWidth="1"/>
    <col min="10767" max="10767" width="5.140625" style="4" bestFit="1" customWidth="1"/>
    <col min="10768" max="11008" width="9.140625" style="4"/>
    <col min="11009" max="11009" width="5.5703125" style="4" customWidth="1"/>
    <col min="11010" max="11010" width="54.85546875" style="4" customWidth="1"/>
    <col min="11011" max="11011" width="16.7109375" style="4" bestFit="1" customWidth="1"/>
    <col min="11012" max="11012" width="6.140625" style="4" customWidth="1"/>
    <col min="11013" max="11013" width="11.28515625" style="4" customWidth="1"/>
    <col min="11014" max="11014" width="6.5703125" style="4" bestFit="1" customWidth="1"/>
    <col min="11015" max="11015" width="13.85546875" style="4" customWidth="1"/>
    <col min="11016" max="11016" width="6.5703125" style="4" bestFit="1" customWidth="1"/>
    <col min="11017" max="11017" width="13.85546875" style="4" bestFit="1" customWidth="1"/>
    <col min="11018" max="11018" width="23.42578125" style="4" customWidth="1"/>
    <col min="11019" max="11019" width="21" style="4" customWidth="1"/>
    <col min="11020" max="11020" width="15" style="4" customWidth="1"/>
    <col min="11021" max="11021" width="24" style="4" bestFit="1" customWidth="1"/>
    <col min="11022" max="11022" width="8.140625" style="4" bestFit="1" customWidth="1"/>
    <col min="11023" max="11023" width="5.140625" style="4" bestFit="1" customWidth="1"/>
    <col min="11024" max="11264" width="9.140625" style="4"/>
    <col min="11265" max="11265" width="5.5703125" style="4" customWidth="1"/>
    <col min="11266" max="11266" width="54.85546875" style="4" customWidth="1"/>
    <col min="11267" max="11267" width="16.7109375" style="4" bestFit="1" customWidth="1"/>
    <col min="11268" max="11268" width="6.140625" style="4" customWidth="1"/>
    <col min="11269" max="11269" width="11.28515625" style="4" customWidth="1"/>
    <col min="11270" max="11270" width="6.5703125" style="4" bestFit="1" customWidth="1"/>
    <col min="11271" max="11271" width="13.85546875" style="4" customWidth="1"/>
    <col min="11272" max="11272" width="6.5703125" style="4" bestFit="1" customWidth="1"/>
    <col min="11273" max="11273" width="13.85546875" style="4" bestFit="1" customWidth="1"/>
    <col min="11274" max="11274" width="23.42578125" style="4" customWidth="1"/>
    <col min="11275" max="11275" width="21" style="4" customWidth="1"/>
    <col min="11276" max="11276" width="15" style="4" customWidth="1"/>
    <col min="11277" max="11277" width="24" style="4" bestFit="1" customWidth="1"/>
    <col min="11278" max="11278" width="8.140625" style="4" bestFit="1" customWidth="1"/>
    <col min="11279" max="11279" width="5.140625" style="4" bestFit="1" customWidth="1"/>
    <col min="11280" max="11520" width="9.140625" style="4"/>
    <col min="11521" max="11521" width="5.5703125" style="4" customWidth="1"/>
    <col min="11522" max="11522" width="54.85546875" style="4" customWidth="1"/>
    <col min="11523" max="11523" width="16.7109375" style="4" bestFit="1" customWidth="1"/>
    <col min="11524" max="11524" width="6.140625" style="4" customWidth="1"/>
    <col min="11525" max="11525" width="11.28515625" style="4" customWidth="1"/>
    <col min="11526" max="11526" width="6.5703125" style="4" bestFit="1" customWidth="1"/>
    <col min="11527" max="11527" width="13.85546875" style="4" customWidth="1"/>
    <col min="11528" max="11528" width="6.5703125" style="4" bestFit="1" customWidth="1"/>
    <col min="11529" max="11529" width="13.85546875" style="4" bestFit="1" customWidth="1"/>
    <col min="11530" max="11530" width="23.42578125" style="4" customWidth="1"/>
    <col min="11531" max="11531" width="21" style="4" customWidth="1"/>
    <col min="11532" max="11532" width="15" style="4" customWidth="1"/>
    <col min="11533" max="11533" width="24" style="4" bestFit="1" customWidth="1"/>
    <col min="11534" max="11534" width="8.140625" style="4" bestFit="1" customWidth="1"/>
    <col min="11535" max="11535" width="5.140625" style="4" bestFit="1" customWidth="1"/>
    <col min="11536" max="11776" width="9.140625" style="4"/>
    <col min="11777" max="11777" width="5.5703125" style="4" customWidth="1"/>
    <col min="11778" max="11778" width="54.85546875" style="4" customWidth="1"/>
    <col min="11779" max="11779" width="16.7109375" style="4" bestFit="1" customWidth="1"/>
    <col min="11780" max="11780" width="6.140625" style="4" customWidth="1"/>
    <col min="11781" max="11781" width="11.28515625" style="4" customWidth="1"/>
    <col min="11782" max="11782" width="6.5703125" style="4" bestFit="1" customWidth="1"/>
    <col min="11783" max="11783" width="13.85546875" style="4" customWidth="1"/>
    <col min="11784" max="11784" width="6.5703125" style="4" bestFit="1" customWidth="1"/>
    <col min="11785" max="11785" width="13.85546875" style="4" bestFit="1" customWidth="1"/>
    <col min="11786" max="11786" width="23.42578125" style="4" customWidth="1"/>
    <col min="11787" max="11787" width="21" style="4" customWidth="1"/>
    <col min="11788" max="11788" width="15" style="4" customWidth="1"/>
    <col min="11789" max="11789" width="24" style="4" bestFit="1" customWidth="1"/>
    <col min="11790" max="11790" width="8.140625" style="4" bestFit="1" customWidth="1"/>
    <col min="11791" max="11791" width="5.140625" style="4" bestFit="1" customWidth="1"/>
    <col min="11792" max="12032" width="9.140625" style="4"/>
    <col min="12033" max="12033" width="5.5703125" style="4" customWidth="1"/>
    <col min="12034" max="12034" width="54.85546875" style="4" customWidth="1"/>
    <col min="12035" max="12035" width="16.7109375" style="4" bestFit="1" customWidth="1"/>
    <col min="12036" max="12036" width="6.140625" style="4" customWidth="1"/>
    <col min="12037" max="12037" width="11.28515625" style="4" customWidth="1"/>
    <col min="12038" max="12038" width="6.5703125" style="4" bestFit="1" customWidth="1"/>
    <col min="12039" max="12039" width="13.85546875" style="4" customWidth="1"/>
    <col min="12040" max="12040" width="6.5703125" style="4" bestFit="1" customWidth="1"/>
    <col min="12041" max="12041" width="13.85546875" style="4" bestFit="1" customWidth="1"/>
    <col min="12042" max="12042" width="23.42578125" style="4" customWidth="1"/>
    <col min="12043" max="12043" width="21" style="4" customWidth="1"/>
    <col min="12044" max="12044" width="15" style="4" customWidth="1"/>
    <col min="12045" max="12045" width="24" style="4" bestFit="1" customWidth="1"/>
    <col min="12046" max="12046" width="8.140625" style="4" bestFit="1" customWidth="1"/>
    <col min="12047" max="12047" width="5.140625" style="4" bestFit="1" customWidth="1"/>
    <col min="12048" max="12288" width="9.140625" style="4"/>
    <col min="12289" max="12289" width="5.5703125" style="4" customWidth="1"/>
    <col min="12290" max="12290" width="54.85546875" style="4" customWidth="1"/>
    <col min="12291" max="12291" width="16.7109375" style="4" bestFit="1" customWidth="1"/>
    <col min="12292" max="12292" width="6.140625" style="4" customWidth="1"/>
    <col min="12293" max="12293" width="11.28515625" style="4" customWidth="1"/>
    <col min="12294" max="12294" width="6.5703125" style="4" bestFit="1" customWidth="1"/>
    <col min="12295" max="12295" width="13.85546875" style="4" customWidth="1"/>
    <col min="12296" max="12296" width="6.5703125" style="4" bestFit="1" customWidth="1"/>
    <col min="12297" max="12297" width="13.85546875" style="4" bestFit="1" customWidth="1"/>
    <col min="12298" max="12298" width="23.42578125" style="4" customWidth="1"/>
    <col min="12299" max="12299" width="21" style="4" customWidth="1"/>
    <col min="12300" max="12300" width="15" style="4" customWidth="1"/>
    <col min="12301" max="12301" width="24" style="4" bestFit="1" customWidth="1"/>
    <col min="12302" max="12302" width="8.140625" style="4" bestFit="1" customWidth="1"/>
    <col min="12303" max="12303" width="5.140625" style="4" bestFit="1" customWidth="1"/>
    <col min="12304" max="12544" width="9.140625" style="4"/>
    <col min="12545" max="12545" width="5.5703125" style="4" customWidth="1"/>
    <col min="12546" max="12546" width="54.85546875" style="4" customWidth="1"/>
    <col min="12547" max="12547" width="16.7109375" style="4" bestFit="1" customWidth="1"/>
    <col min="12548" max="12548" width="6.140625" style="4" customWidth="1"/>
    <col min="12549" max="12549" width="11.28515625" style="4" customWidth="1"/>
    <col min="12550" max="12550" width="6.5703125" style="4" bestFit="1" customWidth="1"/>
    <col min="12551" max="12551" width="13.85546875" style="4" customWidth="1"/>
    <col min="12552" max="12552" width="6.5703125" style="4" bestFit="1" customWidth="1"/>
    <col min="12553" max="12553" width="13.85546875" style="4" bestFit="1" customWidth="1"/>
    <col min="12554" max="12554" width="23.42578125" style="4" customWidth="1"/>
    <col min="12555" max="12555" width="21" style="4" customWidth="1"/>
    <col min="12556" max="12556" width="15" style="4" customWidth="1"/>
    <col min="12557" max="12557" width="24" style="4" bestFit="1" customWidth="1"/>
    <col min="12558" max="12558" width="8.140625" style="4" bestFit="1" customWidth="1"/>
    <col min="12559" max="12559" width="5.140625" style="4" bestFit="1" customWidth="1"/>
    <col min="12560" max="12800" width="9.140625" style="4"/>
    <col min="12801" max="12801" width="5.5703125" style="4" customWidth="1"/>
    <col min="12802" max="12802" width="54.85546875" style="4" customWidth="1"/>
    <col min="12803" max="12803" width="16.7109375" style="4" bestFit="1" customWidth="1"/>
    <col min="12804" max="12804" width="6.140625" style="4" customWidth="1"/>
    <col min="12805" max="12805" width="11.28515625" style="4" customWidth="1"/>
    <col min="12806" max="12806" width="6.5703125" style="4" bestFit="1" customWidth="1"/>
    <col min="12807" max="12807" width="13.85546875" style="4" customWidth="1"/>
    <col min="12808" max="12808" width="6.5703125" style="4" bestFit="1" customWidth="1"/>
    <col min="12809" max="12809" width="13.85546875" style="4" bestFit="1" customWidth="1"/>
    <col min="12810" max="12810" width="23.42578125" style="4" customWidth="1"/>
    <col min="12811" max="12811" width="21" style="4" customWidth="1"/>
    <col min="12812" max="12812" width="15" style="4" customWidth="1"/>
    <col min="12813" max="12813" width="24" style="4" bestFit="1" customWidth="1"/>
    <col min="12814" max="12814" width="8.140625" style="4" bestFit="1" customWidth="1"/>
    <col min="12815" max="12815" width="5.140625" style="4" bestFit="1" customWidth="1"/>
    <col min="12816" max="13056" width="9.140625" style="4"/>
    <col min="13057" max="13057" width="5.5703125" style="4" customWidth="1"/>
    <col min="13058" max="13058" width="54.85546875" style="4" customWidth="1"/>
    <col min="13059" max="13059" width="16.7109375" style="4" bestFit="1" customWidth="1"/>
    <col min="13060" max="13060" width="6.140625" style="4" customWidth="1"/>
    <col min="13061" max="13061" width="11.28515625" style="4" customWidth="1"/>
    <col min="13062" max="13062" width="6.5703125" style="4" bestFit="1" customWidth="1"/>
    <col min="13063" max="13063" width="13.85546875" style="4" customWidth="1"/>
    <col min="13064" max="13064" width="6.5703125" style="4" bestFit="1" customWidth="1"/>
    <col min="13065" max="13065" width="13.85546875" style="4" bestFit="1" customWidth="1"/>
    <col min="13066" max="13066" width="23.42578125" style="4" customWidth="1"/>
    <col min="13067" max="13067" width="21" style="4" customWidth="1"/>
    <col min="13068" max="13068" width="15" style="4" customWidth="1"/>
    <col min="13069" max="13069" width="24" style="4" bestFit="1" customWidth="1"/>
    <col min="13070" max="13070" width="8.140625" style="4" bestFit="1" customWidth="1"/>
    <col min="13071" max="13071" width="5.140625" style="4" bestFit="1" customWidth="1"/>
    <col min="13072" max="13312" width="9.140625" style="4"/>
    <col min="13313" max="13313" width="5.5703125" style="4" customWidth="1"/>
    <col min="13314" max="13314" width="54.85546875" style="4" customWidth="1"/>
    <col min="13315" max="13315" width="16.7109375" style="4" bestFit="1" customWidth="1"/>
    <col min="13316" max="13316" width="6.140625" style="4" customWidth="1"/>
    <col min="13317" max="13317" width="11.28515625" style="4" customWidth="1"/>
    <col min="13318" max="13318" width="6.5703125" style="4" bestFit="1" customWidth="1"/>
    <col min="13319" max="13319" width="13.85546875" style="4" customWidth="1"/>
    <col min="13320" max="13320" width="6.5703125" style="4" bestFit="1" customWidth="1"/>
    <col min="13321" max="13321" width="13.85546875" style="4" bestFit="1" customWidth="1"/>
    <col min="13322" max="13322" width="23.42578125" style="4" customWidth="1"/>
    <col min="13323" max="13323" width="21" style="4" customWidth="1"/>
    <col min="13324" max="13324" width="15" style="4" customWidth="1"/>
    <col min="13325" max="13325" width="24" style="4" bestFit="1" customWidth="1"/>
    <col min="13326" max="13326" width="8.140625" style="4" bestFit="1" customWidth="1"/>
    <col min="13327" max="13327" width="5.140625" style="4" bestFit="1" customWidth="1"/>
    <col min="13328" max="13568" width="9.140625" style="4"/>
    <col min="13569" max="13569" width="5.5703125" style="4" customWidth="1"/>
    <col min="13570" max="13570" width="54.85546875" style="4" customWidth="1"/>
    <col min="13571" max="13571" width="16.7109375" style="4" bestFit="1" customWidth="1"/>
    <col min="13572" max="13572" width="6.140625" style="4" customWidth="1"/>
    <col min="13573" max="13573" width="11.28515625" style="4" customWidth="1"/>
    <col min="13574" max="13574" width="6.5703125" style="4" bestFit="1" customWidth="1"/>
    <col min="13575" max="13575" width="13.85546875" style="4" customWidth="1"/>
    <col min="13576" max="13576" width="6.5703125" style="4" bestFit="1" customWidth="1"/>
    <col min="13577" max="13577" width="13.85546875" style="4" bestFit="1" customWidth="1"/>
    <col min="13578" max="13578" width="23.42578125" style="4" customWidth="1"/>
    <col min="13579" max="13579" width="21" style="4" customWidth="1"/>
    <col min="13580" max="13580" width="15" style="4" customWidth="1"/>
    <col min="13581" max="13581" width="24" style="4" bestFit="1" customWidth="1"/>
    <col min="13582" max="13582" width="8.140625" style="4" bestFit="1" customWidth="1"/>
    <col min="13583" max="13583" width="5.140625" style="4" bestFit="1" customWidth="1"/>
    <col min="13584" max="13824" width="9.140625" style="4"/>
    <col min="13825" max="13825" width="5.5703125" style="4" customWidth="1"/>
    <col min="13826" max="13826" width="54.85546875" style="4" customWidth="1"/>
    <col min="13827" max="13827" width="16.7109375" style="4" bestFit="1" customWidth="1"/>
    <col min="13828" max="13828" width="6.140625" style="4" customWidth="1"/>
    <col min="13829" max="13829" width="11.28515625" style="4" customWidth="1"/>
    <col min="13830" max="13830" width="6.5703125" style="4" bestFit="1" customWidth="1"/>
    <col min="13831" max="13831" width="13.85546875" style="4" customWidth="1"/>
    <col min="13832" max="13832" width="6.5703125" style="4" bestFit="1" customWidth="1"/>
    <col min="13833" max="13833" width="13.85546875" style="4" bestFit="1" customWidth="1"/>
    <col min="13834" max="13834" width="23.42578125" style="4" customWidth="1"/>
    <col min="13835" max="13835" width="21" style="4" customWidth="1"/>
    <col min="13836" max="13836" width="15" style="4" customWidth="1"/>
    <col min="13837" max="13837" width="24" style="4" bestFit="1" customWidth="1"/>
    <col min="13838" max="13838" width="8.140625" style="4" bestFit="1" customWidth="1"/>
    <col min="13839" max="13839" width="5.140625" style="4" bestFit="1" customWidth="1"/>
    <col min="13840" max="14080" width="9.140625" style="4"/>
    <col min="14081" max="14081" width="5.5703125" style="4" customWidth="1"/>
    <col min="14082" max="14082" width="54.85546875" style="4" customWidth="1"/>
    <col min="14083" max="14083" width="16.7109375" style="4" bestFit="1" customWidth="1"/>
    <col min="14084" max="14084" width="6.140625" style="4" customWidth="1"/>
    <col min="14085" max="14085" width="11.28515625" style="4" customWidth="1"/>
    <col min="14086" max="14086" width="6.5703125" style="4" bestFit="1" customWidth="1"/>
    <col min="14087" max="14087" width="13.85546875" style="4" customWidth="1"/>
    <col min="14088" max="14088" width="6.5703125" style="4" bestFit="1" customWidth="1"/>
    <col min="14089" max="14089" width="13.85546875" style="4" bestFit="1" customWidth="1"/>
    <col min="14090" max="14090" width="23.42578125" style="4" customWidth="1"/>
    <col min="14091" max="14091" width="21" style="4" customWidth="1"/>
    <col min="14092" max="14092" width="15" style="4" customWidth="1"/>
    <col min="14093" max="14093" width="24" style="4" bestFit="1" customWidth="1"/>
    <col min="14094" max="14094" width="8.140625" style="4" bestFit="1" customWidth="1"/>
    <col min="14095" max="14095" width="5.140625" style="4" bestFit="1" customWidth="1"/>
    <col min="14096" max="14336" width="9.140625" style="4"/>
    <col min="14337" max="14337" width="5.5703125" style="4" customWidth="1"/>
    <col min="14338" max="14338" width="54.85546875" style="4" customWidth="1"/>
    <col min="14339" max="14339" width="16.7109375" style="4" bestFit="1" customWidth="1"/>
    <col min="14340" max="14340" width="6.140625" style="4" customWidth="1"/>
    <col min="14341" max="14341" width="11.28515625" style="4" customWidth="1"/>
    <col min="14342" max="14342" width="6.5703125" style="4" bestFit="1" customWidth="1"/>
    <col min="14343" max="14343" width="13.85546875" style="4" customWidth="1"/>
    <col min="14344" max="14344" width="6.5703125" style="4" bestFit="1" customWidth="1"/>
    <col min="14345" max="14345" width="13.85546875" style="4" bestFit="1" customWidth="1"/>
    <col min="14346" max="14346" width="23.42578125" style="4" customWidth="1"/>
    <col min="14347" max="14347" width="21" style="4" customWidth="1"/>
    <col min="14348" max="14348" width="15" style="4" customWidth="1"/>
    <col min="14349" max="14349" width="24" style="4" bestFit="1" customWidth="1"/>
    <col min="14350" max="14350" width="8.140625" style="4" bestFit="1" customWidth="1"/>
    <col min="14351" max="14351" width="5.140625" style="4" bestFit="1" customWidth="1"/>
    <col min="14352" max="14592" width="9.140625" style="4"/>
    <col min="14593" max="14593" width="5.5703125" style="4" customWidth="1"/>
    <col min="14594" max="14594" width="54.85546875" style="4" customWidth="1"/>
    <col min="14595" max="14595" width="16.7109375" style="4" bestFit="1" customWidth="1"/>
    <col min="14596" max="14596" width="6.140625" style="4" customWidth="1"/>
    <col min="14597" max="14597" width="11.28515625" style="4" customWidth="1"/>
    <col min="14598" max="14598" width="6.5703125" style="4" bestFit="1" customWidth="1"/>
    <col min="14599" max="14599" width="13.85546875" style="4" customWidth="1"/>
    <col min="14600" max="14600" width="6.5703125" style="4" bestFit="1" customWidth="1"/>
    <col min="14601" max="14601" width="13.85546875" style="4" bestFit="1" customWidth="1"/>
    <col min="14602" max="14602" width="23.42578125" style="4" customWidth="1"/>
    <col min="14603" max="14603" width="21" style="4" customWidth="1"/>
    <col min="14604" max="14604" width="15" style="4" customWidth="1"/>
    <col min="14605" max="14605" width="24" style="4" bestFit="1" customWidth="1"/>
    <col min="14606" max="14606" width="8.140625" style="4" bestFit="1" customWidth="1"/>
    <col min="14607" max="14607" width="5.140625" style="4" bestFit="1" customWidth="1"/>
    <col min="14608" max="14848" width="9.140625" style="4"/>
    <col min="14849" max="14849" width="5.5703125" style="4" customWidth="1"/>
    <col min="14850" max="14850" width="54.85546875" style="4" customWidth="1"/>
    <col min="14851" max="14851" width="16.7109375" style="4" bestFit="1" customWidth="1"/>
    <col min="14852" max="14852" width="6.140625" style="4" customWidth="1"/>
    <col min="14853" max="14853" width="11.28515625" style="4" customWidth="1"/>
    <col min="14854" max="14854" width="6.5703125" style="4" bestFit="1" customWidth="1"/>
    <col min="14855" max="14855" width="13.85546875" style="4" customWidth="1"/>
    <col min="14856" max="14856" width="6.5703125" style="4" bestFit="1" customWidth="1"/>
    <col min="14857" max="14857" width="13.85546875" style="4" bestFit="1" customWidth="1"/>
    <col min="14858" max="14858" width="23.42578125" style="4" customWidth="1"/>
    <col min="14859" max="14859" width="21" style="4" customWidth="1"/>
    <col min="14860" max="14860" width="15" style="4" customWidth="1"/>
    <col min="14861" max="14861" width="24" style="4" bestFit="1" customWidth="1"/>
    <col min="14862" max="14862" width="8.140625" style="4" bestFit="1" customWidth="1"/>
    <col min="14863" max="14863" width="5.140625" style="4" bestFit="1" customWidth="1"/>
    <col min="14864" max="15104" width="9.140625" style="4"/>
    <col min="15105" max="15105" width="5.5703125" style="4" customWidth="1"/>
    <col min="15106" max="15106" width="54.85546875" style="4" customWidth="1"/>
    <col min="15107" max="15107" width="16.7109375" style="4" bestFit="1" customWidth="1"/>
    <col min="15108" max="15108" width="6.140625" style="4" customWidth="1"/>
    <col min="15109" max="15109" width="11.28515625" style="4" customWidth="1"/>
    <col min="15110" max="15110" width="6.5703125" style="4" bestFit="1" customWidth="1"/>
    <col min="15111" max="15111" width="13.85546875" style="4" customWidth="1"/>
    <col min="15112" max="15112" width="6.5703125" style="4" bestFit="1" customWidth="1"/>
    <col min="15113" max="15113" width="13.85546875" style="4" bestFit="1" customWidth="1"/>
    <col min="15114" max="15114" width="23.42578125" style="4" customWidth="1"/>
    <col min="15115" max="15115" width="21" style="4" customWidth="1"/>
    <col min="15116" max="15116" width="15" style="4" customWidth="1"/>
    <col min="15117" max="15117" width="24" style="4" bestFit="1" customWidth="1"/>
    <col min="15118" max="15118" width="8.140625" style="4" bestFit="1" customWidth="1"/>
    <col min="15119" max="15119" width="5.140625" style="4" bestFit="1" customWidth="1"/>
    <col min="15120" max="15360" width="9.140625" style="4"/>
    <col min="15361" max="15361" width="5.5703125" style="4" customWidth="1"/>
    <col min="15362" max="15362" width="54.85546875" style="4" customWidth="1"/>
    <col min="15363" max="15363" width="16.7109375" style="4" bestFit="1" customWidth="1"/>
    <col min="15364" max="15364" width="6.140625" style="4" customWidth="1"/>
    <col min="15365" max="15365" width="11.28515625" style="4" customWidth="1"/>
    <col min="15366" max="15366" width="6.5703125" style="4" bestFit="1" customWidth="1"/>
    <col min="15367" max="15367" width="13.85546875" style="4" customWidth="1"/>
    <col min="15368" max="15368" width="6.5703125" style="4" bestFit="1" customWidth="1"/>
    <col min="15369" max="15369" width="13.85546875" style="4" bestFit="1" customWidth="1"/>
    <col min="15370" max="15370" width="23.42578125" style="4" customWidth="1"/>
    <col min="15371" max="15371" width="21" style="4" customWidth="1"/>
    <col min="15372" max="15372" width="15" style="4" customWidth="1"/>
    <col min="15373" max="15373" width="24" style="4" bestFit="1" customWidth="1"/>
    <col min="15374" max="15374" width="8.140625" style="4" bestFit="1" customWidth="1"/>
    <col min="15375" max="15375" width="5.140625" style="4" bestFit="1" customWidth="1"/>
    <col min="15376" max="15616" width="9.140625" style="4"/>
    <col min="15617" max="15617" width="5.5703125" style="4" customWidth="1"/>
    <col min="15618" max="15618" width="54.85546875" style="4" customWidth="1"/>
    <col min="15619" max="15619" width="16.7109375" style="4" bestFit="1" customWidth="1"/>
    <col min="15620" max="15620" width="6.140625" style="4" customWidth="1"/>
    <col min="15621" max="15621" width="11.28515625" style="4" customWidth="1"/>
    <col min="15622" max="15622" width="6.5703125" style="4" bestFit="1" customWidth="1"/>
    <col min="15623" max="15623" width="13.85546875" style="4" customWidth="1"/>
    <col min="15624" max="15624" width="6.5703125" style="4" bestFit="1" customWidth="1"/>
    <col min="15625" max="15625" width="13.85546875" style="4" bestFit="1" customWidth="1"/>
    <col min="15626" max="15626" width="23.42578125" style="4" customWidth="1"/>
    <col min="15627" max="15627" width="21" style="4" customWidth="1"/>
    <col min="15628" max="15628" width="15" style="4" customWidth="1"/>
    <col min="15629" max="15629" width="24" style="4" bestFit="1" customWidth="1"/>
    <col min="15630" max="15630" width="8.140625" style="4" bestFit="1" customWidth="1"/>
    <col min="15631" max="15631" width="5.140625" style="4" bestFit="1" customWidth="1"/>
    <col min="15632" max="15872" width="9.140625" style="4"/>
    <col min="15873" max="15873" width="5.5703125" style="4" customWidth="1"/>
    <col min="15874" max="15874" width="54.85546875" style="4" customWidth="1"/>
    <col min="15875" max="15875" width="16.7109375" style="4" bestFit="1" customWidth="1"/>
    <col min="15876" max="15876" width="6.140625" style="4" customWidth="1"/>
    <col min="15877" max="15877" width="11.28515625" style="4" customWidth="1"/>
    <col min="15878" max="15878" width="6.5703125" style="4" bestFit="1" customWidth="1"/>
    <col min="15879" max="15879" width="13.85546875" style="4" customWidth="1"/>
    <col min="15880" max="15880" width="6.5703125" style="4" bestFit="1" customWidth="1"/>
    <col min="15881" max="15881" width="13.85546875" style="4" bestFit="1" customWidth="1"/>
    <col min="15882" max="15882" width="23.42578125" style="4" customWidth="1"/>
    <col min="15883" max="15883" width="21" style="4" customWidth="1"/>
    <col min="15884" max="15884" width="15" style="4" customWidth="1"/>
    <col min="15885" max="15885" width="24" style="4" bestFit="1" customWidth="1"/>
    <col min="15886" max="15886" width="8.140625" style="4" bestFit="1" customWidth="1"/>
    <col min="15887" max="15887" width="5.140625" style="4" bestFit="1" customWidth="1"/>
    <col min="15888" max="16128" width="9.140625" style="4"/>
    <col min="16129" max="16129" width="5.5703125" style="4" customWidth="1"/>
    <col min="16130" max="16130" width="54.85546875" style="4" customWidth="1"/>
    <col min="16131" max="16131" width="16.7109375" style="4" bestFit="1" customWidth="1"/>
    <col min="16132" max="16132" width="6.140625" style="4" customWidth="1"/>
    <col min="16133" max="16133" width="11.28515625" style="4" customWidth="1"/>
    <col min="16134" max="16134" width="6.5703125" style="4" bestFit="1" customWidth="1"/>
    <col min="16135" max="16135" width="13.85546875" style="4" customWidth="1"/>
    <col min="16136" max="16136" width="6.5703125" style="4" bestFit="1" customWidth="1"/>
    <col min="16137" max="16137" width="13.85546875" style="4" bestFit="1" customWidth="1"/>
    <col min="16138" max="16138" width="23.42578125" style="4" customWidth="1"/>
    <col min="16139" max="16139" width="21" style="4" customWidth="1"/>
    <col min="16140" max="16140" width="15" style="4" customWidth="1"/>
    <col min="16141" max="16141" width="24" style="4" bestFit="1" customWidth="1"/>
    <col min="16142" max="16142" width="8.140625" style="4" bestFit="1" customWidth="1"/>
    <col min="16143" max="16143" width="5.140625" style="4" bestFit="1" customWidth="1"/>
    <col min="16144" max="16384" width="9.140625" style="4"/>
  </cols>
  <sheetData>
    <row r="1" spans="1:12" ht="18">
      <c r="B1" s="3210" t="s">
        <v>2276</v>
      </c>
      <c r="C1" s="3210"/>
      <c r="D1" s="3210"/>
      <c r="E1" s="3210"/>
      <c r="F1" s="801"/>
      <c r="G1" s="3"/>
      <c r="H1" s="3"/>
      <c r="I1" s="3"/>
    </row>
    <row r="2" spans="1:12" ht="9" customHeight="1">
      <c r="A2" s="639"/>
      <c r="B2" s="639"/>
      <c r="C2" s="639"/>
      <c r="D2" s="639"/>
      <c r="E2" s="639"/>
      <c r="F2" s="639"/>
      <c r="G2" s="639"/>
      <c r="H2" s="639"/>
      <c r="I2" s="639"/>
    </row>
    <row r="3" spans="1:12" ht="36" customHeight="1">
      <c r="B3" s="3061" t="s">
        <v>2277</v>
      </c>
      <c r="C3" s="3061"/>
      <c r="D3" s="3061"/>
      <c r="E3" s="3061"/>
      <c r="F3" s="3061"/>
      <c r="G3" s="3061"/>
      <c r="H3" s="869"/>
      <c r="I3" s="869"/>
    </row>
    <row r="4" spans="1:12" ht="8.25" customHeight="1">
      <c r="A4" s="870"/>
      <c r="B4" s="870"/>
      <c r="C4" s="870"/>
      <c r="D4" s="870"/>
      <c r="E4" s="870"/>
      <c r="F4" s="870"/>
      <c r="G4" s="870"/>
      <c r="H4" s="870"/>
      <c r="I4" s="870"/>
    </row>
    <row r="5" spans="1:12" ht="18" customHeight="1">
      <c r="A5" s="232"/>
      <c r="B5" s="232"/>
      <c r="C5" s="867"/>
      <c r="D5" s="232"/>
      <c r="E5" s="232"/>
      <c r="F5" s="232"/>
      <c r="G5" s="232"/>
      <c r="I5" s="726" t="s">
        <v>89</v>
      </c>
    </row>
    <row r="6" spans="1:12" ht="11.25" customHeight="1">
      <c r="A6" s="232"/>
      <c r="B6" s="232"/>
      <c r="C6" s="867"/>
      <c r="D6" s="232"/>
      <c r="E6" s="232"/>
      <c r="F6" s="232"/>
      <c r="G6" s="232"/>
      <c r="I6" s="726"/>
    </row>
    <row r="7" spans="1:12" ht="48.75" customHeight="1">
      <c r="A7" s="3054" t="s">
        <v>2</v>
      </c>
      <c r="B7" s="3105" t="s">
        <v>3</v>
      </c>
      <c r="C7" s="3049" t="s">
        <v>4</v>
      </c>
      <c r="D7" s="3105" t="s">
        <v>5</v>
      </c>
      <c r="E7" s="3105" t="s">
        <v>9</v>
      </c>
      <c r="F7" s="3054" t="s">
        <v>2278</v>
      </c>
      <c r="G7" s="3054"/>
      <c r="H7" s="3054" t="s">
        <v>2279</v>
      </c>
      <c r="I7" s="3054"/>
    </row>
    <row r="8" spans="1:12" ht="17.25" customHeight="1">
      <c r="A8" s="3054"/>
      <c r="B8" s="3106"/>
      <c r="C8" s="3378"/>
      <c r="D8" s="3106"/>
      <c r="E8" s="3378"/>
      <c r="F8" s="862" t="s">
        <v>143</v>
      </c>
      <c r="G8" s="862" t="s">
        <v>10</v>
      </c>
      <c r="H8" s="864" t="s">
        <v>143</v>
      </c>
      <c r="I8" s="862" t="s">
        <v>1668</v>
      </c>
    </row>
    <row r="9" spans="1:12" ht="15.75" customHeight="1">
      <c r="A9" s="864">
        <v>1</v>
      </c>
      <c r="B9" s="864">
        <v>2</v>
      </c>
      <c r="C9" s="864">
        <v>3</v>
      </c>
      <c r="D9" s="864">
        <v>4</v>
      </c>
      <c r="E9" s="864">
        <v>5</v>
      </c>
      <c r="F9" s="864">
        <v>6</v>
      </c>
      <c r="G9" s="864">
        <v>7</v>
      </c>
      <c r="H9" s="864">
        <v>8</v>
      </c>
      <c r="I9" s="864">
        <v>9</v>
      </c>
    </row>
    <row r="10" spans="1:12" ht="33" customHeight="1">
      <c r="A10" s="1181">
        <v>1</v>
      </c>
      <c r="B10" s="1182" t="s">
        <v>2280</v>
      </c>
      <c r="C10" s="1186">
        <v>7130601958</v>
      </c>
      <c r="D10" s="1183" t="s">
        <v>26</v>
      </c>
      <c r="E10" s="734">
        <f>VLOOKUP(C10,'SOR RATE'!A:D,4,0)/1000</f>
        <v>64.326520000000002</v>
      </c>
      <c r="F10" s="1260">
        <v>5788</v>
      </c>
      <c r="G10" s="734">
        <f t="shared" ref="G10:G16" si="0">E10*F10</f>
        <v>372321.89776000002</v>
      </c>
      <c r="H10" s="1260">
        <f>+F10</f>
        <v>5788</v>
      </c>
      <c r="I10" s="734">
        <f t="shared" ref="I10:I15" si="1">H10*E10</f>
        <v>372321.89776000002</v>
      </c>
    </row>
    <row r="11" spans="1:12" ht="16.5" customHeight="1">
      <c r="A11" s="1181">
        <v>2</v>
      </c>
      <c r="B11" s="1182" t="s">
        <v>2272</v>
      </c>
      <c r="C11" s="1258">
        <v>7130810495</v>
      </c>
      <c r="D11" s="1181" t="s">
        <v>12</v>
      </c>
      <c r="E11" s="734">
        <f>VLOOKUP(C11,'SOR RATE'!A:D,4,0)</f>
        <v>1380.08</v>
      </c>
      <c r="F11" s="1260">
        <v>12</v>
      </c>
      <c r="G11" s="734">
        <f t="shared" si="0"/>
        <v>16560.96</v>
      </c>
      <c r="H11" s="1260">
        <v>12</v>
      </c>
      <c r="I11" s="734">
        <f t="shared" si="1"/>
        <v>16560.96</v>
      </c>
      <c r="K11" s="871"/>
    </row>
    <row r="12" spans="1:12" ht="16.5" customHeight="1">
      <c r="A12" s="1181">
        <v>3</v>
      </c>
      <c r="B12" s="1182" t="s">
        <v>99</v>
      </c>
      <c r="C12" s="1258">
        <v>7130810361</v>
      </c>
      <c r="D12" s="1181" t="s">
        <v>15</v>
      </c>
      <c r="E12" s="734">
        <f>VLOOKUP(C12,'SOR RATE'!A:D,4,0)</f>
        <v>393.51</v>
      </c>
      <c r="F12" s="1260">
        <v>12</v>
      </c>
      <c r="G12" s="734">
        <f t="shared" si="0"/>
        <v>4722.12</v>
      </c>
      <c r="H12" s="1260">
        <v>12</v>
      </c>
      <c r="I12" s="734">
        <f t="shared" si="1"/>
        <v>4722.12</v>
      </c>
      <c r="K12" s="423"/>
    </row>
    <row r="13" spans="1:12" ht="18" customHeight="1">
      <c r="A13" s="1181">
        <v>4</v>
      </c>
      <c r="B13" s="1182" t="s">
        <v>2273</v>
      </c>
      <c r="C13" s="1258">
        <v>7130810679</v>
      </c>
      <c r="D13" s="1181" t="s">
        <v>12</v>
      </c>
      <c r="E13" s="734">
        <f>VLOOKUP(C13,'SOR RATE'!A:D,4,0)</f>
        <v>387.16</v>
      </c>
      <c r="F13" s="1260">
        <v>12</v>
      </c>
      <c r="G13" s="734">
        <f t="shared" si="0"/>
        <v>4645.92</v>
      </c>
      <c r="H13" s="1260">
        <v>12</v>
      </c>
      <c r="I13" s="734">
        <f t="shared" si="1"/>
        <v>4645.92</v>
      </c>
      <c r="K13" s="872"/>
    </row>
    <row r="14" spans="1:12" ht="16.5" customHeight="1">
      <c r="A14" s="1181">
        <v>5</v>
      </c>
      <c r="B14" s="1200" t="s">
        <v>77</v>
      </c>
      <c r="C14" s="1258">
        <v>7130870013</v>
      </c>
      <c r="D14" s="1181" t="s">
        <v>12</v>
      </c>
      <c r="E14" s="734">
        <f>VLOOKUP(C14,'SOR RATE'!A:D,4,0)</f>
        <v>152.88999999999999</v>
      </c>
      <c r="F14" s="1260">
        <v>12</v>
      </c>
      <c r="G14" s="734">
        <f t="shared" si="0"/>
        <v>1834.6799999999998</v>
      </c>
      <c r="H14" s="1260">
        <v>12</v>
      </c>
      <c r="I14" s="734">
        <f t="shared" si="1"/>
        <v>1834.6799999999998</v>
      </c>
      <c r="K14" s="753"/>
    </row>
    <row r="15" spans="1:12" ht="15.75" customHeight="1">
      <c r="A15" s="1181">
        <v>6</v>
      </c>
      <c r="B15" s="1185" t="s">
        <v>102</v>
      </c>
      <c r="C15" s="1258">
        <v>7130820008</v>
      </c>
      <c r="D15" s="1181" t="s">
        <v>12</v>
      </c>
      <c r="E15" s="734">
        <f>VLOOKUP(C15,'SOR RATE'!A:D,4,0)</f>
        <v>157.08000000000001</v>
      </c>
      <c r="F15" s="1260">
        <v>36</v>
      </c>
      <c r="G15" s="734">
        <f t="shared" si="0"/>
        <v>5654.88</v>
      </c>
      <c r="H15" s="1260">
        <v>36</v>
      </c>
      <c r="I15" s="734">
        <f t="shared" si="1"/>
        <v>5654.88</v>
      </c>
      <c r="K15" s="193"/>
      <c r="L15" s="193"/>
    </row>
    <row r="16" spans="1:12" ht="16.5" customHeight="1">
      <c r="A16" s="1181">
        <v>7</v>
      </c>
      <c r="B16" s="1182" t="s">
        <v>2281</v>
      </c>
      <c r="C16" s="1186">
        <v>7130830060</v>
      </c>
      <c r="D16" s="1183" t="s">
        <v>21</v>
      </c>
      <c r="E16" s="734">
        <f>VLOOKUP(C16,'SOR RATE'!A:D,4,0)/1000</f>
        <v>70.920659999999998</v>
      </c>
      <c r="F16" s="1260">
        <v>3100</v>
      </c>
      <c r="G16" s="734">
        <f t="shared" si="0"/>
        <v>219854.046</v>
      </c>
      <c r="H16" s="1181"/>
      <c r="I16" s="734"/>
    </row>
    <row r="17" spans="1:13" ht="16.5" customHeight="1">
      <c r="A17" s="1181">
        <v>8</v>
      </c>
      <c r="B17" s="1182" t="s">
        <v>2282</v>
      </c>
      <c r="C17" s="1186">
        <v>7130830063</v>
      </c>
      <c r="D17" s="1183" t="s">
        <v>21</v>
      </c>
      <c r="E17" s="734">
        <f>VLOOKUP(C17,'SOR RATE'!A:D,4,0)/1000</f>
        <v>92.285690000000002</v>
      </c>
      <c r="F17" s="734"/>
      <c r="G17" s="734"/>
      <c r="H17" s="1260">
        <v>3100</v>
      </c>
      <c r="I17" s="734">
        <f>H17*E17</f>
        <v>286085.63900000002</v>
      </c>
    </row>
    <row r="18" spans="1:13" ht="29.25" customHeight="1">
      <c r="A18" s="1181">
        <v>9</v>
      </c>
      <c r="B18" s="1182" t="s">
        <v>2274</v>
      </c>
      <c r="C18" s="1183">
        <v>7130830051</v>
      </c>
      <c r="D18" s="1183" t="s">
        <v>12</v>
      </c>
      <c r="E18" s="734">
        <f>VLOOKUP(C18,'SOR RATE'!A:D,4,0)</f>
        <v>182.86</v>
      </c>
      <c r="F18" s="1260">
        <v>6</v>
      </c>
      <c r="G18" s="734">
        <f>E18*F18</f>
        <v>1097.1600000000001</v>
      </c>
      <c r="H18" s="1181">
        <v>6</v>
      </c>
      <c r="I18" s="734">
        <f>H18*E18</f>
        <v>1097.1600000000001</v>
      </c>
      <c r="J18" s="180"/>
      <c r="K18" s="164"/>
    </row>
    <row r="19" spans="1:13" ht="16.5" customHeight="1">
      <c r="A19" s="3157">
        <v>10</v>
      </c>
      <c r="B19" s="1470" t="s">
        <v>1435</v>
      </c>
      <c r="C19" s="1258">
        <v>7130860033</v>
      </c>
      <c r="D19" s="1181" t="s">
        <v>12</v>
      </c>
      <c r="E19" s="734">
        <f>VLOOKUP(C19,'SOR RATE'!A:D,4,0)</f>
        <v>1031.6600000000001</v>
      </c>
      <c r="F19" s="1260">
        <v>4</v>
      </c>
      <c r="G19" s="734">
        <f>E19*F19</f>
        <v>4126.6400000000003</v>
      </c>
      <c r="H19" s="1260">
        <v>4</v>
      </c>
      <c r="I19" s="734">
        <f>H19*E19</f>
        <v>4126.6400000000003</v>
      </c>
    </row>
    <row r="20" spans="1:13" ht="16.5" customHeight="1">
      <c r="A20" s="3158"/>
      <c r="B20" s="1470" t="s">
        <v>2283</v>
      </c>
      <c r="C20" s="1258">
        <v>7130860076</v>
      </c>
      <c r="D20" s="1181" t="s">
        <v>26</v>
      </c>
      <c r="E20" s="734">
        <f>VLOOKUP(C20,'SOR RATE'!A:D,4,0)/1000</f>
        <v>92.856940000000009</v>
      </c>
      <c r="F20" s="1260">
        <v>34</v>
      </c>
      <c r="G20" s="734">
        <f>E20*F20</f>
        <v>3157.1359600000005</v>
      </c>
      <c r="H20" s="1260">
        <f>+F20</f>
        <v>34</v>
      </c>
      <c r="I20" s="734">
        <f>H20*E20</f>
        <v>3157.1359600000005</v>
      </c>
    </row>
    <row r="21" spans="1:13" ht="16.5" customHeight="1">
      <c r="A21" s="3158"/>
      <c r="B21" s="1470" t="s">
        <v>74</v>
      </c>
      <c r="C21" s="1730"/>
      <c r="D21" s="1731"/>
      <c r="E21" s="1731"/>
      <c r="F21" s="1731"/>
      <c r="G21" s="1731"/>
      <c r="H21" s="1731"/>
      <c r="I21" s="1756"/>
    </row>
    <row r="22" spans="1:13" ht="16.5" customHeight="1">
      <c r="A22" s="3159"/>
      <c r="B22" s="1185" t="s">
        <v>2284</v>
      </c>
      <c r="C22" s="1186">
        <v>7130810692</v>
      </c>
      <c r="D22" s="1187" t="s">
        <v>15</v>
      </c>
      <c r="E22" s="734">
        <f>VLOOKUP(C22,'SOR RATE'!A:D,4,0)</f>
        <v>410.25</v>
      </c>
      <c r="F22" s="1260">
        <v>4</v>
      </c>
      <c r="G22" s="734">
        <f t="shared" ref="G22:G28" si="2">E22*F22</f>
        <v>1641</v>
      </c>
      <c r="H22" s="1260">
        <v>4</v>
      </c>
      <c r="I22" s="734">
        <f t="shared" ref="I22:I28" si="3">H22*E22</f>
        <v>1641</v>
      </c>
      <c r="K22" s="871"/>
    </row>
    <row r="23" spans="1:13" ht="31.5" customHeight="1">
      <c r="A23" s="1183">
        <v>11</v>
      </c>
      <c r="B23" s="1200" t="s">
        <v>2294</v>
      </c>
      <c r="C23" s="1258">
        <v>7130200202</v>
      </c>
      <c r="D23" s="734" t="s">
        <v>76</v>
      </c>
      <c r="E23" s="734">
        <f>VLOOKUP(C23,'SOR RATE'!A:D,4,0)</f>
        <v>2970</v>
      </c>
      <c r="F23" s="201">
        <f>(0.65*12)+(0.3*4)</f>
        <v>9</v>
      </c>
      <c r="G23" s="734">
        <f t="shared" si="2"/>
        <v>26730</v>
      </c>
      <c r="H23" s="201">
        <f>(0.65*12)+(0.3*4)</f>
        <v>9</v>
      </c>
      <c r="I23" s="734">
        <f t="shared" si="3"/>
        <v>26730</v>
      </c>
      <c r="J23" s="225" t="s">
        <v>47</v>
      </c>
    </row>
    <row r="24" spans="1:13" ht="16.5" customHeight="1">
      <c r="A24" s="1181">
        <v>12</v>
      </c>
      <c r="B24" s="1470" t="s">
        <v>78</v>
      </c>
      <c r="C24" s="1258">
        <v>7130211158</v>
      </c>
      <c r="D24" s="1181" t="s">
        <v>29</v>
      </c>
      <c r="E24" s="734">
        <f>VLOOKUP(C24,'SOR RATE'!A:D,4,0)</f>
        <v>193.62</v>
      </c>
      <c r="F24" s="1260">
        <v>12</v>
      </c>
      <c r="G24" s="734">
        <f t="shared" si="2"/>
        <v>2323.44</v>
      </c>
      <c r="H24" s="1260">
        <v>12</v>
      </c>
      <c r="I24" s="734">
        <f t="shared" si="3"/>
        <v>2323.44</v>
      </c>
    </row>
    <row r="25" spans="1:13" ht="16.5" customHeight="1">
      <c r="A25" s="1181">
        <v>13</v>
      </c>
      <c r="B25" s="1470" t="s">
        <v>30</v>
      </c>
      <c r="C25" s="1258">
        <v>7130210809</v>
      </c>
      <c r="D25" s="1181" t="s">
        <v>29</v>
      </c>
      <c r="E25" s="734">
        <f>VLOOKUP(C25,'SOR RATE'!A:D,4,0)</f>
        <v>432.63</v>
      </c>
      <c r="F25" s="1260">
        <v>6</v>
      </c>
      <c r="G25" s="734">
        <f t="shared" si="2"/>
        <v>2595.7799999999997</v>
      </c>
      <c r="H25" s="1260">
        <v>6</v>
      </c>
      <c r="I25" s="734">
        <f t="shared" si="3"/>
        <v>2595.7799999999997</v>
      </c>
    </row>
    <row r="26" spans="1:13" ht="16.5" customHeight="1">
      <c r="A26" s="1181">
        <v>14</v>
      </c>
      <c r="B26" s="1185" t="s">
        <v>31</v>
      </c>
      <c r="C26" s="1186">
        <v>7130610206</v>
      </c>
      <c r="D26" s="1181" t="s">
        <v>26</v>
      </c>
      <c r="E26" s="734">
        <f>VLOOKUP(C26,'SOR RATE'!A:D,4,0)/1000</f>
        <v>97.233429999999998</v>
      </c>
      <c r="F26" s="1260">
        <v>24</v>
      </c>
      <c r="G26" s="734">
        <f t="shared" si="2"/>
        <v>2333.60232</v>
      </c>
      <c r="H26" s="1260">
        <v>24</v>
      </c>
      <c r="I26" s="734">
        <f t="shared" si="3"/>
        <v>2333.60232</v>
      </c>
      <c r="J26" s="532"/>
      <c r="K26" s="17"/>
      <c r="L26" s="174"/>
      <c r="M26" s="174"/>
    </row>
    <row r="27" spans="1:13" ht="16.5" customHeight="1">
      <c r="A27" s="1181">
        <v>15</v>
      </c>
      <c r="B27" s="1475" t="s">
        <v>32</v>
      </c>
      <c r="C27" s="1258">
        <v>7130880041</v>
      </c>
      <c r="D27" s="1181" t="s">
        <v>33</v>
      </c>
      <c r="E27" s="734">
        <f>VLOOKUP(C27,'SOR RATE'!A:D,4,0)</f>
        <v>113.77</v>
      </c>
      <c r="F27" s="1260">
        <v>12</v>
      </c>
      <c r="G27" s="734">
        <f t="shared" si="2"/>
        <v>1365.24</v>
      </c>
      <c r="H27" s="1260">
        <v>12</v>
      </c>
      <c r="I27" s="734">
        <f t="shared" si="3"/>
        <v>1365.24</v>
      </c>
    </row>
    <row r="28" spans="1:13" ht="16.5" customHeight="1">
      <c r="A28" s="1181">
        <v>16</v>
      </c>
      <c r="B28" s="1475" t="s">
        <v>1562</v>
      </c>
      <c r="C28" s="1258">
        <v>7130830006</v>
      </c>
      <c r="D28" s="1181" t="s">
        <v>26</v>
      </c>
      <c r="E28" s="734">
        <f>VLOOKUP(C28,'SOR RATE'!A:D,4,0)</f>
        <v>201.5</v>
      </c>
      <c r="F28" s="1260">
        <v>6</v>
      </c>
      <c r="G28" s="734">
        <f t="shared" si="2"/>
        <v>1209</v>
      </c>
      <c r="H28" s="1260">
        <v>6</v>
      </c>
      <c r="I28" s="734">
        <f t="shared" si="3"/>
        <v>1209</v>
      </c>
    </row>
    <row r="29" spans="1:13" ht="16.5" customHeight="1">
      <c r="A29" s="3157">
        <v>17</v>
      </c>
      <c r="B29" s="1470" t="s">
        <v>35</v>
      </c>
      <c r="C29" s="1258"/>
      <c r="D29" s="1181" t="s">
        <v>26</v>
      </c>
      <c r="E29" s="1181"/>
      <c r="F29" s="1260">
        <f>SUM(F30:F32)</f>
        <v>24</v>
      </c>
      <c r="G29" s="734"/>
      <c r="H29" s="1260">
        <f>SUM(H30:H32)</f>
        <v>24</v>
      </c>
      <c r="I29" s="734"/>
    </row>
    <row r="30" spans="1:13" ht="16.5" customHeight="1">
      <c r="A30" s="3158"/>
      <c r="B30" s="1695" t="s">
        <v>79</v>
      </c>
      <c r="C30" s="1258">
        <v>7130620609</v>
      </c>
      <c r="D30" s="1181" t="s">
        <v>26</v>
      </c>
      <c r="E30" s="734">
        <f>VLOOKUP(C30,'SOR RATE'!A:D,4,0)</f>
        <v>87.23</v>
      </c>
      <c r="F30" s="1260">
        <v>1</v>
      </c>
      <c r="G30" s="734">
        <f>E30*F30</f>
        <v>87.23</v>
      </c>
      <c r="H30" s="1260">
        <v>1</v>
      </c>
      <c r="I30" s="734">
        <f>H30*E30</f>
        <v>87.23</v>
      </c>
    </row>
    <row r="31" spans="1:13" ht="16.5" customHeight="1">
      <c r="A31" s="3158"/>
      <c r="B31" s="1695" t="s">
        <v>111</v>
      </c>
      <c r="C31" s="1258">
        <v>7130620614</v>
      </c>
      <c r="D31" s="1181" t="s">
        <v>26</v>
      </c>
      <c r="E31" s="734">
        <f>VLOOKUP(C31,'SOR RATE'!A:D,4,0)</f>
        <v>85.77</v>
      </c>
      <c r="F31" s="1260">
        <v>12</v>
      </c>
      <c r="G31" s="734">
        <f>E31*F31</f>
        <v>1029.24</v>
      </c>
      <c r="H31" s="1260">
        <v>12</v>
      </c>
      <c r="I31" s="734">
        <f>H31*E31</f>
        <v>1029.24</v>
      </c>
    </row>
    <row r="32" spans="1:13" ht="16.5" customHeight="1">
      <c r="A32" s="3159"/>
      <c r="B32" s="1695" t="s">
        <v>112</v>
      </c>
      <c r="C32" s="1258">
        <v>7130620625</v>
      </c>
      <c r="D32" s="1181" t="s">
        <v>26</v>
      </c>
      <c r="E32" s="734">
        <f>VLOOKUP(C32,'SOR RATE'!A:D,4,0)</f>
        <v>84.32</v>
      </c>
      <c r="F32" s="1186">
        <v>11</v>
      </c>
      <c r="G32" s="734">
        <f>E32*F32</f>
        <v>927.52</v>
      </c>
      <c r="H32" s="1186">
        <v>11</v>
      </c>
      <c r="I32" s="734">
        <f>H32*E32</f>
        <v>927.52</v>
      </c>
    </row>
    <row r="33" spans="1:12" ht="16.5" customHeight="1">
      <c r="A33" s="931">
        <v>18</v>
      </c>
      <c r="B33" s="1191" t="s">
        <v>48</v>
      </c>
      <c r="C33" s="1258"/>
      <c r="D33" s="931"/>
      <c r="E33" s="931"/>
      <c r="F33" s="1193"/>
      <c r="G33" s="1193">
        <f>SUM(G10:G32)</f>
        <v>674217.49203999992</v>
      </c>
      <c r="H33" s="1193"/>
      <c r="I33" s="1193">
        <f>SUM(I10:I32)</f>
        <v>740449.08504000003</v>
      </c>
      <c r="J33" s="533"/>
      <c r="K33" s="423"/>
    </row>
    <row r="34" spans="1:12" ht="16.5" customHeight="1">
      <c r="A34" s="931">
        <v>19</v>
      </c>
      <c r="B34" s="1191" t="s">
        <v>49</v>
      </c>
      <c r="C34" s="1258"/>
      <c r="D34" s="931"/>
      <c r="E34" s="931"/>
      <c r="F34" s="1757"/>
      <c r="G34" s="1193">
        <f>G33/1.18</f>
        <v>571370.75596610166</v>
      </c>
      <c r="H34" s="1757"/>
      <c r="I34" s="1193">
        <f>I33/1.18</f>
        <v>627499.22461016953</v>
      </c>
      <c r="J34" s="704"/>
      <c r="K34" s="423"/>
    </row>
    <row r="35" spans="1:12" ht="16.5" customHeight="1">
      <c r="A35" s="1181">
        <v>20</v>
      </c>
      <c r="B35" s="1185" t="s">
        <v>50</v>
      </c>
      <c r="C35" s="1741"/>
      <c r="D35" s="1741"/>
      <c r="E35" s="1711">
        <v>7.4999999999999997E-2</v>
      </c>
      <c r="F35" s="1505"/>
      <c r="G35" s="734">
        <f>G33*E35</f>
        <v>50566.311902999994</v>
      </c>
      <c r="H35" s="1505"/>
      <c r="I35" s="734">
        <f>I33*E35</f>
        <v>55533.681378000001</v>
      </c>
      <c r="J35" s="732"/>
      <c r="K35" s="193"/>
    </row>
    <row r="36" spans="1:12" ht="17.25" customHeight="1">
      <c r="A36" s="1181">
        <v>21</v>
      </c>
      <c r="B36" s="1706" t="s">
        <v>82</v>
      </c>
      <c r="D36" s="1181" t="s">
        <v>76</v>
      </c>
      <c r="E36" s="1202">
        <f>665.173187113158*1.043</f>
        <v>693.77563415902364</v>
      </c>
      <c r="F36" s="1181">
        <v>9</v>
      </c>
      <c r="G36" s="734">
        <f>E36*F36</f>
        <v>6243.980707431213</v>
      </c>
      <c r="H36" s="1181">
        <v>9</v>
      </c>
      <c r="I36" s="734">
        <f>E36*H36</f>
        <v>6243.980707431213</v>
      </c>
      <c r="J36" s="59"/>
    </row>
    <row r="37" spans="1:12" ht="17.25" customHeight="1">
      <c r="A37" s="1181">
        <v>22</v>
      </c>
      <c r="B37" s="1470" t="s">
        <v>2285</v>
      </c>
      <c r="C37" s="1258"/>
      <c r="D37" s="1181"/>
      <c r="E37" s="734"/>
      <c r="F37" s="1181"/>
      <c r="G37" s="734">
        <v>67929.649999999994</v>
      </c>
      <c r="H37" s="1181"/>
      <c r="I37" s="734">
        <v>70088.66</v>
      </c>
      <c r="J37" s="19"/>
    </row>
    <row r="38" spans="1:12" ht="17.25" customHeight="1">
      <c r="A38" s="1183">
        <v>23</v>
      </c>
      <c r="B38" s="1182" t="s">
        <v>1661</v>
      </c>
      <c r="C38" s="1186"/>
      <c r="D38" s="1183"/>
      <c r="E38" s="1210">
        <v>0.04</v>
      </c>
      <c r="F38" s="735"/>
      <c r="G38" s="735">
        <f>G34*E38</f>
        <v>22854.830238644066</v>
      </c>
      <c r="H38" s="1183"/>
      <c r="I38" s="735">
        <f>I34*E38</f>
        <v>25099.968984406783</v>
      </c>
      <c r="J38" s="737" t="s">
        <v>1827</v>
      </c>
      <c r="K38" s="177"/>
    </row>
    <row r="39" spans="1:12" ht="31.5" customHeight="1">
      <c r="A39" s="1183">
        <v>24</v>
      </c>
      <c r="B39" s="1233" t="s">
        <v>1599</v>
      </c>
      <c r="C39" s="1186"/>
      <c r="D39" s="1183"/>
      <c r="E39" s="1210"/>
      <c r="F39" s="735"/>
      <c r="G39" s="1210">
        <f>(G33+G35+G36+G37+G38)*0.125</f>
        <v>102726.5331111344</v>
      </c>
      <c r="H39" s="1183"/>
      <c r="I39" s="1210">
        <f>(I33+I35+I36+I37+I38)*0.125</f>
        <v>112176.92201372975</v>
      </c>
      <c r="J39" s="201"/>
      <c r="K39" s="177"/>
    </row>
    <row r="40" spans="1:12" ht="31.5" customHeight="1">
      <c r="A40" s="190">
        <v>25</v>
      </c>
      <c r="B40" s="1758" t="s">
        <v>1600</v>
      </c>
      <c r="C40" s="1186"/>
      <c r="D40" s="1183"/>
      <c r="E40" s="735"/>
      <c r="F40" s="735"/>
      <c r="G40" s="951">
        <f>SUM(G34:G39)</f>
        <v>821692.06192631135</v>
      </c>
      <c r="H40" s="951"/>
      <c r="I40" s="951">
        <f>SUM(I34:I39)</f>
        <v>896642.43769373721</v>
      </c>
      <c r="J40" s="531"/>
    </row>
    <row r="41" spans="1:12" ht="17.25" customHeight="1">
      <c r="A41" s="1183">
        <v>26</v>
      </c>
      <c r="B41" s="1185" t="s">
        <v>1601</v>
      </c>
      <c r="C41" s="1186"/>
      <c r="D41" s="1183"/>
      <c r="E41" s="735">
        <v>0.09</v>
      </c>
      <c r="F41" s="735"/>
      <c r="G41" s="735">
        <f>G40*E41</f>
        <v>73952.285573368019</v>
      </c>
      <c r="H41" s="735"/>
      <c r="I41" s="735">
        <f>I40*E41</f>
        <v>80697.819392436344</v>
      </c>
      <c r="J41" s="531"/>
    </row>
    <row r="42" spans="1:12" ht="17.25" customHeight="1">
      <c r="A42" s="1183">
        <v>27</v>
      </c>
      <c r="B42" s="1185" t="s">
        <v>1602</v>
      </c>
      <c r="C42" s="1186"/>
      <c r="D42" s="1183"/>
      <c r="E42" s="735">
        <v>0.09</v>
      </c>
      <c r="F42" s="735"/>
      <c r="G42" s="735">
        <f>G40*E42</f>
        <v>73952.285573368019</v>
      </c>
      <c r="H42" s="1183"/>
      <c r="I42" s="735">
        <f>I40*E42</f>
        <v>80697.819392436344</v>
      </c>
      <c r="J42" s="398"/>
    </row>
    <row r="43" spans="1:12" ht="17.25" customHeight="1">
      <c r="A43" s="1183">
        <v>28</v>
      </c>
      <c r="B43" s="1185" t="s">
        <v>1603</v>
      </c>
      <c r="C43" s="1186"/>
      <c r="D43" s="1183"/>
      <c r="E43" s="1183"/>
      <c r="F43" s="735"/>
      <c r="G43" s="735">
        <f>G40+G41+G42</f>
        <v>969596.63307304727</v>
      </c>
      <c r="H43" s="735"/>
      <c r="I43" s="735">
        <f>I40+I41+I42</f>
        <v>1058038.0764786098</v>
      </c>
    </row>
    <row r="44" spans="1:12" ht="19.5" customHeight="1">
      <c r="A44" s="190">
        <v>29</v>
      </c>
      <c r="B44" s="1214" t="s">
        <v>59</v>
      </c>
      <c r="C44" s="930"/>
      <c r="D44" s="190"/>
      <c r="E44" s="190"/>
      <c r="F44" s="951"/>
      <c r="G44" s="951">
        <f>ROUND(G43,0)</f>
        <v>969597</v>
      </c>
      <c r="H44" s="190"/>
      <c r="I44" s="951">
        <f>ROUND(I43,0)</f>
        <v>1058038</v>
      </c>
    </row>
    <row r="45" spans="1:12" ht="15">
      <c r="A45" s="44"/>
      <c r="B45" s="423"/>
      <c r="C45" s="424"/>
      <c r="D45" s="423"/>
      <c r="E45" s="423"/>
      <c r="F45" s="423"/>
      <c r="G45" s="423"/>
      <c r="H45" s="423"/>
      <c r="I45" s="423"/>
    </row>
    <row r="46" spans="1:12" ht="18" customHeight="1">
      <c r="A46" s="868"/>
      <c r="B46" s="3377" t="s">
        <v>2275</v>
      </c>
      <c r="C46" s="3377"/>
      <c r="D46" s="873"/>
      <c r="E46" s="873"/>
      <c r="F46" s="873"/>
      <c r="G46" s="873"/>
      <c r="H46" s="873"/>
      <c r="I46" s="873"/>
    </row>
    <row r="47" spans="1:12" ht="15" customHeight="1">
      <c r="A47" s="868"/>
      <c r="L47" s="450"/>
    </row>
    <row r="48" spans="1:12" ht="15">
      <c r="B48" s="450"/>
      <c r="C48" s="450"/>
    </row>
  </sheetData>
  <mergeCells count="12">
    <mergeCell ref="H7:I7"/>
    <mergeCell ref="A19:A22"/>
    <mergeCell ref="A29:A32"/>
    <mergeCell ref="B46:C46"/>
    <mergeCell ref="B1:E1"/>
    <mergeCell ref="B3:G3"/>
    <mergeCell ref="A7:A8"/>
    <mergeCell ref="B7:B8"/>
    <mergeCell ref="C7:C8"/>
    <mergeCell ref="D7:D8"/>
    <mergeCell ref="E7:E8"/>
    <mergeCell ref="F7:G7"/>
  </mergeCells>
  <conditionalFormatting sqref="B33">
    <cfRule type="cellIs" dxfId="77" priority="2" stopIfTrue="1" operator="equal">
      <formula>"?"</formula>
    </cfRule>
  </conditionalFormatting>
  <conditionalFormatting sqref="B34">
    <cfRule type="cellIs" dxfId="76" priority="1" stopIfTrue="1" operator="equal">
      <formula>"?"</formula>
    </cfRule>
  </conditionalFormatting>
  <printOptions horizontalCentered="1"/>
  <pageMargins left="0.89" right="0.25" top="0.6" bottom="0.4" header="0.36" footer="0.27"/>
  <pageSetup paperSize="9" fitToHeight="2" orientation="landscape" verticalDpi="300" r:id="rId1"/>
  <headerFooter alignWithMargins="0"/>
  <rowBreaks count="1" manualBreakCount="1">
    <brk id="24" max="11"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9"/>
  <sheetViews>
    <sheetView zoomScale="96" zoomScaleNormal="96" workbookViewId="0">
      <pane xSplit="2" ySplit="9" topLeftCell="C32" activePane="bottomRight" state="frozen"/>
      <selection pane="topRight" activeCell="C1" sqref="C1"/>
      <selection pane="bottomLeft" activeCell="A10" sqref="A10"/>
      <selection pane="bottomRight" activeCell="H10" sqref="H10"/>
    </sheetView>
  </sheetViews>
  <sheetFormatPr defaultRowHeight="12.75"/>
  <cols>
    <col min="1" max="1" width="4.42578125" style="863" customWidth="1"/>
    <col min="2" max="2" width="52.28515625" style="4" customWidth="1"/>
    <col min="3" max="3" width="13.42578125" style="863" customWidth="1"/>
    <col min="4" max="4" width="6.42578125" style="4" customWidth="1"/>
    <col min="5" max="5" width="7" style="4" bestFit="1" customWidth="1"/>
    <col min="6" max="6" width="10" style="4" customWidth="1"/>
    <col min="7" max="7" width="12" style="4" bestFit="1" customWidth="1"/>
    <col min="8" max="8" width="22.140625" style="4" customWidth="1"/>
    <col min="9" max="9" width="21" style="4" customWidth="1"/>
    <col min="10" max="10" width="8.7109375" style="4" customWidth="1"/>
    <col min="11" max="11" width="24" style="4" bestFit="1" customWidth="1"/>
    <col min="12" max="12" width="10" style="4" customWidth="1"/>
    <col min="13" max="256" width="9.140625" style="4"/>
    <col min="257" max="257" width="4.42578125" style="4" customWidth="1"/>
    <col min="258" max="258" width="51.140625" style="4" customWidth="1"/>
    <col min="259" max="259" width="13.42578125" style="4" customWidth="1"/>
    <col min="260" max="260" width="6.42578125" style="4" customWidth="1"/>
    <col min="261" max="261" width="7" style="4" bestFit="1" customWidth="1"/>
    <col min="262" max="262" width="10" style="4" customWidth="1"/>
    <col min="263" max="263" width="12" style="4" bestFit="1" customWidth="1"/>
    <col min="264" max="264" width="22.140625" style="4" customWidth="1"/>
    <col min="265" max="265" width="21" style="4" customWidth="1"/>
    <col min="266" max="266" width="8.7109375" style="4" customWidth="1"/>
    <col min="267" max="267" width="24" style="4" bestFit="1" customWidth="1"/>
    <col min="268" max="268" width="10" style="4" customWidth="1"/>
    <col min="269" max="512" width="9.140625" style="4"/>
    <col min="513" max="513" width="4.42578125" style="4" customWidth="1"/>
    <col min="514" max="514" width="51.140625" style="4" customWidth="1"/>
    <col min="515" max="515" width="13.42578125" style="4" customWidth="1"/>
    <col min="516" max="516" width="6.42578125" style="4" customWidth="1"/>
    <col min="517" max="517" width="7" style="4" bestFit="1" customWidth="1"/>
    <col min="518" max="518" width="10" style="4" customWidth="1"/>
    <col min="519" max="519" width="12" style="4" bestFit="1" customWidth="1"/>
    <col min="520" max="520" width="22.140625" style="4" customWidth="1"/>
    <col min="521" max="521" width="21" style="4" customWidth="1"/>
    <col min="522" max="522" width="8.7109375" style="4" customWidth="1"/>
    <col min="523" max="523" width="24" style="4" bestFit="1" customWidth="1"/>
    <col min="524" max="524" width="10" style="4" customWidth="1"/>
    <col min="525" max="768" width="9.140625" style="4"/>
    <col min="769" max="769" width="4.42578125" style="4" customWidth="1"/>
    <col min="770" max="770" width="51.140625" style="4" customWidth="1"/>
    <col min="771" max="771" width="13.42578125" style="4" customWidth="1"/>
    <col min="772" max="772" width="6.42578125" style="4" customWidth="1"/>
    <col min="773" max="773" width="7" style="4" bestFit="1" customWidth="1"/>
    <col min="774" max="774" width="10" style="4" customWidth="1"/>
    <col min="775" max="775" width="12" style="4" bestFit="1" customWidth="1"/>
    <col min="776" max="776" width="22.140625" style="4" customWidth="1"/>
    <col min="777" max="777" width="21" style="4" customWidth="1"/>
    <col min="778" max="778" width="8.7109375" style="4" customWidth="1"/>
    <col min="779" max="779" width="24" style="4" bestFit="1" customWidth="1"/>
    <col min="780" max="780" width="10" style="4" customWidth="1"/>
    <col min="781" max="1024" width="9.140625" style="4"/>
    <col min="1025" max="1025" width="4.42578125" style="4" customWidth="1"/>
    <col min="1026" max="1026" width="51.140625" style="4" customWidth="1"/>
    <col min="1027" max="1027" width="13.42578125" style="4" customWidth="1"/>
    <col min="1028" max="1028" width="6.42578125" style="4" customWidth="1"/>
    <col min="1029" max="1029" width="7" style="4" bestFit="1" customWidth="1"/>
    <col min="1030" max="1030" width="10" style="4" customWidth="1"/>
    <col min="1031" max="1031" width="12" style="4" bestFit="1" customWidth="1"/>
    <col min="1032" max="1032" width="22.140625" style="4" customWidth="1"/>
    <col min="1033" max="1033" width="21" style="4" customWidth="1"/>
    <col min="1034" max="1034" width="8.7109375" style="4" customWidth="1"/>
    <col min="1035" max="1035" width="24" style="4" bestFit="1" customWidth="1"/>
    <col min="1036" max="1036" width="10" style="4" customWidth="1"/>
    <col min="1037" max="1280" width="9.140625" style="4"/>
    <col min="1281" max="1281" width="4.42578125" style="4" customWidth="1"/>
    <col min="1282" max="1282" width="51.140625" style="4" customWidth="1"/>
    <col min="1283" max="1283" width="13.42578125" style="4" customWidth="1"/>
    <col min="1284" max="1284" width="6.42578125" style="4" customWidth="1"/>
    <col min="1285" max="1285" width="7" style="4" bestFit="1" customWidth="1"/>
    <col min="1286" max="1286" width="10" style="4" customWidth="1"/>
    <col min="1287" max="1287" width="12" style="4" bestFit="1" customWidth="1"/>
    <col min="1288" max="1288" width="22.140625" style="4" customWidth="1"/>
    <col min="1289" max="1289" width="21" style="4" customWidth="1"/>
    <col min="1290" max="1290" width="8.7109375" style="4" customWidth="1"/>
    <col min="1291" max="1291" width="24" style="4" bestFit="1" customWidth="1"/>
    <col min="1292" max="1292" width="10" style="4" customWidth="1"/>
    <col min="1293" max="1536" width="9.140625" style="4"/>
    <col min="1537" max="1537" width="4.42578125" style="4" customWidth="1"/>
    <col min="1538" max="1538" width="51.140625" style="4" customWidth="1"/>
    <col min="1539" max="1539" width="13.42578125" style="4" customWidth="1"/>
    <col min="1540" max="1540" width="6.42578125" style="4" customWidth="1"/>
    <col min="1541" max="1541" width="7" style="4" bestFit="1" customWidth="1"/>
    <col min="1542" max="1542" width="10" style="4" customWidth="1"/>
    <col min="1543" max="1543" width="12" style="4" bestFit="1" customWidth="1"/>
    <col min="1544" max="1544" width="22.140625" style="4" customWidth="1"/>
    <col min="1545" max="1545" width="21" style="4" customWidth="1"/>
    <col min="1546" max="1546" width="8.7109375" style="4" customWidth="1"/>
    <col min="1547" max="1547" width="24" style="4" bestFit="1" customWidth="1"/>
    <col min="1548" max="1548" width="10" style="4" customWidth="1"/>
    <col min="1549" max="1792" width="9.140625" style="4"/>
    <col min="1793" max="1793" width="4.42578125" style="4" customWidth="1"/>
    <col min="1794" max="1794" width="51.140625" style="4" customWidth="1"/>
    <col min="1795" max="1795" width="13.42578125" style="4" customWidth="1"/>
    <col min="1796" max="1796" width="6.42578125" style="4" customWidth="1"/>
    <col min="1797" max="1797" width="7" style="4" bestFit="1" customWidth="1"/>
    <col min="1798" max="1798" width="10" style="4" customWidth="1"/>
    <col min="1799" max="1799" width="12" style="4" bestFit="1" customWidth="1"/>
    <col min="1800" max="1800" width="22.140625" style="4" customWidth="1"/>
    <col min="1801" max="1801" width="21" style="4" customWidth="1"/>
    <col min="1802" max="1802" width="8.7109375" style="4" customWidth="1"/>
    <col min="1803" max="1803" width="24" style="4" bestFit="1" customWidth="1"/>
    <col min="1804" max="1804" width="10" style="4" customWidth="1"/>
    <col min="1805" max="2048" width="9.140625" style="4"/>
    <col min="2049" max="2049" width="4.42578125" style="4" customWidth="1"/>
    <col min="2050" max="2050" width="51.140625" style="4" customWidth="1"/>
    <col min="2051" max="2051" width="13.42578125" style="4" customWidth="1"/>
    <col min="2052" max="2052" width="6.42578125" style="4" customWidth="1"/>
    <col min="2053" max="2053" width="7" style="4" bestFit="1" customWidth="1"/>
    <col min="2054" max="2054" width="10" style="4" customWidth="1"/>
    <col min="2055" max="2055" width="12" style="4" bestFit="1" customWidth="1"/>
    <col min="2056" max="2056" width="22.140625" style="4" customWidth="1"/>
    <col min="2057" max="2057" width="21" style="4" customWidth="1"/>
    <col min="2058" max="2058" width="8.7109375" style="4" customWidth="1"/>
    <col min="2059" max="2059" width="24" style="4" bestFit="1" customWidth="1"/>
    <col min="2060" max="2060" width="10" style="4" customWidth="1"/>
    <col min="2061" max="2304" width="9.140625" style="4"/>
    <col min="2305" max="2305" width="4.42578125" style="4" customWidth="1"/>
    <col min="2306" max="2306" width="51.140625" style="4" customWidth="1"/>
    <col min="2307" max="2307" width="13.42578125" style="4" customWidth="1"/>
    <col min="2308" max="2308" width="6.42578125" style="4" customWidth="1"/>
    <col min="2309" max="2309" width="7" style="4" bestFit="1" customWidth="1"/>
    <col min="2310" max="2310" width="10" style="4" customWidth="1"/>
    <col min="2311" max="2311" width="12" style="4" bestFit="1" customWidth="1"/>
    <col min="2312" max="2312" width="22.140625" style="4" customWidth="1"/>
    <col min="2313" max="2313" width="21" style="4" customWidth="1"/>
    <col min="2314" max="2314" width="8.7109375" style="4" customWidth="1"/>
    <col min="2315" max="2315" width="24" style="4" bestFit="1" customWidth="1"/>
    <col min="2316" max="2316" width="10" style="4" customWidth="1"/>
    <col min="2317" max="2560" width="9.140625" style="4"/>
    <col min="2561" max="2561" width="4.42578125" style="4" customWidth="1"/>
    <col min="2562" max="2562" width="51.140625" style="4" customWidth="1"/>
    <col min="2563" max="2563" width="13.42578125" style="4" customWidth="1"/>
    <col min="2564" max="2564" width="6.42578125" style="4" customWidth="1"/>
    <col min="2565" max="2565" width="7" style="4" bestFit="1" customWidth="1"/>
    <col min="2566" max="2566" width="10" style="4" customWidth="1"/>
    <col min="2567" max="2567" width="12" style="4" bestFit="1" customWidth="1"/>
    <col min="2568" max="2568" width="22.140625" style="4" customWidth="1"/>
    <col min="2569" max="2569" width="21" style="4" customWidth="1"/>
    <col min="2570" max="2570" width="8.7109375" style="4" customWidth="1"/>
    <col min="2571" max="2571" width="24" style="4" bestFit="1" customWidth="1"/>
    <col min="2572" max="2572" width="10" style="4" customWidth="1"/>
    <col min="2573" max="2816" width="9.140625" style="4"/>
    <col min="2817" max="2817" width="4.42578125" style="4" customWidth="1"/>
    <col min="2818" max="2818" width="51.140625" style="4" customWidth="1"/>
    <col min="2819" max="2819" width="13.42578125" style="4" customWidth="1"/>
    <col min="2820" max="2820" width="6.42578125" style="4" customWidth="1"/>
    <col min="2821" max="2821" width="7" style="4" bestFit="1" customWidth="1"/>
    <col min="2822" max="2822" width="10" style="4" customWidth="1"/>
    <col min="2823" max="2823" width="12" style="4" bestFit="1" customWidth="1"/>
    <col min="2824" max="2824" width="22.140625" style="4" customWidth="1"/>
    <col min="2825" max="2825" width="21" style="4" customWidth="1"/>
    <col min="2826" max="2826" width="8.7109375" style="4" customWidth="1"/>
    <col min="2827" max="2827" width="24" style="4" bestFit="1" customWidth="1"/>
    <col min="2828" max="2828" width="10" style="4" customWidth="1"/>
    <col min="2829" max="3072" width="9.140625" style="4"/>
    <col min="3073" max="3073" width="4.42578125" style="4" customWidth="1"/>
    <col min="3074" max="3074" width="51.140625" style="4" customWidth="1"/>
    <col min="3075" max="3075" width="13.42578125" style="4" customWidth="1"/>
    <col min="3076" max="3076" width="6.42578125" style="4" customWidth="1"/>
    <col min="3077" max="3077" width="7" style="4" bestFit="1" customWidth="1"/>
    <col min="3078" max="3078" width="10" style="4" customWidth="1"/>
    <col min="3079" max="3079" width="12" style="4" bestFit="1" customWidth="1"/>
    <col min="3080" max="3080" width="22.140625" style="4" customWidth="1"/>
    <col min="3081" max="3081" width="21" style="4" customWidth="1"/>
    <col min="3082" max="3082" width="8.7109375" style="4" customWidth="1"/>
    <col min="3083" max="3083" width="24" style="4" bestFit="1" customWidth="1"/>
    <col min="3084" max="3084" width="10" style="4" customWidth="1"/>
    <col min="3085" max="3328" width="9.140625" style="4"/>
    <col min="3329" max="3329" width="4.42578125" style="4" customWidth="1"/>
    <col min="3330" max="3330" width="51.140625" style="4" customWidth="1"/>
    <col min="3331" max="3331" width="13.42578125" style="4" customWidth="1"/>
    <col min="3332" max="3332" width="6.42578125" style="4" customWidth="1"/>
    <col min="3333" max="3333" width="7" style="4" bestFit="1" customWidth="1"/>
    <col min="3334" max="3334" width="10" style="4" customWidth="1"/>
    <col min="3335" max="3335" width="12" style="4" bestFit="1" customWidth="1"/>
    <col min="3336" max="3336" width="22.140625" style="4" customWidth="1"/>
    <col min="3337" max="3337" width="21" style="4" customWidth="1"/>
    <col min="3338" max="3338" width="8.7109375" style="4" customWidth="1"/>
    <col min="3339" max="3339" width="24" style="4" bestFit="1" customWidth="1"/>
    <col min="3340" max="3340" width="10" style="4" customWidth="1"/>
    <col min="3341" max="3584" width="9.140625" style="4"/>
    <col min="3585" max="3585" width="4.42578125" style="4" customWidth="1"/>
    <col min="3586" max="3586" width="51.140625" style="4" customWidth="1"/>
    <col min="3587" max="3587" width="13.42578125" style="4" customWidth="1"/>
    <col min="3588" max="3588" width="6.42578125" style="4" customWidth="1"/>
    <col min="3589" max="3589" width="7" style="4" bestFit="1" customWidth="1"/>
    <col min="3590" max="3590" width="10" style="4" customWidth="1"/>
    <col min="3591" max="3591" width="12" style="4" bestFit="1" customWidth="1"/>
    <col min="3592" max="3592" width="22.140625" style="4" customWidth="1"/>
    <col min="3593" max="3593" width="21" style="4" customWidth="1"/>
    <col min="3594" max="3594" width="8.7109375" style="4" customWidth="1"/>
    <col min="3595" max="3595" width="24" style="4" bestFit="1" customWidth="1"/>
    <col min="3596" max="3596" width="10" style="4" customWidth="1"/>
    <col min="3597" max="3840" width="9.140625" style="4"/>
    <col min="3841" max="3841" width="4.42578125" style="4" customWidth="1"/>
    <col min="3842" max="3842" width="51.140625" style="4" customWidth="1"/>
    <col min="3843" max="3843" width="13.42578125" style="4" customWidth="1"/>
    <col min="3844" max="3844" width="6.42578125" style="4" customWidth="1"/>
    <col min="3845" max="3845" width="7" style="4" bestFit="1" customWidth="1"/>
    <col min="3846" max="3846" width="10" style="4" customWidth="1"/>
    <col min="3847" max="3847" width="12" style="4" bestFit="1" customWidth="1"/>
    <col min="3848" max="3848" width="22.140625" style="4" customWidth="1"/>
    <col min="3849" max="3849" width="21" style="4" customWidth="1"/>
    <col min="3850" max="3850" width="8.7109375" style="4" customWidth="1"/>
    <col min="3851" max="3851" width="24" style="4" bestFit="1" customWidth="1"/>
    <col min="3852" max="3852" width="10" style="4" customWidth="1"/>
    <col min="3853" max="4096" width="9.140625" style="4"/>
    <col min="4097" max="4097" width="4.42578125" style="4" customWidth="1"/>
    <col min="4098" max="4098" width="51.140625" style="4" customWidth="1"/>
    <col min="4099" max="4099" width="13.42578125" style="4" customWidth="1"/>
    <col min="4100" max="4100" width="6.42578125" style="4" customWidth="1"/>
    <col min="4101" max="4101" width="7" style="4" bestFit="1" customWidth="1"/>
    <col min="4102" max="4102" width="10" style="4" customWidth="1"/>
    <col min="4103" max="4103" width="12" style="4" bestFit="1" customWidth="1"/>
    <col min="4104" max="4104" width="22.140625" style="4" customWidth="1"/>
    <col min="4105" max="4105" width="21" style="4" customWidth="1"/>
    <col min="4106" max="4106" width="8.7109375" style="4" customWidth="1"/>
    <col min="4107" max="4107" width="24" style="4" bestFit="1" customWidth="1"/>
    <col min="4108" max="4108" width="10" style="4" customWidth="1"/>
    <col min="4109" max="4352" width="9.140625" style="4"/>
    <col min="4353" max="4353" width="4.42578125" style="4" customWidth="1"/>
    <col min="4354" max="4354" width="51.140625" style="4" customWidth="1"/>
    <col min="4355" max="4355" width="13.42578125" style="4" customWidth="1"/>
    <col min="4356" max="4356" width="6.42578125" style="4" customWidth="1"/>
    <col min="4357" max="4357" width="7" style="4" bestFit="1" customWidth="1"/>
    <col min="4358" max="4358" width="10" style="4" customWidth="1"/>
    <col min="4359" max="4359" width="12" style="4" bestFit="1" customWidth="1"/>
    <col min="4360" max="4360" width="22.140625" style="4" customWidth="1"/>
    <col min="4361" max="4361" width="21" style="4" customWidth="1"/>
    <col min="4362" max="4362" width="8.7109375" style="4" customWidth="1"/>
    <col min="4363" max="4363" width="24" style="4" bestFit="1" customWidth="1"/>
    <col min="4364" max="4364" width="10" style="4" customWidth="1"/>
    <col min="4365" max="4608" width="9.140625" style="4"/>
    <col min="4609" max="4609" width="4.42578125" style="4" customWidth="1"/>
    <col min="4610" max="4610" width="51.140625" style="4" customWidth="1"/>
    <col min="4611" max="4611" width="13.42578125" style="4" customWidth="1"/>
    <col min="4612" max="4612" width="6.42578125" style="4" customWidth="1"/>
    <col min="4613" max="4613" width="7" style="4" bestFit="1" customWidth="1"/>
    <col min="4614" max="4614" width="10" style="4" customWidth="1"/>
    <col min="4615" max="4615" width="12" style="4" bestFit="1" customWidth="1"/>
    <col min="4616" max="4616" width="22.140625" style="4" customWidth="1"/>
    <col min="4617" max="4617" width="21" style="4" customWidth="1"/>
    <col min="4618" max="4618" width="8.7109375" style="4" customWidth="1"/>
    <col min="4619" max="4619" width="24" style="4" bestFit="1" customWidth="1"/>
    <col min="4620" max="4620" width="10" style="4" customWidth="1"/>
    <col min="4621" max="4864" width="9.140625" style="4"/>
    <col min="4865" max="4865" width="4.42578125" style="4" customWidth="1"/>
    <col min="4866" max="4866" width="51.140625" style="4" customWidth="1"/>
    <col min="4867" max="4867" width="13.42578125" style="4" customWidth="1"/>
    <col min="4868" max="4868" width="6.42578125" style="4" customWidth="1"/>
    <col min="4869" max="4869" width="7" style="4" bestFit="1" customWidth="1"/>
    <col min="4870" max="4870" width="10" style="4" customWidth="1"/>
    <col min="4871" max="4871" width="12" style="4" bestFit="1" customWidth="1"/>
    <col min="4872" max="4872" width="22.140625" style="4" customWidth="1"/>
    <col min="4873" max="4873" width="21" style="4" customWidth="1"/>
    <col min="4874" max="4874" width="8.7109375" style="4" customWidth="1"/>
    <col min="4875" max="4875" width="24" style="4" bestFit="1" customWidth="1"/>
    <col min="4876" max="4876" width="10" style="4" customWidth="1"/>
    <col min="4877" max="5120" width="9.140625" style="4"/>
    <col min="5121" max="5121" width="4.42578125" style="4" customWidth="1"/>
    <col min="5122" max="5122" width="51.140625" style="4" customWidth="1"/>
    <col min="5123" max="5123" width="13.42578125" style="4" customWidth="1"/>
    <col min="5124" max="5124" width="6.42578125" style="4" customWidth="1"/>
    <col min="5125" max="5125" width="7" style="4" bestFit="1" customWidth="1"/>
    <col min="5126" max="5126" width="10" style="4" customWidth="1"/>
    <col min="5127" max="5127" width="12" style="4" bestFit="1" customWidth="1"/>
    <col min="5128" max="5128" width="22.140625" style="4" customWidth="1"/>
    <col min="5129" max="5129" width="21" style="4" customWidth="1"/>
    <col min="5130" max="5130" width="8.7109375" style="4" customWidth="1"/>
    <col min="5131" max="5131" width="24" style="4" bestFit="1" customWidth="1"/>
    <col min="5132" max="5132" width="10" style="4" customWidth="1"/>
    <col min="5133" max="5376" width="9.140625" style="4"/>
    <col min="5377" max="5377" width="4.42578125" style="4" customWidth="1"/>
    <col min="5378" max="5378" width="51.140625" style="4" customWidth="1"/>
    <col min="5379" max="5379" width="13.42578125" style="4" customWidth="1"/>
    <col min="5380" max="5380" width="6.42578125" style="4" customWidth="1"/>
    <col min="5381" max="5381" width="7" style="4" bestFit="1" customWidth="1"/>
    <col min="5382" max="5382" width="10" style="4" customWidth="1"/>
    <col min="5383" max="5383" width="12" style="4" bestFit="1" customWidth="1"/>
    <col min="5384" max="5384" width="22.140625" style="4" customWidth="1"/>
    <col min="5385" max="5385" width="21" style="4" customWidth="1"/>
    <col min="5386" max="5386" width="8.7109375" style="4" customWidth="1"/>
    <col min="5387" max="5387" width="24" style="4" bestFit="1" customWidth="1"/>
    <col min="5388" max="5388" width="10" style="4" customWidth="1"/>
    <col min="5389" max="5632" width="9.140625" style="4"/>
    <col min="5633" max="5633" width="4.42578125" style="4" customWidth="1"/>
    <col min="5634" max="5634" width="51.140625" style="4" customWidth="1"/>
    <col min="5635" max="5635" width="13.42578125" style="4" customWidth="1"/>
    <col min="5636" max="5636" width="6.42578125" style="4" customWidth="1"/>
    <col min="5637" max="5637" width="7" style="4" bestFit="1" customWidth="1"/>
    <col min="5638" max="5638" width="10" style="4" customWidth="1"/>
    <col min="5639" max="5639" width="12" style="4" bestFit="1" customWidth="1"/>
    <col min="5640" max="5640" width="22.140625" style="4" customWidth="1"/>
    <col min="5641" max="5641" width="21" style="4" customWidth="1"/>
    <col min="5642" max="5642" width="8.7109375" style="4" customWidth="1"/>
    <col min="5643" max="5643" width="24" style="4" bestFit="1" customWidth="1"/>
    <col min="5644" max="5644" width="10" style="4" customWidth="1"/>
    <col min="5645" max="5888" width="9.140625" style="4"/>
    <col min="5889" max="5889" width="4.42578125" style="4" customWidth="1"/>
    <col min="5890" max="5890" width="51.140625" style="4" customWidth="1"/>
    <col min="5891" max="5891" width="13.42578125" style="4" customWidth="1"/>
    <col min="5892" max="5892" width="6.42578125" style="4" customWidth="1"/>
    <col min="5893" max="5893" width="7" style="4" bestFit="1" customWidth="1"/>
    <col min="5894" max="5894" width="10" style="4" customWidth="1"/>
    <col min="5895" max="5895" width="12" style="4" bestFit="1" customWidth="1"/>
    <col min="5896" max="5896" width="22.140625" style="4" customWidth="1"/>
    <col min="5897" max="5897" width="21" style="4" customWidth="1"/>
    <col min="5898" max="5898" width="8.7109375" style="4" customWidth="1"/>
    <col min="5899" max="5899" width="24" style="4" bestFit="1" customWidth="1"/>
    <col min="5900" max="5900" width="10" style="4" customWidth="1"/>
    <col min="5901" max="6144" width="9.140625" style="4"/>
    <col min="6145" max="6145" width="4.42578125" style="4" customWidth="1"/>
    <col min="6146" max="6146" width="51.140625" style="4" customWidth="1"/>
    <col min="6147" max="6147" width="13.42578125" style="4" customWidth="1"/>
    <col min="6148" max="6148" width="6.42578125" style="4" customWidth="1"/>
    <col min="6149" max="6149" width="7" style="4" bestFit="1" customWidth="1"/>
    <col min="6150" max="6150" width="10" style="4" customWidth="1"/>
    <col min="6151" max="6151" width="12" style="4" bestFit="1" customWidth="1"/>
    <col min="6152" max="6152" width="22.140625" style="4" customWidth="1"/>
    <col min="6153" max="6153" width="21" style="4" customWidth="1"/>
    <col min="6154" max="6154" width="8.7109375" style="4" customWidth="1"/>
    <col min="6155" max="6155" width="24" style="4" bestFit="1" customWidth="1"/>
    <col min="6156" max="6156" width="10" style="4" customWidth="1"/>
    <col min="6157" max="6400" width="9.140625" style="4"/>
    <col min="6401" max="6401" width="4.42578125" style="4" customWidth="1"/>
    <col min="6402" max="6402" width="51.140625" style="4" customWidth="1"/>
    <col min="6403" max="6403" width="13.42578125" style="4" customWidth="1"/>
    <col min="6404" max="6404" width="6.42578125" style="4" customWidth="1"/>
    <col min="6405" max="6405" width="7" style="4" bestFit="1" customWidth="1"/>
    <col min="6406" max="6406" width="10" style="4" customWidth="1"/>
    <col min="6407" max="6407" width="12" style="4" bestFit="1" customWidth="1"/>
    <col min="6408" max="6408" width="22.140625" style="4" customWidth="1"/>
    <col min="6409" max="6409" width="21" style="4" customWidth="1"/>
    <col min="6410" max="6410" width="8.7109375" style="4" customWidth="1"/>
    <col min="6411" max="6411" width="24" style="4" bestFit="1" customWidth="1"/>
    <col min="6412" max="6412" width="10" style="4" customWidth="1"/>
    <col min="6413" max="6656" width="9.140625" style="4"/>
    <col min="6657" max="6657" width="4.42578125" style="4" customWidth="1"/>
    <col min="6658" max="6658" width="51.140625" style="4" customWidth="1"/>
    <col min="6659" max="6659" width="13.42578125" style="4" customWidth="1"/>
    <col min="6660" max="6660" width="6.42578125" style="4" customWidth="1"/>
    <col min="6661" max="6661" width="7" style="4" bestFit="1" customWidth="1"/>
    <col min="6662" max="6662" width="10" style="4" customWidth="1"/>
    <col min="6663" max="6663" width="12" style="4" bestFit="1" customWidth="1"/>
    <col min="6664" max="6664" width="22.140625" style="4" customWidth="1"/>
    <col min="6665" max="6665" width="21" style="4" customWidth="1"/>
    <col min="6666" max="6666" width="8.7109375" style="4" customWidth="1"/>
    <col min="6667" max="6667" width="24" style="4" bestFit="1" customWidth="1"/>
    <col min="6668" max="6668" width="10" style="4" customWidth="1"/>
    <col min="6669" max="6912" width="9.140625" style="4"/>
    <col min="6913" max="6913" width="4.42578125" style="4" customWidth="1"/>
    <col min="6914" max="6914" width="51.140625" style="4" customWidth="1"/>
    <col min="6915" max="6915" width="13.42578125" style="4" customWidth="1"/>
    <col min="6916" max="6916" width="6.42578125" style="4" customWidth="1"/>
    <col min="6917" max="6917" width="7" style="4" bestFit="1" customWidth="1"/>
    <col min="6918" max="6918" width="10" style="4" customWidth="1"/>
    <col min="6919" max="6919" width="12" style="4" bestFit="1" customWidth="1"/>
    <col min="6920" max="6920" width="22.140625" style="4" customWidth="1"/>
    <col min="6921" max="6921" width="21" style="4" customWidth="1"/>
    <col min="6922" max="6922" width="8.7109375" style="4" customWidth="1"/>
    <col min="6923" max="6923" width="24" style="4" bestFit="1" customWidth="1"/>
    <col min="6924" max="6924" width="10" style="4" customWidth="1"/>
    <col min="6925" max="7168" width="9.140625" style="4"/>
    <col min="7169" max="7169" width="4.42578125" style="4" customWidth="1"/>
    <col min="7170" max="7170" width="51.140625" style="4" customWidth="1"/>
    <col min="7171" max="7171" width="13.42578125" style="4" customWidth="1"/>
    <col min="7172" max="7172" width="6.42578125" style="4" customWidth="1"/>
    <col min="7173" max="7173" width="7" style="4" bestFit="1" customWidth="1"/>
    <col min="7174" max="7174" width="10" style="4" customWidth="1"/>
    <col min="7175" max="7175" width="12" style="4" bestFit="1" customWidth="1"/>
    <col min="7176" max="7176" width="22.140625" style="4" customWidth="1"/>
    <col min="7177" max="7177" width="21" style="4" customWidth="1"/>
    <col min="7178" max="7178" width="8.7109375" style="4" customWidth="1"/>
    <col min="7179" max="7179" width="24" style="4" bestFit="1" customWidth="1"/>
    <col min="7180" max="7180" width="10" style="4" customWidth="1"/>
    <col min="7181" max="7424" width="9.140625" style="4"/>
    <col min="7425" max="7425" width="4.42578125" style="4" customWidth="1"/>
    <col min="7426" max="7426" width="51.140625" style="4" customWidth="1"/>
    <col min="7427" max="7427" width="13.42578125" style="4" customWidth="1"/>
    <col min="7428" max="7428" width="6.42578125" style="4" customWidth="1"/>
    <col min="7429" max="7429" width="7" style="4" bestFit="1" customWidth="1"/>
    <col min="7430" max="7430" width="10" style="4" customWidth="1"/>
    <col min="7431" max="7431" width="12" style="4" bestFit="1" customWidth="1"/>
    <col min="7432" max="7432" width="22.140625" style="4" customWidth="1"/>
    <col min="7433" max="7433" width="21" style="4" customWidth="1"/>
    <col min="7434" max="7434" width="8.7109375" style="4" customWidth="1"/>
    <col min="7435" max="7435" width="24" style="4" bestFit="1" customWidth="1"/>
    <col min="7436" max="7436" width="10" style="4" customWidth="1"/>
    <col min="7437" max="7680" width="9.140625" style="4"/>
    <col min="7681" max="7681" width="4.42578125" style="4" customWidth="1"/>
    <col min="7682" max="7682" width="51.140625" style="4" customWidth="1"/>
    <col min="7683" max="7683" width="13.42578125" style="4" customWidth="1"/>
    <col min="7684" max="7684" width="6.42578125" style="4" customWidth="1"/>
    <col min="7685" max="7685" width="7" style="4" bestFit="1" customWidth="1"/>
    <col min="7686" max="7686" width="10" style="4" customWidth="1"/>
    <col min="7687" max="7687" width="12" style="4" bestFit="1" customWidth="1"/>
    <col min="7688" max="7688" width="22.140625" style="4" customWidth="1"/>
    <col min="7689" max="7689" width="21" style="4" customWidth="1"/>
    <col min="7690" max="7690" width="8.7109375" style="4" customWidth="1"/>
    <col min="7691" max="7691" width="24" style="4" bestFit="1" customWidth="1"/>
    <col min="7692" max="7692" width="10" style="4" customWidth="1"/>
    <col min="7693" max="7936" width="9.140625" style="4"/>
    <col min="7937" max="7937" width="4.42578125" style="4" customWidth="1"/>
    <col min="7938" max="7938" width="51.140625" style="4" customWidth="1"/>
    <col min="7939" max="7939" width="13.42578125" style="4" customWidth="1"/>
    <col min="7940" max="7940" width="6.42578125" style="4" customWidth="1"/>
    <col min="7941" max="7941" width="7" style="4" bestFit="1" customWidth="1"/>
    <col min="7942" max="7942" width="10" style="4" customWidth="1"/>
    <col min="7943" max="7943" width="12" style="4" bestFit="1" customWidth="1"/>
    <col min="7944" max="7944" width="22.140625" style="4" customWidth="1"/>
    <col min="7945" max="7945" width="21" style="4" customWidth="1"/>
    <col min="7946" max="7946" width="8.7109375" style="4" customWidth="1"/>
    <col min="7947" max="7947" width="24" style="4" bestFit="1" customWidth="1"/>
    <col min="7948" max="7948" width="10" style="4" customWidth="1"/>
    <col min="7949" max="8192" width="9.140625" style="4"/>
    <col min="8193" max="8193" width="4.42578125" style="4" customWidth="1"/>
    <col min="8194" max="8194" width="51.140625" style="4" customWidth="1"/>
    <col min="8195" max="8195" width="13.42578125" style="4" customWidth="1"/>
    <col min="8196" max="8196" width="6.42578125" style="4" customWidth="1"/>
    <col min="8197" max="8197" width="7" style="4" bestFit="1" customWidth="1"/>
    <col min="8198" max="8198" width="10" style="4" customWidth="1"/>
    <col min="8199" max="8199" width="12" style="4" bestFit="1" customWidth="1"/>
    <col min="8200" max="8200" width="22.140625" style="4" customWidth="1"/>
    <col min="8201" max="8201" width="21" style="4" customWidth="1"/>
    <col min="8202" max="8202" width="8.7109375" style="4" customWidth="1"/>
    <col min="8203" max="8203" width="24" style="4" bestFit="1" customWidth="1"/>
    <col min="8204" max="8204" width="10" style="4" customWidth="1"/>
    <col min="8205" max="8448" width="9.140625" style="4"/>
    <col min="8449" max="8449" width="4.42578125" style="4" customWidth="1"/>
    <col min="8450" max="8450" width="51.140625" style="4" customWidth="1"/>
    <col min="8451" max="8451" width="13.42578125" style="4" customWidth="1"/>
    <col min="8452" max="8452" width="6.42578125" style="4" customWidth="1"/>
    <col min="8453" max="8453" width="7" style="4" bestFit="1" customWidth="1"/>
    <col min="8454" max="8454" width="10" style="4" customWidth="1"/>
    <col min="8455" max="8455" width="12" style="4" bestFit="1" customWidth="1"/>
    <col min="8456" max="8456" width="22.140625" style="4" customWidth="1"/>
    <col min="8457" max="8457" width="21" style="4" customWidth="1"/>
    <col min="8458" max="8458" width="8.7109375" style="4" customWidth="1"/>
    <col min="8459" max="8459" width="24" style="4" bestFit="1" customWidth="1"/>
    <col min="8460" max="8460" width="10" style="4" customWidth="1"/>
    <col min="8461" max="8704" width="9.140625" style="4"/>
    <col min="8705" max="8705" width="4.42578125" style="4" customWidth="1"/>
    <col min="8706" max="8706" width="51.140625" style="4" customWidth="1"/>
    <col min="8707" max="8707" width="13.42578125" style="4" customWidth="1"/>
    <col min="8708" max="8708" width="6.42578125" style="4" customWidth="1"/>
    <col min="8709" max="8709" width="7" style="4" bestFit="1" customWidth="1"/>
    <col min="8710" max="8710" width="10" style="4" customWidth="1"/>
    <col min="8711" max="8711" width="12" style="4" bestFit="1" customWidth="1"/>
    <col min="8712" max="8712" width="22.140625" style="4" customWidth="1"/>
    <col min="8713" max="8713" width="21" style="4" customWidth="1"/>
    <col min="8714" max="8714" width="8.7109375" style="4" customWidth="1"/>
    <col min="8715" max="8715" width="24" style="4" bestFit="1" customWidth="1"/>
    <col min="8716" max="8716" width="10" style="4" customWidth="1"/>
    <col min="8717" max="8960" width="9.140625" style="4"/>
    <col min="8961" max="8961" width="4.42578125" style="4" customWidth="1"/>
    <col min="8962" max="8962" width="51.140625" style="4" customWidth="1"/>
    <col min="8963" max="8963" width="13.42578125" style="4" customWidth="1"/>
    <col min="8964" max="8964" width="6.42578125" style="4" customWidth="1"/>
    <col min="8965" max="8965" width="7" style="4" bestFit="1" customWidth="1"/>
    <col min="8966" max="8966" width="10" style="4" customWidth="1"/>
    <col min="8967" max="8967" width="12" style="4" bestFit="1" customWidth="1"/>
    <col min="8968" max="8968" width="22.140625" style="4" customWidth="1"/>
    <col min="8969" max="8969" width="21" style="4" customWidth="1"/>
    <col min="8970" max="8970" width="8.7109375" style="4" customWidth="1"/>
    <col min="8971" max="8971" width="24" style="4" bestFit="1" customWidth="1"/>
    <col min="8972" max="8972" width="10" style="4" customWidth="1"/>
    <col min="8973" max="9216" width="9.140625" style="4"/>
    <col min="9217" max="9217" width="4.42578125" style="4" customWidth="1"/>
    <col min="9218" max="9218" width="51.140625" style="4" customWidth="1"/>
    <col min="9219" max="9219" width="13.42578125" style="4" customWidth="1"/>
    <col min="9220" max="9220" width="6.42578125" style="4" customWidth="1"/>
    <col min="9221" max="9221" width="7" style="4" bestFit="1" customWidth="1"/>
    <col min="9222" max="9222" width="10" style="4" customWidth="1"/>
    <col min="9223" max="9223" width="12" style="4" bestFit="1" customWidth="1"/>
    <col min="9224" max="9224" width="22.140625" style="4" customWidth="1"/>
    <col min="9225" max="9225" width="21" style="4" customWidth="1"/>
    <col min="9226" max="9226" width="8.7109375" style="4" customWidth="1"/>
    <col min="9227" max="9227" width="24" style="4" bestFit="1" customWidth="1"/>
    <col min="9228" max="9228" width="10" style="4" customWidth="1"/>
    <col min="9229" max="9472" width="9.140625" style="4"/>
    <col min="9473" max="9473" width="4.42578125" style="4" customWidth="1"/>
    <col min="9474" max="9474" width="51.140625" style="4" customWidth="1"/>
    <col min="9475" max="9475" width="13.42578125" style="4" customWidth="1"/>
    <col min="9476" max="9476" width="6.42578125" style="4" customWidth="1"/>
    <col min="9477" max="9477" width="7" style="4" bestFit="1" customWidth="1"/>
    <col min="9478" max="9478" width="10" style="4" customWidth="1"/>
    <col min="9479" max="9479" width="12" style="4" bestFit="1" customWidth="1"/>
    <col min="9480" max="9480" width="22.140625" style="4" customWidth="1"/>
    <col min="9481" max="9481" width="21" style="4" customWidth="1"/>
    <col min="9482" max="9482" width="8.7109375" style="4" customWidth="1"/>
    <col min="9483" max="9483" width="24" style="4" bestFit="1" customWidth="1"/>
    <col min="9484" max="9484" width="10" style="4" customWidth="1"/>
    <col min="9485" max="9728" width="9.140625" style="4"/>
    <col min="9729" max="9729" width="4.42578125" style="4" customWidth="1"/>
    <col min="9730" max="9730" width="51.140625" style="4" customWidth="1"/>
    <col min="9731" max="9731" width="13.42578125" style="4" customWidth="1"/>
    <col min="9732" max="9732" width="6.42578125" style="4" customWidth="1"/>
    <col min="9733" max="9733" width="7" style="4" bestFit="1" customWidth="1"/>
    <col min="9734" max="9734" width="10" style="4" customWidth="1"/>
    <col min="9735" max="9735" width="12" style="4" bestFit="1" customWidth="1"/>
    <col min="9736" max="9736" width="22.140625" style="4" customWidth="1"/>
    <col min="9737" max="9737" width="21" style="4" customWidth="1"/>
    <col min="9738" max="9738" width="8.7109375" style="4" customWidth="1"/>
    <col min="9739" max="9739" width="24" style="4" bestFit="1" customWidth="1"/>
    <col min="9740" max="9740" width="10" style="4" customWidth="1"/>
    <col min="9741" max="9984" width="9.140625" style="4"/>
    <col min="9985" max="9985" width="4.42578125" style="4" customWidth="1"/>
    <col min="9986" max="9986" width="51.140625" style="4" customWidth="1"/>
    <col min="9987" max="9987" width="13.42578125" style="4" customWidth="1"/>
    <col min="9988" max="9988" width="6.42578125" style="4" customWidth="1"/>
    <col min="9989" max="9989" width="7" style="4" bestFit="1" customWidth="1"/>
    <col min="9990" max="9990" width="10" style="4" customWidth="1"/>
    <col min="9991" max="9991" width="12" style="4" bestFit="1" customWidth="1"/>
    <col min="9992" max="9992" width="22.140625" style="4" customWidth="1"/>
    <col min="9993" max="9993" width="21" style="4" customWidth="1"/>
    <col min="9994" max="9994" width="8.7109375" style="4" customWidth="1"/>
    <col min="9995" max="9995" width="24" style="4" bestFit="1" customWidth="1"/>
    <col min="9996" max="9996" width="10" style="4" customWidth="1"/>
    <col min="9997" max="10240" width="9.140625" style="4"/>
    <col min="10241" max="10241" width="4.42578125" style="4" customWidth="1"/>
    <col min="10242" max="10242" width="51.140625" style="4" customWidth="1"/>
    <col min="10243" max="10243" width="13.42578125" style="4" customWidth="1"/>
    <col min="10244" max="10244" width="6.42578125" style="4" customWidth="1"/>
    <col min="10245" max="10245" width="7" style="4" bestFit="1" customWidth="1"/>
    <col min="10246" max="10246" width="10" style="4" customWidth="1"/>
    <col min="10247" max="10247" width="12" style="4" bestFit="1" customWidth="1"/>
    <col min="10248" max="10248" width="22.140625" style="4" customWidth="1"/>
    <col min="10249" max="10249" width="21" style="4" customWidth="1"/>
    <col min="10250" max="10250" width="8.7109375" style="4" customWidth="1"/>
    <col min="10251" max="10251" width="24" style="4" bestFit="1" customWidth="1"/>
    <col min="10252" max="10252" width="10" style="4" customWidth="1"/>
    <col min="10253" max="10496" width="9.140625" style="4"/>
    <col min="10497" max="10497" width="4.42578125" style="4" customWidth="1"/>
    <col min="10498" max="10498" width="51.140625" style="4" customWidth="1"/>
    <col min="10499" max="10499" width="13.42578125" style="4" customWidth="1"/>
    <col min="10500" max="10500" width="6.42578125" style="4" customWidth="1"/>
    <col min="10501" max="10501" width="7" style="4" bestFit="1" customWidth="1"/>
    <col min="10502" max="10502" width="10" style="4" customWidth="1"/>
    <col min="10503" max="10503" width="12" style="4" bestFit="1" customWidth="1"/>
    <col min="10504" max="10504" width="22.140625" style="4" customWidth="1"/>
    <col min="10505" max="10505" width="21" style="4" customWidth="1"/>
    <col min="10506" max="10506" width="8.7109375" style="4" customWidth="1"/>
    <col min="10507" max="10507" width="24" style="4" bestFit="1" customWidth="1"/>
    <col min="10508" max="10508" width="10" style="4" customWidth="1"/>
    <col min="10509" max="10752" width="9.140625" style="4"/>
    <col min="10753" max="10753" width="4.42578125" style="4" customWidth="1"/>
    <col min="10754" max="10754" width="51.140625" style="4" customWidth="1"/>
    <col min="10755" max="10755" width="13.42578125" style="4" customWidth="1"/>
    <col min="10756" max="10756" width="6.42578125" style="4" customWidth="1"/>
    <col min="10757" max="10757" width="7" style="4" bestFit="1" customWidth="1"/>
    <col min="10758" max="10758" width="10" style="4" customWidth="1"/>
    <col min="10759" max="10759" width="12" style="4" bestFit="1" customWidth="1"/>
    <col min="10760" max="10760" width="22.140625" style="4" customWidth="1"/>
    <col min="10761" max="10761" width="21" style="4" customWidth="1"/>
    <col min="10762" max="10762" width="8.7109375" style="4" customWidth="1"/>
    <col min="10763" max="10763" width="24" style="4" bestFit="1" customWidth="1"/>
    <col min="10764" max="10764" width="10" style="4" customWidth="1"/>
    <col min="10765" max="11008" width="9.140625" style="4"/>
    <col min="11009" max="11009" width="4.42578125" style="4" customWidth="1"/>
    <col min="11010" max="11010" width="51.140625" style="4" customWidth="1"/>
    <col min="11011" max="11011" width="13.42578125" style="4" customWidth="1"/>
    <col min="11012" max="11012" width="6.42578125" style="4" customWidth="1"/>
    <col min="11013" max="11013" width="7" style="4" bestFit="1" customWidth="1"/>
    <col min="11014" max="11014" width="10" style="4" customWidth="1"/>
    <col min="11015" max="11015" width="12" style="4" bestFit="1" customWidth="1"/>
    <col min="11016" max="11016" width="22.140625" style="4" customWidth="1"/>
    <col min="11017" max="11017" width="21" style="4" customWidth="1"/>
    <col min="11018" max="11018" width="8.7109375" style="4" customWidth="1"/>
    <col min="11019" max="11019" width="24" style="4" bestFit="1" customWidth="1"/>
    <col min="11020" max="11020" width="10" style="4" customWidth="1"/>
    <col min="11021" max="11264" width="9.140625" style="4"/>
    <col min="11265" max="11265" width="4.42578125" style="4" customWidth="1"/>
    <col min="11266" max="11266" width="51.140625" style="4" customWidth="1"/>
    <col min="11267" max="11267" width="13.42578125" style="4" customWidth="1"/>
    <col min="11268" max="11268" width="6.42578125" style="4" customWidth="1"/>
    <col min="11269" max="11269" width="7" style="4" bestFit="1" customWidth="1"/>
    <col min="11270" max="11270" width="10" style="4" customWidth="1"/>
    <col min="11271" max="11271" width="12" style="4" bestFit="1" customWidth="1"/>
    <col min="11272" max="11272" width="22.140625" style="4" customWidth="1"/>
    <col min="11273" max="11273" width="21" style="4" customWidth="1"/>
    <col min="11274" max="11274" width="8.7109375" style="4" customWidth="1"/>
    <col min="11275" max="11275" width="24" style="4" bestFit="1" customWidth="1"/>
    <col min="11276" max="11276" width="10" style="4" customWidth="1"/>
    <col min="11277" max="11520" width="9.140625" style="4"/>
    <col min="11521" max="11521" width="4.42578125" style="4" customWidth="1"/>
    <col min="11522" max="11522" width="51.140625" style="4" customWidth="1"/>
    <col min="11523" max="11523" width="13.42578125" style="4" customWidth="1"/>
    <col min="11524" max="11524" width="6.42578125" style="4" customWidth="1"/>
    <col min="11525" max="11525" width="7" style="4" bestFit="1" customWidth="1"/>
    <col min="11526" max="11526" width="10" style="4" customWidth="1"/>
    <col min="11527" max="11527" width="12" style="4" bestFit="1" customWidth="1"/>
    <col min="11528" max="11528" width="22.140625" style="4" customWidth="1"/>
    <col min="11529" max="11529" width="21" style="4" customWidth="1"/>
    <col min="11530" max="11530" width="8.7109375" style="4" customWidth="1"/>
    <col min="11531" max="11531" width="24" style="4" bestFit="1" customWidth="1"/>
    <col min="11532" max="11532" width="10" style="4" customWidth="1"/>
    <col min="11533" max="11776" width="9.140625" style="4"/>
    <col min="11777" max="11777" width="4.42578125" style="4" customWidth="1"/>
    <col min="11778" max="11778" width="51.140625" style="4" customWidth="1"/>
    <col min="11779" max="11779" width="13.42578125" style="4" customWidth="1"/>
    <col min="11780" max="11780" width="6.42578125" style="4" customWidth="1"/>
    <col min="11781" max="11781" width="7" style="4" bestFit="1" customWidth="1"/>
    <col min="11782" max="11782" width="10" style="4" customWidth="1"/>
    <col min="11783" max="11783" width="12" style="4" bestFit="1" customWidth="1"/>
    <col min="11784" max="11784" width="22.140625" style="4" customWidth="1"/>
    <col min="11785" max="11785" width="21" style="4" customWidth="1"/>
    <col min="11786" max="11786" width="8.7109375" style="4" customWidth="1"/>
    <col min="11787" max="11787" width="24" style="4" bestFit="1" customWidth="1"/>
    <col min="11788" max="11788" width="10" style="4" customWidth="1"/>
    <col min="11789" max="12032" width="9.140625" style="4"/>
    <col min="12033" max="12033" width="4.42578125" style="4" customWidth="1"/>
    <col min="12034" max="12034" width="51.140625" style="4" customWidth="1"/>
    <col min="12035" max="12035" width="13.42578125" style="4" customWidth="1"/>
    <col min="12036" max="12036" width="6.42578125" style="4" customWidth="1"/>
    <col min="12037" max="12037" width="7" style="4" bestFit="1" customWidth="1"/>
    <col min="12038" max="12038" width="10" style="4" customWidth="1"/>
    <col min="12039" max="12039" width="12" style="4" bestFit="1" customWidth="1"/>
    <col min="12040" max="12040" width="22.140625" style="4" customWidth="1"/>
    <col min="12041" max="12041" width="21" style="4" customWidth="1"/>
    <col min="12042" max="12042" width="8.7109375" style="4" customWidth="1"/>
    <col min="12043" max="12043" width="24" style="4" bestFit="1" customWidth="1"/>
    <col min="12044" max="12044" width="10" style="4" customWidth="1"/>
    <col min="12045" max="12288" width="9.140625" style="4"/>
    <col min="12289" max="12289" width="4.42578125" style="4" customWidth="1"/>
    <col min="12290" max="12290" width="51.140625" style="4" customWidth="1"/>
    <col min="12291" max="12291" width="13.42578125" style="4" customWidth="1"/>
    <col min="12292" max="12292" width="6.42578125" style="4" customWidth="1"/>
    <col min="12293" max="12293" width="7" style="4" bestFit="1" customWidth="1"/>
    <col min="12294" max="12294" width="10" style="4" customWidth="1"/>
    <col min="12295" max="12295" width="12" style="4" bestFit="1" customWidth="1"/>
    <col min="12296" max="12296" width="22.140625" style="4" customWidth="1"/>
    <col min="12297" max="12297" width="21" style="4" customWidth="1"/>
    <col min="12298" max="12298" width="8.7109375" style="4" customWidth="1"/>
    <col min="12299" max="12299" width="24" style="4" bestFit="1" customWidth="1"/>
    <col min="12300" max="12300" width="10" style="4" customWidth="1"/>
    <col min="12301" max="12544" width="9.140625" style="4"/>
    <col min="12545" max="12545" width="4.42578125" style="4" customWidth="1"/>
    <col min="12546" max="12546" width="51.140625" style="4" customWidth="1"/>
    <col min="12547" max="12547" width="13.42578125" style="4" customWidth="1"/>
    <col min="12548" max="12548" width="6.42578125" style="4" customWidth="1"/>
    <col min="12549" max="12549" width="7" style="4" bestFit="1" customWidth="1"/>
    <col min="12550" max="12550" width="10" style="4" customWidth="1"/>
    <col min="12551" max="12551" width="12" style="4" bestFit="1" customWidth="1"/>
    <col min="12552" max="12552" width="22.140625" style="4" customWidth="1"/>
    <col min="12553" max="12553" width="21" style="4" customWidth="1"/>
    <col min="12554" max="12554" width="8.7109375" style="4" customWidth="1"/>
    <col min="12555" max="12555" width="24" style="4" bestFit="1" customWidth="1"/>
    <col min="12556" max="12556" width="10" style="4" customWidth="1"/>
    <col min="12557" max="12800" width="9.140625" style="4"/>
    <col min="12801" max="12801" width="4.42578125" style="4" customWidth="1"/>
    <col min="12802" max="12802" width="51.140625" style="4" customWidth="1"/>
    <col min="12803" max="12803" width="13.42578125" style="4" customWidth="1"/>
    <col min="12804" max="12804" width="6.42578125" style="4" customWidth="1"/>
    <col min="12805" max="12805" width="7" style="4" bestFit="1" customWidth="1"/>
    <col min="12806" max="12806" width="10" style="4" customWidth="1"/>
    <col min="12807" max="12807" width="12" style="4" bestFit="1" customWidth="1"/>
    <col min="12808" max="12808" width="22.140625" style="4" customWidth="1"/>
    <col min="12809" max="12809" width="21" style="4" customWidth="1"/>
    <col min="12810" max="12810" width="8.7109375" style="4" customWidth="1"/>
    <col min="12811" max="12811" width="24" style="4" bestFit="1" customWidth="1"/>
    <col min="12812" max="12812" width="10" style="4" customWidth="1"/>
    <col min="12813" max="13056" width="9.140625" style="4"/>
    <col min="13057" max="13057" width="4.42578125" style="4" customWidth="1"/>
    <col min="13058" max="13058" width="51.140625" style="4" customWidth="1"/>
    <col min="13059" max="13059" width="13.42578125" style="4" customWidth="1"/>
    <col min="13060" max="13060" width="6.42578125" style="4" customWidth="1"/>
    <col min="13061" max="13061" width="7" style="4" bestFit="1" customWidth="1"/>
    <col min="13062" max="13062" width="10" style="4" customWidth="1"/>
    <col min="13063" max="13063" width="12" style="4" bestFit="1" customWidth="1"/>
    <col min="13064" max="13064" width="22.140625" style="4" customWidth="1"/>
    <col min="13065" max="13065" width="21" style="4" customWidth="1"/>
    <col min="13066" max="13066" width="8.7109375" style="4" customWidth="1"/>
    <col min="13067" max="13067" width="24" style="4" bestFit="1" customWidth="1"/>
    <col min="13068" max="13068" width="10" style="4" customWidth="1"/>
    <col min="13069" max="13312" width="9.140625" style="4"/>
    <col min="13313" max="13313" width="4.42578125" style="4" customWidth="1"/>
    <col min="13314" max="13314" width="51.140625" style="4" customWidth="1"/>
    <col min="13315" max="13315" width="13.42578125" style="4" customWidth="1"/>
    <col min="13316" max="13316" width="6.42578125" style="4" customWidth="1"/>
    <col min="13317" max="13317" width="7" style="4" bestFit="1" customWidth="1"/>
    <col min="13318" max="13318" width="10" style="4" customWidth="1"/>
    <col min="13319" max="13319" width="12" style="4" bestFit="1" customWidth="1"/>
    <col min="13320" max="13320" width="22.140625" style="4" customWidth="1"/>
    <col min="13321" max="13321" width="21" style="4" customWidth="1"/>
    <col min="13322" max="13322" width="8.7109375" style="4" customWidth="1"/>
    <col min="13323" max="13323" width="24" style="4" bestFit="1" customWidth="1"/>
    <col min="13324" max="13324" width="10" style="4" customWidth="1"/>
    <col min="13325" max="13568" width="9.140625" style="4"/>
    <col min="13569" max="13569" width="4.42578125" style="4" customWidth="1"/>
    <col min="13570" max="13570" width="51.140625" style="4" customWidth="1"/>
    <col min="13571" max="13571" width="13.42578125" style="4" customWidth="1"/>
    <col min="13572" max="13572" width="6.42578125" style="4" customWidth="1"/>
    <col min="13573" max="13573" width="7" style="4" bestFit="1" customWidth="1"/>
    <col min="13574" max="13574" width="10" style="4" customWidth="1"/>
    <col min="13575" max="13575" width="12" style="4" bestFit="1" customWidth="1"/>
    <col min="13576" max="13576" width="22.140625" style="4" customWidth="1"/>
    <col min="13577" max="13577" width="21" style="4" customWidth="1"/>
    <col min="13578" max="13578" width="8.7109375" style="4" customWidth="1"/>
    <col min="13579" max="13579" width="24" style="4" bestFit="1" customWidth="1"/>
    <col min="13580" max="13580" width="10" style="4" customWidth="1"/>
    <col min="13581" max="13824" width="9.140625" style="4"/>
    <col min="13825" max="13825" width="4.42578125" style="4" customWidth="1"/>
    <col min="13826" max="13826" width="51.140625" style="4" customWidth="1"/>
    <col min="13827" max="13827" width="13.42578125" style="4" customWidth="1"/>
    <col min="13828" max="13828" width="6.42578125" style="4" customWidth="1"/>
    <col min="13829" max="13829" width="7" style="4" bestFit="1" customWidth="1"/>
    <col min="13830" max="13830" width="10" style="4" customWidth="1"/>
    <col min="13831" max="13831" width="12" style="4" bestFit="1" customWidth="1"/>
    <col min="13832" max="13832" width="22.140625" style="4" customWidth="1"/>
    <col min="13833" max="13833" width="21" style="4" customWidth="1"/>
    <col min="13834" max="13834" width="8.7109375" style="4" customWidth="1"/>
    <col min="13835" max="13835" width="24" style="4" bestFit="1" customWidth="1"/>
    <col min="13836" max="13836" width="10" style="4" customWidth="1"/>
    <col min="13837" max="14080" width="9.140625" style="4"/>
    <col min="14081" max="14081" width="4.42578125" style="4" customWidth="1"/>
    <col min="14082" max="14082" width="51.140625" style="4" customWidth="1"/>
    <col min="14083" max="14083" width="13.42578125" style="4" customWidth="1"/>
    <col min="14084" max="14084" width="6.42578125" style="4" customWidth="1"/>
    <col min="14085" max="14085" width="7" style="4" bestFit="1" customWidth="1"/>
    <col min="14086" max="14086" width="10" style="4" customWidth="1"/>
    <col min="14087" max="14087" width="12" style="4" bestFit="1" customWidth="1"/>
    <col min="14088" max="14088" width="22.140625" style="4" customWidth="1"/>
    <col min="14089" max="14089" width="21" style="4" customWidth="1"/>
    <col min="14090" max="14090" width="8.7109375" style="4" customWidth="1"/>
    <col min="14091" max="14091" width="24" style="4" bestFit="1" customWidth="1"/>
    <col min="14092" max="14092" width="10" style="4" customWidth="1"/>
    <col min="14093" max="14336" width="9.140625" style="4"/>
    <col min="14337" max="14337" width="4.42578125" style="4" customWidth="1"/>
    <col min="14338" max="14338" width="51.140625" style="4" customWidth="1"/>
    <col min="14339" max="14339" width="13.42578125" style="4" customWidth="1"/>
    <col min="14340" max="14340" width="6.42578125" style="4" customWidth="1"/>
    <col min="14341" max="14341" width="7" style="4" bestFit="1" customWidth="1"/>
    <col min="14342" max="14342" width="10" style="4" customWidth="1"/>
    <col min="14343" max="14343" width="12" style="4" bestFit="1" customWidth="1"/>
    <col min="14344" max="14344" width="22.140625" style="4" customWidth="1"/>
    <col min="14345" max="14345" width="21" style="4" customWidth="1"/>
    <col min="14346" max="14346" width="8.7109375" style="4" customWidth="1"/>
    <col min="14347" max="14347" width="24" style="4" bestFit="1" customWidth="1"/>
    <col min="14348" max="14348" width="10" style="4" customWidth="1"/>
    <col min="14349" max="14592" width="9.140625" style="4"/>
    <col min="14593" max="14593" width="4.42578125" style="4" customWidth="1"/>
    <col min="14594" max="14594" width="51.140625" style="4" customWidth="1"/>
    <col min="14595" max="14595" width="13.42578125" style="4" customWidth="1"/>
    <col min="14596" max="14596" width="6.42578125" style="4" customWidth="1"/>
    <col min="14597" max="14597" width="7" style="4" bestFit="1" customWidth="1"/>
    <col min="14598" max="14598" width="10" style="4" customWidth="1"/>
    <col min="14599" max="14599" width="12" style="4" bestFit="1" customWidth="1"/>
    <col min="14600" max="14600" width="22.140625" style="4" customWidth="1"/>
    <col min="14601" max="14601" width="21" style="4" customWidth="1"/>
    <col min="14602" max="14602" width="8.7109375" style="4" customWidth="1"/>
    <col min="14603" max="14603" width="24" style="4" bestFit="1" customWidth="1"/>
    <col min="14604" max="14604" width="10" style="4" customWidth="1"/>
    <col min="14605" max="14848" width="9.140625" style="4"/>
    <col min="14849" max="14849" width="4.42578125" style="4" customWidth="1"/>
    <col min="14850" max="14850" width="51.140625" style="4" customWidth="1"/>
    <col min="14851" max="14851" width="13.42578125" style="4" customWidth="1"/>
    <col min="14852" max="14852" width="6.42578125" style="4" customWidth="1"/>
    <col min="14853" max="14853" width="7" style="4" bestFit="1" customWidth="1"/>
    <col min="14854" max="14854" width="10" style="4" customWidth="1"/>
    <col min="14855" max="14855" width="12" style="4" bestFit="1" customWidth="1"/>
    <col min="14856" max="14856" width="22.140625" style="4" customWidth="1"/>
    <col min="14857" max="14857" width="21" style="4" customWidth="1"/>
    <col min="14858" max="14858" width="8.7109375" style="4" customWidth="1"/>
    <col min="14859" max="14859" width="24" style="4" bestFit="1" customWidth="1"/>
    <col min="14860" max="14860" width="10" style="4" customWidth="1"/>
    <col min="14861" max="15104" width="9.140625" style="4"/>
    <col min="15105" max="15105" width="4.42578125" style="4" customWidth="1"/>
    <col min="15106" max="15106" width="51.140625" style="4" customWidth="1"/>
    <col min="15107" max="15107" width="13.42578125" style="4" customWidth="1"/>
    <col min="15108" max="15108" width="6.42578125" style="4" customWidth="1"/>
    <col min="15109" max="15109" width="7" style="4" bestFit="1" customWidth="1"/>
    <col min="15110" max="15110" width="10" style="4" customWidth="1"/>
    <col min="15111" max="15111" width="12" style="4" bestFit="1" customWidth="1"/>
    <col min="15112" max="15112" width="22.140625" style="4" customWidth="1"/>
    <col min="15113" max="15113" width="21" style="4" customWidth="1"/>
    <col min="15114" max="15114" width="8.7109375" style="4" customWidth="1"/>
    <col min="15115" max="15115" width="24" style="4" bestFit="1" customWidth="1"/>
    <col min="15116" max="15116" width="10" style="4" customWidth="1"/>
    <col min="15117" max="15360" width="9.140625" style="4"/>
    <col min="15361" max="15361" width="4.42578125" style="4" customWidth="1"/>
    <col min="15362" max="15362" width="51.140625" style="4" customWidth="1"/>
    <col min="15363" max="15363" width="13.42578125" style="4" customWidth="1"/>
    <col min="15364" max="15364" width="6.42578125" style="4" customWidth="1"/>
    <col min="15365" max="15365" width="7" style="4" bestFit="1" customWidth="1"/>
    <col min="15366" max="15366" width="10" style="4" customWidth="1"/>
    <col min="15367" max="15367" width="12" style="4" bestFit="1" customWidth="1"/>
    <col min="15368" max="15368" width="22.140625" style="4" customWidth="1"/>
    <col min="15369" max="15369" width="21" style="4" customWidth="1"/>
    <col min="15370" max="15370" width="8.7109375" style="4" customWidth="1"/>
    <col min="15371" max="15371" width="24" style="4" bestFit="1" customWidth="1"/>
    <col min="15372" max="15372" width="10" style="4" customWidth="1"/>
    <col min="15373" max="15616" width="9.140625" style="4"/>
    <col min="15617" max="15617" width="4.42578125" style="4" customWidth="1"/>
    <col min="15618" max="15618" width="51.140625" style="4" customWidth="1"/>
    <col min="15619" max="15619" width="13.42578125" style="4" customWidth="1"/>
    <col min="15620" max="15620" width="6.42578125" style="4" customWidth="1"/>
    <col min="15621" max="15621" width="7" style="4" bestFit="1" customWidth="1"/>
    <col min="15622" max="15622" width="10" style="4" customWidth="1"/>
    <col min="15623" max="15623" width="12" style="4" bestFit="1" customWidth="1"/>
    <col min="15624" max="15624" width="22.140625" style="4" customWidth="1"/>
    <col min="15625" max="15625" width="21" style="4" customWidth="1"/>
    <col min="15626" max="15626" width="8.7109375" style="4" customWidth="1"/>
    <col min="15627" max="15627" width="24" style="4" bestFit="1" customWidth="1"/>
    <col min="15628" max="15628" width="10" style="4" customWidth="1"/>
    <col min="15629" max="15872" width="9.140625" style="4"/>
    <col min="15873" max="15873" width="4.42578125" style="4" customWidth="1"/>
    <col min="15874" max="15874" width="51.140625" style="4" customWidth="1"/>
    <col min="15875" max="15875" width="13.42578125" style="4" customWidth="1"/>
    <col min="15876" max="15876" width="6.42578125" style="4" customWidth="1"/>
    <col min="15877" max="15877" width="7" style="4" bestFit="1" customWidth="1"/>
    <col min="15878" max="15878" width="10" style="4" customWidth="1"/>
    <col min="15879" max="15879" width="12" style="4" bestFit="1" customWidth="1"/>
    <col min="15880" max="15880" width="22.140625" style="4" customWidth="1"/>
    <col min="15881" max="15881" width="21" style="4" customWidth="1"/>
    <col min="15882" max="15882" width="8.7109375" style="4" customWidth="1"/>
    <col min="15883" max="15883" width="24" style="4" bestFit="1" customWidth="1"/>
    <col min="15884" max="15884" width="10" style="4" customWidth="1"/>
    <col min="15885" max="16128" width="9.140625" style="4"/>
    <col min="16129" max="16129" width="4.42578125" style="4" customWidth="1"/>
    <col min="16130" max="16130" width="51.140625" style="4" customWidth="1"/>
    <col min="16131" max="16131" width="13.42578125" style="4" customWidth="1"/>
    <col min="16132" max="16132" width="6.42578125" style="4" customWidth="1"/>
    <col min="16133" max="16133" width="7" style="4" bestFit="1" customWidth="1"/>
    <col min="16134" max="16134" width="10" style="4" customWidth="1"/>
    <col min="16135" max="16135" width="12" style="4" bestFit="1" customWidth="1"/>
    <col min="16136" max="16136" width="22.140625" style="4" customWidth="1"/>
    <col min="16137" max="16137" width="21" style="4" customWidth="1"/>
    <col min="16138" max="16138" width="8.7109375" style="4" customWidth="1"/>
    <col min="16139" max="16139" width="24" style="4" bestFit="1" customWidth="1"/>
    <col min="16140" max="16140" width="10" style="4" customWidth="1"/>
    <col min="16141" max="16384" width="9.140625" style="4"/>
  </cols>
  <sheetData>
    <row r="1" spans="1:13" ht="19.5" customHeight="1">
      <c r="A1" s="44"/>
      <c r="B1" s="3309" t="s">
        <v>2286</v>
      </c>
      <c r="C1" s="3309"/>
      <c r="D1" s="3309"/>
      <c r="E1" s="423"/>
      <c r="F1" s="423"/>
      <c r="G1" s="114"/>
    </row>
    <row r="2" spans="1:13" ht="9" customHeight="1">
      <c r="A2" s="44"/>
      <c r="B2" s="874"/>
      <c r="C2" s="874"/>
      <c r="D2" s="874"/>
      <c r="E2" s="423"/>
      <c r="F2" s="423"/>
    </row>
    <row r="3" spans="1:13" ht="37.5" customHeight="1">
      <c r="B3" s="3379" t="s">
        <v>2287</v>
      </c>
      <c r="C3" s="3379"/>
      <c r="D3" s="3379"/>
      <c r="E3" s="3379"/>
      <c r="F3" s="3379"/>
      <c r="G3" s="875"/>
    </row>
    <row r="4" spans="1:13" ht="9" customHeight="1">
      <c r="A4" s="876"/>
      <c r="B4" s="876"/>
      <c r="C4" s="876"/>
      <c r="D4" s="876"/>
      <c r="E4" s="876"/>
      <c r="F4" s="876"/>
      <c r="G4" s="876"/>
    </row>
    <row r="5" spans="1:13" ht="16.5" customHeight="1">
      <c r="A5" s="876"/>
      <c r="B5" s="876"/>
      <c r="C5" s="876"/>
      <c r="D5" s="876"/>
      <c r="E5" s="876"/>
      <c r="F5" s="876"/>
      <c r="G5" s="1759" t="s">
        <v>89</v>
      </c>
    </row>
    <row r="6" spans="1:13" ht="9" customHeight="1">
      <c r="A6" s="876"/>
      <c r="B6" s="876"/>
      <c r="C6" s="876"/>
      <c r="D6" s="876"/>
      <c r="E6" s="876"/>
      <c r="F6" s="876"/>
      <c r="G6" s="876"/>
    </row>
    <row r="7" spans="1:13" ht="30.75" customHeight="1">
      <c r="A7" s="3213" t="s">
        <v>2</v>
      </c>
      <c r="B7" s="3287" t="s">
        <v>3</v>
      </c>
      <c r="C7" s="3288" t="s">
        <v>4</v>
      </c>
      <c r="D7" s="3290" t="s">
        <v>5</v>
      </c>
      <c r="E7" s="3380" t="s">
        <v>2288</v>
      </c>
      <c r="F7" s="3381"/>
      <c r="G7" s="3382"/>
    </row>
    <row r="8" spans="1:13" ht="15">
      <c r="A8" s="3214"/>
      <c r="B8" s="3287"/>
      <c r="C8" s="3289"/>
      <c r="D8" s="3290"/>
      <c r="E8" s="120" t="s">
        <v>8</v>
      </c>
      <c r="F8" s="120" t="s">
        <v>9</v>
      </c>
      <c r="G8" s="120" t="s">
        <v>10</v>
      </c>
    </row>
    <row r="9" spans="1:13" ht="15">
      <c r="A9" s="121">
        <v>1</v>
      </c>
      <c r="B9" s="121">
        <v>2</v>
      </c>
      <c r="C9" s="121">
        <v>3</v>
      </c>
      <c r="D9" s="121">
        <v>4</v>
      </c>
      <c r="E9" s="121">
        <v>5</v>
      </c>
      <c r="F9" s="121">
        <v>6</v>
      </c>
      <c r="G9" s="121">
        <v>7</v>
      </c>
    </row>
    <row r="10" spans="1:13" ht="33" customHeight="1">
      <c r="A10" s="1760">
        <v>1</v>
      </c>
      <c r="B10" s="1203" t="s">
        <v>2289</v>
      </c>
      <c r="C10" s="1651">
        <v>7130601958</v>
      </c>
      <c r="D10" s="1650" t="s">
        <v>1705</v>
      </c>
      <c r="E10" s="1650">
        <v>482.3</v>
      </c>
      <c r="F10" s="734">
        <f>VLOOKUP(C10,'SOR RATE'!A:D,4,0)/1000</f>
        <v>64.326520000000002</v>
      </c>
      <c r="G10" s="1653">
        <f>F10*E10</f>
        <v>31024.680596000002</v>
      </c>
      <c r="I10" s="405"/>
      <c r="J10" s="465"/>
      <c r="K10" s="421"/>
    </row>
    <row r="11" spans="1:13" ht="32.25" customHeight="1">
      <c r="A11" s="1760">
        <v>2</v>
      </c>
      <c r="B11" s="1761" t="s">
        <v>13</v>
      </c>
      <c r="C11" s="1651">
        <v>7130810495</v>
      </c>
      <c r="D11" s="1650" t="s">
        <v>12</v>
      </c>
      <c r="E11" s="1650">
        <v>1</v>
      </c>
      <c r="F11" s="734">
        <f>VLOOKUP(C11,'SOR RATE'!A:D,4,0)</f>
        <v>1380.08</v>
      </c>
      <c r="G11" s="1653">
        <f t="shared" ref="G11:G15" si="0">F11*E11</f>
        <v>1380.08</v>
      </c>
      <c r="I11" s="405"/>
      <c r="J11" s="534"/>
      <c r="K11" s="865"/>
      <c r="L11" s="197"/>
    </row>
    <row r="12" spans="1:13" ht="17.25" customHeight="1">
      <c r="A12" s="3279">
        <v>3</v>
      </c>
      <c r="B12" s="1203" t="s">
        <v>14</v>
      </c>
      <c r="C12" s="1654"/>
      <c r="D12" s="1655"/>
      <c r="E12" s="1655"/>
      <c r="F12" s="1655"/>
      <c r="G12" s="1656"/>
    </row>
    <row r="13" spans="1:13" ht="17.25" customHeight="1">
      <c r="A13" s="3280"/>
      <c r="B13" s="1657" t="s">
        <v>107</v>
      </c>
      <c r="C13" s="1658">
        <v>7130810692</v>
      </c>
      <c r="D13" s="1187" t="s">
        <v>15</v>
      </c>
      <c r="E13" s="1650">
        <v>1</v>
      </c>
      <c r="F13" s="734">
        <f>VLOOKUP(C13,'SOR RATE'!A:D,4,0)</f>
        <v>410.25</v>
      </c>
      <c r="G13" s="1653">
        <f>F13*E13</f>
        <v>410.25</v>
      </c>
      <c r="I13" s="12"/>
      <c r="J13" s="12"/>
      <c r="K13" s="12"/>
      <c r="L13" s="12"/>
    </row>
    <row r="14" spans="1:13" ht="16.5" customHeight="1">
      <c r="A14" s="1650">
        <v>4</v>
      </c>
      <c r="B14" s="1659" t="s">
        <v>126</v>
      </c>
      <c r="C14" s="1651">
        <v>7130810679</v>
      </c>
      <c r="D14" s="1650" t="s">
        <v>12</v>
      </c>
      <c r="E14" s="1650">
        <v>1</v>
      </c>
      <c r="F14" s="734">
        <f>VLOOKUP(C14,'SOR RATE'!A:D,4,0)</f>
        <v>387.16</v>
      </c>
      <c r="G14" s="1653">
        <f t="shared" si="0"/>
        <v>387.16</v>
      </c>
      <c r="I14" s="193"/>
      <c r="J14" s="465"/>
      <c r="K14" s="195"/>
      <c r="L14" s="535"/>
      <c r="M14" s="12"/>
    </row>
    <row r="15" spans="1:13" ht="18" customHeight="1">
      <c r="A15" s="1650">
        <v>5</v>
      </c>
      <c r="B15" s="1203" t="s">
        <v>2290</v>
      </c>
      <c r="C15" s="1651">
        <v>7130870013</v>
      </c>
      <c r="D15" s="1650" t="s">
        <v>12</v>
      </c>
      <c r="E15" s="1650">
        <v>1</v>
      </c>
      <c r="F15" s="734">
        <f>VLOOKUP(C15,'SOR RATE'!A:D,4,0)</f>
        <v>152.88999999999999</v>
      </c>
      <c r="G15" s="1653">
        <f t="shared" si="0"/>
        <v>152.88999999999999</v>
      </c>
    </row>
    <row r="16" spans="1:13" ht="16.5" customHeight="1">
      <c r="A16" s="1650">
        <v>6</v>
      </c>
      <c r="B16" s="1659" t="s">
        <v>19</v>
      </c>
      <c r="C16" s="1651">
        <v>7130820008</v>
      </c>
      <c r="D16" s="1650" t="s">
        <v>12</v>
      </c>
      <c r="E16" s="1650">
        <v>3</v>
      </c>
      <c r="F16" s="734">
        <f>VLOOKUP(C16,'SOR RATE'!A:D,4,0)</f>
        <v>157.08000000000001</v>
      </c>
      <c r="G16" s="1653">
        <f>F16*E16</f>
        <v>471.24</v>
      </c>
      <c r="J16" s="877"/>
      <c r="K16" s="123"/>
    </row>
    <row r="17" spans="1:13" ht="44.25" customHeight="1">
      <c r="A17" s="157">
        <v>7</v>
      </c>
      <c r="B17" s="1762" t="s">
        <v>127</v>
      </c>
      <c r="C17" s="1651">
        <v>7130200202</v>
      </c>
      <c r="D17" s="157" t="s">
        <v>109</v>
      </c>
      <c r="E17" s="157">
        <v>0.65</v>
      </c>
      <c r="F17" s="734">
        <f>VLOOKUP(C17,'SOR RATE'!A:D,4,0)</f>
        <v>2970</v>
      </c>
      <c r="G17" s="1653">
        <f>F17*E17</f>
        <v>1930.5</v>
      </c>
      <c r="H17" s="225" t="s">
        <v>47</v>
      </c>
      <c r="K17" s="129"/>
      <c r="L17" s="129"/>
      <c r="M17" s="124"/>
    </row>
    <row r="18" spans="1:13" ht="16.5" customHeight="1">
      <c r="A18" s="1650">
        <v>8</v>
      </c>
      <c r="B18" s="1185" t="s">
        <v>31</v>
      </c>
      <c r="C18" s="1186">
        <v>7130610206</v>
      </c>
      <c r="D18" s="1181" t="s">
        <v>26</v>
      </c>
      <c r="E18" s="1650">
        <v>2</v>
      </c>
      <c r="F18" s="734">
        <f>VLOOKUP(C18,'SOR RATE'!A:D,4,0)/1000</f>
        <v>97.233429999999998</v>
      </c>
      <c r="G18" s="1653">
        <f>F18*E18</f>
        <v>194.46686</v>
      </c>
      <c r="H18" s="532"/>
      <c r="I18" s="17"/>
      <c r="J18" s="174"/>
      <c r="K18" s="174"/>
      <c r="L18" s="124"/>
      <c r="M18" s="124"/>
    </row>
    <row r="19" spans="1:13" ht="16.5" customHeight="1">
      <c r="A19" s="1760">
        <v>9</v>
      </c>
      <c r="B19" s="1659" t="s">
        <v>32</v>
      </c>
      <c r="C19" s="1651">
        <v>7130880041</v>
      </c>
      <c r="D19" s="1650" t="s">
        <v>33</v>
      </c>
      <c r="E19" s="1650">
        <v>1</v>
      </c>
      <c r="F19" s="734">
        <f>VLOOKUP(C19,'SOR RATE'!A:D,4,0)</f>
        <v>113.77</v>
      </c>
      <c r="G19" s="1653">
        <f>F19*E19</f>
        <v>113.77</v>
      </c>
      <c r="J19" s="115"/>
      <c r="L19" s="115"/>
    </row>
    <row r="20" spans="1:13" ht="16.5" customHeight="1">
      <c r="A20" s="3281">
        <v>10</v>
      </c>
      <c r="B20" s="1659" t="s">
        <v>35</v>
      </c>
      <c r="C20" s="1654"/>
      <c r="D20" s="1655"/>
      <c r="E20" s="1655"/>
      <c r="F20" s="1655"/>
      <c r="G20" s="1656"/>
      <c r="J20" s="115"/>
      <c r="K20" s="115"/>
      <c r="L20" s="115"/>
    </row>
    <row r="21" spans="1:13" ht="16.5" customHeight="1">
      <c r="A21" s="3282"/>
      <c r="B21" s="1660" t="s">
        <v>79</v>
      </c>
      <c r="C21" s="1651">
        <v>7130620609</v>
      </c>
      <c r="D21" s="1181" t="s">
        <v>26</v>
      </c>
      <c r="E21" s="1650">
        <f>0.5/2</f>
        <v>0.25</v>
      </c>
      <c r="F21" s="1653">
        <f>VLOOKUP(C21,'SOR RATE'!A:D,4,0)</f>
        <v>87.23</v>
      </c>
      <c r="G21" s="1653">
        <f>F21*E21</f>
        <v>21.807500000000001</v>
      </c>
      <c r="J21" s="115"/>
      <c r="K21" s="115"/>
      <c r="L21" s="115"/>
    </row>
    <row r="22" spans="1:13" ht="16.5" customHeight="1">
      <c r="A22" s="3282"/>
      <c r="B22" s="1660" t="s">
        <v>111</v>
      </c>
      <c r="C22" s="1651">
        <v>7130620614</v>
      </c>
      <c r="D22" s="1181" t="s">
        <v>26</v>
      </c>
      <c r="E22" s="1650">
        <f>6/10</f>
        <v>0.6</v>
      </c>
      <c r="F22" s="1653">
        <f>VLOOKUP(C22,'SOR RATE'!A:D,4,0)</f>
        <v>85.77</v>
      </c>
      <c r="G22" s="1653">
        <f>F22*E22</f>
        <v>51.461999999999996</v>
      </c>
      <c r="J22" s="115"/>
      <c r="K22" s="115"/>
      <c r="L22" s="878"/>
    </row>
    <row r="23" spans="1:13" ht="16.5" customHeight="1">
      <c r="A23" s="3283"/>
      <c r="B23" s="1660" t="s">
        <v>112</v>
      </c>
      <c r="C23" s="1651">
        <v>7130620625</v>
      </c>
      <c r="D23" s="1181" t="s">
        <v>26</v>
      </c>
      <c r="E23" s="1650">
        <f>5.5/10</f>
        <v>0.55000000000000004</v>
      </c>
      <c r="F23" s="1653">
        <f>VLOOKUP(C23,'SOR RATE'!A:D,4,0)</f>
        <v>84.32</v>
      </c>
      <c r="G23" s="1653">
        <f>F23*E23</f>
        <v>46.375999999999998</v>
      </c>
      <c r="J23" s="115"/>
      <c r="K23" s="115"/>
      <c r="L23" s="115"/>
      <c r="M23" s="115"/>
    </row>
    <row r="24" spans="1:13" ht="17.25" customHeight="1">
      <c r="A24" s="120">
        <v>11</v>
      </c>
      <c r="B24" s="1191" t="s">
        <v>48</v>
      </c>
      <c r="C24" s="1763"/>
      <c r="D24" s="120"/>
      <c r="E24" s="120"/>
      <c r="F24" s="120"/>
      <c r="G24" s="1664">
        <f>SUM(G10:G23)</f>
        <v>36184.682955999997</v>
      </c>
      <c r="H24" s="226"/>
      <c r="I24" s="186"/>
      <c r="J24" s="115"/>
      <c r="K24" s="115"/>
      <c r="L24" s="115"/>
    </row>
    <row r="25" spans="1:13" ht="16.5" customHeight="1">
      <c r="A25" s="120">
        <v>12</v>
      </c>
      <c r="B25" s="1191" t="s">
        <v>49</v>
      </c>
      <c r="C25" s="1763"/>
      <c r="D25" s="120"/>
      <c r="E25" s="120"/>
      <c r="F25" s="120"/>
      <c r="G25" s="1664">
        <f>G24/1.18</f>
        <v>30664.985555932202</v>
      </c>
      <c r="H25" s="174"/>
      <c r="I25" s="186"/>
      <c r="J25" s="115"/>
      <c r="K25" s="115"/>
      <c r="L25" s="115"/>
    </row>
    <row r="26" spans="1:13" ht="18" customHeight="1">
      <c r="A26" s="1187" t="s">
        <v>2291</v>
      </c>
      <c r="B26" s="1185" t="s">
        <v>50</v>
      </c>
      <c r="C26" s="1668"/>
      <c r="D26" s="1668"/>
      <c r="E26" s="1668"/>
      <c r="F26" s="1651">
        <v>7.4999999999999997E-2</v>
      </c>
      <c r="G26" s="1653">
        <f>G24*F26</f>
        <v>2713.8512216999998</v>
      </c>
      <c r="H26" s="732"/>
      <c r="I26" s="174"/>
      <c r="J26" s="879"/>
      <c r="K26" s="488"/>
      <c r="L26" s="129"/>
    </row>
    <row r="27" spans="1:13" ht="17.25" customHeight="1">
      <c r="A27" s="1181">
        <v>14</v>
      </c>
      <c r="B27" s="1706" t="s">
        <v>82</v>
      </c>
      <c r="C27" s="947"/>
      <c r="D27" s="1181" t="s">
        <v>76</v>
      </c>
      <c r="E27" s="1181">
        <v>0.65</v>
      </c>
      <c r="F27" s="1202">
        <f>665.173187113158*1.043</f>
        <v>693.77563415902364</v>
      </c>
      <c r="G27" s="734">
        <f>E27*F27</f>
        <v>450.9541622033654</v>
      </c>
      <c r="H27" s="59"/>
    </row>
    <row r="28" spans="1:13" ht="16.5" customHeight="1">
      <c r="A28" s="1650">
        <v>15</v>
      </c>
      <c r="B28" s="1203" t="s">
        <v>2293</v>
      </c>
      <c r="C28" s="1651"/>
      <c r="D28" s="1650"/>
      <c r="E28" s="1650"/>
      <c r="F28" s="1650"/>
      <c r="G28" s="1653">
        <v>3466.05</v>
      </c>
    </row>
    <row r="29" spans="1:13" ht="17.25" customHeight="1">
      <c r="A29" s="157">
        <v>16</v>
      </c>
      <c r="B29" s="1203" t="s">
        <v>1398</v>
      </c>
      <c r="C29" s="1658"/>
      <c r="D29" s="157"/>
      <c r="E29" s="157"/>
      <c r="F29" s="1678">
        <v>0.04</v>
      </c>
      <c r="G29" s="1210">
        <f>G25*F29</f>
        <v>1226.5994222372881</v>
      </c>
      <c r="H29" s="737" t="s">
        <v>1827</v>
      </c>
      <c r="I29" s="865"/>
    </row>
    <row r="30" spans="1:13" ht="44.25" customHeight="1">
      <c r="A30" s="1673">
        <v>17</v>
      </c>
      <c r="B30" s="1233" t="s">
        <v>129</v>
      </c>
      <c r="C30" s="1658"/>
      <c r="D30" s="157"/>
      <c r="E30" s="157"/>
      <c r="F30" s="1678"/>
      <c r="G30" s="1764">
        <f>(G24+G26+G27+G28+G29)*0.125</f>
        <v>5505.2672202675822</v>
      </c>
      <c r="H30" s="201"/>
      <c r="I30" s="865"/>
    </row>
    <row r="31" spans="1:13" ht="30">
      <c r="A31" s="1765">
        <v>18</v>
      </c>
      <c r="B31" s="1758" t="s">
        <v>130</v>
      </c>
      <c r="C31" s="1658"/>
      <c r="D31" s="157"/>
      <c r="E31" s="157"/>
      <c r="F31" s="1678"/>
      <c r="G31" s="1677">
        <f>SUM(G25:G30)</f>
        <v>44027.707582340445</v>
      </c>
      <c r="H31" s="202"/>
    </row>
    <row r="32" spans="1:13" ht="18" customHeight="1">
      <c r="A32" s="157">
        <v>19</v>
      </c>
      <c r="B32" s="1185" t="s">
        <v>131</v>
      </c>
      <c r="C32" s="1658"/>
      <c r="D32" s="157"/>
      <c r="E32" s="157"/>
      <c r="F32" s="1678">
        <v>0.09</v>
      </c>
      <c r="G32" s="1678">
        <f>G31*F32</f>
        <v>3962.4936824106398</v>
      </c>
      <c r="H32" s="202"/>
    </row>
    <row r="33" spans="1:8" ht="15.75" customHeight="1">
      <c r="A33" s="157">
        <v>20</v>
      </c>
      <c r="B33" s="1185" t="s">
        <v>132</v>
      </c>
      <c r="C33" s="1658"/>
      <c r="D33" s="157"/>
      <c r="E33" s="157"/>
      <c r="F33" s="1678">
        <v>0.09</v>
      </c>
      <c r="G33" s="1678">
        <f>G31*F33</f>
        <v>3962.4936824106398</v>
      </c>
      <c r="H33" s="398"/>
    </row>
    <row r="34" spans="1:8" ht="20.25" customHeight="1">
      <c r="A34" s="157">
        <v>21</v>
      </c>
      <c r="B34" s="1185" t="s">
        <v>2292</v>
      </c>
      <c r="C34" s="1658"/>
      <c r="D34" s="157"/>
      <c r="E34" s="157"/>
      <c r="F34" s="1678"/>
      <c r="G34" s="1678">
        <f>G31+G32+G33</f>
        <v>51952.694947161726</v>
      </c>
    </row>
    <row r="35" spans="1:8" ht="18.75" customHeight="1">
      <c r="A35" s="189">
        <v>22</v>
      </c>
      <c r="B35" s="1214" t="s">
        <v>59</v>
      </c>
      <c r="C35" s="1766"/>
      <c r="D35" s="948"/>
      <c r="E35" s="948"/>
      <c r="F35" s="1677"/>
      <c r="G35" s="1767">
        <f>ROUND(G34,0)</f>
        <v>51953</v>
      </c>
    </row>
    <row r="36" spans="1:8" ht="15.75">
      <c r="A36" s="880"/>
      <c r="B36" s="881"/>
      <c r="C36" s="880"/>
      <c r="D36" s="882"/>
      <c r="E36" s="882"/>
      <c r="F36" s="882"/>
      <c r="G36" s="883"/>
    </row>
    <row r="37" spans="1:8" ht="15.75">
      <c r="A37" s="883"/>
      <c r="B37" s="884"/>
      <c r="C37" s="885"/>
      <c r="D37" s="884"/>
      <c r="E37" s="886"/>
      <c r="F37" s="884"/>
      <c r="G37" s="884"/>
    </row>
    <row r="38" spans="1:8" ht="15.75">
      <c r="G38" s="884"/>
      <c r="H38" s="884"/>
    </row>
    <row r="39" spans="1:8" ht="15.75">
      <c r="G39" s="884"/>
      <c r="H39" s="884"/>
    </row>
  </sheetData>
  <mergeCells count="9">
    <mergeCell ref="A12:A13"/>
    <mergeCell ref="A20:A23"/>
    <mergeCell ref="B1:D1"/>
    <mergeCell ref="B3:F3"/>
    <mergeCell ref="A7:A8"/>
    <mergeCell ref="B7:B8"/>
    <mergeCell ref="C7:C8"/>
    <mergeCell ref="D7:D8"/>
    <mergeCell ref="E7:G7"/>
  </mergeCells>
  <conditionalFormatting sqref="A26">
    <cfRule type="cellIs" dxfId="75" priority="3" stopIfTrue="1" operator="equal">
      <formula>"?"</formula>
    </cfRule>
  </conditionalFormatting>
  <conditionalFormatting sqref="B24">
    <cfRule type="cellIs" dxfId="74" priority="2" stopIfTrue="1" operator="equal">
      <formula>"?"</formula>
    </cfRule>
  </conditionalFormatting>
  <conditionalFormatting sqref="B25">
    <cfRule type="cellIs" dxfId="73" priority="1" stopIfTrue="1" operator="equal">
      <formula>"?"</formula>
    </cfRule>
  </conditionalFormatting>
  <pageMargins left="0.91" right="0.15" top="0.79" bottom="0.28000000000000003" header="0.64" footer="0.15"/>
  <pageSetup scale="120"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95"/>
  <sheetViews>
    <sheetView zoomScale="85" zoomScaleNormal="70" workbookViewId="0">
      <pane xSplit="3" ySplit="9" topLeftCell="D55" activePane="bottomRight" state="frozen"/>
      <selection pane="topRight" activeCell="D1" sqref="D1"/>
      <selection pane="bottomLeft" activeCell="A10" sqref="A10"/>
      <selection pane="bottomRight" activeCell="B17" sqref="B17"/>
    </sheetView>
  </sheetViews>
  <sheetFormatPr defaultRowHeight="12.75"/>
  <cols>
    <col min="1" max="1" width="4.85546875" style="137" customWidth="1"/>
    <col min="2" max="2" width="52.42578125" style="70" customWidth="1"/>
    <col min="3" max="3" width="0.140625" style="70" customWidth="1"/>
    <col min="4" max="4" width="14.85546875" style="70" customWidth="1"/>
    <col min="5" max="5" width="7" style="70" customWidth="1"/>
    <col min="6" max="6" width="12.5703125" style="70" bestFit="1" customWidth="1"/>
    <col min="7" max="7" width="7.5703125" style="70" customWidth="1"/>
    <col min="8" max="8" width="13.28515625" style="70" customWidth="1"/>
    <col min="9" max="9" width="8.140625" style="70" customWidth="1"/>
    <col min="10" max="10" width="14.140625" style="70" customWidth="1"/>
    <col min="11" max="11" width="8.7109375" style="70" customWidth="1"/>
    <col min="12" max="12" width="14.85546875" style="70" customWidth="1"/>
    <col min="13" max="13" width="22" style="70" customWidth="1"/>
    <col min="14" max="14" width="21" style="70" customWidth="1"/>
    <col min="15" max="15" width="14.140625" style="70" customWidth="1"/>
    <col min="16" max="16" width="4.7109375" style="70" bestFit="1" customWidth="1"/>
    <col min="17" max="17" width="2.5703125" style="70" bestFit="1" customWidth="1"/>
    <col min="18" max="18" width="5.140625" style="70" bestFit="1" customWidth="1"/>
    <col min="19" max="256" width="9.140625" style="70"/>
    <col min="257" max="257" width="4.85546875" style="70" customWidth="1"/>
    <col min="258" max="258" width="53.140625" style="70" customWidth="1"/>
    <col min="259" max="259" width="0.140625" style="70" customWidth="1"/>
    <col min="260" max="260" width="14.85546875" style="70" customWidth="1"/>
    <col min="261" max="261" width="7" style="70" customWidth="1"/>
    <col min="262" max="262" width="12.5703125" style="70" bestFit="1" customWidth="1"/>
    <col min="263" max="263" width="7.5703125" style="70" customWidth="1"/>
    <col min="264" max="264" width="13.28515625" style="70" customWidth="1"/>
    <col min="265" max="265" width="8.140625" style="70" customWidth="1"/>
    <col min="266" max="266" width="14.140625" style="70" customWidth="1"/>
    <col min="267" max="267" width="8.7109375" style="70" customWidth="1"/>
    <col min="268" max="268" width="14.85546875" style="70" customWidth="1"/>
    <col min="269" max="269" width="22" style="70" customWidth="1"/>
    <col min="270" max="270" width="21" style="70" customWidth="1"/>
    <col min="271" max="271" width="14.140625" style="70" customWidth="1"/>
    <col min="272" max="272" width="4.7109375" style="70" bestFit="1" customWidth="1"/>
    <col min="273" max="273" width="2.5703125" style="70" bestFit="1" customWidth="1"/>
    <col min="274" max="274" width="5.140625" style="70" bestFit="1" customWidth="1"/>
    <col min="275" max="512" width="9.140625" style="70"/>
    <col min="513" max="513" width="4.85546875" style="70" customWidth="1"/>
    <col min="514" max="514" width="53.140625" style="70" customWidth="1"/>
    <col min="515" max="515" width="0.140625" style="70" customWidth="1"/>
    <col min="516" max="516" width="14.85546875" style="70" customWidth="1"/>
    <col min="517" max="517" width="7" style="70" customWidth="1"/>
    <col min="518" max="518" width="12.5703125" style="70" bestFit="1" customWidth="1"/>
    <col min="519" max="519" width="7.5703125" style="70" customWidth="1"/>
    <col min="520" max="520" width="13.28515625" style="70" customWidth="1"/>
    <col min="521" max="521" width="8.140625" style="70" customWidth="1"/>
    <col min="522" max="522" width="14.140625" style="70" customWidth="1"/>
    <col min="523" max="523" width="8.7109375" style="70" customWidth="1"/>
    <col min="524" max="524" width="14.85546875" style="70" customWidth="1"/>
    <col min="525" max="525" width="22" style="70" customWidth="1"/>
    <col min="526" max="526" width="21" style="70" customWidth="1"/>
    <col min="527" max="527" width="14.140625" style="70" customWidth="1"/>
    <col min="528" max="528" width="4.7109375" style="70" bestFit="1" customWidth="1"/>
    <col min="529" max="529" width="2.5703125" style="70" bestFit="1" customWidth="1"/>
    <col min="530" max="530" width="5.140625" style="70" bestFit="1" customWidth="1"/>
    <col min="531" max="768" width="9.140625" style="70"/>
    <col min="769" max="769" width="4.85546875" style="70" customWidth="1"/>
    <col min="770" max="770" width="53.140625" style="70" customWidth="1"/>
    <col min="771" max="771" width="0.140625" style="70" customWidth="1"/>
    <col min="772" max="772" width="14.85546875" style="70" customWidth="1"/>
    <col min="773" max="773" width="7" style="70" customWidth="1"/>
    <col min="774" max="774" width="12.5703125" style="70" bestFit="1" customWidth="1"/>
    <col min="775" max="775" width="7.5703125" style="70" customWidth="1"/>
    <col min="776" max="776" width="13.28515625" style="70" customWidth="1"/>
    <col min="777" max="777" width="8.140625" style="70" customWidth="1"/>
    <col min="778" max="778" width="14.140625" style="70" customWidth="1"/>
    <col min="779" max="779" width="8.7109375" style="70" customWidth="1"/>
    <col min="780" max="780" width="14.85546875" style="70" customWidth="1"/>
    <col min="781" max="781" width="22" style="70" customWidth="1"/>
    <col min="782" max="782" width="21" style="70" customWidth="1"/>
    <col min="783" max="783" width="14.140625" style="70" customWidth="1"/>
    <col min="784" max="784" width="4.7109375" style="70" bestFit="1" customWidth="1"/>
    <col min="785" max="785" width="2.5703125" style="70" bestFit="1" customWidth="1"/>
    <col min="786" max="786" width="5.140625" style="70" bestFit="1" customWidth="1"/>
    <col min="787" max="1024" width="9.140625" style="70"/>
    <col min="1025" max="1025" width="4.85546875" style="70" customWidth="1"/>
    <col min="1026" max="1026" width="53.140625" style="70" customWidth="1"/>
    <col min="1027" max="1027" width="0.140625" style="70" customWidth="1"/>
    <col min="1028" max="1028" width="14.85546875" style="70" customWidth="1"/>
    <col min="1029" max="1029" width="7" style="70" customWidth="1"/>
    <col min="1030" max="1030" width="12.5703125" style="70" bestFit="1" customWidth="1"/>
    <col min="1031" max="1031" width="7.5703125" style="70" customWidth="1"/>
    <col min="1032" max="1032" width="13.28515625" style="70" customWidth="1"/>
    <col min="1033" max="1033" width="8.140625" style="70" customWidth="1"/>
    <col min="1034" max="1034" width="14.140625" style="70" customWidth="1"/>
    <col min="1035" max="1035" width="8.7109375" style="70" customWidth="1"/>
    <col min="1036" max="1036" width="14.85546875" style="70" customWidth="1"/>
    <col min="1037" max="1037" width="22" style="70" customWidth="1"/>
    <col min="1038" max="1038" width="21" style="70" customWidth="1"/>
    <col min="1039" max="1039" width="14.140625" style="70" customWidth="1"/>
    <col min="1040" max="1040" width="4.7109375" style="70" bestFit="1" customWidth="1"/>
    <col min="1041" max="1041" width="2.5703125" style="70" bestFit="1" customWidth="1"/>
    <col min="1042" max="1042" width="5.140625" style="70" bestFit="1" customWidth="1"/>
    <col min="1043" max="1280" width="9.140625" style="70"/>
    <col min="1281" max="1281" width="4.85546875" style="70" customWidth="1"/>
    <col min="1282" max="1282" width="53.140625" style="70" customWidth="1"/>
    <col min="1283" max="1283" width="0.140625" style="70" customWidth="1"/>
    <col min="1284" max="1284" width="14.85546875" style="70" customWidth="1"/>
    <col min="1285" max="1285" width="7" style="70" customWidth="1"/>
    <col min="1286" max="1286" width="12.5703125" style="70" bestFit="1" customWidth="1"/>
    <col min="1287" max="1287" width="7.5703125" style="70" customWidth="1"/>
    <col min="1288" max="1288" width="13.28515625" style="70" customWidth="1"/>
    <col min="1289" max="1289" width="8.140625" style="70" customWidth="1"/>
    <col min="1290" max="1290" width="14.140625" style="70" customWidth="1"/>
    <col min="1291" max="1291" width="8.7109375" style="70" customWidth="1"/>
    <col min="1292" max="1292" width="14.85546875" style="70" customWidth="1"/>
    <col min="1293" max="1293" width="22" style="70" customWidth="1"/>
    <col min="1294" max="1294" width="21" style="70" customWidth="1"/>
    <col min="1295" max="1295" width="14.140625" style="70" customWidth="1"/>
    <col min="1296" max="1296" width="4.7109375" style="70" bestFit="1" customWidth="1"/>
    <col min="1297" max="1297" width="2.5703125" style="70" bestFit="1" customWidth="1"/>
    <col min="1298" max="1298" width="5.140625" style="70" bestFit="1" customWidth="1"/>
    <col min="1299" max="1536" width="9.140625" style="70"/>
    <col min="1537" max="1537" width="4.85546875" style="70" customWidth="1"/>
    <col min="1538" max="1538" width="53.140625" style="70" customWidth="1"/>
    <col min="1539" max="1539" width="0.140625" style="70" customWidth="1"/>
    <col min="1540" max="1540" width="14.85546875" style="70" customWidth="1"/>
    <col min="1541" max="1541" width="7" style="70" customWidth="1"/>
    <col min="1542" max="1542" width="12.5703125" style="70" bestFit="1" customWidth="1"/>
    <col min="1543" max="1543" width="7.5703125" style="70" customWidth="1"/>
    <col min="1544" max="1544" width="13.28515625" style="70" customWidth="1"/>
    <col min="1545" max="1545" width="8.140625" style="70" customWidth="1"/>
    <col min="1546" max="1546" width="14.140625" style="70" customWidth="1"/>
    <col min="1547" max="1547" width="8.7109375" style="70" customWidth="1"/>
    <col min="1548" max="1548" width="14.85546875" style="70" customWidth="1"/>
    <col min="1549" max="1549" width="22" style="70" customWidth="1"/>
    <col min="1550" max="1550" width="21" style="70" customWidth="1"/>
    <col min="1551" max="1551" width="14.140625" style="70" customWidth="1"/>
    <col min="1552" max="1552" width="4.7109375" style="70" bestFit="1" customWidth="1"/>
    <col min="1553" max="1553" width="2.5703125" style="70" bestFit="1" customWidth="1"/>
    <col min="1554" max="1554" width="5.140625" style="70" bestFit="1" customWidth="1"/>
    <col min="1555" max="1792" width="9.140625" style="70"/>
    <col min="1793" max="1793" width="4.85546875" style="70" customWidth="1"/>
    <col min="1794" max="1794" width="53.140625" style="70" customWidth="1"/>
    <col min="1795" max="1795" width="0.140625" style="70" customWidth="1"/>
    <col min="1796" max="1796" width="14.85546875" style="70" customWidth="1"/>
    <col min="1797" max="1797" width="7" style="70" customWidth="1"/>
    <col min="1798" max="1798" width="12.5703125" style="70" bestFit="1" customWidth="1"/>
    <col min="1799" max="1799" width="7.5703125" style="70" customWidth="1"/>
    <col min="1800" max="1800" width="13.28515625" style="70" customWidth="1"/>
    <col min="1801" max="1801" width="8.140625" style="70" customWidth="1"/>
    <col min="1802" max="1802" width="14.140625" style="70" customWidth="1"/>
    <col min="1803" max="1803" width="8.7109375" style="70" customWidth="1"/>
    <col min="1804" max="1804" width="14.85546875" style="70" customWidth="1"/>
    <col min="1805" max="1805" width="22" style="70" customWidth="1"/>
    <col min="1806" max="1806" width="21" style="70" customWidth="1"/>
    <col min="1807" max="1807" width="14.140625" style="70" customWidth="1"/>
    <col min="1808" max="1808" width="4.7109375" style="70" bestFit="1" customWidth="1"/>
    <col min="1809" max="1809" width="2.5703125" style="70" bestFit="1" customWidth="1"/>
    <col min="1810" max="1810" width="5.140625" style="70" bestFit="1" customWidth="1"/>
    <col min="1811" max="2048" width="9.140625" style="70"/>
    <col min="2049" max="2049" width="4.85546875" style="70" customWidth="1"/>
    <col min="2050" max="2050" width="53.140625" style="70" customWidth="1"/>
    <col min="2051" max="2051" width="0.140625" style="70" customWidth="1"/>
    <col min="2052" max="2052" width="14.85546875" style="70" customWidth="1"/>
    <col min="2053" max="2053" width="7" style="70" customWidth="1"/>
    <col min="2054" max="2054" width="12.5703125" style="70" bestFit="1" customWidth="1"/>
    <col min="2055" max="2055" width="7.5703125" style="70" customWidth="1"/>
    <col min="2056" max="2056" width="13.28515625" style="70" customWidth="1"/>
    <col min="2057" max="2057" width="8.140625" style="70" customWidth="1"/>
    <col min="2058" max="2058" width="14.140625" style="70" customWidth="1"/>
    <col min="2059" max="2059" width="8.7109375" style="70" customWidth="1"/>
    <col min="2060" max="2060" width="14.85546875" style="70" customWidth="1"/>
    <col min="2061" max="2061" width="22" style="70" customWidth="1"/>
    <col min="2062" max="2062" width="21" style="70" customWidth="1"/>
    <col min="2063" max="2063" width="14.140625" style="70" customWidth="1"/>
    <col min="2064" max="2064" width="4.7109375" style="70" bestFit="1" customWidth="1"/>
    <col min="2065" max="2065" width="2.5703125" style="70" bestFit="1" customWidth="1"/>
    <col min="2066" max="2066" width="5.140625" style="70" bestFit="1" customWidth="1"/>
    <col min="2067" max="2304" width="9.140625" style="70"/>
    <col min="2305" max="2305" width="4.85546875" style="70" customWidth="1"/>
    <col min="2306" max="2306" width="53.140625" style="70" customWidth="1"/>
    <col min="2307" max="2307" width="0.140625" style="70" customWidth="1"/>
    <col min="2308" max="2308" width="14.85546875" style="70" customWidth="1"/>
    <col min="2309" max="2309" width="7" style="70" customWidth="1"/>
    <col min="2310" max="2310" width="12.5703125" style="70" bestFit="1" customWidth="1"/>
    <col min="2311" max="2311" width="7.5703125" style="70" customWidth="1"/>
    <col min="2312" max="2312" width="13.28515625" style="70" customWidth="1"/>
    <col min="2313" max="2313" width="8.140625" style="70" customWidth="1"/>
    <col min="2314" max="2314" width="14.140625" style="70" customWidth="1"/>
    <col min="2315" max="2315" width="8.7109375" style="70" customWidth="1"/>
    <col min="2316" max="2316" width="14.85546875" style="70" customWidth="1"/>
    <col min="2317" max="2317" width="22" style="70" customWidth="1"/>
    <col min="2318" max="2318" width="21" style="70" customWidth="1"/>
    <col min="2319" max="2319" width="14.140625" style="70" customWidth="1"/>
    <col min="2320" max="2320" width="4.7109375" style="70" bestFit="1" customWidth="1"/>
    <col min="2321" max="2321" width="2.5703125" style="70" bestFit="1" customWidth="1"/>
    <col min="2322" max="2322" width="5.140625" style="70" bestFit="1" customWidth="1"/>
    <col min="2323" max="2560" width="9.140625" style="70"/>
    <col min="2561" max="2561" width="4.85546875" style="70" customWidth="1"/>
    <col min="2562" max="2562" width="53.140625" style="70" customWidth="1"/>
    <col min="2563" max="2563" width="0.140625" style="70" customWidth="1"/>
    <col min="2564" max="2564" width="14.85546875" style="70" customWidth="1"/>
    <col min="2565" max="2565" width="7" style="70" customWidth="1"/>
    <col min="2566" max="2566" width="12.5703125" style="70" bestFit="1" customWidth="1"/>
    <col min="2567" max="2567" width="7.5703125" style="70" customWidth="1"/>
    <col min="2568" max="2568" width="13.28515625" style="70" customWidth="1"/>
    <col min="2569" max="2569" width="8.140625" style="70" customWidth="1"/>
    <col min="2570" max="2570" width="14.140625" style="70" customWidth="1"/>
    <col min="2571" max="2571" width="8.7109375" style="70" customWidth="1"/>
    <col min="2572" max="2572" width="14.85546875" style="70" customWidth="1"/>
    <col min="2573" max="2573" width="22" style="70" customWidth="1"/>
    <col min="2574" max="2574" width="21" style="70" customWidth="1"/>
    <col min="2575" max="2575" width="14.140625" style="70" customWidth="1"/>
    <col min="2576" max="2576" width="4.7109375" style="70" bestFit="1" customWidth="1"/>
    <col min="2577" max="2577" width="2.5703125" style="70" bestFit="1" customWidth="1"/>
    <col min="2578" max="2578" width="5.140625" style="70" bestFit="1" customWidth="1"/>
    <col min="2579" max="2816" width="9.140625" style="70"/>
    <col min="2817" max="2817" width="4.85546875" style="70" customWidth="1"/>
    <col min="2818" max="2818" width="53.140625" style="70" customWidth="1"/>
    <col min="2819" max="2819" width="0.140625" style="70" customWidth="1"/>
    <col min="2820" max="2820" width="14.85546875" style="70" customWidth="1"/>
    <col min="2821" max="2821" width="7" style="70" customWidth="1"/>
    <col min="2822" max="2822" width="12.5703125" style="70" bestFit="1" customWidth="1"/>
    <col min="2823" max="2823" width="7.5703125" style="70" customWidth="1"/>
    <col min="2824" max="2824" width="13.28515625" style="70" customWidth="1"/>
    <col min="2825" max="2825" width="8.140625" style="70" customWidth="1"/>
    <col min="2826" max="2826" width="14.140625" style="70" customWidth="1"/>
    <col min="2827" max="2827" width="8.7109375" style="70" customWidth="1"/>
    <col min="2828" max="2828" width="14.85546875" style="70" customWidth="1"/>
    <col min="2829" max="2829" width="22" style="70" customWidth="1"/>
    <col min="2830" max="2830" width="21" style="70" customWidth="1"/>
    <col min="2831" max="2831" width="14.140625" style="70" customWidth="1"/>
    <col min="2832" max="2832" width="4.7109375" style="70" bestFit="1" customWidth="1"/>
    <col min="2833" max="2833" width="2.5703125" style="70" bestFit="1" customWidth="1"/>
    <col min="2834" max="2834" width="5.140625" style="70" bestFit="1" customWidth="1"/>
    <col min="2835" max="3072" width="9.140625" style="70"/>
    <col min="3073" max="3073" width="4.85546875" style="70" customWidth="1"/>
    <col min="3074" max="3074" width="53.140625" style="70" customWidth="1"/>
    <col min="3075" max="3075" width="0.140625" style="70" customWidth="1"/>
    <col min="3076" max="3076" width="14.85546875" style="70" customWidth="1"/>
    <col min="3077" max="3077" width="7" style="70" customWidth="1"/>
    <col min="3078" max="3078" width="12.5703125" style="70" bestFit="1" customWidth="1"/>
    <col min="3079" max="3079" width="7.5703125" style="70" customWidth="1"/>
    <col min="3080" max="3080" width="13.28515625" style="70" customWidth="1"/>
    <col min="3081" max="3081" width="8.140625" style="70" customWidth="1"/>
    <col min="3082" max="3082" width="14.140625" style="70" customWidth="1"/>
    <col min="3083" max="3083" width="8.7109375" style="70" customWidth="1"/>
    <col min="3084" max="3084" width="14.85546875" style="70" customWidth="1"/>
    <col min="3085" max="3085" width="22" style="70" customWidth="1"/>
    <col min="3086" max="3086" width="21" style="70" customWidth="1"/>
    <col min="3087" max="3087" width="14.140625" style="70" customWidth="1"/>
    <col min="3088" max="3088" width="4.7109375" style="70" bestFit="1" customWidth="1"/>
    <col min="3089" max="3089" width="2.5703125" style="70" bestFit="1" customWidth="1"/>
    <col min="3090" max="3090" width="5.140625" style="70" bestFit="1" customWidth="1"/>
    <col min="3091" max="3328" width="9.140625" style="70"/>
    <col min="3329" max="3329" width="4.85546875" style="70" customWidth="1"/>
    <col min="3330" max="3330" width="53.140625" style="70" customWidth="1"/>
    <col min="3331" max="3331" width="0.140625" style="70" customWidth="1"/>
    <col min="3332" max="3332" width="14.85546875" style="70" customWidth="1"/>
    <col min="3333" max="3333" width="7" style="70" customWidth="1"/>
    <col min="3334" max="3334" width="12.5703125" style="70" bestFit="1" customWidth="1"/>
    <col min="3335" max="3335" width="7.5703125" style="70" customWidth="1"/>
    <col min="3336" max="3336" width="13.28515625" style="70" customWidth="1"/>
    <col min="3337" max="3337" width="8.140625" style="70" customWidth="1"/>
    <col min="3338" max="3338" width="14.140625" style="70" customWidth="1"/>
    <col min="3339" max="3339" width="8.7109375" style="70" customWidth="1"/>
    <col min="3340" max="3340" width="14.85546875" style="70" customWidth="1"/>
    <col min="3341" max="3341" width="22" style="70" customWidth="1"/>
    <col min="3342" max="3342" width="21" style="70" customWidth="1"/>
    <col min="3343" max="3343" width="14.140625" style="70" customWidth="1"/>
    <col min="3344" max="3344" width="4.7109375" style="70" bestFit="1" customWidth="1"/>
    <col min="3345" max="3345" width="2.5703125" style="70" bestFit="1" customWidth="1"/>
    <col min="3346" max="3346" width="5.140625" style="70" bestFit="1" customWidth="1"/>
    <col min="3347" max="3584" width="9.140625" style="70"/>
    <col min="3585" max="3585" width="4.85546875" style="70" customWidth="1"/>
    <col min="3586" max="3586" width="53.140625" style="70" customWidth="1"/>
    <col min="3587" max="3587" width="0.140625" style="70" customWidth="1"/>
    <col min="3588" max="3588" width="14.85546875" style="70" customWidth="1"/>
    <col min="3589" max="3589" width="7" style="70" customWidth="1"/>
    <col min="3590" max="3590" width="12.5703125" style="70" bestFit="1" customWidth="1"/>
    <col min="3591" max="3591" width="7.5703125" style="70" customWidth="1"/>
    <col min="3592" max="3592" width="13.28515625" style="70" customWidth="1"/>
    <col min="3593" max="3593" width="8.140625" style="70" customWidth="1"/>
    <col min="3594" max="3594" width="14.140625" style="70" customWidth="1"/>
    <col min="3595" max="3595" width="8.7109375" style="70" customWidth="1"/>
    <col min="3596" max="3596" width="14.85546875" style="70" customWidth="1"/>
    <col min="3597" max="3597" width="22" style="70" customWidth="1"/>
    <col min="3598" max="3598" width="21" style="70" customWidth="1"/>
    <col min="3599" max="3599" width="14.140625" style="70" customWidth="1"/>
    <col min="3600" max="3600" width="4.7109375" style="70" bestFit="1" customWidth="1"/>
    <col min="3601" max="3601" width="2.5703125" style="70" bestFit="1" customWidth="1"/>
    <col min="3602" max="3602" width="5.140625" style="70" bestFit="1" customWidth="1"/>
    <col min="3603" max="3840" width="9.140625" style="70"/>
    <col min="3841" max="3841" width="4.85546875" style="70" customWidth="1"/>
    <col min="3842" max="3842" width="53.140625" style="70" customWidth="1"/>
    <col min="3843" max="3843" width="0.140625" style="70" customWidth="1"/>
    <col min="3844" max="3844" width="14.85546875" style="70" customWidth="1"/>
    <col min="3845" max="3845" width="7" style="70" customWidth="1"/>
    <col min="3846" max="3846" width="12.5703125" style="70" bestFit="1" customWidth="1"/>
    <col min="3847" max="3847" width="7.5703125" style="70" customWidth="1"/>
    <col min="3848" max="3848" width="13.28515625" style="70" customWidth="1"/>
    <col min="3849" max="3849" width="8.140625" style="70" customWidth="1"/>
    <col min="3850" max="3850" width="14.140625" style="70" customWidth="1"/>
    <col min="3851" max="3851" width="8.7109375" style="70" customWidth="1"/>
    <col min="3852" max="3852" width="14.85546875" style="70" customWidth="1"/>
    <col min="3853" max="3853" width="22" style="70" customWidth="1"/>
    <col min="3854" max="3854" width="21" style="70" customWidth="1"/>
    <col min="3855" max="3855" width="14.140625" style="70" customWidth="1"/>
    <col min="3856" max="3856" width="4.7109375" style="70" bestFit="1" customWidth="1"/>
    <col min="3857" max="3857" width="2.5703125" style="70" bestFit="1" customWidth="1"/>
    <col min="3858" max="3858" width="5.140625" style="70" bestFit="1" customWidth="1"/>
    <col min="3859" max="4096" width="9.140625" style="70"/>
    <col min="4097" max="4097" width="4.85546875" style="70" customWidth="1"/>
    <col min="4098" max="4098" width="53.140625" style="70" customWidth="1"/>
    <col min="4099" max="4099" width="0.140625" style="70" customWidth="1"/>
    <col min="4100" max="4100" width="14.85546875" style="70" customWidth="1"/>
    <col min="4101" max="4101" width="7" style="70" customWidth="1"/>
    <col min="4102" max="4102" width="12.5703125" style="70" bestFit="1" customWidth="1"/>
    <col min="4103" max="4103" width="7.5703125" style="70" customWidth="1"/>
    <col min="4104" max="4104" width="13.28515625" style="70" customWidth="1"/>
    <col min="4105" max="4105" width="8.140625" style="70" customWidth="1"/>
    <col min="4106" max="4106" width="14.140625" style="70" customWidth="1"/>
    <col min="4107" max="4107" width="8.7109375" style="70" customWidth="1"/>
    <col min="4108" max="4108" width="14.85546875" style="70" customWidth="1"/>
    <col min="4109" max="4109" width="22" style="70" customWidth="1"/>
    <col min="4110" max="4110" width="21" style="70" customWidth="1"/>
    <col min="4111" max="4111" width="14.140625" style="70" customWidth="1"/>
    <col min="4112" max="4112" width="4.7109375" style="70" bestFit="1" customWidth="1"/>
    <col min="4113" max="4113" width="2.5703125" style="70" bestFit="1" customWidth="1"/>
    <col min="4114" max="4114" width="5.140625" style="70" bestFit="1" customWidth="1"/>
    <col min="4115" max="4352" width="9.140625" style="70"/>
    <col min="4353" max="4353" width="4.85546875" style="70" customWidth="1"/>
    <col min="4354" max="4354" width="53.140625" style="70" customWidth="1"/>
    <col min="4355" max="4355" width="0.140625" style="70" customWidth="1"/>
    <col min="4356" max="4356" width="14.85546875" style="70" customWidth="1"/>
    <col min="4357" max="4357" width="7" style="70" customWidth="1"/>
    <col min="4358" max="4358" width="12.5703125" style="70" bestFit="1" customWidth="1"/>
    <col min="4359" max="4359" width="7.5703125" style="70" customWidth="1"/>
    <col min="4360" max="4360" width="13.28515625" style="70" customWidth="1"/>
    <col min="4361" max="4361" width="8.140625" style="70" customWidth="1"/>
    <col min="4362" max="4362" width="14.140625" style="70" customWidth="1"/>
    <col min="4363" max="4363" width="8.7109375" style="70" customWidth="1"/>
    <col min="4364" max="4364" width="14.85546875" style="70" customWidth="1"/>
    <col min="4365" max="4365" width="22" style="70" customWidth="1"/>
    <col min="4366" max="4366" width="21" style="70" customWidth="1"/>
    <col min="4367" max="4367" width="14.140625" style="70" customWidth="1"/>
    <col min="4368" max="4368" width="4.7109375" style="70" bestFit="1" customWidth="1"/>
    <col min="4369" max="4369" width="2.5703125" style="70" bestFit="1" customWidth="1"/>
    <col min="4370" max="4370" width="5.140625" style="70" bestFit="1" customWidth="1"/>
    <col min="4371" max="4608" width="9.140625" style="70"/>
    <col min="4609" max="4609" width="4.85546875" style="70" customWidth="1"/>
    <col min="4610" max="4610" width="53.140625" style="70" customWidth="1"/>
    <col min="4611" max="4611" width="0.140625" style="70" customWidth="1"/>
    <col min="4612" max="4612" width="14.85546875" style="70" customWidth="1"/>
    <col min="4613" max="4613" width="7" style="70" customWidth="1"/>
    <col min="4614" max="4614" width="12.5703125" style="70" bestFit="1" customWidth="1"/>
    <col min="4615" max="4615" width="7.5703125" style="70" customWidth="1"/>
    <col min="4616" max="4616" width="13.28515625" style="70" customWidth="1"/>
    <col min="4617" max="4617" width="8.140625" style="70" customWidth="1"/>
    <col min="4618" max="4618" width="14.140625" style="70" customWidth="1"/>
    <col min="4619" max="4619" width="8.7109375" style="70" customWidth="1"/>
    <col min="4620" max="4620" width="14.85546875" style="70" customWidth="1"/>
    <col min="4621" max="4621" width="22" style="70" customWidth="1"/>
    <col min="4622" max="4622" width="21" style="70" customWidth="1"/>
    <col min="4623" max="4623" width="14.140625" style="70" customWidth="1"/>
    <col min="4624" max="4624" width="4.7109375" style="70" bestFit="1" customWidth="1"/>
    <col min="4625" max="4625" width="2.5703125" style="70" bestFit="1" customWidth="1"/>
    <col min="4626" max="4626" width="5.140625" style="70" bestFit="1" customWidth="1"/>
    <col min="4627" max="4864" width="9.140625" style="70"/>
    <col min="4865" max="4865" width="4.85546875" style="70" customWidth="1"/>
    <col min="4866" max="4866" width="53.140625" style="70" customWidth="1"/>
    <col min="4867" max="4867" width="0.140625" style="70" customWidth="1"/>
    <col min="4868" max="4868" width="14.85546875" style="70" customWidth="1"/>
    <col min="4869" max="4869" width="7" style="70" customWidth="1"/>
    <col min="4870" max="4870" width="12.5703125" style="70" bestFit="1" customWidth="1"/>
    <col min="4871" max="4871" width="7.5703125" style="70" customWidth="1"/>
    <col min="4872" max="4872" width="13.28515625" style="70" customWidth="1"/>
    <col min="4873" max="4873" width="8.140625" style="70" customWidth="1"/>
    <col min="4874" max="4874" width="14.140625" style="70" customWidth="1"/>
    <col min="4875" max="4875" width="8.7109375" style="70" customWidth="1"/>
    <col min="4876" max="4876" width="14.85546875" style="70" customWidth="1"/>
    <col min="4877" max="4877" width="22" style="70" customWidth="1"/>
    <col min="4878" max="4878" width="21" style="70" customWidth="1"/>
    <col min="4879" max="4879" width="14.140625" style="70" customWidth="1"/>
    <col min="4880" max="4880" width="4.7109375" style="70" bestFit="1" customWidth="1"/>
    <col min="4881" max="4881" width="2.5703125" style="70" bestFit="1" customWidth="1"/>
    <col min="4882" max="4882" width="5.140625" style="70" bestFit="1" customWidth="1"/>
    <col min="4883" max="5120" width="9.140625" style="70"/>
    <col min="5121" max="5121" width="4.85546875" style="70" customWidth="1"/>
    <col min="5122" max="5122" width="53.140625" style="70" customWidth="1"/>
    <col min="5123" max="5123" width="0.140625" style="70" customWidth="1"/>
    <col min="5124" max="5124" width="14.85546875" style="70" customWidth="1"/>
    <col min="5125" max="5125" width="7" style="70" customWidth="1"/>
    <col min="5126" max="5126" width="12.5703125" style="70" bestFit="1" customWidth="1"/>
    <col min="5127" max="5127" width="7.5703125" style="70" customWidth="1"/>
    <col min="5128" max="5128" width="13.28515625" style="70" customWidth="1"/>
    <col min="5129" max="5129" width="8.140625" style="70" customWidth="1"/>
    <col min="5130" max="5130" width="14.140625" style="70" customWidth="1"/>
    <col min="5131" max="5131" width="8.7109375" style="70" customWidth="1"/>
    <col min="5132" max="5132" width="14.85546875" style="70" customWidth="1"/>
    <col min="5133" max="5133" width="22" style="70" customWidth="1"/>
    <col min="5134" max="5134" width="21" style="70" customWidth="1"/>
    <col min="5135" max="5135" width="14.140625" style="70" customWidth="1"/>
    <col min="5136" max="5136" width="4.7109375" style="70" bestFit="1" customWidth="1"/>
    <col min="5137" max="5137" width="2.5703125" style="70" bestFit="1" customWidth="1"/>
    <col min="5138" max="5138" width="5.140625" style="70" bestFit="1" customWidth="1"/>
    <col min="5139" max="5376" width="9.140625" style="70"/>
    <col min="5377" max="5377" width="4.85546875" style="70" customWidth="1"/>
    <col min="5378" max="5378" width="53.140625" style="70" customWidth="1"/>
    <col min="5379" max="5379" width="0.140625" style="70" customWidth="1"/>
    <col min="5380" max="5380" width="14.85546875" style="70" customWidth="1"/>
    <col min="5381" max="5381" width="7" style="70" customWidth="1"/>
    <col min="5382" max="5382" width="12.5703125" style="70" bestFit="1" customWidth="1"/>
    <col min="5383" max="5383" width="7.5703125" style="70" customWidth="1"/>
    <col min="5384" max="5384" width="13.28515625" style="70" customWidth="1"/>
    <col min="5385" max="5385" width="8.140625" style="70" customWidth="1"/>
    <col min="5386" max="5386" width="14.140625" style="70" customWidth="1"/>
    <col min="5387" max="5387" width="8.7109375" style="70" customWidth="1"/>
    <col min="5388" max="5388" width="14.85546875" style="70" customWidth="1"/>
    <col min="5389" max="5389" width="22" style="70" customWidth="1"/>
    <col min="5390" max="5390" width="21" style="70" customWidth="1"/>
    <col min="5391" max="5391" width="14.140625" style="70" customWidth="1"/>
    <col min="5392" max="5392" width="4.7109375" style="70" bestFit="1" customWidth="1"/>
    <col min="5393" max="5393" width="2.5703125" style="70" bestFit="1" customWidth="1"/>
    <col min="5394" max="5394" width="5.140625" style="70" bestFit="1" customWidth="1"/>
    <col min="5395" max="5632" width="9.140625" style="70"/>
    <col min="5633" max="5633" width="4.85546875" style="70" customWidth="1"/>
    <col min="5634" max="5634" width="53.140625" style="70" customWidth="1"/>
    <col min="5635" max="5635" width="0.140625" style="70" customWidth="1"/>
    <col min="5636" max="5636" width="14.85546875" style="70" customWidth="1"/>
    <col min="5637" max="5637" width="7" style="70" customWidth="1"/>
    <col min="5638" max="5638" width="12.5703125" style="70" bestFit="1" customWidth="1"/>
    <col min="5639" max="5639" width="7.5703125" style="70" customWidth="1"/>
    <col min="5640" max="5640" width="13.28515625" style="70" customWidth="1"/>
    <col min="5641" max="5641" width="8.140625" style="70" customWidth="1"/>
    <col min="5642" max="5642" width="14.140625" style="70" customWidth="1"/>
    <col min="5643" max="5643" width="8.7109375" style="70" customWidth="1"/>
    <col min="5644" max="5644" width="14.85546875" style="70" customWidth="1"/>
    <col min="5645" max="5645" width="22" style="70" customWidth="1"/>
    <col min="5646" max="5646" width="21" style="70" customWidth="1"/>
    <col min="5647" max="5647" width="14.140625" style="70" customWidth="1"/>
    <col min="5648" max="5648" width="4.7109375" style="70" bestFit="1" customWidth="1"/>
    <col min="5649" max="5649" width="2.5703125" style="70" bestFit="1" customWidth="1"/>
    <col min="5650" max="5650" width="5.140625" style="70" bestFit="1" customWidth="1"/>
    <col min="5651" max="5888" width="9.140625" style="70"/>
    <col min="5889" max="5889" width="4.85546875" style="70" customWidth="1"/>
    <col min="5890" max="5890" width="53.140625" style="70" customWidth="1"/>
    <col min="5891" max="5891" width="0.140625" style="70" customWidth="1"/>
    <col min="5892" max="5892" width="14.85546875" style="70" customWidth="1"/>
    <col min="5893" max="5893" width="7" style="70" customWidth="1"/>
    <col min="5894" max="5894" width="12.5703125" style="70" bestFit="1" customWidth="1"/>
    <col min="5895" max="5895" width="7.5703125" style="70" customWidth="1"/>
    <col min="5896" max="5896" width="13.28515625" style="70" customWidth="1"/>
    <col min="5897" max="5897" width="8.140625" style="70" customWidth="1"/>
    <col min="5898" max="5898" width="14.140625" style="70" customWidth="1"/>
    <col min="5899" max="5899" width="8.7109375" style="70" customWidth="1"/>
    <col min="5900" max="5900" width="14.85546875" style="70" customWidth="1"/>
    <col min="5901" max="5901" width="22" style="70" customWidth="1"/>
    <col min="5902" max="5902" width="21" style="70" customWidth="1"/>
    <col min="5903" max="5903" width="14.140625" style="70" customWidth="1"/>
    <col min="5904" max="5904" width="4.7109375" style="70" bestFit="1" customWidth="1"/>
    <col min="5905" max="5905" width="2.5703125" style="70" bestFit="1" customWidth="1"/>
    <col min="5906" max="5906" width="5.140625" style="70" bestFit="1" customWidth="1"/>
    <col min="5907" max="6144" width="9.140625" style="70"/>
    <col min="6145" max="6145" width="4.85546875" style="70" customWidth="1"/>
    <col min="6146" max="6146" width="53.140625" style="70" customWidth="1"/>
    <col min="6147" max="6147" width="0.140625" style="70" customWidth="1"/>
    <col min="6148" max="6148" width="14.85546875" style="70" customWidth="1"/>
    <col min="6149" max="6149" width="7" style="70" customWidth="1"/>
    <col min="6150" max="6150" width="12.5703125" style="70" bestFit="1" customWidth="1"/>
    <col min="6151" max="6151" width="7.5703125" style="70" customWidth="1"/>
    <col min="6152" max="6152" width="13.28515625" style="70" customWidth="1"/>
    <col min="6153" max="6153" width="8.140625" style="70" customWidth="1"/>
    <col min="6154" max="6154" width="14.140625" style="70" customWidth="1"/>
    <col min="6155" max="6155" width="8.7109375" style="70" customWidth="1"/>
    <col min="6156" max="6156" width="14.85546875" style="70" customWidth="1"/>
    <col min="6157" max="6157" width="22" style="70" customWidth="1"/>
    <col min="6158" max="6158" width="21" style="70" customWidth="1"/>
    <col min="6159" max="6159" width="14.140625" style="70" customWidth="1"/>
    <col min="6160" max="6160" width="4.7109375" style="70" bestFit="1" customWidth="1"/>
    <col min="6161" max="6161" width="2.5703125" style="70" bestFit="1" customWidth="1"/>
    <col min="6162" max="6162" width="5.140625" style="70" bestFit="1" customWidth="1"/>
    <col min="6163" max="6400" width="9.140625" style="70"/>
    <col min="6401" max="6401" width="4.85546875" style="70" customWidth="1"/>
    <col min="6402" max="6402" width="53.140625" style="70" customWidth="1"/>
    <col min="6403" max="6403" width="0.140625" style="70" customWidth="1"/>
    <col min="6404" max="6404" width="14.85546875" style="70" customWidth="1"/>
    <col min="6405" max="6405" width="7" style="70" customWidth="1"/>
    <col min="6406" max="6406" width="12.5703125" style="70" bestFit="1" customWidth="1"/>
    <col min="6407" max="6407" width="7.5703125" style="70" customWidth="1"/>
    <col min="6408" max="6408" width="13.28515625" style="70" customWidth="1"/>
    <col min="6409" max="6409" width="8.140625" style="70" customWidth="1"/>
    <col min="6410" max="6410" width="14.140625" style="70" customWidth="1"/>
    <col min="6411" max="6411" width="8.7109375" style="70" customWidth="1"/>
    <col min="6412" max="6412" width="14.85546875" style="70" customWidth="1"/>
    <col min="6413" max="6413" width="22" style="70" customWidth="1"/>
    <col min="6414" max="6414" width="21" style="70" customWidth="1"/>
    <col min="6415" max="6415" width="14.140625" style="70" customWidth="1"/>
    <col min="6416" max="6416" width="4.7109375" style="70" bestFit="1" customWidth="1"/>
    <col min="6417" max="6417" width="2.5703125" style="70" bestFit="1" customWidth="1"/>
    <col min="6418" max="6418" width="5.140625" style="70" bestFit="1" customWidth="1"/>
    <col min="6419" max="6656" width="9.140625" style="70"/>
    <col min="6657" max="6657" width="4.85546875" style="70" customWidth="1"/>
    <col min="6658" max="6658" width="53.140625" style="70" customWidth="1"/>
    <col min="6659" max="6659" width="0.140625" style="70" customWidth="1"/>
    <col min="6660" max="6660" width="14.85546875" style="70" customWidth="1"/>
    <col min="6661" max="6661" width="7" style="70" customWidth="1"/>
    <col min="6662" max="6662" width="12.5703125" style="70" bestFit="1" customWidth="1"/>
    <col min="6663" max="6663" width="7.5703125" style="70" customWidth="1"/>
    <col min="6664" max="6664" width="13.28515625" style="70" customWidth="1"/>
    <col min="6665" max="6665" width="8.140625" style="70" customWidth="1"/>
    <col min="6666" max="6666" width="14.140625" style="70" customWidth="1"/>
    <col min="6667" max="6667" width="8.7109375" style="70" customWidth="1"/>
    <col min="6668" max="6668" width="14.85546875" style="70" customWidth="1"/>
    <col min="6669" max="6669" width="22" style="70" customWidth="1"/>
    <col min="6670" max="6670" width="21" style="70" customWidth="1"/>
    <col min="6671" max="6671" width="14.140625" style="70" customWidth="1"/>
    <col min="6672" max="6672" width="4.7109375" style="70" bestFit="1" customWidth="1"/>
    <col min="6673" max="6673" width="2.5703125" style="70" bestFit="1" customWidth="1"/>
    <col min="6674" max="6674" width="5.140625" style="70" bestFit="1" customWidth="1"/>
    <col min="6675" max="6912" width="9.140625" style="70"/>
    <col min="6913" max="6913" width="4.85546875" style="70" customWidth="1"/>
    <col min="6914" max="6914" width="53.140625" style="70" customWidth="1"/>
    <col min="6915" max="6915" width="0.140625" style="70" customWidth="1"/>
    <col min="6916" max="6916" width="14.85546875" style="70" customWidth="1"/>
    <col min="6917" max="6917" width="7" style="70" customWidth="1"/>
    <col min="6918" max="6918" width="12.5703125" style="70" bestFit="1" customWidth="1"/>
    <col min="6919" max="6919" width="7.5703125" style="70" customWidth="1"/>
    <col min="6920" max="6920" width="13.28515625" style="70" customWidth="1"/>
    <col min="6921" max="6921" width="8.140625" style="70" customWidth="1"/>
    <col min="6922" max="6922" width="14.140625" style="70" customWidth="1"/>
    <col min="6923" max="6923" width="8.7109375" style="70" customWidth="1"/>
    <col min="6924" max="6924" width="14.85546875" style="70" customWidth="1"/>
    <col min="6925" max="6925" width="22" style="70" customWidth="1"/>
    <col min="6926" max="6926" width="21" style="70" customWidth="1"/>
    <col min="6927" max="6927" width="14.140625" style="70" customWidth="1"/>
    <col min="6928" max="6928" width="4.7109375" style="70" bestFit="1" customWidth="1"/>
    <col min="6929" max="6929" width="2.5703125" style="70" bestFit="1" customWidth="1"/>
    <col min="6930" max="6930" width="5.140625" style="70" bestFit="1" customWidth="1"/>
    <col min="6931" max="7168" width="9.140625" style="70"/>
    <col min="7169" max="7169" width="4.85546875" style="70" customWidth="1"/>
    <col min="7170" max="7170" width="53.140625" style="70" customWidth="1"/>
    <col min="7171" max="7171" width="0.140625" style="70" customWidth="1"/>
    <col min="7172" max="7172" width="14.85546875" style="70" customWidth="1"/>
    <col min="7173" max="7173" width="7" style="70" customWidth="1"/>
    <col min="7174" max="7174" width="12.5703125" style="70" bestFit="1" customWidth="1"/>
    <col min="7175" max="7175" width="7.5703125" style="70" customWidth="1"/>
    <col min="7176" max="7176" width="13.28515625" style="70" customWidth="1"/>
    <col min="7177" max="7177" width="8.140625" style="70" customWidth="1"/>
    <col min="7178" max="7178" width="14.140625" style="70" customWidth="1"/>
    <col min="7179" max="7179" width="8.7109375" style="70" customWidth="1"/>
    <col min="7180" max="7180" width="14.85546875" style="70" customWidth="1"/>
    <col min="7181" max="7181" width="22" style="70" customWidth="1"/>
    <col min="7182" max="7182" width="21" style="70" customWidth="1"/>
    <col min="7183" max="7183" width="14.140625" style="70" customWidth="1"/>
    <col min="7184" max="7184" width="4.7109375" style="70" bestFit="1" customWidth="1"/>
    <col min="7185" max="7185" width="2.5703125" style="70" bestFit="1" customWidth="1"/>
    <col min="7186" max="7186" width="5.140625" style="70" bestFit="1" customWidth="1"/>
    <col min="7187" max="7424" width="9.140625" style="70"/>
    <col min="7425" max="7425" width="4.85546875" style="70" customWidth="1"/>
    <col min="7426" max="7426" width="53.140625" style="70" customWidth="1"/>
    <col min="7427" max="7427" width="0.140625" style="70" customWidth="1"/>
    <col min="7428" max="7428" width="14.85546875" style="70" customWidth="1"/>
    <col min="7429" max="7429" width="7" style="70" customWidth="1"/>
    <col min="7430" max="7430" width="12.5703125" style="70" bestFit="1" customWidth="1"/>
    <col min="7431" max="7431" width="7.5703125" style="70" customWidth="1"/>
    <col min="7432" max="7432" width="13.28515625" style="70" customWidth="1"/>
    <col min="7433" max="7433" width="8.140625" style="70" customWidth="1"/>
    <col min="7434" max="7434" width="14.140625" style="70" customWidth="1"/>
    <col min="7435" max="7435" width="8.7109375" style="70" customWidth="1"/>
    <col min="7436" max="7436" width="14.85546875" style="70" customWidth="1"/>
    <col min="7437" max="7437" width="22" style="70" customWidth="1"/>
    <col min="7438" max="7438" width="21" style="70" customWidth="1"/>
    <col min="7439" max="7439" width="14.140625" style="70" customWidth="1"/>
    <col min="7440" max="7440" width="4.7109375" style="70" bestFit="1" customWidth="1"/>
    <col min="7441" max="7441" width="2.5703125" style="70" bestFit="1" customWidth="1"/>
    <col min="7442" max="7442" width="5.140625" style="70" bestFit="1" customWidth="1"/>
    <col min="7443" max="7680" width="9.140625" style="70"/>
    <col min="7681" max="7681" width="4.85546875" style="70" customWidth="1"/>
    <col min="7682" max="7682" width="53.140625" style="70" customWidth="1"/>
    <col min="7683" max="7683" width="0.140625" style="70" customWidth="1"/>
    <col min="7684" max="7684" width="14.85546875" style="70" customWidth="1"/>
    <col min="7685" max="7685" width="7" style="70" customWidth="1"/>
    <col min="7686" max="7686" width="12.5703125" style="70" bestFit="1" customWidth="1"/>
    <col min="7687" max="7687" width="7.5703125" style="70" customWidth="1"/>
    <col min="7688" max="7688" width="13.28515625" style="70" customWidth="1"/>
    <col min="7689" max="7689" width="8.140625" style="70" customWidth="1"/>
    <col min="7690" max="7690" width="14.140625" style="70" customWidth="1"/>
    <col min="7691" max="7691" width="8.7109375" style="70" customWidth="1"/>
    <col min="7692" max="7692" width="14.85546875" style="70" customWidth="1"/>
    <col min="7693" max="7693" width="22" style="70" customWidth="1"/>
    <col min="7694" max="7694" width="21" style="70" customWidth="1"/>
    <col min="7695" max="7695" width="14.140625" style="70" customWidth="1"/>
    <col min="7696" max="7696" width="4.7109375" style="70" bestFit="1" customWidth="1"/>
    <col min="7697" max="7697" width="2.5703125" style="70" bestFit="1" customWidth="1"/>
    <col min="7698" max="7698" width="5.140625" style="70" bestFit="1" customWidth="1"/>
    <col min="7699" max="7936" width="9.140625" style="70"/>
    <col min="7937" max="7937" width="4.85546875" style="70" customWidth="1"/>
    <col min="7938" max="7938" width="53.140625" style="70" customWidth="1"/>
    <col min="7939" max="7939" width="0.140625" style="70" customWidth="1"/>
    <col min="7940" max="7940" width="14.85546875" style="70" customWidth="1"/>
    <col min="7941" max="7941" width="7" style="70" customWidth="1"/>
    <col min="7942" max="7942" width="12.5703125" style="70" bestFit="1" customWidth="1"/>
    <col min="7943" max="7943" width="7.5703125" style="70" customWidth="1"/>
    <col min="7944" max="7944" width="13.28515625" style="70" customWidth="1"/>
    <col min="7945" max="7945" width="8.140625" style="70" customWidth="1"/>
    <col min="7946" max="7946" width="14.140625" style="70" customWidth="1"/>
    <col min="7947" max="7947" width="8.7109375" style="70" customWidth="1"/>
    <col min="7948" max="7948" width="14.85546875" style="70" customWidth="1"/>
    <col min="7949" max="7949" width="22" style="70" customWidth="1"/>
    <col min="7950" max="7950" width="21" style="70" customWidth="1"/>
    <col min="7951" max="7951" width="14.140625" style="70" customWidth="1"/>
    <col min="7952" max="7952" width="4.7109375" style="70" bestFit="1" customWidth="1"/>
    <col min="7953" max="7953" width="2.5703125" style="70" bestFit="1" customWidth="1"/>
    <col min="7954" max="7954" width="5.140625" style="70" bestFit="1" customWidth="1"/>
    <col min="7955" max="8192" width="9.140625" style="70"/>
    <col min="8193" max="8193" width="4.85546875" style="70" customWidth="1"/>
    <col min="8194" max="8194" width="53.140625" style="70" customWidth="1"/>
    <col min="8195" max="8195" width="0.140625" style="70" customWidth="1"/>
    <col min="8196" max="8196" width="14.85546875" style="70" customWidth="1"/>
    <col min="8197" max="8197" width="7" style="70" customWidth="1"/>
    <col min="8198" max="8198" width="12.5703125" style="70" bestFit="1" customWidth="1"/>
    <col min="8199" max="8199" width="7.5703125" style="70" customWidth="1"/>
    <col min="8200" max="8200" width="13.28515625" style="70" customWidth="1"/>
    <col min="8201" max="8201" width="8.140625" style="70" customWidth="1"/>
    <col min="8202" max="8202" width="14.140625" style="70" customWidth="1"/>
    <col min="8203" max="8203" width="8.7109375" style="70" customWidth="1"/>
    <col min="8204" max="8204" width="14.85546875" style="70" customWidth="1"/>
    <col min="8205" max="8205" width="22" style="70" customWidth="1"/>
    <col min="8206" max="8206" width="21" style="70" customWidth="1"/>
    <col min="8207" max="8207" width="14.140625" style="70" customWidth="1"/>
    <col min="8208" max="8208" width="4.7109375" style="70" bestFit="1" customWidth="1"/>
    <col min="8209" max="8209" width="2.5703125" style="70" bestFit="1" customWidth="1"/>
    <col min="8210" max="8210" width="5.140625" style="70" bestFit="1" customWidth="1"/>
    <col min="8211" max="8448" width="9.140625" style="70"/>
    <col min="8449" max="8449" width="4.85546875" style="70" customWidth="1"/>
    <col min="8450" max="8450" width="53.140625" style="70" customWidth="1"/>
    <col min="8451" max="8451" width="0.140625" style="70" customWidth="1"/>
    <col min="8452" max="8452" width="14.85546875" style="70" customWidth="1"/>
    <col min="8453" max="8453" width="7" style="70" customWidth="1"/>
    <col min="8454" max="8454" width="12.5703125" style="70" bestFit="1" customWidth="1"/>
    <col min="8455" max="8455" width="7.5703125" style="70" customWidth="1"/>
    <col min="8456" max="8456" width="13.28515625" style="70" customWidth="1"/>
    <col min="8457" max="8457" width="8.140625" style="70" customWidth="1"/>
    <col min="8458" max="8458" width="14.140625" style="70" customWidth="1"/>
    <col min="8459" max="8459" width="8.7109375" style="70" customWidth="1"/>
    <col min="8460" max="8460" width="14.85546875" style="70" customWidth="1"/>
    <col min="8461" max="8461" width="22" style="70" customWidth="1"/>
    <col min="8462" max="8462" width="21" style="70" customWidth="1"/>
    <col min="8463" max="8463" width="14.140625" style="70" customWidth="1"/>
    <col min="8464" max="8464" width="4.7109375" style="70" bestFit="1" customWidth="1"/>
    <col min="8465" max="8465" width="2.5703125" style="70" bestFit="1" customWidth="1"/>
    <col min="8466" max="8466" width="5.140625" style="70" bestFit="1" customWidth="1"/>
    <col min="8467" max="8704" width="9.140625" style="70"/>
    <col min="8705" max="8705" width="4.85546875" style="70" customWidth="1"/>
    <col min="8706" max="8706" width="53.140625" style="70" customWidth="1"/>
    <col min="8707" max="8707" width="0.140625" style="70" customWidth="1"/>
    <col min="8708" max="8708" width="14.85546875" style="70" customWidth="1"/>
    <col min="8709" max="8709" width="7" style="70" customWidth="1"/>
    <col min="8710" max="8710" width="12.5703125" style="70" bestFit="1" customWidth="1"/>
    <col min="8711" max="8711" width="7.5703125" style="70" customWidth="1"/>
    <col min="8712" max="8712" width="13.28515625" style="70" customWidth="1"/>
    <col min="8713" max="8713" width="8.140625" style="70" customWidth="1"/>
    <col min="8714" max="8714" width="14.140625" style="70" customWidth="1"/>
    <col min="8715" max="8715" width="8.7109375" style="70" customWidth="1"/>
    <col min="8716" max="8716" width="14.85546875" style="70" customWidth="1"/>
    <col min="8717" max="8717" width="22" style="70" customWidth="1"/>
    <col min="8718" max="8718" width="21" style="70" customWidth="1"/>
    <col min="8719" max="8719" width="14.140625" style="70" customWidth="1"/>
    <col min="8720" max="8720" width="4.7109375" style="70" bestFit="1" customWidth="1"/>
    <col min="8721" max="8721" width="2.5703125" style="70" bestFit="1" customWidth="1"/>
    <col min="8722" max="8722" width="5.140625" style="70" bestFit="1" customWidth="1"/>
    <col min="8723" max="8960" width="9.140625" style="70"/>
    <col min="8961" max="8961" width="4.85546875" style="70" customWidth="1"/>
    <col min="8962" max="8962" width="53.140625" style="70" customWidth="1"/>
    <col min="8963" max="8963" width="0.140625" style="70" customWidth="1"/>
    <col min="8964" max="8964" width="14.85546875" style="70" customWidth="1"/>
    <col min="8965" max="8965" width="7" style="70" customWidth="1"/>
    <col min="8966" max="8966" width="12.5703125" style="70" bestFit="1" customWidth="1"/>
    <col min="8967" max="8967" width="7.5703125" style="70" customWidth="1"/>
    <col min="8968" max="8968" width="13.28515625" style="70" customWidth="1"/>
    <col min="8969" max="8969" width="8.140625" style="70" customWidth="1"/>
    <col min="8970" max="8970" width="14.140625" style="70" customWidth="1"/>
    <col min="8971" max="8971" width="8.7109375" style="70" customWidth="1"/>
    <col min="8972" max="8972" width="14.85546875" style="70" customWidth="1"/>
    <col min="8973" max="8973" width="22" style="70" customWidth="1"/>
    <col min="8974" max="8974" width="21" style="70" customWidth="1"/>
    <col min="8975" max="8975" width="14.140625" style="70" customWidth="1"/>
    <col min="8976" max="8976" width="4.7109375" style="70" bestFit="1" customWidth="1"/>
    <col min="8977" max="8977" width="2.5703125" style="70" bestFit="1" customWidth="1"/>
    <col min="8978" max="8978" width="5.140625" style="70" bestFit="1" customWidth="1"/>
    <col min="8979" max="9216" width="9.140625" style="70"/>
    <col min="9217" max="9217" width="4.85546875" style="70" customWidth="1"/>
    <col min="9218" max="9218" width="53.140625" style="70" customWidth="1"/>
    <col min="9219" max="9219" width="0.140625" style="70" customWidth="1"/>
    <col min="9220" max="9220" width="14.85546875" style="70" customWidth="1"/>
    <col min="9221" max="9221" width="7" style="70" customWidth="1"/>
    <col min="9222" max="9222" width="12.5703125" style="70" bestFit="1" customWidth="1"/>
    <col min="9223" max="9223" width="7.5703125" style="70" customWidth="1"/>
    <col min="9224" max="9224" width="13.28515625" style="70" customWidth="1"/>
    <col min="9225" max="9225" width="8.140625" style="70" customWidth="1"/>
    <col min="9226" max="9226" width="14.140625" style="70" customWidth="1"/>
    <col min="9227" max="9227" width="8.7109375" style="70" customWidth="1"/>
    <col min="9228" max="9228" width="14.85546875" style="70" customWidth="1"/>
    <col min="9229" max="9229" width="22" style="70" customWidth="1"/>
    <col min="9230" max="9230" width="21" style="70" customWidth="1"/>
    <col min="9231" max="9231" width="14.140625" style="70" customWidth="1"/>
    <col min="9232" max="9232" width="4.7109375" style="70" bestFit="1" customWidth="1"/>
    <col min="9233" max="9233" width="2.5703125" style="70" bestFit="1" customWidth="1"/>
    <col min="9234" max="9234" width="5.140625" style="70" bestFit="1" customWidth="1"/>
    <col min="9235" max="9472" width="9.140625" style="70"/>
    <col min="9473" max="9473" width="4.85546875" style="70" customWidth="1"/>
    <col min="9474" max="9474" width="53.140625" style="70" customWidth="1"/>
    <col min="9475" max="9475" width="0.140625" style="70" customWidth="1"/>
    <col min="9476" max="9476" width="14.85546875" style="70" customWidth="1"/>
    <col min="9477" max="9477" width="7" style="70" customWidth="1"/>
    <col min="9478" max="9478" width="12.5703125" style="70" bestFit="1" customWidth="1"/>
    <col min="9479" max="9479" width="7.5703125" style="70" customWidth="1"/>
    <col min="9480" max="9480" width="13.28515625" style="70" customWidth="1"/>
    <col min="9481" max="9481" width="8.140625" style="70" customWidth="1"/>
    <col min="9482" max="9482" width="14.140625" style="70" customWidth="1"/>
    <col min="9483" max="9483" width="8.7109375" style="70" customWidth="1"/>
    <col min="9484" max="9484" width="14.85546875" style="70" customWidth="1"/>
    <col min="9485" max="9485" width="22" style="70" customWidth="1"/>
    <col min="9486" max="9486" width="21" style="70" customWidth="1"/>
    <col min="9487" max="9487" width="14.140625" style="70" customWidth="1"/>
    <col min="9488" max="9488" width="4.7109375" style="70" bestFit="1" customWidth="1"/>
    <col min="9489" max="9489" width="2.5703125" style="70" bestFit="1" customWidth="1"/>
    <col min="9490" max="9490" width="5.140625" style="70" bestFit="1" customWidth="1"/>
    <col min="9491" max="9728" width="9.140625" style="70"/>
    <col min="9729" max="9729" width="4.85546875" style="70" customWidth="1"/>
    <col min="9730" max="9730" width="53.140625" style="70" customWidth="1"/>
    <col min="9731" max="9731" width="0.140625" style="70" customWidth="1"/>
    <col min="9732" max="9732" width="14.85546875" style="70" customWidth="1"/>
    <col min="9733" max="9733" width="7" style="70" customWidth="1"/>
    <col min="9734" max="9734" width="12.5703125" style="70" bestFit="1" customWidth="1"/>
    <col min="9735" max="9735" width="7.5703125" style="70" customWidth="1"/>
    <col min="9736" max="9736" width="13.28515625" style="70" customWidth="1"/>
    <col min="9737" max="9737" width="8.140625" style="70" customWidth="1"/>
    <col min="9738" max="9738" width="14.140625" style="70" customWidth="1"/>
    <col min="9739" max="9739" width="8.7109375" style="70" customWidth="1"/>
    <col min="9740" max="9740" width="14.85546875" style="70" customWidth="1"/>
    <col min="9741" max="9741" width="22" style="70" customWidth="1"/>
    <col min="9742" max="9742" width="21" style="70" customWidth="1"/>
    <col min="9743" max="9743" width="14.140625" style="70" customWidth="1"/>
    <col min="9744" max="9744" width="4.7109375" style="70" bestFit="1" customWidth="1"/>
    <col min="9745" max="9745" width="2.5703125" style="70" bestFit="1" customWidth="1"/>
    <col min="9746" max="9746" width="5.140625" style="70" bestFit="1" customWidth="1"/>
    <col min="9747" max="9984" width="9.140625" style="70"/>
    <col min="9985" max="9985" width="4.85546875" style="70" customWidth="1"/>
    <col min="9986" max="9986" width="53.140625" style="70" customWidth="1"/>
    <col min="9987" max="9987" width="0.140625" style="70" customWidth="1"/>
    <col min="9988" max="9988" width="14.85546875" style="70" customWidth="1"/>
    <col min="9989" max="9989" width="7" style="70" customWidth="1"/>
    <col min="9990" max="9990" width="12.5703125" style="70" bestFit="1" customWidth="1"/>
    <col min="9991" max="9991" width="7.5703125" style="70" customWidth="1"/>
    <col min="9992" max="9992" width="13.28515625" style="70" customWidth="1"/>
    <col min="9993" max="9993" width="8.140625" style="70" customWidth="1"/>
    <col min="9994" max="9994" width="14.140625" style="70" customWidth="1"/>
    <col min="9995" max="9995" width="8.7109375" style="70" customWidth="1"/>
    <col min="9996" max="9996" width="14.85546875" style="70" customWidth="1"/>
    <col min="9997" max="9997" width="22" style="70" customWidth="1"/>
    <col min="9998" max="9998" width="21" style="70" customWidth="1"/>
    <col min="9999" max="9999" width="14.140625" style="70" customWidth="1"/>
    <col min="10000" max="10000" width="4.7109375" style="70" bestFit="1" customWidth="1"/>
    <col min="10001" max="10001" width="2.5703125" style="70" bestFit="1" customWidth="1"/>
    <col min="10002" max="10002" width="5.140625" style="70" bestFit="1" customWidth="1"/>
    <col min="10003" max="10240" width="9.140625" style="70"/>
    <col min="10241" max="10241" width="4.85546875" style="70" customWidth="1"/>
    <col min="10242" max="10242" width="53.140625" style="70" customWidth="1"/>
    <col min="10243" max="10243" width="0.140625" style="70" customWidth="1"/>
    <col min="10244" max="10244" width="14.85546875" style="70" customWidth="1"/>
    <col min="10245" max="10245" width="7" style="70" customWidth="1"/>
    <col min="10246" max="10246" width="12.5703125" style="70" bestFit="1" customWidth="1"/>
    <col min="10247" max="10247" width="7.5703125" style="70" customWidth="1"/>
    <col min="10248" max="10248" width="13.28515625" style="70" customWidth="1"/>
    <col min="10249" max="10249" width="8.140625" style="70" customWidth="1"/>
    <col min="10250" max="10250" width="14.140625" style="70" customWidth="1"/>
    <col min="10251" max="10251" width="8.7109375" style="70" customWidth="1"/>
    <col min="10252" max="10252" width="14.85546875" style="70" customWidth="1"/>
    <col min="10253" max="10253" width="22" style="70" customWidth="1"/>
    <col min="10254" max="10254" width="21" style="70" customWidth="1"/>
    <col min="10255" max="10255" width="14.140625" style="70" customWidth="1"/>
    <col min="10256" max="10256" width="4.7109375" style="70" bestFit="1" customWidth="1"/>
    <col min="10257" max="10257" width="2.5703125" style="70" bestFit="1" customWidth="1"/>
    <col min="10258" max="10258" width="5.140625" style="70" bestFit="1" customWidth="1"/>
    <col min="10259" max="10496" width="9.140625" style="70"/>
    <col min="10497" max="10497" width="4.85546875" style="70" customWidth="1"/>
    <col min="10498" max="10498" width="53.140625" style="70" customWidth="1"/>
    <col min="10499" max="10499" width="0.140625" style="70" customWidth="1"/>
    <col min="10500" max="10500" width="14.85546875" style="70" customWidth="1"/>
    <col min="10501" max="10501" width="7" style="70" customWidth="1"/>
    <col min="10502" max="10502" width="12.5703125" style="70" bestFit="1" customWidth="1"/>
    <col min="10503" max="10503" width="7.5703125" style="70" customWidth="1"/>
    <col min="10504" max="10504" width="13.28515625" style="70" customWidth="1"/>
    <col min="10505" max="10505" width="8.140625" style="70" customWidth="1"/>
    <col min="10506" max="10506" width="14.140625" style="70" customWidth="1"/>
    <col min="10507" max="10507" width="8.7109375" style="70" customWidth="1"/>
    <col min="10508" max="10508" width="14.85546875" style="70" customWidth="1"/>
    <col min="10509" max="10509" width="22" style="70" customWidth="1"/>
    <col min="10510" max="10510" width="21" style="70" customWidth="1"/>
    <col min="10511" max="10511" width="14.140625" style="70" customWidth="1"/>
    <col min="10512" max="10512" width="4.7109375" style="70" bestFit="1" customWidth="1"/>
    <col min="10513" max="10513" width="2.5703125" style="70" bestFit="1" customWidth="1"/>
    <col min="10514" max="10514" width="5.140625" style="70" bestFit="1" customWidth="1"/>
    <col min="10515" max="10752" width="9.140625" style="70"/>
    <col min="10753" max="10753" width="4.85546875" style="70" customWidth="1"/>
    <col min="10754" max="10754" width="53.140625" style="70" customWidth="1"/>
    <col min="10755" max="10755" width="0.140625" style="70" customWidth="1"/>
    <col min="10756" max="10756" width="14.85546875" style="70" customWidth="1"/>
    <col min="10757" max="10757" width="7" style="70" customWidth="1"/>
    <col min="10758" max="10758" width="12.5703125" style="70" bestFit="1" customWidth="1"/>
    <col min="10759" max="10759" width="7.5703125" style="70" customWidth="1"/>
    <col min="10760" max="10760" width="13.28515625" style="70" customWidth="1"/>
    <col min="10761" max="10761" width="8.140625" style="70" customWidth="1"/>
    <col min="10762" max="10762" width="14.140625" style="70" customWidth="1"/>
    <col min="10763" max="10763" width="8.7109375" style="70" customWidth="1"/>
    <col min="10764" max="10764" width="14.85546875" style="70" customWidth="1"/>
    <col min="10765" max="10765" width="22" style="70" customWidth="1"/>
    <col min="10766" max="10766" width="21" style="70" customWidth="1"/>
    <col min="10767" max="10767" width="14.140625" style="70" customWidth="1"/>
    <col min="10768" max="10768" width="4.7109375" style="70" bestFit="1" customWidth="1"/>
    <col min="10769" max="10769" width="2.5703125" style="70" bestFit="1" customWidth="1"/>
    <col min="10770" max="10770" width="5.140625" style="70" bestFit="1" customWidth="1"/>
    <col min="10771" max="11008" width="9.140625" style="70"/>
    <col min="11009" max="11009" width="4.85546875" style="70" customWidth="1"/>
    <col min="11010" max="11010" width="53.140625" style="70" customWidth="1"/>
    <col min="11011" max="11011" width="0.140625" style="70" customWidth="1"/>
    <col min="11012" max="11012" width="14.85546875" style="70" customWidth="1"/>
    <col min="11013" max="11013" width="7" style="70" customWidth="1"/>
    <col min="11014" max="11014" width="12.5703125" style="70" bestFit="1" customWidth="1"/>
    <col min="11015" max="11015" width="7.5703125" style="70" customWidth="1"/>
    <col min="11016" max="11016" width="13.28515625" style="70" customWidth="1"/>
    <col min="11017" max="11017" width="8.140625" style="70" customWidth="1"/>
    <col min="11018" max="11018" width="14.140625" style="70" customWidth="1"/>
    <col min="11019" max="11019" width="8.7109375" style="70" customWidth="1"/>
    <col min="11020" max="11020" width="14.85546875" style="70" customWidth="1"/>
    <col min="11021" max="11021" width="22" style="70" customWidth="1"/>
    <col min="11022" max="11022" width="21" style="70" customWidth="1"/>
    <col min="11023" max="11023" width="14.140625" style="70" customWidth="1"/>
    <col min="11024" max="11024" width="4.7109375" style="70" bestFit="1" customWidth="1"/>
    <col min="11025" max="11025" width="2.5703125" style="70" bestFit="1" customWidth="1"/>
    <col min="11026" max="11026" width="5.140625" style="70" bestFit="1" customWidth="1"/>
    <col min="11027" max="11264" width="9.140625" style="70"/>
    <col min="11265" max="11265" width="4.85546875" style="70" customWidth="1"/>
    <col min="11266" max="11266" width="53.140625" style="70" customWidth="1"/>
    <col min="11267" max="11267" width="0.140625" style="70" customWidth="1"/>
    <col min="11268" max="11268" width="14.85546875" style="70" customWidth="1"/>
    <col min="11269" max="11269" width="7" style="70" customWidth="1"/>
    <col min="11270" max="11270" width="12.5703125" style="70" bestFit="1" customWidth="1"/>
    <col min="11271" max="11271" width="7.5703125" style="70" customWidth="1"/>
    <col min="11272" max="11272" width="13.28515625" style="70" customWidth="1"/>
    <col min="11273" max="11273" width="8.140625" style="70" customWidth="1"/>
    <col min="11274" max="11274" width="14.140625" style="70" customWidth="1"/>
    <col min="11275" max="11275" width="8.7109375" style="70" customWidth="1"/>
    <col min="11276" max="11276" width="14.85546875" style="70" customWidth="1"/>
    <col min="11277" max="11277" width="22" style="70" customWidth="1"/>
    <col min="11278" max="11278" width="21" style="70" customWidth="1"/>
    <col min="11279" max="11279" width="14.140625" style="70" customWidth="1"/>
    <col min="11280" max="11280" width="4.7109375" style="70" bestFit="1" customWidth="1"/>
    <col min="11281" max="11281" width="2.5703125" style="70" bestFit="1" customWidth="1"/>
    <col min="11282" max="11282" width="5.140625" style="70" bestFit="1" customWidth="1"/>
    <col min="11283" max="11520" width="9.140625" style="70"/>
    <col min="11521" max="11521" width="4.85546875" style="70" customWidth="1"/>
    <col min="11522" max="11522" width="53.140625" style="70" customWidth="1"/>
    <col min="11523" max="11523" width="0.140625" style="70" customWidth="1"/>
    <col min="11524" max="11524" width="14.85546875" style="70" customWidth="1"/>
    <col min="11525" max="11525" width="7" style="70" customWidth="1"/>
    <col min="11526" max="11526" width="12.5703125" style="70" bestFit="1" customWidth="1"/>
    <col min="11527" max="11527" width="7.5703125" style="70" customWidth="1"/>
    <col min="11528" max="11528" width="13.28515625" style="70" customWidth="1"/>
    <col min="11529" max="11529" width="8.140625" style="70" customWidth="1"/>
    <col min="11530" max="11530" width="14.140625" style="70" customWidth="1"/>
    <col min="11531" max="11531" width="8.7109375" style="70" customWidth="1"/>
    <col min="11532" max="11532" width="14.85546875" style="70" customWidth="1"/>
    <col min="11533" max="11533" width="22" style="70" customWidth="1"/>
    <col min="11534" max="11534" width="21" style="70" customWidth="1"/>
    <col min="11535" max="11535" width="14.140625" style="70" customWidth="1"/>
    <col min="11536" max="11536" width="4.7109375" style="70" bestFit="1" customWidth="1"/>
    <col min="11537" max="11537" width="2.5703125" style="70" bestFit="1" customWidth="1"/>
    <col min="11538" max="11538" width="5.140625" style="70" bestFit="1" customWidth="1"/>
    <col min="11539" max="11776" width="9.140625" style="70"/>
    <col min="11777" max="11777" width="4.85546875" style="70" customWidth="1"/>
    <col min="11778" max="11778" width="53.140625" style="70" customWidth="1"/>
    <col min="11779" max="11779" width="0.140625" style="70" customWidth="1"/>
    <col min="11780" max="11780" width="14.85546875" style="70" customWidth="1"/>
    <col min="11781" max="11781" width="7" style="70" customWidth="1"/>
    <col min="11782" max="11782" width="12.5703125" style="70" bestFit="1" customWidth="1"/>
    <col min="11783" max="11783" width="7.5703125" style="70" customWidth="1"/>
    <col min="11784" max="11784" width="13.28515625" style="70" customWidth="1"/>
    <col min="11785" max="11785" width="8.140625" style="70" customWidth="1"/>
    <col min="11786" max="11786" width="14.140625" style="70" customWidth="1"/>
    <col min="11787" max="11787" width="8.7109375" style="70" customWidth="1"/>
    <col min="11788" max="11788" width="14.85546875" style="70" customWidth="1"/>
    <col min="11789" max="11789" width="22" style="70" customWidth="1"/>
    <col min="11790" max="11790" width="21" style="70" customWidth="1"/>
    <col min="11791" max="11791" width="14.140625" style="70" customWidth="1"/>
    <col min="11792" max="11792" width="4.7109375" style="70" bestFit="1" customWidth="1"/>
    <col min="11793" max="11793" width="2.5703125" style="70" bestFit="1" customWidth="1"/>
    <col min="11794" max="11794" width="5.140625" style="70" bestFit="1" customWidth="1"/>
    <col min="11795" max="12032" width="9.140625" style="70"/>
    <col min="12033" max="12033" width="4.85546875" style="70" customWidth="1"/>
    <col min="12034" max="12034" width="53.140625" style="70" customWidth="1"/>
    <col min="12035" max="12035" width="0.140625" style="70" customWidth="1"/>
    <col min="12036" max="12036" width="14.85546875" style="70" customWidth="1"/>
    <col min="12037" max="12037" width="7" style="70" customWidth="1"/>
    <col min="12038" max="12038" width="12.5703125" style="70" bestFit="1" customWidth="1"/>
    <col min="12039" max="12039" width="7.5703125" style="70" customWidth="1"/>
    <col min="12040" max="12040" width="13.28515625" style="70" customWidth="1"/>
    <col min="12041" max="12041" width="8.140625" style="70" customWidth="1"/>
    <col min="12042" max="12042" width="14.140625" style="70" customWidth="1"/>
    <col min="12043" max="12043" width="8.7109375" style="70" customWidth="1"/>
    <col min="12044" max="12044" width="14.85546875" style="70" customWidth="1"/>
    <col min="12045" max="12045" width="22" style="70" customWidth="1"/>
    <col min="12046" max="12046" width="21" style="70" customWidth="1"/>
    <col min="12047" max="12047" width="14.140625" style="70" customWidth="1"/>
    <col min="12048" max="12048" width="4.7109375" style="70" bestFit="1" customWidth="1"/>
    <col min="12049" max="12049" width="2.5703125" style="70" bestFit="1" customWidth="1"/>
    <col min="12050" max="12050" width="5.140625" style="70" bestFit="1" customWidth="1"/>
    <col min="12051" max="12288" width="9.140625" style="70"/>
    <col min="12289" max="12289" width="4.85546875" style="70" customWidth="1"/>
    <col min="12290" max="12290" width="53.140625" style="70" customWidth="1"/>
    <col min="12291" max="12291" width="0.140625" style="70" customWidth="1"/>
    <col min="12292" max="12292" width="14.85546875" style="70" customWidth="1"/>
    <col min="12293" max="12293" width="7" style="70" customWidth="1"/>
    <col min="12294" max="12294" width="12.5703125" style="70" bestFit="1" customWidth="1"/>
    <col min="12295" max="12295" width="7.5703125" style="70" customWidth="1"/>
    <col min="12296" max="12296" width="13.28515625" style="70" customWidth="1"/>
    <col min="12297" max="12297" width="8.140625" style="70" customWidth="1"/>
    <col min="12298" max="12298" width="14.140625" style="70" customWidth="1"/>
    <col min="12299" max="12299" width="8.7109375" style="70" customWidth="1"/>
    <col min="12300" max="12300" width="14.85546875" style="70" customWidth="1"/>
    <col min="12301" max="12301" width="22" style="70" customWidth="1"/>
    <col min="12302" max="12302" width="21" style="70" customWidth="1"/>
    <col min="12303" max="12303" width="14.140625" style="70" customWidth="1"/>
    <col min="12304" max="12304" width="4.7109375" style="70" bestFit="1" customWidth="1"/>
    <col min="12305" max="12305" width="2.5703125" style="70" bestFit="1" customWidth="1"/>
    <col min="12306" max="12306" width="5.140625" style="70" bestFit="1" customWidth="1"/>
    <col min="12307" max="12544" width="9.140625" style="70"/>
    <col min="12545" max="12545" width="4.85546875" style="70" customWidth="1"/>
    <col min="12546" max="12546" width="53.140625" style="70" customWidth="1"/>
    <col min="12547" max="12547" width="0.140625" style="70" customWidth="1"/>
    <col min="12548" max="12548" width="14.85546875" style="70" customWidth="1"/>
    <col min="12549" max="12549" width="7" style="70" customWidth="1"/>
    <col min="12550" max="12550" width="12.5703125" style="70" bestFit="1" customWidth="1"/>
    <col min="12551" max="12551" width="7.5703125" style="70" customWidth="1"/>
    <col min="12552" max="12552" width="13.28515625" style="70" customWidth="1"/>
    <col min="12553" max="12553" width="8.140625" style="70" customWidth="1"/>
    <col min="12554" max="12554" width="14.140625" style="70" customWidth="1"/>
    <col min="12555" max="12555" width="8.7109375" style="70" customWidth="1"/>
    <col min="12556" max="12556" width="14.85546875" style="70" customWidth="1"/>
    <col min="12557" max="12557" width="22" style="70" customWidth="1"/>
    <col min="12558" max="12558" width="21" style="70" customWidth="1"/>
    <col min="12559" max="12559" width="14.140625" style="70" customWidth="1"/>
    <col min="12560" max="12560" width="4.7109375" style="70" bestFit="1" customWidth="1"/>
    <col min="12561" max="12561" width="2.5703125" style="70" bestFit="1" customWidth="1"/>
    <col min="12562" max="12562" width="5.140625" style="70" bestFit="1" customWidth="1"/>
    <col min="12563" max="12800" width="9.140625" style="70"/>
    <col min="12801" max="12801" width="4.85546875" style="70" customWidth="1"/>
    <col min="12802" max="12802" width="53.140625" style="70" customWidth="1"/>
    <col min="12803" max="12803" width="0.140625" style="70" customWidth="1"/>
    <col min="12804" max="12804" width="14.85546875" style="70" customWidth="1"/>
    <col min="12805" max="12805" width="7" style="70" customWidth="1"/>
    <col min="12806" max="12806" width="12.5703125" style="70" bestFit="1" customWidth="1"/>
    <col min="12807" max="12807" width="7.5703125" style="70" customWidth="1"/>
    <col min="12808" max="12808" width="13.28515625" style="70" customWidth="1"/>
    <col min="12809" max="12809" width="8.140625" style="70" customWidth="1"/>
    <col min="12810" max="12810" width="14.140625" style="70" customWidth="1"/>
    <col min="12811" max="12811" width="8.7109375" style="70" customWidth="1"/>
    <col min="12812" max="12812" width="14.85546875" style="70" customWidth="1"/>
    <col min="12813" max="12813" width="22" style="70" customWidth="1"/>
    <col min="12814" max="12814" width="21" style="70" customWidth="1"/>
    <col min="12815" max="12815" width="14.140625" style="70" customWidth="1"/>
    <col min="12816" max="12816" width="4.7109375" style="70" bestFit="1" customWidth="1"/>
    <col min="12817" max="12817" width="2.5703125" style="70" bestFit="1" customWidth="1"/>
    <col min="12818" max="12818" width="5.140625" style="70" bestFit="1" customWidth="1"/>
    <col min="12819" max="13056" width="9.140625" style="70"/>
    <col min="13057" max="13057" width="4.85546875" style="70" customWidth="1"/>
    <col min="13058" max="13058" width="53.140625" style="70" customWidth="1"/>
    <col min="13059" max="13059" width="0.140625" style="70" customWidth="1"/>
    <col min="13060" max="13060" width="14.85546875" style="70" customWidth="1"/>
    <col min="13061" max="13061" width="7" style="70" customWidth="1"/>
    <col min="13062" max="13062" width="12.5703125" style="70" bestFit="1" customWidth="1"/>
    <col min="13063" max="13063" width="7.5703125" style="70" customWidth="1"/>
    <col min="13064" max="13064" width="13.28515625" style="70" customWidth="1"/>
    <col min="13065" max="13065" width="8.140625" style="70" customWidth="1"/>
    <col min="13066" max="13066" width="14.140625" style="70" customWidth="1"/>
    <col min="13067" max="13067" width="8.7109375" style="70" customWidth="1"/>
    <col min="13068" max="13068" width="14.85546875" style="70" customWidth="1"/>
    <col min="13069" max="13069" width="22" style="70" customWidth="1"/>
    <col min="13070" max="13070" width="21" style="70" customWidth="1"/>
    <col min="13071" max="13071" width="14.140625" style="70" customWidth="1"/>
    <col min="13072" max="13072" width="4.7109375" style="70" bestFit="1" customWidth="1"/>
    <col min="13073" max="13073" width="2.5703125" style="70" bestFit="1" customWidth="1"/>
    <col min="13074" max="13074" width="5.140625" style="70" bestFit="1" customWidth="1"/>
    <col min="13075" max="13312" width="9.140625" style="70"/>
    <col min="13313" max="13313" width="4.85546875" style="70" customWidth="1"/>
    <col min="13314" max="13314" width="53.140625" style="70" customWidth="1"/>
    <col min="13315" max="13315" width="0.140625" style="70" customWidth="1"/>
    <col min="13316" max="13316" width="14.85546875" style="70" customWidth="1"/>
    <col min="13317" max="13317" width="7" style="70" customWidth="1"/>
    <col min="13318" max="13318" width="12.5703125" style="70" bestFit="1" customWidth="1"/>
    <col min="13319" max="13319" width="7.5703125" style="70" customWidth="1"/>
    <col min="13320" max="13320" width="13.28515625" style="70" customWidth="1"/>
    <col min="13321" max="13321" width="8.140625" style="70" customWidth="1"/>
    <col min="13322" max="13322" width="14.140625" style="70" customWidth="1"/>
    <col min="13323" max="13323" width="8.7109375" style="70" customWidth="1"/>
    <col min="13324" max="13324" width="14.85546875" style="70" customWidth="1"/>
    <col min="13325" max="13325" width="22" style="70" customWidth="1"/>
    <col min="13326" max="13326" width="21" style="70" customWidth="1"/>
    <col min="13327" max="13327" width="14.140625" style="70" customWidth="1"/>
    <col min="13328" max="13328" width="4.7109375" style="70" bestFit="1" customWidth="1"/>
    <col min="13329" max="13329" width="2.5703125" style="70" bestFit="1" customWidth="1"/>
    <col min="13330" max="13330" width="5.140625" style="70" bestFit="1" customWidth="1"/>
    <col min="13331" max="13568" width="9.140625" style="70"/>
    <col min="13569" max="13569" width="4.85546875" style="70" customWidth="1"/>
    <col min="13570" max="13570" width="53.140625" style="70" customWidth="1"/>
    <col min="13571" max="13571" width="0.140625" style="70" customWidth="1"/>
    <col min="13572" max="13572" width="14.85546875" style="70" customWidth="1"/>
    <col min="13573" max="13573" width="7" style="70" customWidth="1"/>
    <col min="13574" max="13574" width="12.5703125" style="70" bestFit="1" customWidth="1"/>
    <col min="13575" max="13575" width="7.5703125" style="70" customWidth="1"/>
    <col min="13576" max="13576" width="13.28515625" style="70" customWidth="1"/>
    <col min="13577" max="13577" width="8.140625" style="70" customWidth="1"/>
    <col min="13578" max="13578" width="14.140625" style="70" customWidth="1"/>
    <col min="13579" max="13579" width="8.7109375" style="70" customWidth="1"/>
    <col min="13580" max="13580" width="14.85546875" style="70" customWidth="1"/>
    <col min="13581" max="13581" width="22" style="70" customWidth="1"/>
    <col min="13582" max="13582" width="21" style="70" customWidth="1"/>
    <col min="13583" max="13583" width="14.140625" style="70" customWidth="1"/>
    <col min="13584" max="13584" width="4.7109375" style="70" bestFit="1" customWidth="1"/>
    <col min="13585" max="13585" width="2.5703125" style="70" bestFit="1" customWidth="1"/>
    <col min="13586" max="13586" width="5.140625" style="70" bestFit="1" customWidth="1"/>
    <col min="13587" max="13824" width="9.140625" style="70"/>
    <col min="13825" max="13825" width="4.85546875" style="70" customWidth="1"/>
    <col min="13826" max="13826" width="53.140625" style="70" customWidth="1"/>
    <col min="13827" max="13827" width="0.140625" style="70" customWidth="1"/>
    <col min="13828" max="13828" width="14.85546875" style="70" customWidth="1"/>
    <col min="13829" max="13829" width="7" style="70" customWidth="1"/>
    <col min="13830" max="13830" width="12.5703125" style="70" bestFit="1" customWidth="1"/>
    <col min="13831" max="13831" width="7.5703125" style="70" customWidth="1"/>
    <col min="13832" max="13832" width="13.28515625" style="70" customWidth="1"/>
    <col min="13833" max="13833" width="8.140625" style="70" customWidth="1"/>
    <col min="13834" max="13834" width="14.140625" style="70" customWidth="1"/>
    <col min="13835" max="13835" width="8.7109375" style="70" customWidth="1"/>
    <col min="13836" max="13836" width="14.85546875" style="70" customWidth="1"/>
    <col min="13837" max="13837" width="22" style="70" customWidth="1"/>
    <col min="13838" max="13838" width="21" style="70" customWidth="1"/>
    <col min="13839" max="13839" width="14.140625" style="70" customWidth="1"/>
    <col min="13840" max="13840" width="4.7109375" style="70" bestFit="1" customWidth="1"/>
    <col min="13841" max="13841" width="2.5703125" style="70" bestFit="1" customWidth="1"/>
    <col min="13842" max="13842" width="5.140625" style="70" bestFit="1" customWidth="1"/>
    <col min="13843" max="14080" width="9.140625" style="70"/>
    <col min="14081" max="14081" width="4.85546875" style="70" customWidth="1"/>
    <col min="14082" max="14082" width="53.140625" style="70" customWidth="1"/>
    <col min="14083" max="14083" width="0.140625" style="70" customWidth="1"/>
    <col min="14084" max="14084" width="14.85546875" style="70" customWidth="1"/>
    <col min="14085" max="14085" width="7" style="70" customWidth="1"/>
    <col min="14086" max="14086" width="12.5703125" style="70" bestFit="1" customWidth="1"/>
    <col min="14087" max="14087" width="7.5703125" style="70" customWidth="1"/>
    <col min="14088" max="14088" width="13.28515625" style="70" customWidth="1"/>
    <col min="14089" max="14089" width="8.140625" style="70" customWidth="1"/>
    <col min="14090" max="14090" width="14.140625" style="70" customWidth="1"/>
    <col min="14091" max="14091" width="8.7109375" style="70" customWidth="1"/>
    <col min="14092" max="14092" width="14.85546875" style="70" customWidth="1"/>
    <col min="14093" max="14093" width="22" style="70" customWidth="1"/>
    <col min="14094" max="14094" width="21" style="70" customWidth="1"/>
    <col min="14095" max="14095" width="14.140625" style="70" customWidth="1"/>
    <col min="14096" max="14096" width="4.7109375" style="70" bestFit="1" customWidth="1"/>
    <col min="14097" max="14097" width="2.5703125" style="70" bestFit="1" customWidth="1"/>
    <col min="14098" max="14098" width="5.140625" style="70" bestFit="1" customWidth="1"/>
    <col min="14099" max="14336" width="9.140625" style="70"/>
    <col min="14337" max="14337" width="4.85546875" style="70" customWidth="1"/>
    <col min="14338" max="14338" width="53.140625" style="70" customWidth="1"/>
    <col min="14339" max="14339" width="0.140625" style="70" customWidth="1"/>
    <col min="14340" max="14340" width="14.85546875" style="70" customWidth="1"/>
    <col min="14341" max="14341" width="7" style="70" customWidth="1"/>
    <col min="14342" max="14342" width="12.5703125" style="70" bestFit="1" customWidth="1"/>
    <col min="14343" max="14343" width="7.5703125" style="70" customWidth="1"/>
    <col min="14344" max="14344" width="13.28515625" style="70" customWidth="1"/>
    <col min="14345" max="14345" width="8.140625" style="70" customWidth="1"/>
    <col min="14346" max="14346" width="14.140625" style="70" customWidth="1"/>
    <col min="14347" max="14347" width="8.7109375" style="70" customWidth="1"/>
    <col min="14348" max="14348" width="14.85546875" style="70" customWidth="1"/>
    <col min="14349" max="14349" width="22" style="70" customWidth="1"/>
    <col min="14350" max="14350" width="21" style="70" customWidth="1"/>
    <col min="14351" max="14351" width="14.140625" style="70" customWidth="1"/>
    <col min="14352" max="14352" width="4.7109375" style="70" bestFit="1" customWidth="1"/>
    <col min="14353" max="14353" width="2.5703125" style="70" bestFit="1" customWidth="1"/>
    <col min="14354" max="14354" width="5.140625" style="70" bestFit="1" customWidth="1"/>
    <col min="14355" max="14592" width="9.140625" style="70"/>
    <col min="14593" max="14593" width="4.85546875" style="70" customWidth="1"/>
    <col min="14594" max="14594" width="53.140625" style="70" customWidth="1"/>
    <col min="14595" max="14595" width="0.140625" style="70" customWidth="1"/>
    <col min="14596" max="14596" width="14.85546875" style="70" customWidth="1"/>
    <col min="14597" max="14597" width="7" style="70" customWidth="1"/>
    <col min="14598" max="14598" width="12.5703125" style="70" bestFit="1" customWidth="1"/>
    <col min="14599" max="14599" width="7.5703125" style="70" customWidth="1"/>
    <col min="14600" max="14600" width="13.28515625" style="70" customWidth="1"/>
    <col min="14601" max="14601" width="8.140625" style="70" customWidth="1"/>
    <col min="14602" max="14602" width="14.140625" style="70" customWidth="1"/>
    <col min="14603" max="14603" width="8.7109375" style="70" customWidth="1"/>
    <col min="14604" max="14604" width="14.85546875" style="70" customWidth="1"/>
    <col min="14605" max="14605" width="22" style="70" customWidth="1"/>
    <col min="14606" max="14606" width="21" style="70" customWidth="1"/>
    <col min="14607" max="14607" width="14.140625" style="70" customWidth="1"/>
    <col min="14608" max="14608" width="4.7109375" style="70" bestFit="1" customWidth="1"/>
    <col min="14609" max="14609" width="2.5703125" style="70" bestFit="1" customWidth="1"/>
    <col min="14610" max="14610" width="5.140625" style="70" bestFit="1" customWidth="1"/>
    <col min="14611" max="14848" width="9.140625" style="70"/>
    <col min="14849" max="14849" width="4.85546875" style="70" customWidth="1"/>
    <col min="14850" max="14850" width="53.140625" style="70" customWidth="1"/>
    <col min="14851" max="14851" width="0.140625" style="70" customWidth="1"/>
    <col min="14852" max="14852" width="14.85546875" style="70" customWidth="1"/>
    <col min="14853" max="14853" width="7" style="70" customWidth="1"/>
    <col min="14854" max="14854" width="12.5703125" style="70" bestFit="1" customWidth="1"/>
    <col min="14855" max="14855" width="7.5703125" style="70" customWidth="1"/>
    <col min="14856" max="14856" width="13.28515625" style="70" customWidth="1"/>
    <col min="14857" max="14857" width="8.140625" style="70" customWidth="1"/>
    <col min="14858" max="14858" width="14.140625" style="70" customWidth="1"/>
    <col min="14859" max="14859" width="8.7109375" style="70" customWidth="1"/>
    <col min="14860" max="14860" width="14.85546875" style="70" customWidth="1"/>
    <col min="14861" max="14861" width="22" style="70" customWidth="1"/>
    <col min="14862" max="14862" width="21" style="70" customWidth="1"/>
    <col min="14863" max="14863" width="14.140625" style="70" customWidth="1"/>
    <col min="14864" max="14864" width="4.7109375" style="70" bestFit="1" customWidth="1"/>
    <col min="14865" max="14865" width="2.5703125" style="70" bestFit="1" customWidth="1"/>
    <col min="14866" max="14866" width="5.140625" style="70" bestFit="1" customWidth="1"/>
    <col min="14867" max="15104" width="9.140625" style="70"/>
    <col min="15105" max="15105" width="4.85546875" style="70" customWidth="1"/>
    <col min="15106" max="15106" width="53.140625" style="70" customWidth="1"/>
    <col min="15107" max="15107" width="0.140625" style="70" customWidth="1"/>
    <col min="15108" max="15108" width="14.85546875" style="70" customWidth="1"/>
    <col min="15109" max="15109" width="7" style="70" customWidth="1"/>
    <col min="15110" max="15110" width="12.5703125" style="70" bestFit="1" customWidth="1"/>
    <col min="15111" max="15111" width="7.5703125" style="70" customWidth="1"/>
    <col min="15112" max="15112" width="13.28515625" style="70" customWidth="1"/>
    <col min="15113" max="15113" width="8.140625" style="70" customWidth="1"/>
    <col min="15114" max="15114" width="14.140625" style="70" customWidth="1"/>
    <col min="15115" max="15115" width="8.7109375" style="70" customWidth="1"/>
    <col min="15116" max="15116" width="14.85546875" style="70" customWidth="1"/>
    <col min="15117" max="15117" width="22" style="70" customWidth="1"/>
    <col min="15118" max="15118" width="21" style="70" customWidth="1"/>
    <col min="15119" max="15119" width="14.140625" style="70" customWidth="1"/>
    <col min="15120" max="15120" width="4.7109375" style="70" bestFit="1" customWidth="1"/>
    <col min="15121" max="15121" width="2.5703125" style="70" bestFit="1" customWidth="1"/>
    <col min="15122" max="15122" width="5.140625" style="70" bestFit="1" customWidth="1"/>
    <col min="15123" max="15360" width="9.140625" style="70"/>
    <col min="15361" max="15361" width="4.85546875" style="70" customWidth="1"/>
    <col min="15362" max="15362" width="53.140625" style="70" customWidth="1"/>
    <col min="15363" max="15363" width="0.140625" style="70" customWidth="1"/>
    <col min="15364" max="15364" width="14.85546875" style="70" customWidth="1"/>
    <col min="15365" max="15365" width="7" style="70" customWidth="1"/>
    <col min="15366" max="15366" width="12.5703125" style="70" bestFit="1" customWidth="1"/>
    <col min="15367" max="15367" width="7.5703125" style="70" customWidth="1"/>
    <col min="15368" max="15368" width="13.28515625" style="70" customWidth="1"/>
    <col min="15369" max="15369" width="8.140625" style="70" customWidth="1"/>
    <col min="15370" max="15370" width="14.140625" style="70" customWidth="1"/>
    <col min="15371" max="15371" width="8.7109375" style="70" customWidth="1"/>
    <col min="15372" max="15372" width="14.85546875" style="70" customWidth="1"/>
    <col min="15373" max="15373" width="22" style="70" customWidth="1"/>
    <col min="15374" max="15374" width="21" style="70" customWidth="1"/>
    <col min="15375" max="15375" width="14.140625" style="70" customWidth="1"/>
    <col min="15376" max="15376" width="4.7109375" style="70" bestFit="1" customWidth="1"/>
    <col min="15377" max="15377" width="2.5703125" style="70" bestFit="1" customWidth="1"/>
    <col min="15378" max="15378" width="5.140625" style="70" bestFit="1" customWidth="1"/>
    <col min="15379" max="15616" width="9.140625" style="70"/>
    <col min="15617" max="15617" width="4.85546875" style="70" customWidth="1"/>
    <col min="15618" max="15618" width="53.140625" style="70" customWidth="1"/>
    <col min="15619" max="15619" width="0.140625" style="70" customWidth="1"/>
    <col min="15620" max="15620" width="14.85546875" style="70" customWidth="1"/>
    <col min="15621" max="15621" width="7" style="70" customWidth="1"/>
    <col min="15622" max="15622" width="12.5703125" style="70" bestFit="1" customWidth="1"/>
    <col min="15623" max="15623" width="7.5703125" style="70" customWidth="1"/>
    <col min="15624" max="15624" width="13.28515625" style="70" customWidth="1"/>
    <col min="15625" max="15625" width="8.140625" style="70" customWidth="1"/>
    <col min="15626" max="15626" width="14.140625" style="70" customWidth="1"/>
    <col min="15627" max="15627" width="8.7109375" style="70" customWidth="1"/>
    <col min="15628" max="15628" width="14.85546875" style="70" customWidth="1"/>
    <col min="15629" max="15629" width="22" style="70" customWidth="1"/>
    <col min="15630" max="15630" width="21" style="70" customWidth="1"/>
    <col min="15631" max="15631" width="14.140625" style="70" customWidth="1"/>
    <col min="15632" max="15632" width="4.7109375" style="70" bestFit="1" customWidth="1"/>
    <col min="15633" max="15633" width="2.5703125" style="70" bestFit="1" customWidth="1"/>
    <col min="15634" max="15634" width="5.140625" style="70" bestFit="1" customWidth="1"/>
    <col min="15635" max="15872" width="9.140625" style="70"/>
    <col min="15873" max="15873" width="4.85546875" style="70" customWidth="1"/>
    <col min="15874" max="15874" width="53.140625" style="70" customWidth="1"/>
    <col min="15875" max="15875" width="0.140625" style="70" customWidth="1"/>
    <col min="15876" max="15876" width="14.85546875" style="70" customWidth="1"/>
    <col min="15877" max="15877" width="7" style="70" customWidth="1"/>
    <col min="15878" max="15878" width="12.5703125" style="70" bestFit="1" customWidth="1"/>
    <col min="15879" max="15879" width="7.5703125" style="70" customWidth="1"/>
    <col min="15880" max="15880" width="13.28515625" style="70" customWidth="1"/>
    <col min="15881" max="15881" width="8.140625" style="70" customWidth="1"/>
    <col min="15882" max="15882" width="14.140625" style="70" customWidth="1"/>
    <col min="15883" max="15883" width="8.7109375" style="70" customWidth="1"/>
    <col min="15884" max="15884" width="14.85546875" style="70" customWidth="1"/>
    <col min="15885" max="15885" width="22" style="70" customWidth="1"/>
    <col min="15886" max="15886" width="21" style="70" customWidth="1"/>
    <col min="15887" max="15887" width="14.140625" style="70" customWidth="1"/>
    <col min="15888" max="15888" width="4.7109375" style="70" bestFit="1" customWidth="1"/>
    <col min="15889" max="15889" width="2.5703125" style="70" bestFit="1" customWidth="1"/>
    <col min="15890" max="15890" width="5.140625" style="70" bestFit="1" customWidth="1"/>
    <col min="15891" max="16128" width="9.140625" style="70"/>
    <col min="16129" max="16129" width="4.85546875" style="70" customWidth="1"/>
    <col min="16130" max="16130" width="53.140625" style="70" customWidth="1"/>
    <col min="16131" max="16131" width="0.140625" style="70" customWidth="1"/>
    <col min="16132" max="16132" width="14.85546875" style="70" customWidth="1"/>
    <col min="16133" max="16133" width="7" style="70" customWidth="1"/>
    <col min="16134" max="16134" width="12.5703125" style="70" bestFit="1" customWidth="1"/>
    <col min="16135" max="16135" width="7.5703125" style="70" customWidth="1"/>
    <col min="16136" max="16136" width="13.28515625" style="70" customWidth="1"/>
    <col min="16137" max="16137" width="8.140625" style="70" customWidth="1"/>
    <col min="16138" max="16138" width="14.140625" style="70" customWidth="1"/>
    <col min="16139" max="16139" width="8.7109375" style="70" customWidth="1"/>
    <col min="16140" max="16140" width="14.85546875" style="70" customWidth="1"/>
    <col min="16141" max="16141" width="22" style="70" customWidth="1"/>
    <col min="16142" max="16142" width="21" style="70" customWidth="1"/>
    <col min="16143" max="16143" width="14.140625" style="70" customWidth="1"/>
    <col min="16144" max="16144" width="4.7109375" style="70" bestFit="1" customWidth="1"/>
    <col min="16145" max="16145" width="2.5703125" style="70" bestFit="1" customWidth="1"/>
    <col min="16146" max="16146" width="5.140625" style="70" bestFit="1" customWidth="1"/>
    <col min="16147" max="16384" width="9.140625" style="70"/>
  </cols>
  <sheetData>
    <row r="1" spans="1:16" ht="18">
      <c r="B1" s="597"/>
      <c r="C1" s="597"/>
      <c r="D1" s="3115" t="s">
        <v>2445</v>
      </c>
      <c r="E1" s="3115"/>
      <c r="F1" s="3115"/>
      <c r="G1" s="3115"/>
      <c r="H1" s="3115"/>
      <c r="I1" s="597"/>
      <c r="J1" s="597"/>
      <c r="K1" s="597"/>
      <c r="L1" s="597"/>
    </row>
    <row r="2" spans="1:16" ht="11.25" customHeight="1">
      <c r="A2" s="73"/>
      <c r="B2" s="73"/>
      <c r="C2" s="2025"/>
      <c r="D2" s="74"/>
      <c r="E2" s="73"/>
      <c r="F2" s="73"/>
      <c r="G2" s="73"/>
      <c r="H2" s="73"/>
      <c r="I2" s="73"/>
      <c r="J2" s="73"/>
      <c r="K2" s="73"/>
      <c r="L2" s="73"/>
    </row>
    <row r="3" spans="1:16" ht="16.5" customHeight="1">
      <c r="A3" s="3334" t="s">
        <v>2446</v>
      </c>
      <c r="B3" s="3334"/>
      <c r="C3" s="3334"/>
      <c r="D3" s="3334"/>
      <c r="E3" s="3334"/>
      <c r="F3" s="3334"/>
      <c r="G3" s="3334"/>
      <c r="H3" s="3334"/>
      <c r="I3" s="3334"/>
      <c r="J3" s="3334"/>
      <c r="K3" s="3334"/>
      <c r="L3" s="3334"/>
    </row>
    <row r="4" spans="1:16" ht="13.5" customHeight="1">
      <c r="A4" s="2026"/>
      <c r="B4" s="2026"/>
      <c r="C4" s="2026"/>
      <c r="D4" s="2026"/>
      <c r="E4" s="2026"/>
      <c r="F4" s="2026"/>
      <c r="G4" s="2026"/>
      <c r="H4" s="2026"/>
      <c r="I4" s="2026"/>
      <c r="J4" s="2026"/>
      <c r="K4" s="2026"/>
      <c r="L4" s="2026"/>
    </row>
    <row r="5" spans="1:16" ht="15.75">
      <c r="A5" s="832"/>
      <c r="B5" s="832"/>
      <c r="C5" s="2027"/>
      <c r="D5" s="1984"/>
      <c r="E5" s="832"/>
      <c r="F5" s="832"/>
      <c r="G5" s="832"/>
      <c r="H5" s="832"/>
      <c r="I5" s="832"/>
      <c r="J5" s="832"/>
      <c r="K5" s="832"/>
      <c r="L5" s="1923" t="s">
        <v>89</v>
      </c>
    </row>
    <row r="6" spans="1:16" ht="9" customHeight="1">
      <c r="A6" s="832"/>
      <c r="B6" s="832"/>
      <c r="C6" s="2027"/>
      <c r="D6" s="1984"/>
      <c r="E6" s="832"/>
      <c r="F6" s="832"/>
      <c r="G6" s="832"/>
      <c r="H6" s="832"/>
      <c r="I6" s="832"/>
      <c r="J6" s="832"/>
      <c r="K6" s="832"/>
      <c r="L6" s="573"/>
    </row>
    <row r="7" spans="1:16" ht="18.75" customHeight="1">
      <c r="A7" s="3124" t="s">
        <v>2</v>
      </c>
      <c r="B7" s="3124" t="s">
        <v>3</v>
      </c>
      <c r="C7" s="3028" t="s">
        <v>2447</v>
      </c>
      <c r="D7" s="3028" t="s">
        <v>4</v>
      </c>
      <c r="E7" s="3124" t="s">
        <v>5</v>
      </c>
      <c r="F7" s="3373" t="s">
        <v>9</v>
      </c>
      <c r="G7" s="3124" t="s">
        <v>2448</v>
      </c>
      <c r="H7" s="3124"/>
      <c r="I7" s="3124" t="s">
        <v>2449</v>
      </c>
      <c r="J7" s="3124"/>
      <c r="K7" s="3124" t="s">
        <v>2450</v>
      </c>
      <c r="L7" s="3124"/>
    </row>
    <row r="8" spans="1:16" ht="18.75" customHeight="1">
      <c r="A8" s="3124"/>
      <c r="B8" s="3124"/>
      <c r="C8" s="3028"/>
      <c r="D8" s="3028"/>
      <c r="E8" s="3124"/>
      <c r="F8" s="3374"/>
      <c r="G8" s="1902" t="s">
        <v>143</v>
      </c>
      <c r="H8" s="1902" t="s">
        <v>10</v>
      </c>
      <c r="I8" s="1902" t="s">
        <v>143</v>
      </c>
      <c r="J8" s="1902" t="s">
        <v>10</v>
      </c>
      <c r="K8" s="1902" t="s">
        <v>143</v>
      </c>
      <c r="L8" s="1902" t="s">
        <v>10</v>
      </c>
    </row>
    <row r="9" spans="1:16" ht="18.75" customHeight="1">
      <c r="A9" s="1902">
        <v>1</v>
      </c>
      <c r="B9" s="1902">
        <v>2</v>
      </c>
      <c r="C9" s="1902">
        <v>3</v>
      </c>
      <c r="D9" s="1836">
        <v>3</v>
      </c>
      <c r="E9" s="1902">
        <v>4</v>
      </c>
      <c r="F9" s="1902">
        <v>5</v>
      </c>
      <c r="G9" s="1902">
        <v>6</v>
      </c>
      <c r="H9" s="1902">
        <v>7</v>
      </c>
      <c r="I9" s="1902">
        <v>8</v>
      </c>
      <c r="J9" s="1902">
        <v>9</v>
      </c>
      <c r="K9" s="1902">
        <v>10</v>
      </c>
      <c r="L9" s="1902">
        <v>11</v>
      </c>
    </row>
    <row r="10" spans="1:16" ht="18.75" customHeight="1">
      <c r="A10" s="1080">
        <v>1</v>
      </c>
      <c r="B10" s="1840" t="s">
        <v>2451</v>
      </c>
      <c r="C10" s="2359"/>
      <c r="D10" s="1826">
        <v>7132210019</v>
      </c>
      <c r="E10" s="1080" t="s">
        <v>33</v>
      </c>
      <c r="F10" s="1081">
        <f>VLOOKUP(D10,'[25]SOR RATE'!A:D,4,0)</f>
        <v>120435.39</v>
      </c>
      <c r="G10" s="1080">
        <v>1</v>
      </c>
      <c r="H10" s="1081">
        <f>G10*F10</f>
        <v>120435.39</v>
      </c>
      <c r="I10" s="1080"/>
      <c r="J10" s="1080"/>
      <c r="K10" s="1080"/>
      <c r="L10" s="1080"/>
      <c r="M10" s="2028"/>
      <c r="N10" s="364"/>
      <c r="O10" s="364"/>
      <c r="P10" s="364"/>
    </row>
    <row r="11" spans="1:16" ht="18.75" customHeight="1">
      <c r="A11" s="1080">
        <v>2</v>
      </c>
      <c r="B11" s="1840" t="s">
        <v>2452</v>
      </c>
      <c r="C11" s="2359"/>
      <c r="D11" s="1826">
        <v>7132210020</v>
      </c>
      <c r="E11" s="1080" t="s">
        <v>33</v>
      </c>
      <c r="F11" s="1081">
        <f>VLOOKUP(D11,'[25]SOR RATE'!A:D,4,0)</f>
        <v>158302.13</v>
      </c>
      <c r="G11" s="1080"/>
      <c r="H11" s="1081"/>
      <c r="I11" s="1080">
        <v>1</v>
      </c>
      <c r="J11" s="1081">
        <f>I11*F11</f>
        <v>158302.13</v>
      </c>
      <c r="K11" s="1080"/>
      <c r="L11" s="1080"/>
      <c r="M11" s="2028"/>
    </row>
    <row r="12" spans="1:16" ht="18.75" customHeight="1">
      <c r="A12" s="1080">
        <v>3</v>
      </c>
      <c r="B12" s="1840" t="s">
        <v>2453</v>
      </c>
      <c r="C12" s="2359"/>
      <c r="D12" s="1826">
        <v>7132210021</v>
      </c>
      <c r="E12" s="1080" t="s">
        <v>33</v>
      </c>
      <c r="F12" s="1081">
        <f>VLOOKUP(D12,'[25]SOR RATE'!A:D,4,0)</f>
        <v>291828.78999999998</v>
      </c>
      <c r="G12" s="1080"/>
      <c r="H12" s="1081"/>
      <c r="I12" s="1080"/>
      <c r="J12" s="1081"/>
      <c r="K12" s="1080">
        <v>1</v>
      </c>
      <c r="L12" s="1081">
        <f t="shared" ref="L12:L17" si="0">K12*F12</f>
        <v>291828.78999999998</v>
      </c>
      <c r="M12" s="2028"/>
    </row>
    <row r="13" spans="1:16" ht="20.25" customHeight="1">
      <c r="A13" s="1080">
        <v>4</v>
      </c>
      <c r="B13" s="1840" t="s">
        <v>2454</v>
      </c>
      <c r="C13" s="2359"/>
      <c r="D13" s="1855">
        <v>7130810216</v>
      </c>
      <c r="E13" s="1080" t="s">
        <v>15</v>
      </c>
      <c r="F13" s="1081">
        <f>VLOOKUP(D13,'[25]SOR RATE'!A:D,4,0)</f>
        <v>393.51</v>
      </c>
      <c r="G13" s="1080"/>
      <c r="H13" s="1081"/>
      <c r="I13" s="1080">
        <v>8</v>
      </c>
      <c r="J13" s="1081">
        <f>I13*F13</f>
        <v>3148.08</v>
      </c>
      <c r="K13" s="1080">
        <v>8</v>
      </c>
      <c r="L13" s="1081">
        <f t="shared" si="0"/>
        <v>3148.08</v>
      </c>
      <c r="M13" s="1970" t="s">
        <v>119</v>
      </c>
    </row>
    <row r="14" spans="1:16" ht="34.5" customHeight="1">
      <c r="A14" s="1907">
        <v>5</v>
      </c>
      <c r="B14" s="1886" t="s">
        <v>2455</v>
      </c>
      <c r="C14" s="2359"/>
      <c r="D14" s="1826">
        <v>7130600675</v>
      </c>
      <c r="E14" s="1080" t="s">
        <v>26</v>
      </c>
      <c r="F14" s="1081">
        <f>VLOOKUP(D14,'[25]SOR RATE'!A:D,4,0)/1000</f>
        <v>68.748589999999993</v>
      </c>
      <c r="G14" s="1907"/>
      <c r="H14" s="1054"/>
      <c r="I14" s="1907">
        <v>857.8</v>
      </c>
      <c r="J14" s="1054">
        <f>I14*F14</f>
        <v>58972.540501999989</v>
      </c>
      <c r="K14" s="1907">
        <f>+I14</f>
        <v>857.8</v>
      </c>
      <c r="L14" s="1054">
        <f t="shared" si="0"/>
        <v>58972.540501999989</v>
      </c>
    </row>
    <row r="15" spans="1:16" ht="18.75" customHeight="1">
      <c r="A15" s="3337">
        <v>6</v>
      </c>
      <c r="B15" s="1840" t="s">
        <v>24</v>
      </c>
      <c r="C15" s="2360" t="s">
        <v>2456</v>
      </c>
      <c r="D15" s="1826">
        <v>7130860032</v>
      </c>
      <c r="E15" s="1080" t="s">
        <v>12</v>
      </c>
      <c r="F15" s="1081">
        <f>VLOOKUP(D15,'[25]SOR RATE'!A:D,4,0)</f>
        <v>566.19000000000005</v>
      </c>
      <c r="G15" s="1080"/>
      <c r="H15" s="1081"/>
      <c r="I15" s="1080">
        <v>4</v>
      </c>
      <c r="J15" s="1081">
        <f>I15*F15</f>
        <v>2264.7600000000002</v>
      </c>
      <c r="K15" s="1080">
        <v>4</v>
      </c>
      <c r="L15" s="1081">
        <f t="shared" si="0"/>
        <v>2264.7600000000002</v>
      </c>
    </row>
    <row r="16" spans="1:16" ht="18.75" customHeight="1">
      <c r="A16" s="3338"/>
      <c r="B16" s="1825" t="s">
        <v>25</v>
      </c>
      <c r="C16" s="2360" t="s">
        <v>2457</v>
      </c>
      <c r="D16" s="1826">
        <v>7130860077</v>
      </c>
      <c r="E16" s="1080" t="s">
        <v>26</v>
      </c>
      <c r="F16" s="1081">
        <f>VLOOKUP(D16,'[25]SOR RATE'!A:D,4,0)/1000</f>
        <v>93.76643</v>
      </c>
      <c r="G16" s="1080"/>
      <c r="H16" s="1081"/>
      <c r="I16" s="1080">
        <v>22</v>
      </c>
      <c r="J16" s="1081">
        <f>I16*F16</f>
        <v>2062.8614600000001</v>
      </c>
      <c r="K16" s="1080">
        <v>22</v>
      </c>
      <c r="L16" s="1081">
        <f t="shared" si="0"/>
        <v>2062.8614600000001</v>
      </c>
    </row>
    <row r="17" spans="1:18" ht="18.75" customHeight="1">
      <c r="A17" s="3339"/>
      <c r="B17" s="366" t="s">
        <v>226</v>
      </c>
      <c r="C17" s="2361" t="s">
        <v>2458</v>
      </c>
      <c r="D17" s="1826">
        <v>7130810216</v>
      </c>
      <c r="E17" s="1080" t="s">
        <v>15</v>
      </c>
      <c r="F17" s="1081">
        <f>VLOOKUP(D17,'[25]SOR RATE'!A:D,4,0)</f>
        <v>393.51</v>
      </c>
      <c r="G17" s="1080"/>
      <c r="H17" s="1081"/>
      <c r="I17" s="1080">
        <v>4</v>
      </c>
      <c r="J17" s="1081">
        <f>I17*F17</f>
        <v>1574.04</v>
      </c>
      <c r="K17" s="1080">
        <v>4</v>
      </c>
      <c r="L17" s="1081">
        <f t="shared" si="0"/>
        <v>1574.04</v>
      </c>
      <c r="N17" s="366"/>
      <c r="O17" s="108"/>
      <c r="P17" s="108"/>
      <c r="Q17" s="108"/>
      <c r="R17" s="108"/>
    </row>
    <row r="18" spans="1:18" ht="49.5" customHeight="1">
      <c r="A18" s="1080">
        <v>7</v>
      </c>
      <c r="B18" s="1886" t="s">
        <v>2459</v>
      </c>
      <c r="C18" s="2362"/>
      <c r="D18" s="1826">
        <v>7130200202</v>
      </c>
      <c r="E18" s="1080" t="s">
        <v>76</v>
      </c>
      <c r="F18" s="1081">
        <f>VLOOKUP(D18,'[25]SOR RATE'!A:D,4,0)</f>
        <v>2970</v>
      </c>
      <c r="G18" s="1080"/>
      <c r="H18" s="1081"/>
      <c r="I18" s="1080">
        <f>(0.35*4)+(0.2*4)</f>
        <v>2.2000000000000002</v>
      </c>
      <c r="J18" s="1081">
        <f>F18*I18</f>
        <v>6534.0000000000009</v>
      </c>
      <c r="K18" s="1080">
        <f>(0.35*4)+(0.2*4)</f>
        <v>2.2000000000000002</v>
      </c>
      <c r="L18" s="1081">
        <f>F18*K18</f>
        <v>6534.0000000000009</v>
      </c>
      <c r="M18" s="623" t="s">
        <v>47</v>
      </c>
      <c r="O18" s="1977"/>
    </row>
    <row r="19" spans="1:18" ht="31.5" customHeight="1">
      <c r="A19" s="1080">
        <v>8</v>
      </c>
      <c r="B19" s="1886" t="s">
        <v>77</v>
      </c>
      <c r="C19" s="2363" t="s">
        <v>2460</v>
      </c>
      <c r="D19" s="1826">
        <v>7130870013</v>
      </c>
      <c r="E19" s="1080" t="s">
        <v>12</v>
      </c>
      <c r="F19" s="1081">
        <f>VLOOKUP(D19,'[25]SOR RATE'!A:D,4,0)</f>
        <v>152.88999999999999</v>
      </c>
      <c r="G19" s="1080"/>
      <c r="H19" s="1081"/>
      <c r="I19" s="1080">
        <v>1</v>
      </c>
      <c r="J19" s="1081">
        <f t="shared" ref="J19" si="1">I19*F19</f>
        <v>152.88999999999999</v>
      </c>
      <c r="K19" s="1080">
        <v>1</v>
      </c>
      <c r="L19" s="1081">
        <f t="shared" ref="L19" si="2">K19*F19</f>
        <v>152.88999999999999</v>
      </c>
    </row>
    <row r="20" spans="1:18" ht="18.75" customHeight="1">
      <c r="A20" s="1080">
        <v>9</v>
      </c>
      <c r="B20" s="1825" t="s">
        <v>28</v>
      </c>
      <c r="C20" s="2361" t="s">
        <v>2461</v>
      </c>
      <c r="D20" s="1826">
        <v>7130211158</v>
      </c>
      <c r="E20" s="1080" t="s">
        <v>29</v>
      </c>
      <c r="F20" s="1081">
        <f>VLOOKUP(D20,'[25]SOR RATE'!A:D,4,0)</f>
        <v>193.62</v>
      </c>
      <c r="G20" s="1080"/>
      <c r="H20" s="1081"/>
      <c r="I20" s="1080">
        <v>1</v>
      </c>
      <c r="J20" s="1081">
        <f>I20*F20</f>
        <v>193.62</v>
      </c>
      <c r="K20" s="1080">
        <v>1</v>
      </c>
      <c r="L20" s="1081">
        <f>K20*F20</f>
        <v>193.62</v>
      </c>
    </row>
    <row r="21" spans="1:18" ht="18.75" customHeight="1">
      <c r="A21" s="1080">
        <v>10</v>
      </c>
      <c r="B21" s="1825" t="s">
        <v>30</v>
      </c>
      <c r="C21" s="2361" t="s">
        <v>2462</v>
      </c>
      <c r="D21" s="1826">
        <v>7130210809</v>
      </c>
      <c r="E21" s="1080" t="s">
        <v>29</v>
      </c>
      <c r="F21" s="1081">
        <f>VLOOKUP(D21,'[25]SOR RATE'!A:D,4,0)</f>
        <v>432.63</v>
      </c>
      <c r="G21" s="1080"/>
      <c r="H21" s="1081"/>
      <c r="I21" s="1080">
        <v>1</v>
      </c>
      <c r="J21" s="1081">
        <f>I21*F21</f>
        <v>432.63</v>
      </c>
      <c r="K21" s="1080">
        <v>1</v>
      </c>
      <c r="L21" s="1081">
        <f>K21*F21</f>
        <v>432.63</v>
      </c>
    </row>
    <row r="22" spans="1:18" ht="20.25" customHeight="1">
      <c r="A22" s="1080">
        <v>11</v>
      </c>
      <c r="B22" s="1051" t="s">
        <v>31</v>
      </c>
      <c r="C22" s="2360" t="s">
        <v>2463</v>
      </c>
      <c r="D22" s="1052">
        <v>7130610206</v>
      </c>
      <c r="E22" s="1080" t="s">
        <v>26</v>
      </c>
      <c r="F22" s="1081">
        <f>VLOOKUP(D22,'[25]SOR RATE'!A:D,4,0)/1000</f>
        <v>97.233429999999998</v>
      </c>
      <c r="G22" s="1080"/>
      <c r="H22" s="1081"/>
      <c r="I22" s="1080">
        <v>8</v>
      </c>
      <c r="J22" s="1081">
        <f>I22*F22</f>
        <v>777.86743999999999</v>
      </c>
      <c r="K22" s="1080">
        <v>8</v>
      </c>
      <c r="L22" s="1081">
        <f>K22*F22</f>
        <v>777.86743999999999</v>
      </c>
      <c r="M22" s="1972"/>
      <c r="P22" s="85"/>
    </row>
    <row r="23" spans="1:18" ht="15">
      <c r="A23" s="3337">
        <v>12</v>
      </c>
      <c r="B23" s="1840" t="s">
        <v>1678</v>
      </c>
      <c r="C23" s="2360"/>
      <c r="D23" s="1826"/>
      <c r="E23" s="1080" t="s">
        <v>26</v>
      </c>
      <c r="F23" s="1081"/>
      <c r="G23" s="1080">
        <v>14</v>
      </c>
      <c r="H23" s="1081"/>
      <c r="I23" s="1080">
        <v>14</v>
      </c>
      <c r="J23" s="1081"/>
      <c r="K23" s="1080">
        <v>14</v>
      </c>
      <c r="L23" s="1081"/>
    </row>
    <row r="24" spans="1:18" ht="18" customHeight="1">
      <c r="A24" s="3338"/>
      <c r="B24" s="1908" t="s">
        <v>79</v>
      </c>
      <c r="C24" s="2364" t="s">
        <v>2464</v>
      </c>
      <c r="D24" s="1826">
        <v>7130620609</v>
      </c>
      <c r="E24" s="1080" t="s">
        <v>26</v>
      </c>
      <c r="F24" s="1081">
        <f>VLOOKUP(D24,'[25]SOR RATE'!A:D,4,0)</f>
        <v>87.23</v>
      </c>
      <c r="G24" s="1080">
        <v>1</v>
      </c>
      <c r="H24" s="1081">
        <f>G24*F24</f>
        <v>87.23</v>
      </c>
      <c r="I24" s="1080">
        <v>1</v>
      </c>
      <c r="J24" s="1081">
        <f>I24*F24</f>
        <v>87.23</v>
      </c>
      <c r="K24" s="1080">
        <v>1</v>
      </c>
      <c r="L24" s="1081">
        <f t="shared" ref="L24:L30" si="3">K24*F24</f>
        <v>87.23</v>
      </c>
    </row>
    <row r="25" spans="1:18" ht="17.25" customHeight="1">
      <c r="A25" s="3338"/>
      <c r="B25" s="1908" t="s">
        <v>111</v>
      </c>
      <c r="C25" s="2364" t="s">
        <v>2465</v>
      </c>
      <c r="D25" s="1826">
        <v>7130620614</v>
      </c>
      <c r="E25" s="1080" t="s">
        <v>26</v>
      </c>
      <c r="F25" s="1081">
        <f>VLOOKUP(D25,'[25]SOR RATE'!A:D,4,0)</f>
        <v>85.77</v>
      </c>
      <c r="G25" s="1080">
        <v>4</v>
      </c>
      <c r="H25" s="1081">
        <f>G25*F25</f>
        <v>343.08</v>
      </c>
      <c r="I25" s="1080">
        <v>4</v>
      </c>
      <c r="J25" s="1081">
        <f>I25*F25</f>
        <v>343.08</v>
      </c>
      <c r="K25" s="1080">
        <v>4</v>
      </c>
      <c r="L25" s="1081">
        <f t="shared" si="3"/>
        <v>343.08</v>
      </c>
    </row>
    <row r="26" spans="1:18" ht="15" customHeight="1">
      <c r="A26" s="3338"/>
      <c r="B26" s="1908" t="s">
        <v>112</v>
      </c>
      <c r="C26" s="2364" t="s">
        <v>2466</v>
      </c>
      <c r="D26" s="1826">
        <v>7130620625</v>
      </c>
      <c r="E26" s="1080" t="s">
        <v>26</v>
      </c>
      <c r="F26" s="1081">
        <f>VLOOKUP(D26,'[25]SOR RATE'!A:D,4,0)</f>
        <v>84.32</v>
      </c>
      <c r="G26" s="1080">
        <v>4</v>
      </c>
      <c r="H26" s="1081">
        <f>G26*F26</f>
        <v>337.28</v>
      </c>
      <c r="I26" s="1080">
        <v>4</v>
      </c>
      <c r="J26" s="1081">
        <f>I26*F26</f>
        <v>337.28</v>
      </c>
      <c r="K26" s="1080">
        <v>4</v>
      </c>
      <c r="L26" s="1081">
        <f t="shared" si="3"/>
        <v>337.28</v>
      </c>
    </row>
    <row r="27" spans="1:18" ht="18.75" customHeight="1">
      <c r="A27" s="3339"/>
      <c r="B27" s="1908" t="s">
        <v>80</v>
      </c>
      <c r="C27" s="2364" t="s">
        <v>2467</v>
      </c>
      <c r="D27" s="1826">
        <v>7130620631</v>
      </c>
      <c r="E27" s="1080" t="s">
        <v>26</v>
      </c>
      <c r="F27" s="1081">
        <f>VLOOKUP(D27,'[25]SOR RATE'!A:D,4,0)</f>
        <v>84.32</v>
      </c>
      <c r="G27" s="1080">
        <v>5</v>
      </c>
      <c r="H27" s="1081">
        <f>G27*F27</f>
        <v>421.59999999999997</v>
      </c>
      <c r="I27" s="1080">
        <v>5</v>
      </c>
      <c r="J27" s="1081">
        <f>I27*F27</f>
        <v>421.59999999999997</v>
      </c>
      <c r="K27" s="1080">
        <v>5</v>
      </c>
      <c r="L27" s="1081">
        <f t="shared" si="3"/>
        <v>421.59999999999997</v>
      </c>
    </row>
    <row r="28" spans="1:18" ht="33.75" customHeight="1">
      <c r="A28" s="1907">
        <v>13</v>
      </c>
      <c r="B28" s="1886" t="s">
        <v>2468</v>
      </c>
      <c r="C28" s="2365"/>
      <c r="D28" s="1826">
        <v>7130310007</v>
      </c>
      <c r="E28" s="1907" t="s">
        <v>21</v>
      </c>
      <c r="F28" s="1081">
        <f>VLOOKUP(D28,'[25]SOR RATE'!A:D,4,0)/1000</f>
        <v>62.827980000000004</v>
      </c>
      <c r="G28" s="1080">
        <v>120</v>
      </c>
      <c r="H28" s="1081">
        <f>G28*F28</f>
        <v>7539.3576000000003</v>
      </c>
      <c r="I28" s="1080">
        <v>120</v>
      </c>
      <c r="J28" s="1081">
        <f>I28*F28</f>
        <v>7539.3576000000003</v>
      </c>
      <c r="K28" s="1080">
        <v>120</v>
      </c>
      <c r="L28" s="1081">
        <f t="shared" si="3"/>
        <v>7539.3576000000003</v>
      </c>
    </row>
    <row r="29" spans="1:18" ht="35.25" customHeight="1">
      <c r="A29" s="1907">
        <v>14</v>
      </c>
      <c r="B29" s="1886" t="s">
        <v>2469</v>
      </c>
      <c r="C29" s="2365"/>
      <c r="D29" s="1826">
        <v>7130310041</v>
      </c>
      <c r="E29" s="1907" t="s">
        <v>21</v>
      </c>
      <c r="F29" s="1081">
        <f>VLOOKUP(D29,'[25]SOR RATE'!A:D,4,0)/1000</f>
        <v>121.60212</v>
      </c>
      <c r="G29" s="1080"/>
      <c r="H29" s="1081"/>
      <c r="I29" s="1080"/>
      <c r="J29" s="1081"/>
      <c r="K29" s="1080">
        <v>40</v>
      </c>
      <c r="L29" s="1081">
        <f t="shared" si="3"/>
        <v>4864.0847999999996</v>
      </c>
    </row>
    <row r="30" spans="1:18" ht="17.25" customHeight="1">
      <c r="A30" s="1080">
        <v>15</v>
      </c>
      <c r="B30" s="1851" t="s">
        <v>1686</v>
      </c>
      <c r="C30" s="2365"/>
      <c r="D30" s="1826">
        <v>7131930221</v>
      </c>
      <c r="E30" s="1080" t="s">
        <v>33</v>
      </c>
      <c r="F30" s="1081">
        <f>VLOOKUP(D30,'[25]SOR RATE'!A:D,4,0)</f>
        <v>9934.19</v>
      </c>
      <c r="G30" s="1080"/>
      <c r="H30" s="1081"/>
      <c r="I30" s="1080"/>
      <c r="J30" s="1081"/>
      <c r="K30" s="1080">
        <v>1</v>
      </c>
      <c r="L30" s="1081">
        <f t="shared" si="3"/>
        <v>9934.19</v>
      </c>
    </row>
    <row r="31" spans="1:18" ht="51.75" customHeight="1">
      <c r="A31" s="1080">
        <v>16</v>
      </c>
      <c r="B31" s="1886" t="s">
        <v>1708</v>
      </c>
      <c r="C31" s="2366"/>
      <c r="D31" s="1852"/>
      <c r="E31" s="1853"/>
      <c r="F31" s="1853"/>
      <c r="G31" s="1853"/>
      <c r="H31" s="1853"/>
      <c r="I31" s="1853"/>
      <c r="J31" s="1853"/>
      <c r="K31" s="1853"/>
      <c r="L31" s="1854"/>
    </row>
    <row r="32" spans="1:18" ht="18.75" customHeight="1">
      <c r="A32" s="1080" t="s">
        <v>1680</v>
      </c>
      <c r="B32" s="1840" t="s">
        <v>2368</v>
      </c>
      <c r="C32" s="2360" t="s">
        <v>2470</v>
      </c>
      <c r="D32" s="1826">
        <v>7131950065</v>
      </c>
      <c r="E32" s="1080" t="s">
        <v>12</v>
      </c>
      <c r="F32" s="1081">
        <f>VLOOKUP(D32,'[25]SOR RATE'!A:D,4,0)</f>
        <v>18477.650000000001</v>
      </c>
      <c r="G32" s="1080">
        <v>1</v>
      </c>
      <c r="H32" s="1081">
        <f>G32*F32</f>
        <v>18477.650000000001</v>
      </c>
      <c r="I32" s="1080"/>
      <c r="J32" s="1081"/>
      <c r="K32" s="1080"/>
      <c r="L32" s="1081"/>
    </row>
    <row r="33" spans="1:20" ht="18.75" customHeight="1">
      <c r="A33" s="1080" t="s">
        <v>1681</v>
      </c>
      <c r="B33" s="1840" t="s">
        <v>2369</v>
      </c>
      <c r="C33" s="2360" t="s">
        <v>2471</v>
      </c>
      <c r="D33" s="1826">
        <v>7131950105</v>
      </c>
      <c r="E33" s="1080" t="s">
        <v>12</v>
      </c>
      <c r="F33" s="1081">
        <f>VLOOKUP(D33,'[25]SOR RATE'!A:D,4,0)</f>
        <v>23098.03</v>
      </c>
      <c r="G33" s="1080"/>
      <c r="H33" s="1081"/>
      <c r="I33" s="1080">
        <v>1</v>
      </c>
      <c r="J33" s="1081">
        <f>I33*F33</f>
        <v>23098.03</v>
      </c>
      <c r="K33" s="1080"/>
      <c r="L33" s="1081"/>
    </row>
    <row r="34" spans="1:20" ht="18.75" customHeight="1">
      <c r="A34" s="1080" t="s">
        <v>1682</v>
      </c>
      <c r="B34" s="1840" t="s">
        <v>2370</v>
      </c>
      <c r="C34" s="2360" t="s">
        <v>2472</v>
      </c>
      <c r="D34" s="1826">
        <v>7131950200</v>
      </c>
      <c r="E34" s="1080" t="s">
        <v>12</v>
      </c>
      <c r="F34" s="1081">
        <f>VLOOKUP(D34,'[25]SOR RATE'!A:D,4,0)</f>
        <v>46194.13</v>
      </c>
      <c r="G34" s="1080"/>
      <c r="H34" s="1081"/>
      <c r="I34" s="1081"/>
      <c r="J34" s="1081"/>
      <c r="K34" s="1080">
        <v>1</v>
      </c>
      <c r="L34" s="1081">
        <f>K34*F34</f>
        <v>46194.13</v>
      </c>
    </row>
    <row r="35" spans="1:20" ht="18.75" customHeight="1">
      <c r="A35" s="1922">
        <v>17</v>
      </c>
      <c r="B35" s="1074" t="s">
        <v>48</v>
      </c>
      <c r="C35" s="2360"/>
      <c r="D35" s="1826"/>
      <c r="E35" s="1080"/>
      <c r="F35" s="1080"/>
      <c r="G35" s="1080"/>
      <c r="H35" s="1837">
        <f>SUM(H10:H34)</f>
        <v>147641.5876</v>
      </c>
      <c r="I35" s="1837"/>
      <c r="J35" s="1837">
        <f>SUM(J10:J34)</f>
        <v>266241.99700199999</v>
      </c>
      <c r="K35" s="1837"/>
      <c r="L35" s="1837">
        <f>SUM(L10:L34)</f>
        <v>437663.03180200001</v>
      </c>
      <c r="M35" s="608"/>
      <c r="N35" s="108"/>
    </row>
    <row r="36" spans="1:20" ht="36.75" customHeight="1">
      <c r="A36" s="1924">
        <v>18</v>
      </c>
      <c r="B36" s="1074" t="s">
        <v>49</v>
      </c>
      <c r="C36" s="2360"/>
      <c r="D36" s="1826"/>
      <c r="E36" s="1080"/>
      <c r="F36" s="1080"/>
      <c r="G36" s="1859"/>
      <c r="H36" s="1837">
        <f>H35/1.18</f>
        <v>125119.98949152543</v>
      </c>
      <c r="I36" s="1837"/>
      <c r="J36" s="1837">
        <f>J35/1.18</f>
        <v>225628.81101864408</v>
      </c>
      <c r="K36" s="1837"/>
      <c r="L36" s="1837">
        <f>L35/1.18</f>
        <v>370900.8744084746</v>
      </c>
      <c r="M36" s="2029"/>
      <c r="N36" s="108"/>
    </row>
    <row r="37" spans="1:20" ht="20.25" customHeight="1">
      <c r="A37" s="2367">
        <v>19</v>
      </c>
      <c r="B37" s="1051" t="s">
        <v>50</v>
      </c>
      <c r="C37" s="2361"/>
      <c r="D37" s="1839"/>
      <c r="E37" s="1839"/>
      <c r="F37" s="2368">
        <v>7.4999999999999997E-2</v>
      </c>
      <c r="G37" s="2286"/>
      <c r="H37" s="1081">
        <f>H35*F37</f>
        <v>11073.119069999999</v>
      </c>
      <c r="I37" s="1081"/>
      <c r="J37" s="1081">
        <f>J35*F37</f>
        <v>19968.149775149999</v>
      </c>
      <c r="K37" s="1081"/>
      <c r="L37" s="1081">
        <f>L35*F37</f>
        <v>32824.727385149999</v>
      </c>
      <c r="M37" s="87"/>
      <c r="N37" s="364"/>
    </row>
    <row r="38" spans="1:20" ht="19.5" customHeight="1">
      <c r="A38" s="1907">
        <v>20</v>
      </c>
      <c r="B38" s="1840" t="s">
        <v>2473</v>
      </c>
      <c r="C38" s="2360"/>
      <c r="D38" s="2369"/>
      <c r="E38" s="1080"/>
      <c r="F38" s="1080"/>
      <c r="G38" s="1907"/>
      <c r="H38" s="1054">
        <v>3918.6</v>
      </c>
      <c r="I38" s="1054"/>
      <c r="J38" s="1054">
        <v>5537.86</v>
      </c>
      <c r="K38" s="1054"/>
      <c r="L38" s="1054">
        <v>7157.12</v>
      </c>
      <c r="M38" s="1997"/>
      <c r="N38" s="1978"/>
      <c r="O38" s="2030"/>
    </row>
    <row r="39" spans="1:20" ht="18.75" customHeight="1">
      <c r="A39" s="1907">
        <v>21</v>
      </c>
      <c r="B39" s="1079" t="s">
        <v>82</v>
      </c>
      <c r="C39" s="2360"/>
      <c r="D39" s="2369"/>
      <c r="E39" s="1080" t="s">
        <v>76</v>
      </c>
      <c r="F39" s="1054">
        <f>665.173187113158*1.043</f>
        <v>693.77563415902364</v>
      </c>
      <c r="G39" s="1907"/>
      <c r="H39" s="1054"/>
      <c r="I39" s="1067">
        <v>2.2000000000000002</v>
      </c>
      <c r="J39" s="1054">
        <f>F39*I39</f>
        <v>1526.3063951498521</v>
      </c>
      <c r="K39" s="1067">
        <v>2.2000000000000002</v>
      </c>
      <c r="L39" s="1054">
        <f>F39*K39</f>
        <v>1526.3063951498521</v>
      </c>
      <c r="M39" s="2031"/>
      <c r="N39" s="1978"/>
      <c r="O39" s="2030"/>
    </row>
    <row r="40" spans="1:20" ht="34.5" customHeight="1">
      <c r="A40" s="1907">
        <v>22</v>
      </c>
      <c r="B40" s="2288" t="s">
        <v>1716</v>
      </c>
      <c r="C40" s="2360"/>
      <c r="D40" s="2369"/>
      <c r="E40" s="1080"/>
      <c r="F40" s="1054">
        <v>0.02</v>
      </c>
      <c r="G40" s="1907"/>
      <c r="H40" s="1064">
        <f>(H10/1.18)*F40</f>
        <v>2041.2777966101696</v>
      </c>
      <c r="I40" s="1067"/>
      <c r="J40" s="1064">
        <f>(J11/1.18)*F40</f>
        <v>2683.0869491525427</v>
      </c>
      <c r="K40" s="1067"/>
      <c r="L40" s="1064">
        <f>(L12/1.18)*F40</f>
        <v>4946.2506779661016</v>
      </c>
      <c r="M40" s="1975" t="s">
        <v>119</v>
      </c>
      <c r="N40" s="1978"/>
      <c r="O40" s="2030"/>
    </row>
    <row r="41" spans="1:20" s="1963" customFormat="1" ht="36.75" customHeight="1">
      <c r="A41" s="1907">
        <v>23</v>
      </c>
      <c r="B41" s="1840" t="s">
        <v>2474</v>
      </c>
      <c r="C41" s="1887"/>
      <c r="D41" s="1907"/>
      <c r="E41" s="1907"/>
      <c r="F41" s="1907">
        <v>0.04</v>
      </c>
      <c r="G41" s="1907"/>
      <c r="H41" s="1894">
        <f>((H35-H10)/1.18)*F41</f>
        <v>922.24398644067799</v>
      </c>
      <c r="I41" s="1907"/>
      <c r="J41" s="1894">
        <f>((J35-J11)/1.18)*F41</f>
        <v>3658.9785424406773</v>
      </c>
      <c r="K41" s="1907"/>
      <c r="L41" s="1894">
        <f>((L35-L12)/1.18)*F41</f>
        <v>4943.5336204067808</v>
      </c>
      <c r="M41" s="1976" t="s">
        <v>1827</v>
      </c>
      <c r="N41" s="82"/>
      <c r="O41" s="624"/>
      <c r="P41" s="2032"/>
      <c r="Q41" s="2032"/>
      <c r="R41" s="2032"/>
      <c r="S41" s="2032"/>
      <c r="T41" s="2032"/>
    </row>
    <row r="42" spans="1:20" s="1963" customFormat="1" ht="47.25" customHeight="1">
      <c r="A42" s="2367">
        <v>24</v>
      </c>
      <c r="B42" s="1841" t="s">
        <v>2475</v>
      </c>
      <c r="C42" s="1887"/>
      <c r="D42" s="1907"/>
      <c r="E42" s="1907"/>
      <c r="F42" s="1907"/>
      <c r="G42" s="1907"/>
      <c r="H42" s="1894">
        <f>(H35+H37+H38+H39+H40+H41)*0.125</f>
        <v>20699.603556631355</v>
      </c>
      <c r="I42" s="1894"/>
      <c r="J42" s="1894">
        <f>(J35+J37+J38+J39+J40+J41)*0.125</f>
        <v>37452.047332986629</v>
      </c>
      <c r="K42" s="1894"/>
      <c r="L42" s="1894">
        <f>(L35+L37+L38+L39+L40+L41)*0.125</f>
        <v>61132.621235084087</v>
      </c>
      <c r="M42" s="2033"/>
      <c r="N42" s="82"/>
      <c r="O42" s="2032"/>
      <c r="P42" s="2032"/>
      <c r="Q42" s="2032"/>
      <c r="R42" s="2032"/>
      <c r="S42" s="2032"/>
      <c r="T42" s="2032"/>
    </row>
    <row r="43" spans="1:20" s="1963" customFormat="1" ht="34.5" customHeight="1">
      <c r="A43" s="1921">
        <v>25</v>
      </c>
      <c r="B43" s="1842" t="s">
        <v>2476</v>
      </c>
      <c r="C43" s="1887"/>
      <c r="D43" s="1907"/>
      <c r="E43" s="1907"/>
      <c r="F43" s="1907"/>
      <c r="G43" s="1907"/>
      <c r="H43" s="356">
        <f>SUM(H36:H42)</f>
        <v>163774.83390120763</v>
      </c>
      <c r="I43" s="356"/>
      <c r="J43" s="356">
        <f>SUM(J36:J42)</f>
        <v>296455.24001352378</v>
      </c>
      <c r="K43" s="356"/>
      <c r="L43" s="356">
        <f>SUM(L36:L42)</f>
        <v>483431.43372223136</v>
      </c>
      <c r="M43" s="634"/>
      <c r="N43" s="2034"/>
      <c r="O43" s="2034"/>
      <c r="P43" s="2034"/>
      <c r="Q43" s="2034"/>
      <c r="R43" s="2034"/>
      <c r="S43" s="2034"/>
      <c r="T43" s="2034"/>
    </row>
    <row r="44" spans="1:20" s="1963" customFormat="1" ht="20.25" customHeight="1">
      <c r="A44" s="2367">
        <v>26</v>
      </c>
      <c r="B44" s="1051" t="s">
        <v>1601</v>
      </c>
      <c r="C44" s="1887"/>
      <c r="D44" s="1907"/>
      <c r="E44" s="1907"/>
      <c r="F44" s="1907">
        <v>0.09</v>
      </c>
      <c r="G44" s="2370"/>
      <c r="H44" s="1054">
        <f>H43*F44</f>
        <v>14739.735051108686</v>
      </c>
      <c r="I44" s="1054"/>
      <c r="J44" s="1054">
        <f>J43*F44</f>
        <v>26680.971601217141</v>
      </c>
      <c r="K44" s="1054"/>
      <c r="L44" s="1054">
        <f>L43*F44</f>
        <v>43508.829035000817</v>
      </c>
      <c r="M44" s="634"/>
      <c r="N44" s="2034"/>
      <c r="O44" s="2034"/>
      <c r="P44" s="2034"/>
      <c r="Q44" s="2034"/>
      <c r="R44" s="2034"/>
      <c r="S44" s="2034"/>
      <c r="T44" s="2034"/>
    </row>
    <row r="45" spans="1:20" s="1963" customFormat="1" ht="20.25" customHeight="1">
      <c r="A45" s="2367">
        <v>27</v>
      </c>
      <c r="B45" s="1051" t="s">
        <v>1602</v>
      </c>
      <c r="C45" s="1887"/>
      <c r="D45" s="1907"/>
      <c r="E45" s="1907"/>
      <c r="F45" s="1907">
        <v>0.09</v>
      </c>
      <c r="G45" s="2370"/>
      <c r="H45" s="1054">
        <f>H43*F45</f>
        <v>14739.735051108686</v>
      </c>
      <c r="I45" s="1907"/>
      <c r="J45" s="1054">
        <f>J43*F45</f>
        <v>26680.971601217141</v>
      </c>
      <c r="K45" s="1907"/>
      <c r="L45" s="1054">
        <f>L43*F45</f>
        <v>43508.829035000817</v>
      </c>
      <c r="M45" s="578"/>
      <c r="N45" s="2034"/>
      <c r="O45" s="2034"/>
      <c r="P45" s="2034"/>
      <c r="Q45" s="2034"/>
      <c r="R45" s="2034"/>
      <c r="S45" s="2034"/>
      <c r="T45" s="2034"/>
    </row>
    <row r="46" spans="1:20" s="1963" customFormat="1" ht="33.75" customHeight="1">
      <c r="A46" s="1921">
        <v>28</v>
      </c>
      <c r="B46" s="1842" t="s">
        <v>1603</v>
      </c>
      <c r="C46" s="1887"/>
      <c r="D46" s="1907"/>
      <c r="E46" s="1907"/>
      <c r="F46" s="1907"/>
      <c r="G46" s="1907"/>
      <c r="H46" s="356">
        <f>H43+H44+H45</f>
        <v>193254.30400342503</v>
      </c>
      <c r="I46" s="1920"/>
      <c r="J46" s="356">
        <f>J43+J44+J45</f>
        <v>349817.18321595807</v>
      </c>
      <c r="K46" s="1920"/>
      <c r="L46" s="356">
        <f>L43+L44+L45</f>
        <v>570449.09179223306</v>
      </c>
      <c r="M46" s="634"/>
      <c r="N46" s="2034"/>
      <c r="O46" s="2034"/>
      <c r="P46" s="2034"/>
      <c r="Q46" s="2034"/>
      <c r="R46" s="2034"/>
      <c r="S46" s="2034"/>
      <c r="T46" s="2034"/>
    </row>
    <row r="47" spans="1:20" ht="36" customHeight="1">
      <c r="A47" s="3383">
        <v>29</v>
      </c>
      <c r="B47" s="1840" t="s">
        <v>2477</v>
      </c>
      <c r="C47" s="1841"/>
      <c r="D47" s="1060"/>
      <c r="E47" s="1061"/>
      <c r="F47" s="1061"/>
      <c r="G47" s="1061"/>
      <c r="H47" s="1061"/>
      <c r="I47" s="1061"/>
      <c r="J47" s="1061"/>
      <c r="K47" s="1061"/>
      <c r="L47" s="2371"/>
    </row>
    <row r="48" spans="1:20" ht="18.75" customHeight="1">
      <c r="A48" s="3384"/>
      <c r="B48" s="1840" t="s">
        <v>2478</v>
      </c>
      <c r="C48" s="1841"/>
      <c r="D48" s="1052"/>
      <c r="E48" s="1907" t="s">
        <v>12</v>
      </c>
      <c r="F48" s="1907"/>
      <c r="G48" s="1907">
        <v>1</v>
      </c>
      <c r="H48" s="1054">
        <v>43720.04</v>
      </c>
      <c r="I48" s="1054"/>
      <c r="J48" s="1054"/>
      <c r="K48" s="1054"/>
      <c r="L48" s="1054"/>
    </row>
    <row r="49" spans="1:14" ht="18.75" customHeight="1">
      <c r="A49" s="3384"/>
      <c r="B49" s="1840" t="s">
        <v>2479</v>
      </c>
      <c r="C49" s="1841"/>
      <c r="D49" s="1052"/>
      <c r="E49" s="1907" t="s">
        <v>12</v>
      </c>
      <c r="F49" s="1907"/>
      <c r="G49" s="1907"/>
      <c r="H49" s="1054"/>
      <c r="I49" s="1053">
        <v>1</v>
      </c>
      <c r="J49" s="1054">
        <v>75894.78</v>
      </c>
      <c r="K49" s="1053"/>
      <c r="L49" s="1054"/>
      <c r="N49" s="579"/>
    </row>
    <row r="50" spans="1:14" ht="18.75" customHeight="1">
      <c r="A50" s="3385"/>
      <c r="B50" s="1840" t="s">
        <v>2480</v>
      </c>
      <c r="C50" s="1841"/>
      <c r="D50" s="1052"/>
      <c r="E50" s="1907" t="s">
        <v>12</v>
      </c>
      <c r="F50" s="1907"/>
      <c r="G50" s="1907"/>
      <c r="H50" s="1054"/>
      <c r="I50" s="1053"/>
      <c r="J50" s="1053"/>
      <c r="K50" s="1053">
        <v>1</v>
      </c>
      <c r="L50" s="1054">
        <v>103211.09</v>
      </c>
    </row>
    <row r="51" spans="1:14" ht="19.5" customHeight="1">
      <c r="A51" s="1080">
        <v>30</v>
      </c>
      <c r="B51" s="1840" t="s">
        <v>2481</v>
      </c>
      <c r="C51" s="1841"/>
      <c r="D51" s="1052"/>
      <c r="E51" s="1907"/>
      <c r="F51" s="1080"/>
      <c r="G51" s="1080"/>
      <c r="H51" s="1054">
        <f>0.1*H48</f>
        <v>4372.0039999999999</v>
      </c>
      <c r="I51" s="1054"/>
      <c r="J51" s="1054">
        <f>0.1*J49</f>
        <v>7589.4780000000001</v>
      </c>
      <c r="K51" s="1054"/>
      <c r="L51" s="1054">
        <f>0.1*L50</f>
        <v>10321.109</v>
      </c>
    </row>
    <row r="52" spans="1:14" ht="18.75" customHeight="1">
      <c r="A52" s="1080">
        <v>31</v>
      </c>
      <c r="B52" s="1840" t="s">
        <v>2482</v>
      </c>
      <c r="C52" s="1841"/>
      <c r="D52" s="1052"/>
      <c r="E52" s="1907"/>
      <c r="F52" s="1080"/>
      <c r="G52" s="1080"/>
      <c r="H52" s="1081">
        <f>(H48-H51)*0.04*10</f>
        <v>15739.214400000001</v>
      </c>
      <c r="I52" s="1081"/>
      <c r="J52" s="1081">
        <f>(J49-J51)*0.04*10</f>
        <v>27322.120799999997</v>
      </c>
      <c r="K52" s="1080"/>
      <c r="L52" s="1081">
        <f>(L50-L51)*0.04*10</f>
        <v>37155.992400000003</v>
      </c>
    </row>
    <row r="53" spans="1:14" ht="34.5" customHeight="1">
      <c r="A53" s="1080">
        <v>32</v>
      </c>
      <c r="B53" s="1840" t="s">
        <v>2483</v>
      </c>
      <c r="C53" s="1841"/>
      <c r="D53" s="1052"/>
      <c r="E53" s="1907"/>
      <c r="F53" s="1080"/>
      <c r="G53" s="1080"/>
      <c r="H53" s="1081">
        <f>H48-H52</f>
        <v>27980.8256</v>
      </c>
      <c r="I53" s="1081"/>
      <c r="J53" s="1081">
        <f>J49-J52</f>
        <v>48572.659200000002</v>
      </c>
      <c r="K53" s="1080"/>
      <c r="L53" s="1081">
        <f>L50-L52</f>
        <v>66055.097599999994</v>
      </c>
    </row>
    <row r="54" spans="1:14" ht="33.75" customHeight="1">
      <c r="A54" s="1080">
        <v>33</v>
      </c>
      <c r="B54" s="1840" t="s">
        <v>2484</v>
      </c>
      <c r="C54" s="1841"/>
      <c r="D54" s="1052"/>
      <c r="E54" s="1907"/>
      <c r="F54" s="1080"/>
      <c r="G54" s="1080"/>
      <c r="H54" s="1081">
        <f>+H53</f>
        <v>27980.8256</v>
      </c>
      <c r="I54" s="1081"/>
      <c r="J54" s="1081">
        <f>+J53</f>
        <v>48572.659200000002</v>
      </c>
      <c r="K54" s="1080"/>
      <c r="L54" s="1081">
        <f>+L53</f>
        <v>66055.097599999994</v>
      </c>
    </row>
    <row r="55" spans="1:14" ht="18.75" customHeight="1">
      <c r="A55" s="1080">
        <v>34</v>
      </c>
      <c r="B55" s="1840" t="s">
        <v>2485</v>
      </c>
      <c r="C55" s="1841"/>
      <c r="D55" s="1052"/>
      <c r="E55" s="1907"/>
      <c r="F55" s="1080"/>
      <c r="G55" s="1080"/>
      <c r="H55" s="1081">
        <f>H46-H54</f>
        <v>165273.47840342502</v>
      </c>
      <c r="I55" s="1080"/>
      <c r="J55" s="1081">
        <f>J46-J54</f>
        <v>301244.52401595807</v>
      </c>
      <c r="K55" s="1080"/>
      <c r="L55" s="1081">
        <f>L46-L54</f>
        <v>504393.99419223308</v>
      </c>
    </row>
    <row r="56" spans="1:14" ht="21" customHeight="1">
      <c r="A56" s="1922">
        <v>35</v>
      </c>
      <c r="B56" s="1857" t="s">
        <v>2486</v>
      </c>
      <c r="C56" s="1841"/>
      <c r="D56" s="1052"/>
      <c r="E56" s="1907"/>
      <c r="F56" s="1080"/>
      <c r="G56" s="1080"/>
      <c r="H56" s="1837">
        <f>ROUND(H55,0)</f>
        <v>165273</v>
      </c>
      <c r="I56" s="1837"/>
      <c r="J56" s="1837">
        <f>ROUND(J55,0)</f>
        <v>301245</v>
      </c>
      <c r="K56" s="1837"/>
      <c r="L56" s="1837">
        <f>ROUND(L55,0)</f>
        <v>504394</v>
      </c>
    </row>
    <row r="57" spans="1:14" ht="12.75" customHeight="1">
      <c r="A57" s="573"/>
      <c r="B57" s="2021"/>
      <c r="C57" s="2035"/>
      <c r="D57" s="379"/>
      <c r="E57" s="2036"/>
      <c r="F57" s="1977"/>
      <c r="G57" s="1977"/>
      <c r="H57" s="1862"/>
      <c r="I57" s="1862"/>
      <c r="J57" s="1862"/>
      <c r="K57" s="1862"/>
      <c r="L57" s="1862"/>
    </row>
    <row r="58" spans="1:14" ht="18" customHeight="1">
      <c r="A58" s="1906"/>
      <c r="B58" s="3386" t="s">
        <v>61</v>
      </c>
      <c r="C58" s="3386"/>
      <c r="D58" s="3386"/>
      <c r="E58" s="3386"/>
      <c r="F58" s="108"/>
      <c r="G58" s="108"/>
      <c r="H58" s="616"/>
      <c r="I58" s="616"/>
      <c r="J58" s="616"/>
      <c r="K58" s="616"/>
      <c r="L58" s="616"/>
    </row>
    <row r="59" spans="1:14" ht="9" customHeight="1">
      <c r="A59" s="1906"/>
      <c r="B59" s="108"/>
      <c r="C59" s="108"/>
      <c r="D59" s="108"/>
      <c r="E59" s="108"/>
      <c r="F59" s="108"/>
      <c r="G59" s="108"/>
      <c r="H59" s="108"/>
      <c r="I59" s="108"/>
      <c r="J59" s="108"/>
      <c r="K59" s="108"/>
      <c r="L59" s="108"/>
    </row>
    <row r="60" spans="1:14" ht="20.25">
      <c r="A60" s="1951" t="s">
        <v>62</v>
      </c>
      <c r="B60" s="622" t="s">
        <v>2487</v>
      </c>
      <c r="C60" s="108"/>
      <c r="D60" s="108"/>
      <c r="E60" s="108"/>
      <c r="F60" s="108"/>
      <c r="G60" s="108"/>
      <c r="H60" s="108"/>
      <c r="I60" s="108"/>
      <c r="J60" s="108"/>
      <c r="K60" s="108"/>
      <c r="L60" s="108"/>
    </row>
    <row r="61" spans="1:14" ht="15">
      <c r="A61" s="1906"/>
      <c r="B61" s="108"/>
      <c r="C61" s="108"/>
      <c r="D61" s="108"/>
      <c r="E61" s="108"/>
      <c r="F61" s="108"/>
      <c r="G61" s="108"/>
      <c r="H61" s="108"/>
      <c r="I61" s="108"/>
      <c r="J61" s="108"/>
      <c r="K61" s="108"/>
      <c r="L61" s="108"/>
    </row>
    <row r="62" spans="1:14" ht="15">
      <c r="A62" s="1906"/>
      <c r="C62" s="108"/>
      <c r="D62" s="108"/>
      <c r="E62" s="108"/>
      <c r="F62" s="108"/>
      <c r="G62" s="108"/>
      <c r="H62" s="108"/>
      <c r="I62" s="108"/>
      <c r="J62" s="108"/>
      <c r="K62" s="108"/>
      <c r="L62" s="108"/>
      <c r="M62" s="108"/>
    </row>
    <row r="63" spans="1:14" ht="15">
      <c r="A63" s="1906"/>
      <c r="B63" s="108"/>
      <c r="C63" s="108"/>
      <c r="D63" s="108"/>
      <c r="E63" s="108"/>
      <c r="F63" s="108"/>
      <c r="G63" s="108"/>
      <c r="H63" s="108"/>
      <c r="I63" s="108"/>
      <c r="J63" s="108"/>
      <c r="K63" s="108"/>
      <c r="L63" s="108"/>
      <c r="M63" s="108"/>
    </row>
    <row r="64" spans="1:14" ht="15">
      <c r="L64" s="108"/>
      <c r="M64" s="108"/>
    </row>
    <row r="76" spans="13:15" ht="15">
      <c r="M76" s="1906"/>
      <c r="N76" s="1906"/>
      <c r="O76" s="1906"/>
    </row>
    <row r="77" spans="13:15" ht="15">
      <c r="M77" s="1906"/>
      <c r="N77" s="1906"/>
      <c r="O77" s="1906"/>
    </row>
    <row r="78" spans="13:15" ht="15">
      <c r="M78" s="1906"/>
      <c r="N78" s="1906"/>
      <c r="O78" s="1906"/>
    </row>
    <row r="79" spans="13:15" ht="15">
      <c r="M79" s="1906"/>
      <c r="N79" s="1906"/>
      <c r="O79" s="1906"/>
    </row>
    <row r="80" spans="13:15" ht="15">
      <c r="M80" s="1906"/>
      <c r="N80" s="1906"/>
      <c r="O80" s="1906"/>
    </row>
    <row r="81" spans="13:15" ht="15">
      <c r="M81" s="1906"/>
      <c r="N81" s="1906"/>
      <c r="O81" s="1906"/>
    </row>
    <row r="82" spans="13:15" ht="15">
      <c r="M82" s="1906"/>
      <c r="N82" s="1906"/>
      <c r="O82" s="1906"/>
    </row>
    <row r="83" spans="13:15" ht="15">
      <c r="M83" s="1906"/>
      <c r="N83" s="1906"/>
      <c r="O83" s="1906"/>
    </row>
    <row r="84" spans="13:15" ht="15">
      <c r="M84" s="1906"/>
      <c r="N84" s="1906"/>
      <c r="O84" s="1906"/>
    </row>
    <row r="85" spans="13:15" ht="15">
      <c r="M85" s="1906"/>
      <c r="N85" s="1906"/>
      <c r="O85" s="1906"/>
    </row>
    <row r="86" spans="13:15" ht="15">
      <c r="M86" s="1906"/>
      <c r="N86" s="1906"/>
      <c r="O86" s="1906"/>
    </row>
    <row r="87" spans="13:15" ht="15">
      <c r="M87" s="1906"/>
      <c r="N87" s="1906"/>
      <c r="O87" s="1906"/>
    </row>
    <row r="88" spans="13:15" ht="15">
      <c r="M88" s="1906"/>
      <c r="N88" s="1906"/>
      <c r="O88" s="1906"/>
    </row>
    <row r="89" spans="13:15" ht="15">
      <c r="M89" s="1906"/>
      <c r="N89" s="1906"/>
      <c r="O89" s="1906"/>
    </row>
    <row r="90" spans="13:15" ht="15">
      <c r="M90" s="1906"/>
      <c r="N90" s="1906"/>
      <c r="O90" s="1906"/>
    </row>
    <row r="91" spans="13:15" ht="15.75">
      <c r="M91" s="1997"/>
      <c r="N91" s="1906"/>
      <c r="O91" s="1906"/>
    </row>
    <row r="92" spans="13:15" ht="15.75">
      <c r="M92" s="1906"/>
      <c r="N92" s="1997"/>
      <c r="O92" s="1997"/>
    </row>
    <row r="95" spans="13:15" ht="15.75">
      <c r="O95" s="1997"/>
    </row>
  </sheetData>
  <mergeCells count="15">
    <mergeCell ref="A15:A17"/>
    <mergeCell ref="A23:A27"/>
    <mergeCell ref="A47:A50"/>
    <mergeCell ref="B58:E58"/>
    <mergeCell ref="D1:H1"/>
    <mergeCell ref="A3:L3"/>
    <mergeCell ref="A7:A8"/>
    <mergeCell ref="B7:B8"/>
    <mergeCell ref="C7:C8"/>
    <mergeCell ref="D7:D8"/>
    <mergeCell ref="E7:E8"/>
    <mergeCell ref="F7:F8"/>
    <mergeCell ref="G7:H7"/>
    <mergeCell ref="I7:J7"/>
    <mergeCell ref="K7:L7"/>
  </mergeCells>
  <conditionalFormatting sqref="B35">
    <cfRule type="cellIs" dxfId="72" priority="2" stopIfTrue="1" operator="equal">
      <formula>"?"</formula>
    </cfRule>
  </conditionalFormatting>
  <conditionalFormatting sqref="B36">
    <cfRule type="cellIs" dxfId="71" priority="1" stopIfTrue="1" operator="equal">
      <formula>"?"</formula>
    </cfRule>
  </conditionalFormatting>
  <printOptions horizontalCentered="1"/>
  <pageMargins left="0.68" right="0.16" top="0.68" bottom="0.32" header="0.4" footer="0.16"/>
  <pageSetup paperSize="9" scale="86" fitToHeight="2" orientation="landscape" verticalDpi="300"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0"/>
  <sheetViews>
    <sheetView zoomScale="85" workbookViewId="0">
      <pane xSplit="2" ySplit="9" topLeftCell="C58" activePane="bottomRight" state="frozen"/>
      <selection pane="topRight" activeCell="C1" sqref="C1"/>
      <selection pane="bottomLeft" activeCell="A10" sqref="A10"/>
      <selection pane="bottomRight" activeCell="B17" sqref="B17"/>
    </sheetView>
  </sheetViews>
  <sheetFormatPr defaultRowHeight="12.75"/>
  <cols>
    <col min="1" max="1" width="5.7109375" style="137" customWidth="1"/>
    <col min="2" max="2" width="76.5703125" style="70" customWidth="1"/>
    <col min="3" max="3" width="16.5703125" style="70" customWidth="1"/>
    <col min="4" max="4" width="6.5703125" style="70" bestFit="1" customWidth="1"/>
    <col min="5" max="5" width="6.140625" style="70" customWidth="1"/>
    <col min="6" max="6" width="11.85546875" style="70" customWidth="1"/>
    <col min="7" max="7" width="13.28515625" style="70" customWidth="1"/>
    <col min="8" max="9" width="24.42578125" style="70" customWidth="1"/>
    <col min="10" max="10" width="16.42578125" style="70" customWidth="1"/>
    <col min="11" max="11" width="10.7109375" style="70" customWidth="1"/>
    <col min="12" max="12" width="10.28515625" style="70" customWidth="1"/>
    <col min="13" max="13" width="7.7109375" style="70" customWidth="1"/>
    <col min="14" max="14" width="11.85546875" style="70" customWidth="1"/>
    <col min="15" max="256" width="9.140625" style="70"/>
    <col min="257" max="257" width="5.7109375" style="70" customWidth="1"/>
    <col min="258" max="258" width="76.5703125" style="70" customWidth="1"/>
    <col min="259" max="259" width="16.5703125" style="70" customWidth="1"/>
    <col min="260" max="260" width="6.5703125" style="70" bestFit="1" customWidth="1"/>
    <col min="261" max="261" width="6.140625" style="70" customWidth="1"/>
    <col min="262" max="262" width="11.85546875" style="70" customWidth="1"/>
    <col min="263" max="263" width="13.28515625" style="70" customWidth="1"/>
    <col min="264" max="265" width="24.42578125" style="70" customWidth="1"/>
    <col min="266" max="266" width="16.42578125" style="70" customWidth="1"/>
    <col min="267" max="267" width="10.42578125" style="70" customWidth="1"/>
    <col min="268" max="268" width="10.28515625" style="70" customWidth="1"/>
    <col min="269" max="269" width="7.7109375" style="70" customWidth="1"/>
    <col min="270" max="270" width="11.85546875" style="70" customWidth="1"/>
    <col min="271" max="512" width="9.140625" style="70"/>
    <col min="513" max="513" width="5.7109375" style="70" customWidth="1"/>
    <col min="514" max="514" width="76.5703125" style="70" customWidth="1"/>
    <col min="515" max="515" width="16.5703125" style="70" customWidth="1"/>
    <col min="516" max="516" width="6.5703125" style="70" bestFit="1" customWidth="1"/>
    <col min="517" max="517" width="6.140625" style="70" customWidth="1"/>
    <col min="518" max="518" width="11.85546875" style="70" customWidth="1"/>
    <col min="519" max="519" width="13.28515625" style="70" customWidth="1"/>
    <col min="520" max="521" width="24.42578125" style="70" customWidth="1"/>
    <col min="522" max="522" width="16.42578125" style="70" customWidth="1"/>
    <col min="523" max="523" width="10.42578125" style="70" customWidth="1"/>
    <col min="524" max="524" width="10.28515625" style="70" customWidth="1"/>
    <col min="525" max="525" width="7.7109375" style="70" customWidth="1"/>
    <col min="526" max="526" width="11.85546875" style="70" customWidth="1"/>
    <col min="527" max="768" width="9.140625" style="70"/>
    <col min="769" max="769" width="5.7109375" style="70" customWidth="1"/>
    <col min="770" max="770" width="76.5703125" style="70" customWidth="1"/>
    <col min="771" max="771" width="16.5703125" style="70" customWidth="1"/>
    <col min="772" max="772" width="6.5703125" style="70" bestFit="1" customWidth="1"/>
    <col min="773" max="773" width="6.140625" style="70" customWidth="1"/>
    <col min="774" max="774" width="11.85546875" style="70" customWidth="1"/>
    <col min="775" max="775" width="13.28515625" style="70" customWidth="1"/>
    <col min="776" max="777" width="24.42578125" style="70" customWidth="1"/>
    <col min="778" max="778" width="16.42578125" style="70" customWidth="1"/>
    <col min="779" max="779" width="10.42578125" style="70" customWidth="1"/>
    <col min="780" max="780" width="10.28515625" style="70" customWidth="1"/>
    <col min="781" max="781" width="7.7109375" style="70" customWidth="1"/>
    <col min="782" max="782" width="11.85546875" style="70" customWidth="1"/>
    <col min="783" max="1024" width="9.140625" style="70"/>
    <col min="1025" max="1025" width="5.7109375" style="70" customWidth="1"/>
    <col min="1026" max="1026" width="76.5703125" style="70" customWidth="1"/>
    <col min="1027" max="1027" width="16.5703125" style="70" customWidth="1"/>
    <col min="1028" max="1028" width="6.5703125" style="70" bestFit="1" customWidth="1"/>
    <col min="1029" max="1029" width="6.140625" style="70" customWidth="1"/>
    <col min="1030" max="1030" width="11.85546875" style="70" customWidth="1"/>
    <col min="1031" max="1031" width="13.28515625" style="70" customWidth="1"/>
    <col min="1032" max="1033" width="24.42578125" style="70" customWidth="1"/>
    <col min="1034" max="1034" width="16.42578125" style="70" customWidth="1"/>
    <col min="1035" max="1035" width="10.42578125" style="70" customWidth="1"/>
    <col min="1036" max="1036" width="10.28515625" style="70" customWidth="1"/>
    <col min="1037" max="1037" width="7.7109375" style="70" customWidth="1"/>
    <col min="1038" max="1038" width="11.85546875" style="70" customWidth="1"/>
    <col min="1039" max="1280" width="9.140625" style="70"/>
    <col min="1281" max="1281" width="5.7109375" style="70" customWidth="1"/>
    <col min="1282" max="1282" width="76.5703125" style="70" customWidth="1"/>
    <col min="1283" max="1283" width="16.5703125" style="70" customWidth="1"/>
    <col min="1284" max="1284" width="6.5703125" style="70" bestFit="1" customWidth="1"/>
    <col min="1285" max="1285" width="6.140625" style="70" customWidth="1"/>
    <col min="1286" max="1286" width="11.85546875" style="70" customWidth="1"/>
    <col min="1287" max="1287" width="13.28515625" style="70" customWidth="1"/>
    <col min="1288" max="1289" width="24.42578125" style="70" customWidth="1"/>
    <col min="1290" max="1290" width="16.42578125" style="70" customWidth="1"/>
    <col min="1291" max="1291" width="10.42578125" style="70" customWidth="1"/>
    <col min="1292" max="1292" width="10.28515625" style="70" customWidth="1"/>
    <col min="1293" max="1293" width="7.7109375" style="70" customWidth="1"/>
    <col min="1294" max="1294" width="11.85546875" style="70" customWidth="1"/>
    <col min="1295" max="1536" width="9.140625" style="70"/>
    <col min="1537" max="1537" width="5.7109375" style="70" customWidth="1"/>
    <col min="1538" max="1538" width="76.5703125" style="70" customWidth="1"/>
    <col min="1539" max="1539" width="16.5703125" style="70" customWidth="1"/>
    <col min="1540" max="1540" width="6.5703125" style="70" bestFit="1" customWidth="1"/>
    <col min="1541" max="1541" width="6.140625" style="70" customWidth="1"/>
    <col min="1542" max="1542" width="11.85546875" style="70" customWidth="1"/>
    <col min="1543" max="1543" width="13.28515625" style="70" customWidth="1"/>
    <col min="1544" max="1545" width="24.42578125" style="70" customWidth="1"/>
    <col min="1546" max="1546" width="16.42578125" style="70" customWidth="1"/>
    <col min="1547" max="1547" width="10.42578125" style="70" customWidth="1"/>
    <col min="1548" max="1548" width="10.28515625" style="70" customWidth="1"/>
    <col min="1549" max="1549" width="7.7109375" style="70" customWidth="1"/>
    <col min="1550" max="1550" width="11.85546875" style="70" customWidth="1"/>
    <col min="1551" max="1792" width="9.140625" style="70"/>
    <col min="1793" max="1793" width="5.7109375" style="70" customWidth="1"/>
    <col min="1794" max="1794" width="76.5703125" style="70" customWidth="1"/>
    <col min="1795" max="1795" width="16.5703125" style="70" customWidth="1"/>
    <col min="1796" max="1796" width="6.5703125" style="70" bestFit="1" customWidth="1"/>
    <col min="1797" max="1797" width="6.140625" style="70" customWidth="1"/>
    <col min="1798" max="1798" width="11.85546875" style="70" customWidth="1"/>
    <col min="1799" max="1799" width="13.28515625" style="70" customWidth="1"/>
    <col min="1800" max="1801" width="24.42578125" style="70" customWidth="1"/>
    <col min="1802" max="1802" width="16.42578125" style="70" customWidth="1"/>
    <col min="1803" max="1803" width="10.42578125" style="70" customWidth="1"/>
    <col min="1804" max="1804" width="10.28515625" style="70" customWidth="1"/>
    <col min="1805" max="1805" width="7.7109375" style="70" customWidth="1"/>
    <col min="1806" max="1806" width="11.85546875" style="70" customWidth="1"/>
    <col min="1807" max="2048" width="9.140625" style="70"/>
    <col min="2049" max="2049" width="5.7109375" style="70" customWidth="1"/>
    <col min="2050" max="2050" width="76.5703125" style="70" customWidth="1"/>
    <col min="2051" max="2051" width="16.5703125" style="70" customWidth="1"/>
    <col min="2052" max="2052" width="6.5703125" style="70" bestFit="1" customWidth="1"/>
    <col min="2053" max="2053" width="6.140625" style="70" customWidth="1"/>
    <col min="2054" max="2054" width="11.85546875" style="70" customWidth="1"/>
    <col min="2055" max="2055" width="13.28515625" style="70" customWidth="1"/>
    <col min="2056" max="2057" width="24.42578125" style="70" customWidth="1"/>
    <col min="2058" max="2058" width="16.42578125" style="70" customWidth="1"/>
    <col min="2059" max="2059" width="10.42578125" style="70" customWidth="1"/>
    <col min="2060" max="2060" width="10.28515625" style="70" customWidth="1"/>
    <col min="2061" max="2061" width="7.7109375" style="70" customWidth="1"/>
    <col min="2062" max="2062" width="11.85546875" style="70" customWidth="1"/>
    <col min="2063" max="2304" width="9.140625" style="70"/>
    <col min="2305" max="2305" width="5.7109375" style="70" customWidth="1"/>
    <col min="2306" max="2306" width="76.5703125" style="70" customWidth="1"/>
    <col min="2307" max="2307" width="16.5703125" style="70" customWidth="1"/>
    <col min="2308" max="2308" width="6.5703125" style="70" bestFit="1" customWidth="1"/>
    <col min="2309" max="2309" width="6.140625" style="70" customWidth="1"/>
    <col min="2310" max="2310" width="11.85546875" style="70" customWidth="1"/>
    <col min="2311" max="2311" width="13.28515625" style="70" customWidth="1"/>
    <col min="2312" max="2313" width="24.42578125" style="70" customWidth="1"/>
    <col min="2314" max="2314" width="16.42578125" style="70" customWidth="1"/>
    <col min="2315" max="2315" width="10.42578125" style="70" customWidth="1"/>
    <col min="2316" max="2316" width="10.28515625" style="70" customWidth="1"/>
    <col min="2317" max="2317" width="7.7109375" style="70" customWidth="1"/>
    <col min="2318" max="2318" width="11.85546875" style="70" customWidth="1"/>
    <col min="2319" max="2560" width="9.140625" style="70"/>
    <col min="2561" max="2561" width="5.7109375" style="70" customWidth="1"/>
    <col min="2562" max="2562" width="76.5703125" style="70" customWidth="1"/>
    <col min="2563" max="2563" width="16.5703125" style="70" customWidth="1"/>
    <col min="2564" max="2564" width="6.5703125" style="70" bestFit="1" customWidth="1"/>
    <col min="2565" max="2565" width="6.140625" style="70" customWidth="1"/>
    <col min="2566" max="2566" width="11.85546875" style="70" customWidth="1"/>
    <col min="2567" max="2567" width="13.28515625" style="70" customWidth="1"/>
    <col min="2568" max="2569" width="24.42578125" style="70" customWidth="1"/>
    <col min="2570" max="2570" width="16.42578125" style="70" customWidth="1"/>
    <col min="2571" max="2571" width="10.42578125" style="70" customWidth="1"/>
    <col min="2572" max="2572" width="10.28515625" style="70" customWidth="1"/>
    <col min="2573" max="2573" width="7.7109375" style="70" customWidth="1"/>
    <col min="2574" max="2574" width="11.85546875" style="70" customWidth="1"/>
    <col min="2575" max="2816" width="9.140625" style="70"/>
    <col min="2817" max="2817" width="5.7109375" style="70" customWidth="1"/>
    <col min="2818" max="2818" width="76.5703125" style="70" customWidth="1"/>
    <col min="2819" max="2819" width="16.5703125" style="70" customWidth="1"/>
    <col min="2820" max="2820" width="6.5703125" style="70" bestFit="1" customWidth="1"/>
    <col min="2821" max="2821" width="6.140625" style="70" customWidth="1"/>
    <col min="2822" max="2822" width="11.85546875" style="70" customWidth="1"/>
    <col min="2823" max="2823" width="13.28515625" style="70" customWidth="1"/>
    <col min="2824" max="2825" width="24.42578125" style="70" customWidth="1"/>
    <col min="2826" max="2826" width="16.42578125" style="70" customWidth="1"/>
    <col min="2827" max="2827" width="10.42578125" style="70" customWidth="1"/>
    <col min="2828" max="2828" width="10.28515625" style="70" customWidth="1"/>
    <col min="2829" max="2829" width="7.7109375" style="70" customWidth="1"/>
    <col min="2830" max="2830" width="11.85546875" style="70" customWidth="1"/>
    <col min="2831" max="3072" width="9.140625" style="70"/>
    <col min="3073" max="3073" width="5.7109375" style="70" customWidth="1"/>
    <col min="3074" max="3074" width="76.5703125" style="70" customWidth="1"/>
    <col min="3075" max="3075" width="16.5703125" style="70" customWidth="1"/>
    <col min="3076" max="3076" width="6.5703125" style="70" bestFit="1" customWidth="1"/>
    <col min="3077" max="3077" width="6.140625" style="70" customWidth="1"/>
    <col min="3078" max="3078" width="11.85546875" style="70" customWidth="1"/>
    <col min="3079" max="3079" width="13.28515625" style="70" customWidth="1"/>
    <col min="3080" max="3081" width="24.42578125" style="70" customWidth="1"/>
    <col min="3082" max="3082" width="16.42578125" style="70" customWidth="1"/>
    <col min="3083" max="3083" width="10.42578125" style="70" customWidth="1"/>
    <col min="3084" max="3084" width="10.28515625" style="70" customWidth="1"/>
    <col min="3085" max="3085" width="7.7109375" style="70" customWidth="1"/>
    <col min="3086" max="3086" width="11.85546875" style="70" customWidth="1"/>
    <col min="3087" max="3328" width="9.140625" style="70"/>
    <col min="3329" max="3329" width="5.7109375" style="70" customWidth="1"/>
    <col min="3330" max="3330" width="76.5703125" style="70" customWidth="1"/>
    <col min="3331" max="3331" width="16.5703125" style="70" customWidth="1"/>
    <col min="3332" max="3332" width="6.5703125" style="70" bestFit="1" customWidth="1"/>
    <col min="3333" max="3333" width="6.140625" style="70" customWidth="1"/>
    <col min="3334" max="3334" width="11.85546875" style="70" customWidth="1"/>
    <col min="3335" max="3335" width="13.28515625" style="70" customWidth="1"/>
    <col min="3336" max="3337" width="24.42578125" style="70" customWidth="1"/>
    <col min="3338" max="3338" width="16.42578125" style="70" customWidth="1"/>
    <col min="3339" max="3339" width="10.42578125" style="70" customWidth="1"/>
    <col min="3340" max="3340" width="10.28515625" style="70" customWidth="1"/>
    <col min="3341" max="3341" width="7.7109375" style="70" customWidth="1"/>
    <col min="3342" max="3342" width="11.85546875" style="70" customWidth="1"/>
    <col min="3343" max="3584" width="9.140625" style="70"/>
    <col min="3585" max="3585" width="5.7109375" style="70" customWidth="1"/>
    <col min="3586" max="3586" width="76.5703125" style="70" customWidth="1"/>
    <col min="3587" max="3587" width="16.5703125" style="70" customWidth="1"/>
    <col min="3588" max="3588" width="6.5703125" style="70" bestFit="1" customWidth="1"/>
    <col min="3589" max="3589" width="6.140625" style="70" customWidth="1"/>
    <col min="3590" max="3590" width="11.85546875" style="70" customWidth="1"/>
    <col min="3591" max="3591" width="13.28515625" style="70" customWidth="1"/>
    <col min="3592" max="3593" width="24.42578125" style="70" customWidth="1"/>
    <col min="3594" max="3594" width="16.42578125" style="70" customWidth="1"/>
    <col min="3595" max="3595" width="10.42578125" style="70" customWidth="1"/>
    <col min="3596" max="3596" width="10.28515625" style="70" customWidth="1"/>
    <col min="3597" max="3597" width="7.7109375" style="70" customWidth="1"/>
    <col min="3598" max="3598" width="11.85546875" style="70" customWidth="1"/>
    <col min="3599" max="3840" width="9.140625" style="70"/>
    <col min="3841" max="3841" width="5.7109375" style="70" customWidth="1"/>
    <col min="3842" max="3842" width="76.5703125" style="70" customWidth="1"/>
    <col min="3843" max="3843" width="16.5703125" style="70" customWidth="1"/>
    <col min="3844" max="3844" width="6.5703125" style="70" bestFit="1" customWidth="1"/>
    <col min="3845" max="3845" width="6.140625" style="70" customWidth="1"/>
    <col min="3846" max="3846" width="11.85546875" style="70" customWidth="1"/>
    <col min="3847" max="3847" width="13.28515625" style="70" customWidth="1"/>
    <col min="3848" max="3849" width="24.42578125" style="70" customWidth="1"/>
    <col min="3850" max="3850" width="16.42578125" style="70" customWidth="1"/>
    <col min="3851" max="3851" width="10.42578125" style="70" customWidth="1"/>
    <col min="3852" max="3852" width="10.28515625" style="70" customWidth="1"/>
    <col min="3853" max="3853" width="7.7109375" style="70" customWidth="1"/>
    <col min="3854" max="3854" width="11.85546875" style="70" customWidth="1"/>
    <col min="3855" max="4096" width="9.140625" style="70"/>
    <col min="4097" max="4097" width="5.7109375" style="70" customWidth="1"/>
    <col min="4098" max="4098" width="76.5703125" style="70" customWidth="1"/>
    <col min="4099" max="4099" width="16.5703125" style="70" customWidth="1"/>
    <col min="4100" max="4100" width="6.5703125" style="70" bestFit="1" customWidth="1"/>
    <col min="4101" max="4101" width="6.140625" style="70" customWidth="1"/>
    <col min="4102" max="4102" width="11.85546875" style="70" customWidth="1"/>
    <col min="4103" max="4103" width="13.28515625" style="70" customWidth="1"/>
    <col min="4104" max="4105" width="24.42578125" style="70" customWidth="1"/>
    <col min="4106" max="4106" width="16.42578125" style="70" customWidth="1"/>
    <col min="4107" max="4107" width="10.42578125" style="70" customWidth="1"/>
    <col min="4108" max="4108" width="10.28515625" style="70" customWidth="1"/>
    <col min="4109" max="4109" width="7.7109375" style="70" customWidth="1"/>
    <col min="4110" max="4110" width="11.85546875" style="70" customWidth="1"/>
    <col min="4111" max="4352" width="9.140625" style="70"/>
    <col min="4353" max="4353" width="5.7109375" style="70" customWidth="1"/>
    <col min="4354" max="4354" width="76.5703125" style="70" customWidth="1"/>
    <col min="4355" max="4355" width="16.5703125" style="70" customWidth="1"/>
    <col min="4356" max="4356" width="6.5703125" style="70" bestFit="1" customWidth="1"/>
    <col min="4357" max="4357" width="6.140625" style="70" customWidth="1"/>
    <col min="4358" max="4358" width="11.85546875" style="70" customWidth="1"/>
    <col min="4359" max="4359" width="13.28515625" style="70" customWidth="1"/>
    <col min="4360" max="4361" width="24.42578125" style="70" customWidth="1"/>
    <col min="4362" max="4362" width="16.42578125" style="70" customWidth="1"/>
    <col min="4363" max="4363" width="10.42578125" style="70" customWidth="1"/>
    <col min="4364" max="4364" width="10.28515625" style="70" customWidth="1"/>
    <col min="4365" max="4365" width="7.7109375" style="70" customWidth="1"/>
    <col min="4366" max="4366" width="11.85546875" style="70" customWidth="1"/>
    <col min="4367" max="4608" width="9.140625" style="70"/>
    <col min="4609" max="4609" width="5.7109375" style="70" customWidth="1"/>
    <col min="4610" max="4610" width="76.5703125" style="70" customWidth="1"/>
    <col min="4611" max="4611" width="16.5703125" style="70" customWidth="1"/>
    <col min="4612" max="4612" width="6.5703125" style="70" bestFit="1" customWidth="1"/>
    <col min="4613" max="4613" width="6.140625" style="70" customWidth="1"/>
    <col min="4614" max="4614" width="11.85546875" style="70" customWidth="1"/>
    <col min="4615" max="4615" width="13.28515625" style="70" customWidth="1"/>
    <col min="4616" max="4617" width="24.42578125" style="70" customWidth="1"/>
    <col min="4618" max="4618" width="16.42578125" style="70" customWidth="1"/>
    <col min="4619" max="4619" width="10.42578125" style="70" customWidth="1"/>
    <col min="4620" max="4620" width="10.28515625" style="70" customWidth="1"/>
    <col min="4621" max="4621" width="7.7109375" style="70" customWidth="1"/>
    <col min="4622" max="4622" width="11.85546875" style="70" customWidth="1"/>
    <col min="4623" max="4864" width="9.140625" style="70"/>
    <col min="4865" max="4865" width="5.7109375" style="70" customWidth="1"/>
    <col min="4866" max="4866" width="76.5703125" style="70" customWidth="1"/>
    <col min="4867" max="4867" width="16.5703125" style="70" customWidth="1"/>
    <col min="4868" max="4868" width="6.5703125" style="70" bestFit="1" customWidth="1"/>
    <col min="4869" max="4869" width="6.140625" style="70" customWidth="1"/>
    <col min="4870" max="4870" width="11.85546875" style="70" customWidth="1"/>
    <col min="4871" max="4871" width="13.28515625" style="70" customWidth="1"/>
    <col min="4872" max="4873" width="24.42578125" style="70" customWidth="1"/>
    <col min="4874" max="4874" width="16.42578125" style="70" customWidth="1"/>
    <col min="4875" max="4875" width="10.42578125" style="70" customWidth="1"/>
    <col min="4876" max="4876" width="10.28515625" style="70" customWidth="1"/>
    <col min="4877" max="4877" width="7.7109375" style="70" customWidth="1"/>
    <col min="4878" max="4878" width="11.85546875" style="70" customWidth="1"/>
    <col min="4879" max="5120" width="9.140625" style="70"/>
    <col min="5121" max="5121" width="5.7109375" style="70" customWidth="1"/>
    <col min="5122" max="5122" width="76.5703125" style="70" customWidth="1"/>
    <col min="5123" max="5123" width="16.5703125" style="70" customWidth="1"/>
    <col min="5124" max="5124" width="6.5703125" style="70" bestFit="1" customWidth="1"/>
    <col min="5125" max="5125" width="6.140625" style="70" customWidth="1"/>
    <col min="5126" max="5126" width="11.85546875" style="70" customWidth="1"/>
    <col min="5127" max="5127" width="13.28515625" style="70" customWidth="1"/>
    <col min="5128" max="5129" width="24.42578125" style="70" customWidth="1"/>
    <col min="5130" max="5130" width="16.42578125" style="70" customWidth="1"/>
    <col min="5131" max="5131" width="10.42578125" style="70" customWidth="1"/>
    <col min="5132" max="5132" width="10.28515625" style="70" customWidth="1"/>
    <col min="5133" max="5133" width="7.7109375" style="70" customWidth="1"/>
    <col min="5134" max="5134" width="11.85546875" style="70" customWidth="1"/>
    <col min="5135" max="5376" width="9.140625" style="70"/>
    <col min="5377" max="5377" width="5.7109375" style="70" customWidth="1"/>
    <col min="5378" max="5378" width="76.5703125" style="70" customWidth="1"/>
    <col min="5379" max="5379" width="16.5703125" style="70" customWidth="1"/>
    <col min="5380" max="5380" width="6.5703125" style="70" bestFit="1" customWidth="1"/>
    <col min="5381" max="5381" width="6.140625" style="70" customWidth="1"/>
    <col min="5382" max="5382" width="11.85546875" style="70" customWidth="1"/>
    <col min="5383" max="5383" width="13.28515625" style="70" customWidth="1"/>
    <col min="5384" max="5385" width="24.42578125" style="70" customWidth="1"/>
    <col min="5386" max="5386" width="16.42578125" style="70" customWidth="1"/>
    <col min="5387" max="5387" width="10.42578125" style="70" customWidth="1"/>
    <col min="5388" max="5388" width="10.28515625" style="70" customWidth="1"/>
    <col min="5389" max="5389" width="7.7109375" style="70" customWidth="1"/>
    <col min="5390" max="5390" width="11.85546875" style="70" customWidth="1"/>
    <col min="5391" max="5632" width="9.140625" style="70"/>
    <col min="5633" max="5633" width="5.7109375" style="70" customWidth="1"/>
    <col min="5634" max="5634" width="76.5703125" style="70" customWidth="1"/>
    <col min="5635" max="5635" width="16.5703125" style="70" customWidth="1"/>
    <col min="5636" max="5636" width="6.5703125" style="70" bestFit="1" customWidth="1"/>
    <col min="5637" max="5637" width="6.140625" style="70" customWidth="1"/>
    <col min="5638" max="5638" width="11.85546875" style="70" customWidth="1"/>
    <col min="5639" max="5639" width="13.28515625" style="70" customWidth="1"/>
    <col min="5640" max="5641" width="24.42578125" style="70" customWidth="1"/>
    <col min="5642" max="5642" width="16.42578125" style="70" customWidth="1"/>
    <col min="5643" max="5643" width="10.42578125" style="70" customWidth="1"/>
    <col min="5644" max="5644" width="10.28515625" style="70" customWidth="1"/>
    <col min="5645" max="5645" width="7.7109375" style="70" customWidth="1"/>
    <col min="5646" max="5646" width="11.85546875" style="70" customWidth="1"/>
    <col min="5647" max="5888" width="9.140625" style="70"/>
    <col min="5889" max="5889" width="5.7109375" style="70" customWidth="1"/>
    <col min="5890" max="5890" width="76.5703125" style="70" customWidth="1"/>
    <col min="5891" max="5891" width="16.5703125" style="70" customWidth="1"/>
    <col min="5892" max="5892" width="6.5703125" style="70" bestFit="1" customWidth="1"/>
    <col min="5893" max="5893" width="6.140625" style="70" customWidth="1"/>
    <col min="5894" max="5894" width="11.85546875" style="70" customWidth="1"/>
    <col min="5895" max="5895" width="13.28515625" style="70" customWidth="1"/>
    <col min="5896" max="5897" width="24.42578125" style="70" customWidth="1"/>
    <col min="5898" max="5898" width="16.42578125" style="70" customWidth="1"/>
    <col min="5899" max="5899" width="10.42578125" style="70" customWidth="1"/>
    <col min="5900" max="5900" width="10.28515625" style="70" customWidth="1"/>
    <col min="5901" max="5901" width="7.7109375" style="70" customWidth="1"/>
    <col min="5902" max="5902" width="11.85546875" style="70" customWidth="1"/>
    <col min="5903" max="6144" width="9.140625" style="70"/>
    <col min="6145" max="6145" width="5.7109375" style="70" customWidth="1"/>
    <col min="6146" max="6146" width="76.5703125" style="70" customWidth="1"/>
    <col min="6147" max="6147" width="16.5703125" style="70" customWidth="1"/>
    <col min="6148" max="6148" width="6.5703125" style="70" bestFit="1" customWidth="1"/>
    <col min="6149" max="6149" width="6.140625" style="70" customWidth="1"/>
    <col min="6150" max="6150" width="11.85546875" style="70" customWidth="1"/>
    <col min="6151" max="6151" width="13.28515625" style="70" customWidth="1"/>
    <col min="6152" max="6153" width="24.42578125" style="70" customWidth="1"/>
    <col min="6154" max="6154" width="16.42578125" style="70" customWidth="1"/>
    <col min="6155" max="6155" width="10.42578125" style="70" customWidth="1"/>
    <col min="6156" max="6156" width="10.28515625" style="70" customWidth="1"/>
    <col min="6157" max="6157" width="7.7109375" style="70" customWidth="1"/>
    <col min="6158" max="6158" width="11.85546875" style="70" customWidth="1"/>
    <col min="6159" max="6400" width="9.140625" style="70"/>
    <col min="6401" max="6401" width="5.7109375" style="70" customWidth="1"/>
    <col min="6402" max="6402" width="76.5703125" style="70" customWidth="1"/>
    <col min="6403" max="6403" width="16.5703125" style="70" customWidth="1"/>
    <col min="6404" max="6404" width="6.5703125" style="70" bestFit="1" customWidth="1"/>
    <col min="6405" max="6405" width="6.140625" style="70" customWidth="1"/>
    <col min="6406" max="6406" width="11.85546875" style="70" customWidth="1"/>
    <col min="6407" max="6407" width="13.28515625" style="70" customWidth="1"/>
    <col min="6408" max="6409" width="24.42578125" style="70" customWidth="1"/>
    <col min="6410" max="6410" width="16.42578125" style="70" customWidth="1"/>
    <col min="6411" max="6411" width="10.42578125" style="70" customWidth="1"/>
    <col min="6412" max="6412" width="10.28515625" style="70" customWidth="1"/>
    <col min="6413" max="6413" width="7.7109375" style="70" customWidth="1"/>
    <col min="6414" max="6414" width="11.85546875" style="70" customWidth="1"/>
    <col min="6415" max="6656" width="9.140625" style="70"/>
    <col min="6657" max="6657" width="5.7109375" style="70" customWidth="1"/>
    <col min="6658" max="6658" width="76.5703125" style="70" customWidth="1"/>
    <col min="6659" max="6659" width="16.5703125" style="70" customWidth="1"/>
    <col min="6660" max="6660" width="6.5703125" style="70" bestFit="1" customWidth="1"/>
    <col min="6661" max="6661" width="6.140625" style="70" customWidth="1"/>
    <col min="6662" max="6662" width="11.85546875" style="70" customWidth="1"/>
    <col min="6663" max="6663" width="13.28515625" style="70" customWidth="1"/>
    <col min="6664" max="6665" width="24.42578125" style="70" customWidth="1"/>
    <col min="6666" max="6666" width="16.42578125" style="70" customWidth="1"/>
    <col min="6667" max="6667" width="10.42578125" style="70" customWidth="1"/>
    <col min="6668" max="6668" width="10.28515625" style="70" customWidth="1"/>
    <col min="6669" max="6669" width="7.7109375" style="70" customWidth="1"/>
    <col min="6670" max="6670" width="11.85546875" style="70" customWidth="1"/>
    <col min="6671" max="6912" width="9.140625" style="70"/>
    <col min="6913" max="6913" width="5.7109375" style="70" customWidth="1"/>
    <col min="6914" max="6914" width="76.5703125" style="70" customWidth="1"/>
    <col min="6915" max="6915" width="16.5703125" style="70" customWidth="1"/>
    <col min="6916" max="6916" width="6.5703125" style="70" bestFit="1" customWidth="1"/>
    <col min="6917" max="6917" width="6.140625" style="70" customWidth="1"/>
    <col min="6918" max="6918" width="11.85546875" style="70" customWidth="1"/>
    <col min="6919" max="6919" width="13.28515625" style="70" customWidth="1"/>
    <col min="6920" max="6921" width="24.42578125" style="70" customWidth="1"/>
    <col min="6922" max="6922" width="16.42578125" style="70" customWidth="1"/>
    <col min="6923" max="6923" width="10.42578125" style="70" customWidth="1"/>
    <col min="6924" max="6924" width="10.28515625" style="70" customWidth="1"/>
    <col min="6925" max="6925" width="7.7109375" style="70" customWidth="1"/>
    <col min="6926" max="6926" width="11.85546875" style="70" customWidth="1"/>
    <col min="6927" max="7168" width="9.140625" style="70"/>
    <col min="7169" max="7169" width="5.7109375" style="70" customWidth="1"/>
    <col min="7170" max="7170" width="76.5703125" style="70" customWidth="1"/>
    <col min="7171" max="7171" width="16.5703125" style="70" customWidth="1"/>
    <col min="7172" max="7172" width="6.5703125" style="70" bestFit="1" customWidth="1"/>
    <col min="7173" max="7173" width="6.140625" style="70" customWidth="1"/>
    <col min="7174" max="7174" width="11.85546875" style="70" customWidth="1"/>
    <col min="7175" max="7175" width="13.28515625" style="70" customWidth="1"/>
    <col min="7176" max="7177" width="24.42578125" style="70" customWidth="1"/>
    <col min="7178" max="7178" width="16.42578125" style="70" customWidth="1"/>
    <col min="7179" max="7179" width="10.42578125" style="70" customWidth="1"/>
    <col min="7180" max="7180" width="10.28515625" style="70" customWidth="1"/>
    <col min="7181" max="7181" width="7.7109375" style="70" customWidth="1"/>
    <col min="7182" max="7182" width="11.85546875" style="70" customWidth="1"/>
    <col min="7183" max="7424" width="9.140625" style="70"/>
    <col min="7425" max="7425" width="5.7109375" style="70" customWidth="1"/>
    <col min="7426" max="7426" width="76.5703125" style="70" customWidth="1"/>
    <col min="7427" max="7427" width="16.5703125" style="70" customWidth="1"/>
    <col min="7428" max="7428" width="6.5703125" style="70" bestFit="1" customWidth="1"/>
    <col min="7429" max="7429" width="6.140625" style="70" customWidth="1"/>
    <col min="7430" max="7430" width="11.85546875" style="70" customWidth="1"/>
    <col min="7431" max="7431" width="13.28515625" style="70" customWidth="1"/>
    <col min="7432" max="7433" width="24.42578125" style="70" customWidth="1"/>
    <col min="7434" max="7434" width="16.42578125" style="70" customWidth="1"/>
    <col min="7435" max="7435" width="10.42578125" style="70" customWidth="1"/>
    <col min="7436" max="7436" width="10.28515625" style="70" customWidth="1"/>
    <col min="7437" max="7437" width="7.7109375" style="70" customWidth="1"/>
    <col min="7438" max="7438" width="11.85546875" style="70" customWidth="1"/>
    <col min="7439" max="7680" width="9.140625" style="70"/>
    <col min="7681" max="7681" width="5.7109375" style="70" customWidth="1"/>
    <col min="7682" max="7682" width="76.5703125" style="70" customWidth="1"/>
    <col min="7683" max="7683" width="16.5703125" style="70" customWidth="1"/>
    <col min="7684" max="7684" width="6.5703125" style="70" bestFit="1" customWidth="1"/>
    <col min="7685" max="7685" width="6.140625" style="70" customWidth="1"/>
    <col min="7686" max="7686" width="11.85546875" style="70" customWidth="1"/>
    <col min="7687" max="7687" width="13.28515625" style="70" customWidth="1"/>
    <col min="7688" max="7689" width="24.42578125" style="70" customWidth="1"/>
    <col min="7690" max="7690" width="16.42578125" style="70" customWidth="1"/>
    <col min="7691" max="7691" width="10.42578125" style="70" customWidth="1"/>
    <col min="7692" max="7692" width="10.28515625" style="70" customWidth="1"/>
    <col min="7693" max="7693" width="7.7109375" style="70" customWidth="1"/>
    <col min="7694" max="7694" width="11.85546875" style="70" customWidth="1"/>
    <col min="7695" max="7936" width="9.140625" style="70"/>
    <col min="7937" max="7937" width="5.7109375" style="70" customWidth="1"/>
    <col min="7938" max="7938" width="76.5703125" style="70" customWidth="1"/>
    <col min="7939" max="7939" width="16.5703125" style="70" customWidth="1"/>
    <col min="7940" max="7940" width="6.5703125" style="70" bestFit="1" customWidth="1"/>
    <col min="7941" max="7941" width="6.140625" style="70" customWidth="1"/>
    <col min="7942" max="7942" width="11.85546875" style="70" customWidth="1"/>
    <col min="7943" max="7943" width="13.28515625" style="70" customWidth="1"/>
    <col min="7944" max="7945" width="24.42578125" style="70" customWidth="1"/>
    <col min="7946" max="7946" width="16.42578125" style="70" customWidth="1"/>
    <col min="7947" max="7947" width="10.42578125" style="70" customWidth="1"/>
    <col min="7948" max="7948" width="10.28515625" style="70" customWidth="1"/>
    <col min="7949" max="7949" width="7.7109375" style="70" customWidth="1"/>
    <col min="7950" max="7950" width="11.85546875" style="70" customWidth="1"/>
    <col min="7951" max="8192" width="9.140625" style="70"/>
    <col min="8193" max="8193" width="5.7109375" style="70" customWidth="1"/>
    <col min="8194" max="8194" width="76.5703125" style="70" customWidth="1"/>
    <col min="8195" max="8195" width="16.5703125" style="70" customWidth="1"/>
    <col min="8196" max="8196" width="6.5703125" style="70" bestFit="1" customWidth="1"/>
    <col min="8197" max="8197" width="6.140625" style="70" customWidth="1"/>
    <col min="8198" max="8198" width="11.85546875" style="70" customWidth="1"/>
    <col min="8199" max="8199" width="13.28515625" style="70" customWidth="1"/>
    <col min="8200" max="8201" width="24.42578125" style="70" customWidth="1"/>
    <col min="8202" max="8202" width="16.42578125" style="70" customWidth="1"/>
    <col min="8203" max="8203" width="10.42578125" style="70" customWidth="1"/>
    <col min="8204" max="8204" width="10.28515625" style="70" customWidth="1"/>
    <col min="8205" max="8205" width="7.7109375" style="70" customWidth="1"/>
    <col min="8206" max="8206" width="11.85546875" style="70" customWidth="1"/>
    <col min="8207" max="8448" width="9.140625" style="70"/>
    <col min="8449" max="8449" width="5.7109375" style="70" customWidth="1"/>
    <col min="8450" max="8450" width="76.5703125" style="70" customWidth="1"/>
    <col min="8451" max="8451" width="16.5703125" style="70" customWidth="1"/>
    <col min="8452" max="8452" width="6.5703125" style="70" bestFit="1" customWidth="1"/>
    <col min="8453" max="8453" width="6.140625" style="70" customWidth="1"/>
    <col min="8454" max="8454" width="11.85546875" style="70" customWidth="1"/>
    <col min="8455" max="8455" width="13.28515625" style="70" customWidth="1"/>
    <col min="8456" max="8457" width="24.42578125" style="70" customWidth="1"/>
    <col min="8458" max="8458" width="16.42578125" style="70" customWidth="1"/>
    <col min="8459" max="8459" width="10.42578125" style="70" customWidth="1"/>
    <col min="8460" max="8460" width="10.28515625" style="70" customWidth="1"/>
    <col min="8461" max="8461" width="7.7109375" style="70" customWidth="1"/>
    <col min="8462" max="8462" width="11.85546875" style="70" customWidth="1"/>
    <col min="8463" max="8704" width="9.140625" style="70"/>
    <col min="8705" max="8705" width="5.7109375" style="70" customWidth="1"/>
    <col min="8706" max="8706" width="76.5703125" style="70" customWidth="1"/>
    <col min="8707" max="8707" width="16.5703125" style="70" customWidth="1"/>
    <col min="8708" max="8708" width="6.5703125" style="70" bestFit="1" customWidth="1"/>
    <col min="8709" max="8709" width="6.140625" style="70" customWidth="1"/>
    <col min="8710" max="8710" width="11.85546875" style="70" customWidth="1"/>
    <col min="8711" max="8711" width="13.28515625" style="70" customWidth="1"/>
    <col min="8712" max="8713" width="24.42578125" style="70" customWidth="1"/>
    <col min="8714" max="8714" width="16.42578125" style="70" customWidth="1"/>
    <col min="8715" max="8715" width="10.42578125" style="70" customWidth="1"/>
    <col min="8716" max="8716" width="10.28515625" style="70" customWidth="1"/>
    <col min="8717" max="8717" width="7.7109375" style="70" customWidth="1"/>
    <col min="8718" max="8718" width="11.85546875" style="70" customWidth="1"/>
    <col min="8719" max="8960" width="9.140625" style="70"/>
    <col min="8961" max="8961" width="5.7109375" style="70" customWidth="1"/>
    <col min="8962" max="8962" width="76.5703125" style="70" customWidth="1"/>
    <col min="8963" max="8963" width="16.5703125" style="70" customWidth="1"/>
    <col min="8964" max="8964" width="6.5703125" style="70" bestFit="1" customWidth="1"/>
    <col min="8965" max="8965" width="6.140625" style="70" customWidth="1"/>
    <col min="8966" max="8966" width="11.85546875" style="70" customWidth="1"/>
    <col min="8967" max="8967" width="13.28515625" style="70" customWidth="1"/>
    <col min="8968" max="8969" width="24.42578125" style="70" customWidth="1"/>
    <col min="8970" max="8970" width="16.42578125" style="70" customWidth="1"/>
    <col min="8971" max="8971" width="10.42578125" style="70" customWidth="1"/>
    <col min="8972" max="8972" width="10.28515625" style="70" customWidth="1"/>
    <col min="8973" max="8973" width="7.7109375" style="70" customWidth="1"/>
    <col min="8974" max="8974" width="11.85546875" style="70" customWidth="1"/>
    <col min="8975" max="9216" width="9.140625" style="70"/>
    <col min="9217" max="9217" width="5.7109375" style="70" customWidth="1"/>
    <col min="9218" max="9218" width="76.5703125" style="70" customWidth="1"/>
    <col min="9219" max="9219" width="16.5703125" style="70" customWidth="1"/>
    <col min="9220" max="9220" width="6.5703125" style="70" bestFit="1" customWidth="1"/>
    <col min="9221" max="9221" width="6.140625" style="70" customWidth="1"/>
    <col min="9222" max="9222" width="11.85546875" style="70" customWidth="1"/>
    <col min="9223" max="9223" width="13.28515625" style="70" customWidth="1"/>
    <col min="9224" max="9225" width="24.42578125" style="70" customWidth="1"/>
    <col min="9226" max="9226" width="16.42578125" style="70" customWidth="1"/>
    <col min="9227" max="9227" width="10.42578125" style="70" customWidth="1"/>
    <col min="9228" max="9228" width="10.28515625" style="70" customWidth="1"/>
    <col min="9229" max="9229" width="7.7109375" style="70" customWidth="1"/>
    <col min="9230" max="9230" width="11.85546875" style="70" customWidth="1"/>
    <col min="9231" max="9472" width="9.140625" style="70"/>
    <col min="9473" max="9473" width="5.7109375" style="70" customWidth="1"/>
    <col min="9474" max="9474" width="76.5703125" style="70" customWidth="1"/>
    <col min="9475" max="9475" width="16.5703125" style="70" customWidth="1"/>
    <col min="9476" max="9476" width="6.5703125" style="70" bestFit="1" customWidth="1"/>
    <col min="9477" max="9477" width="6.140625" style="70" customWidth="1"/>
    <col min="9478" max="9478" width="11.85546875" style="70" customWidth="1"/>
    <col min="9479" max="9479" width="13.28515625" style="70" customWidth="1"/>
    <col min="9480" max="9481" width="24.42578125" style="70" customWidth="1"/>
    <col min="9482" max="9482" width="16.42578125" style="70" customWidth="1"/>
    <col min="9483" max="9483" width="10.42578125" style="70" customWidth="1"/>
    <col min="9484" max="9484" width="10.28515625" style="70" customWidth="1"/>
    <col min="9485" max="9485" width="7.7109375" style="70" customWidth="1"/>
    <col min="9486" max="9486" width="11.85546875" style="70" customWidth="1"/>
    <col min="9487" max="9728" width="9.140625" style="70"/>
    <col min="9729" max="9729" width="5.7109375" style="70" customWidth="1"/>
    <col min="9730" max="9730" width="76.5703125" style="70" customWidth="1"/>
    <col min="9731" max="9731" width="16.5703125" style="70" customWidth="1"/>
    <col min="9732" max="9732" width="6.5703125" style="70" bestFit="1" customWidth="1"/>
    <col min="9733" max="9733" width="6.140625" style="70" customWidth="1"/>
    <col min="9734" max="9734" width="11.85546875" style="70" customWidth="1"/>
    <col min="9735" max="9735" width="13.28515625" style="70" customWidth="1"/>
    <col min="9736" max="9737" width="24.42578125" style="70" customWidth="1"/>
    <col min="9738" max="9738" width="16.42578125" style="70" customWidth="1"/>
    <col min="9739" max="9739" width="10.42578125" style="70" customWidth="1"/>
    <col min="9740" max="9740" width="10.28515625" style="70" customWidth="1"/>
    <col min="9741" max="9741" width="7.7109375" style="70" customWidth="1"/>
    <col min="9742" max="9742" width="11.85546875" style="70" customWidth="1"/>
    <col min="9743" max="9984" width="9.140625" style="70"/>
    <col min="9985" max="9985" width="5.7109375" style="70" customWidth="1"/>
    <col min="9986" max="9986" width="76.5703125" style="70" customWidth="1"/>
    <col min="9987" max="9987" width="16.5703125" style="70" customWidth="1"/>
    <col min="9988" max="9988" width="6.5703125" style="70" bestFit="1" customWidth="1"/>
    <col min="9989" max="9989" width="6.140625" style="70" customWidth="1"/>
    <col min="9990" max="9990" width="11.85546875" style="70" customWidth="1"/>
    <col min="9991" max="9991" width="13.28515625" style="70" customWidth="1"/>
    <col min="9992" max="9993" width="24.42578125" style="70" customWidth="1"/>
    <col min="9994" max="9994" width="16.42578125" style="70" customWidth="1"/>
    <col min="9995" max="9995" width="10.42578125" style="70" customWidth="1"/>
    <col min="9996" max="9996" width="10.28515625" style="70" customWidth="1"/>
    <col min="9997" max="9997" width="7.7109375" style="70" customWidth="1"/>
    <col min="9998" max="9998" width="11.85546875" style="70" customWidth="1"/>
    <col min="9999" max="10240" width="9.140625" style="70"/>
    <col min="10241" max="10241" width="5.7109375" style="70" customWidth="1"/>
    <col min="10242" max="10242" width="76.5703125" style="70" customWidth="1"/>
    <col min="10243" max="10243" width="16.5703125" style="70" customWidth="1"/>
    <col min="10244" max="10244" width="6.5703125" style="70" bestFit="1" customWidth="1"/>
    <col min="10245" max="10245" width="6.140625" style="70" customWidth="1"/>
    <col min="10246" max="10246" width="11.85546875" style="70" customWidth="1"/>
    <col min="10247" max="10247" width="13.28515625" style="70" customWidth="1"/>
    <col min="10248" max="10249" width="24.42578125" style="70" customWidth="1"/>
    <col min="10250" max="10250" width="16.42578125" style="70" customWidth="1"/>
    <col min="10251" max="10251" width="10.42578125" style="70" customWidth="1"/>
    <col min="10252" max="10252" width="10.28515625" style="70" customWidth="1"/>
    <col min="10253" max="10253" width="7.7109375" style="70" customWidth="1"/>
    <col min="10254" max="10254" width="11.85546875" style="70" customWidth="1"/>
    <col min="10255" max="10496" width="9.140625" style="70"/>
    <col min="10497" max="10497" width="5.7109375" style="70" customWidth="1"/>
    <col min="10498" max="10498" width="76.5703125" style="70" customWidth="1"/>
    <col min="10499" max="10499" width="16.5703125" style="70" customWidth="1"/>
    <col min="10500" max="10500" width="6.5703125" style="70" bestFit="1" customWidth="1"/>
    <col min="10501" max="10501" width="6.140625" style="70" customWidth="1"/>
    <col min="10502" max="10502" width="11.85546875" style="70" customWidth="1"/>
    <col min="10503" max="10503" width="13.28515625" style="70" customWidth="1"/>
    <col min="10504" max="10505" width="24.42578125" style="70" customWidth="1"/>
    <col min="10506" max="10506" width="16.42578125" style="70" customWidth="1"/>
    <col min="10507" max="10507" width="10.42578125" style="70" customWidth="1"/>
    <col min="10508" max="10508" width="10.28515625" style="70" customWidth="1"/>
    <col min="10509" max="10509" width="7.7109375" style="70" customWidth="1"/>
    <col min="10510" max="10510" width="11.85546875" style="70" customWidth="1"/>
    <col min="10511" max="10752" width="9.140625" style="70"/>
    <col min="10753" max="10753" width="5.7109375" style="70" customWidth="1"/>
    <col min="10754" max="10754" width="76.5703125" style="70" customWidth="1"/>
    <col min="10755" max="10755" width="16.5703125" style="70" customWidth="1"/>
    <col min="10756" max="10756" width="6.5703125" style="70" bestFit="1" customWidth="1"/>
    <col min="10757" max="10757" width="6.140625" style="70" customWidth="1"/>
    <col min="10758" max="10758" width="11.85546875" style="70" customWidth="1"/>
    <col min="10759" max="10759" width="13.28515625" style="70" customWidth="1"/>
    <col min="10760" max="10761" width="24.42578125" style="70" customWidth="1"/>
    <col min="10762" max="10762" width="16.42578125" style="70" customWidth="1"/>
    <col min="10763" max="10763" width="10.42578125" style="70" customWidth="1"/>
    <col min="10764" max="10764" width="10.28515625" style="70" customWidth="1"/>
    <col min="10765" max="10765" width="7.7109375" style="70" customWidth="1"/>
    <col min="10766" max="10766" width="11.85546875" style="70" customWidth="1"/>
    <col min="10767" max="11008" width="9.140625" style="70"/>
    <col min="11009" max="11009" width="5.7109375" style="70" customWidth="1"/>
    <col min="11010" max="11010" width="76.5703125" style="70" customWidth="1"/>
    <col min="11011" max="11011" width="16.5703125" style="70" customWidth="1"/>
    <col min="11012" max="11012" width="6.5703125" style="70" bestFit="1" customWidth="1"/>
    <col min="11013" max="11013" width="6.140625" style="70" customWidth="1"/>
    <col min="11014" max="11014" width="11.85546875" style="70" customWidth="1"/>
    <col min="11015" max="11015" width="13.28515625" style="70" customWidth="1"/>
    <col min="11016" max="11017" width="24.42578125" style="70" customWidth="1"/>
    <col min="11018" max="11018" width="16.42578125" style="70" customWidth="1"/>
    <col min="11019" max="11019" width="10.42578125" style="70" customWidth="1"/>
    <col min="11020" max="11020" width="10.28515625" style="70" customWidth="1"/>
    <col min="11021" max="11021" width="7.7109375" style="70" customWidth="1"/>
    <col min="11022" max="11022" width="11.85546875" style="70" customWidth="1"/>
    <col min="11023" max="11264" width="9.140625" style="70"/>
    <col min="11265" max="11265" width="5.7109375" style="70" customWidth="1"/>
    <col min="11266" max="11266" width="76.5703125" style="70" customWidth="1"/>
    <col min="11267" max="11267" width="16.5703125" style="70" customWidth="1"/>
    <col min="11268" max="11268" width="6.5703125" style="70" bestFit="1" customWidth="1"/>
    <col min="11269" max="11269" width="6.140625" style="70" customWidth="1"/>
    <col min="11270" max="11270" width="11.85546875" style="70" customWidth="1"/>
    <col min="11271" max="11271" width="13.28515625" style="70" customWidth="1"/>
    <col min="11272" max="11273" width="24.42578125" style="70" customWidth="1"/>
    <col min="11274" max="11274" width="16.42578125" style="70" customWidth="1"/>
    <col min="11275" max="11275" width="10.42578125" style="70" customWidth="1"/>
    <col min="11276" max="11276" width="10.28515625" style="70" customWidth="1"/>
    <col min="11277" max="11277" width="7.7109375" style="70" customWidth="1"/>
    <col min="11278" max="11278" width="11.85546875" style="70" customWidth="1"/>
    <col min="11279" max="11520" width="9.140625" style="70"/>
    <col min="11521" max="11521" width="5.7109375" style="70" customWidth="1"/>
    <col min="11522" max="11522" width="76.5703125" style="70" customWidth="1"/>
    <col min="11523" max="11523" width="16.5703125" style="70" customWidth="1"/>
    <col min="11524" max="11524" width="6.5703125" style="70" bestFit="1" customWidth="1"/>
    <col min="11525" max="11525" width="6.140625" style="70" customWidth="1"/>
    <col min="11526" max="11526" width="11.85546875" style="70" customWidth="1"/>
    <col min="11527" max="11527" width="13.28515625" style="70" customWidth="1"/>
    <col min="11528" max="11529" width="24.42578125" style="70" customWidth="1"/>
    <col min="11530" max="11530" width="16.42578125" style="70" customWidth="1"/>
    <col min="11531" max="11531" width="10.42578125" style="70" customWidth="1"/>
    <col min="11532" max="11532" width="10.28515625" style="70" customWidth="1"/>
    <col min="11533" max="11533" width="7.7109375" style="70" customWidth="1"/>
    <col min="11534" max="11534" width="11.85546875" style="70" customWidth="1"/>
    <col min="11535" max="11776" width="9.140625" style="70"/>
    <col min="11777" max="11777" width="5.7109375" style="70" customWidth="1"/>
    <col min="11778" max="11778" width="76.5703125" style="70" customWidth="1"/>
    <col min="11779" max="11779" width="16.5703125" style="70" customWidth="1"/>
    <col min="11780" max="11780" width="6.5703125" style="70" bestFit="1" customWidth="1"/>
    <col min="11781" max="11781" width="6.140625" style="70" customWidth="1"/>
    <col min="11782" max="11782" width="11.85546875" style="70" customWidth="1"/>
    <col min="11783" max="11783" width="13.28515625" style="70" customWidth="1"/>
    <col min="11784" max="11785" width="24.42578125" style="70" customWidth="1"/>
    <col min="11786" max="11786" width="16.42578125" style="70" customWidth="1"/>
    <col min="11787" max="11787" width="10.42578125" style="70" customWidth="1"/>
    <col min="11788" max="11788" width="10.28515625" style="70" customWidth="1"/>
    <col min="11789" max="11789" width="7.7109375" style="70" customWidth="1"/>
    <col min="11790" max="11790" width="11.85546875" style="70" customWidth="1"/>
    <col min="11791" max="12032" width="9.140625" style="70"/>
    <col min="12033" max="12033" width="5.7109375" style="70" customWidth="1"/>
    <col min="12034" max="12034" width="76.5703125" style="70" customWidth="1"/>
    <col min="12035" max="12035" width="16.5703125" style="70" customWidth="1"/>
    <col min="12036" max="12036" width="6.5703125" style="70" bestFit="1" customWidth="1"/>
    <col min="12037" max="12037" width="6.140625" style="70" customWidth="1"/>
    <col min="12038" max="12038" width="11.85546875" style="70" customWidth="1"/>
    <col min="12039" max="12039" width="13.28515625" style="70" customWidth="1"/>
    <col min="12040" max="12041" width="24.42578125" style="70" customWidth="1"/>
    <col min="12042" max="12042" width="16.42578125" style="70" customWidth="1"/>
    <col min="12043" max="12043" width="10.42578125" style="70" customWidth="1"/>
    <col min="12044" max="12044" width="10.28515625" style="70" customWidth="1"/>
    <col min="12045" max="12045" width="7.7109375" style="70" customWidth="1"/>
    <col min="12046" max="12046" width="11.85546875" style="70" customWidth="1"/>
    <col min="12047" max="12288" width="9.140625" style="70"/>
    <col min="12289" max="12289" width="5.7109375" style="70" customWidth="1"/>
    <col min="12290" max="12290" width="76.5703125" style="70" customWidth="1"/>
    <col min="12291" max="12291" width="16.5703125" style="70" customWidth="1"/>
    <col min="12292" max="12292" width="6.5703125" style="70" bestFit="1" customWidth="1"/>
    <col min="12293" max="12293" width="6.140625" style="70" customWidth="1"/>
    <col min="12294" max="12294" width="11.85546875" style="70" customWidth="1"/>
    <col min="12295" max="12295" width="13.28515625" style="70" customWidth="1"/>
    <col min="12296" max="12297" width="24.42578125" style="70" customWidth="1"/>
    <col min="12298" max="12298" width="16.42578125" style="70" customWidth="1"/>
    <col min="12299" max="12299" width="10.42578125" style="70" customWidth="1"/>
    <col min="12300" max="12300" width="10.28515625" style="70" customWidth="1"/>
    <col min="12301" max="12301" width="7.7109375" style="70" customWidth="1"/>
    <col min="12302" max="12302" width="11.85546875" style="70" customWidth="1"/>
    <col min="12303" max="12544" width="9.140625" style="70"/>
    <col min="12545" max="12545" width="5.7109375" style="70" customWidth="1"/>
    <col min="12546" max="12546" width="76.5703125" style="70" customWidth="1"/>
    <col min="12547" max="12547" width="16.5703125" style="70" customWidth="1"/>
    <col min="12548" max="12548" width="6.5703125" style="70" bestFit="1" customWidth="1"/>
    <col min="12549" max="12549" width="6.140625" style="70" customWidth="1"/>
    <col min="12550" max="12550" width="11.85546875" style="70" customWidth="1"/>
    <col min="12551" max="12551" width="13.28515625" style="70" customWidth="1"/>
    <col min="12552" max="12553" width="24.42578125" style="70" customWidth="1"/>
    <col min="12554" max="12554" width="16.42578125" style="70" customWidth="1"/>
    <col min="12555" max="12555" width="10.42578125" style="70" customWidth="1"/>
    <col min="12556" max="12556" width="10.28515625" style="70" customWidth="1"/>
    <col min="12557" max="12557" width="7.7109375" style="70" customWidth="1"/>
    <col min="12558" max="12558" width="11.85546875" style="70" customWidth="1"/>
    <col min="12559" max="12800" width="9.140625" style="70"/>
    <col min="12801" max="12801" width="5.7109375" style="70" customWidth="1"/>
    <col min="12802" max="12802" width="76.5703125" style="70" customWidth="1"/>
    <col min="12803" max="12803" width="16.5703125" style="70" customWidth="1"/>
    <col min="12804" max="12804" width="6.5703125" style="70" bestFit="1" customWidth="1"/>
    <col min="12805" max="12805" width="6.140625" style="70" customWidth="1"/>
    <col min="12806" max="12806" width="11.85546875" style="70" customWidth="1"/>
    <col min="12807" max="12807" width="13.28515625" style="70" customWidth="1"/>
    <col min="12808" max="12809" width="24.42578125" style="70" customWidth="1"/>
    <col min="12810" max="12810" width="16.42578125" style="70" customWidth="1"/>
    <col min="12811" max="12811" width="10.42578125" style="70" customWidth="1"/>
    <col min="12812" max="12812" width="10.28515625" style="70" customWidth="1"/>
    <col min="12813" max="12813" width="7.7109375" style="70" customWidth="1"/>
    <col min="12814" max="12814" width="11.85546875" style="70" customWidth="1"/>
    <col min="12815" max="13056" width="9.140625" style="70"/>
    <col min="13057" max="13057" width="5.7109375" style="70" customWidth="1"/>
    <col min="13058" max="13058" width="76.5703125" style="70" customWidth="1"/>
    <col min="13059" max="13059" width="16.5703125" style="70" customWidth="1"/>
    <col min="13060" max="13060" width="6.5703125" style="70" bestFit="1" customWidth="1"/>
    <col min="13061" max="13061" width="6.140625" style="70" customWidth="1"/>
    <col min="13062" max="13062" width="11.85546875" style="70" customWidth="1"/>
    <col min="13063" max="13063" width="13.28515625" style="70" customWidth="1"/>
    <col min="13064" max="13065" width="24.42578125" style="70" customWidth="1"/>
    <col min="13066" max="13066" width="16.42578125" style="70" customWidth="1"/>
    <col min="13067" max="13067" width="10.42578125" style="70" customWidth="1"/>
    <col min="13068" max="13068" width="10.28515625" style="70" customWidth="1"/>
    <col min="13069" max="13069" width="7.7109375" style="70" customWidth="1"/>
    <col min="13070" max="13070" width="11.85546875" style="70" customWidth="1"/>
    <col min="13071" max="13312" width="9.140625" style="70"/>
    <col min="13313" max="13313" width="5.7109375" style="70" customWidth="1"/>
    <col min="13314" max="13314" width="76.5703125" style="70" customWidth="1"/>
    <col min="13315" max="13315" width="16.5703125" style="70" customWidth="1"/>
    <col min="13316" max="13316" width="6.5703125" style="70" bestFit="1" customWidth="1"/>
    <col min="13317" max="13317" width="6.140625" style="70" customWidth="1"/>
    <col min="13318" max="13318" width="11.85546875" style="70" customWidth="1"/>
    <col min="13319" max="13319" width="13.28515625" style="70" customWidth="1"/>
    <col min="13320" max="13321" width="24.42578125" style="70" customWidth="1"/>
    <col min="13322" max="13322" width="16.42578125" style="70" customWidth="1"/>
    <col min="13323" max="13323" width="10.42578125" style="70" customWidth="1"/>
    <col min="13324" max="13324" width="10.28515625" style="70" customWidth="1"/>
    <col min="13325" max="13325" width="7.7109375" style="70" customWidth="1"/>
    <col min="13326" max="13326" width="11.85546875" style="70" customWidth="1"/>
    <col min="13327" max="13568" width="9.140625" style="70"/>
    <col min="13569" max="13569" width="5.7109375" style="70" customWidth="1"/>
    <col min="13570" max="13570" width="76.5703125" style="70" customWidth="1"/>
    <col min="13571" max="13571" width="16.5703125" style="70" customWidth="1"/>
    <col min="13572" max="13572" width="6.5703125" style="70" bestFit="1" customWidth="1"/>
    <col min="13573" max="13573" width="6.140625" style="70" customWidth="1"/>
    <col min="13574" max="13574" width="11.85546875" style="70" customWidth="1"/>
    <col min="13575" max="13575" width="13.28515625" style="70" customWidth="1"/>
    <col min="13576" max="13577" width="24.42578125" style="70" customWidth="1"/>
    <col min="13578" max="13578" width="16.42578125" style="70" customWidth="1"/>
    <col min="13579" max="13579" width="10.42578125" style="70" customWidth="1"/>
    <col min="13580" max="13580" width="10.28515625" style="70" customWidth="1"/>
    <col min="13581" max="13581" width="7.7109375" style="70" customWidth="1"/>
    <col min="13582" max="13582" width="11.85546875" style="70" customWidth="1"/>
    <col min="13583" max="13824" width="9.140625" style="70"/>
    <col min="13825" max="13825" width="5.7109375" style="70" customWidth="1"/>
    <col min="13826" max="13826" width="76.5703125" style="70" customWidth="1"/>
    <col min="13827" max="13827" width="16.5703125" style="70" customWidth="1"/>
    <col min="13828" max="13828" width="6.5703125" style="70" bestFit="1" customWidth="1"/>
    <col min="13829" max="13829" width="6.140625" style="70" customWidth="1"/>
    <col min="13830" max="13830" width="11.85546875" style="70" customWidth="1"/>
    <col min="13831" max="13831" width="13.28515625" style="70" customWidth="1"/>
    <col min="13832" max="13833" width="24.42578125" style="70" customWidth="1"/>
    <col min="13834" max="13834" width="16.42578125" style="70" customWidth="1"/>
    <col min="13835" max="13835" width="10.42578125" style="70" customWidth="1"/>
    <col min="13836" max="13836" width="10.28515625" style="70" customWidth="1"/>
    <col min="13837" max="13837" width="7.7109375" style="70" customWidth="1"/>
    <col min="13838" max="13838" width="11.85546875" style="70" customWidth="1"/>
    <col min="13839" max="14080" width="9.140625" style="70"/>
    <col min="14081" max="14081" width="5.7109375" style="70" customWidth="1"/>
    <col min="14082" max="14082" width="76.5703125" style="70" customWidth="1"/>
    <col min="14083" max="14083" width="16.5703125" style="70" customWidth="1"/>
    <col min="14084" max="14084" width="6.5703125" style="70" bestFit="1" customWidth="1"/>
    <col min="14085" max="14085" width="6.140625" style="70" customWidth="1"/>
    <col min="14086" max="14086" width="11.85546875" style="70" customWidth="1"/>
    <col min="14087" max="14087" width="13.28515625" style="70" customWidth="1"/>
    <col min="14088" max="14089" width="24.42578125" style="70" customWidth="1"/>
    <col min="14090" max="14090" width="16.42578125" style="70" customWidth="1"/>
    <col min="14091" max="14091" width="10.42578125" style="70" customWidth="1"/>
    <col min="14092" max="14092" width="10.28515625" style="70" customWidth="1"/>
    <col min="14093" max="14093" width="7.7109375" style="70" customWidth="1"/>
    <col min="14094" max="14094" width="11.85546875" style="70" customWidth="1"/>
    <col min="14095" max="14336" width="9.140625" style="70"/>
    <col min="14337" max="14337" width="5.7109375" style="70" customWidth="1"/>
    <col min="14338" max="14338" width="76.5703125" style="70" customWidth="1"/>
    <col min="14339" max="14339" width="16.5703125" style="70" customWidth="1"/>
    <col min="14340" max="14340" width="6.5703125" style="70" bestFit="1" customWidth="1"/>
    <col min="14341" max="14341" width="6.140625" style="70" customWidth="1"/>
    <col min="14342" max="14342" width="11.85546875" style="70" customWidth="1"/>
    <col min="14343" max="14343" width="13.28515625" style="70" customWidth="1"/>
    <col min="14344" max="14345" width="24.42578125" style="70" customWidth="1"/>
    <col min="14346" max="14346" width="16.42578125" style="70" customWidth="1"/>
    <col min="14347" max="14347" width="10.42578125" style="70" customWidth="1"/>
    <col min="14348" max="14348" width="10.28515625" style="70" customWidth="1"/>
    <col min="14349" max="14349" width="7.7109375" style="70" customWidth="1"/>
    <col min="14350" max="14350" width="11.85546875" style="70" customWidth="1"/>
    <col min="14351" max="14592" width="9.140625" style="70"/>
    <col min="14593" max="14593" width="5.7109375" style="70" customWidth="1"/>
    <col min="14594" max="14594" width="76.5703125" style="70" customWidth="1"/>
    <col min="14595" max="14595" width="16.5703125" style="70" customWidth="1"/>
    <col min="14596" max="14596" width="6.5703125" style="70" bestFit="1" customWidth="1"/>
    <col min="14597" max="14597" width="6.140625" style="70" customWidth="1"/>
    <col min="14598" max="14598" width="11.85546875" style="70" customWidth="1"/>
    <col min="14599" max="14599" width="13.28515625" style="70" customWidth="1"/>
    <col min="14600" max="14601" width="24.42578125" style="70" customWidth="1"/>
    <col min="14602" max="14602" width="16.42578125" style="70" customWidth="1"/>
    <col min="14603" max="14603" width="10.42578125" style="70" customWidth="1"/>
    <col min="14604" max="14604" width="10.28515625" style="70" customWidth="1"/>
    <col min="14605" max="14605" width="7.7109375" style="70" customWidth="1"/>
    <col min="14606" max="14606" width="11.85546875" style="70" customWidth="1"/>
    <col min="14607" max="14848" width="9.140625" style="70"/>
    <col min="14849" max="14849" width="5.7109375" style="70" customWidth="1"/>
    <col min="14850" max="14850" width="76.5703125" style="70" customWidth="1"/>
    <col min="14851" max="14851" width="16.5703125" style="70" customWidth="1"/>
    <col min="14852" max="14852" width="6.5703125" style="70" bestFit="1" customWidth="1"/>
    <col min="14853" max="14853" width="6.140625" style="70" customWidth="1"/>
    <col min="14854" max="14854" width="11.85546875" style="70" customWidth="1"/>
    <col min="14855" max="14855" width="13.28515625" style="70" customWidth="1"/>
    <col min="14856" max="14857" width="24.42578125" style="70" customWidth="1"/>
    <col min="14858" max="14858" width="16.42578125" style="70" customWidth="1"/>
    <col min="14859" max="14859" width="10.42578125" style="70" customWidth="1"/>
    <col min="14860" max="14860" width="10.28515625" style="70" customWidth="1"/>
    <col min="14861" max="14861" width="7.7109375" style="70" customWidth="1"/>
    <col min="14862" max="14862" width="11.85546875" style="70" customWidth="1"/>
    <col min="14863" max="15104" width="9.140625" style="70"/>
    <col min="15105" max="15105" width="5.7109375" style="70" customWidth="1"/>
    <col min="15106" max="15106" width="76.5703125" style="70" customWidth="1"/>
    <col min="15107" max="15107" width="16.5703125" style="70" customWidth="1"/>
    <col min="15108" max="15108" width="6.5703125" style="70" bestFit="1" customWidth="1"/>
    <col min="15109" max="15109" width="6.140625" style="70" customWidth="1"/>
    <col min="15110" max="15110" width="11.85546875" style="70" customWidth="1"/>
    <col min="15111" max="15111" width="13.28515625" style="70" customWidth="1"/>
    <col min="15112" max="15113" width="24.42578125" style="70" customWidth="1"/>
    <col min="15114" max="15114" width="16.42578125" style="70" customWidth="1"/>
    <col min="15115" max="15115" width="10.42578125" style="70" customWidth="1"/>
    <col min="15116" max="15116" width="10.28515625" style="70" customWidth="1"/>
    <col min="15117" max="15117" width="7.7109375" style="70" customWidth="1"/>
    <col min="15118" max="15118" width="11.85546875" style="70" customWidth="1"/>
    <col min="15119" max="15360" width="9.140625" style="70"/>
    <col min="15361" max="15361" width="5.7109375" style="70" customWidth="1"/>
    <col min="15362" max="15362" width="76.5703125" style="70" customWidth="1"/>
    <col min="15363" max="15363" width="16.5703125" style="70" customWidth="1"/>
    <col min="15364" max="15364" width="6.5703125" style="70" bestFit="1" customWidth="1"/>
    <col min="15365" max="15365" width="6.140625" style="70" customWidth="1"/>
    <col min="15366" max="15366" width="11.85546875" style="70" customWidth="1"/>
    <col min="15367" max="15367" width="13.28515625" style="70" customWidth="1"/>
    <col min="15368" max="15369" width="24.42578125" style="70" customWidth="1"/>
    <col min="15370" max="15370" width="16.42578125" style="70" customWidth="1"/>
    <col min="15371" max="15371" width="10.42578125" style="70" customWidth="1"/>
    <col min="15372" max="15372" width="10.28515625" style="70" customWidth="1"/>
    <col min="15373" max="15373" width="7.7109375" style="70" customWidth="1"/>
    <col min="15374" max="15374" width="11.85546875" style="70" customWidth="1"/>
    <col min="15375" max="15616" width="9.140625" style="70"/>
    <col min="15617" max="15617" width="5.7109375" style="70" customWidth="1"/>
    <col min="15618" max="15618" width="76.5703125" style="70" customWidth="1"/>
    <col min="15619" max="15619" width="16.5703125" style="70" customWidth="1"/>
    <col min="15620" max="15620" width="6.5703125" style="70" bestFit="1" customWidth="1"/>
    <col min="15621" max="15621" width="6.140625" style="70" customWidth="1"/>
    <col min="15622" max="15622" width="11.85546875" style="70" customWidth="1"/>
    <col min="15623" max="15623" width="13.28515625" style="70" customWidth="1"/>
    <col min="15624" max="15625" width="24.42578125" style="70" customWidth="1"/>
    <col min="15626" max="15626" width="16.42578125" style="70" customWidth="1"/>
    <col min="15627" max="15627" width="10.42578125" style="70" customWidth="1"/>
    <col min="15628" max="15628" width="10.28515625" style="70" customWidth="1"/>
    <col min="15629" max="15629" width="7.7109375" style="70" customWidth="1"/>
    <col min="15630" max="15630" width="11.85546875" style="70" customWidth="1"/>
    <col min="15631" max="15872" width="9.140625" style="70"/>
    <col min="15873" max="15873" width="5.7109375" style="70" customWidth="1"/>
    <col min="15874" max="15874" width="76.5703125" style="70" customWidth="1"/>
    <col min="15875" max="15875" width="16.5703125" style="70" customWidth="1"/>
    <col min="15876" max="15876" width="6.5703125" style="70" bestFit="1" customWidth="1"/>
    <col min="15877" max="15877" width="6.140625" style="70" customWidth="1"/>
    <col min="15878" max="15878" width="11.85546875" style="70" customWidth="1"/>
    <col min="15879" max="15879" width="13.28515625" style="70" customWidth="1"/>
    <col min="15880" max="15881" width="24.42578125" style="70" customWidth="1"/>
    <col min="15882" max="15882" width="16.42578125" style="70" customWidth="1"/>
    <col min="15883" max="15883" width="10.42578125" style="70" customWidth="1"/>
    <col min="15884" max="15884" width="10.28515625" style="70" customWidth="1"/>
    <col min="15885" max="15885" width="7.7109375" style="70" customWidth="1"/>
    <col min="15886" max="15886" width="11.85546875" style="70" customWidth="1"/>
    <col min="15887" max="16128" width="9.140625" style="70"/>
    <col min="16129" max="16129" width="5.7109375" style="70" customWidth="1"/>
    <col min="16130" max="16130" width="76.5703125" style="70" customWidth="1"/>
    <col min="16131" max="16131" width="16.5703125" style="70" customWidth="1"/>
    <col min="16132" max="16132" width="6.5703125" style="70" bestFit="1" customWidth="1"/>
    <col min="16133" max="16133" width="6.140625" style="70" customWidth="1"/>
    <col min="16134" max="16134" width="11.85546875" style="70" customWidth="1"/>
    <col min="16135" max="16135" width="13.28515625" style="70" customWidth="1"/>
    <col min="16136" max="16137" width="24.42578125" style="70" customWidth="1"/>
    <col min="16138" max="16138" width="16.42578125" style="70" customWidth="1"/>
    <col min="16139" max="16139" width="10.42578125" style="70" customWidth="1"/>
    <col min="16140" max="16140" width="10.28515625" style="70" customWidth="1"/>
    <col min="16141" max="16141" width="7.7109375" style="70" customWidth="1"/>
    <col min="16142" max="16142" width="11.85546875" style="70" customWidth="1"/>
    <col min="16143" max="16384" width="9.140625" style="70"/>
  </cols>
  <sheetData>
    <row r="1" spans="1:14" ht="18">
      <c r="B1" s="3115" t="s">
        <v>2585</v>
      </c>
      <c r="C1" s="3115"/>
      <c r="D1" s="597"/>
      <c r="E1" s="597"/>
      <c r="F1" s="597"/>
      <c r="G1" s="597"/>
    </row>
    <row r="2" spans="1:14" ht="11.25" customHeight="1">
      <c r="A2" s="1960"/>
      <c r="B2" s="1961"/>
      <c r="C2" s="109"/>
      <c r="D2" s="1995"/>
      <c r="E2" s="1960"/>
      <c r="F2" s="108"/>
    </row>
    <row r="3" spans="1:14" ht="15.75">
      <c r="B3" s="3387" t="s">
        <v>2586</v>
      </c>
      <c r="C3" s="3387"/>
      <c r="D3" s="3387"/>
      <c r="E3" s="3387"/>
      <c r="F3" s="600"/>
      <c r="G3" s="600"/>
    </row>
    <row r="4" spans="1:14" ht="11.25" customHeight="1">
      <c r="A4" s="1997"/>
      <c r="B4" s="1997"/>
      <c r="C4" s="1997"/>
      <c r="D4" s="1997"/>
      <c r="E4" s="1997"/>
      <c r="F4" s="1997"/>
      <c r="G4" s="1997"/>
    </row>
    <row r="5" spans="1:14" ht="15.75">
      <c r="A5" s="1997"/>
      <c r="B5" s="1997"/>
      <c r="C5" s="1997"/>
      <c r="D5" s="1997"/>
      <c r="E5" s="1997"/>
      <c r="F5" s="1997"/>
      <c r="G5" s="1923" t="s">
        <v>89</v>
      </c>
    </row>
    <row r="6" spans="1:14" ht="11.25" customHeight="1">
      <c r="A6" s="1998"/>
      <c r="B6" s="1999"/>
      <c r="C6" s="2000"/>
      <c r="D6" s="2001"/>
      <c r="E6" s="1998"/>
      <c r="F6" s="2002"/>
      <c r="G6" s="2002"/>
    </row>
    <row r="7" spans="1:14" ht="15.75">
      <c r="A7" s="3373" t="s">
        <v>2</v>
      </c>
      <c r="B7" s="3375" t="s">
        <v>3</v>
      </c>
      <c r="C7" s="3371" t="s">
        <v>4</v>
      </c>
      <c r="D7" s="3388" t="s">
        <v>5</v>
      </c>
      <c r="E7" s="3336" t="s">
        <v>2587</v>
      </c>
      <c r="F7" s="3336"/>
      <c r="G7" s="3336"/>
    </row>
    <row r="8" spans="1:14" ht="15.75">
      <c r="A8" s="3374"/>
      <c r="B8" s="3375"/>
      <c r="C8" s="3372"/>
      <c r="D8" s="3388"/>
      <c r="E8" s="1902" t="s">
        <v>143</v>
      </c>
      <c r="F8" s="1902" t="s">
        <v>9</v>
      </c>
      <c r="G8" s="1902" t="s">
        <v>1668</v>
      </c>
    </row>
    <row r="9" spans="1:14" ht="15.75">
      <c r="A9" s="2099">
        <v>1</v>
      </c>
      <c r="B9" s="2100">
        <v>2</v>
      </c>
      <c r="C9" s="602">
        <v>3</v>
      </c>
      <c r="D9" s="602">
        <v>4</v>
      </c>
      <c r="E9" s="602">
        <v>5</v>
      </c>
      <c r="F9" s="602">
        <v>6</v>
      </c>
      <c r="G9" s="602">
        <v>7</v>
      </c>
    </row>
    <row r="10" spans="1:14" ht="33" customHeight="1">
      <c r="A10" s="1080">
        <v>1</v>
      </c>
      <c r="B10" s="1840" t="s">
        <v>2588</v>
      </c>
      <c r="C10" s="1855">
        <v>7132210017</v>
      </c>
      <c r="D10" s="1080" t="s">
        <v>12</v>
      </c>
      <c r="E10" s="1080">
        <v>1</v>
      </c>
      <c r="F10" s="1081">
        <f>VLOOKUP(C10,'[25]SOR RATE'!A:D,4,0)</f>
        <v>75035.14</v>
      </c>
      <c r="G10" s="1081">
        <f t="shared" ref="G10:G21" si="0">F10*E10</f>
        <v>75035.14</v>
      </c>
      <c r="H10" s="2028"/>
    </row>
    <row r="11" spans="1:14" ht="20.25" customHeight="1">
      <c r="A11" s="1080">
        <v>2</v>
      </c>
      <c r="B11" s="1840" t="s">
        <v>2589</v>
      </c>
      <c r="C11" s="1826">
        <v>7130800012</v>
      </c>
      <c r="D11" s="1080" t="s">
        <v>12</v>
      </c>
      <c r="E11" s="1080">
        <v>3</v>
      </c>
      <c r="F11" s="1081">
        <f>VLOOKUP(C11,'[25]SOR RATE'!A:D,4,0)</f>
        <v>2298.46</v>
      </c>
      <c r="G11" s="1081">
        <f t="shared" si="0"/>
        <v>6895.38</v>
      </c>
    </row>
    <row r="12" spans="1:14" ht="18.75" customHeight="1">
      <c r="A12" s="1080">
        <v>3</v>
      </c>
      <c r="B12" s="1840" t="s">
        <v>2590</v>
      </c>
      <c r="C12" s="1855">
        <v>7130810517</v>
      </c>
      <c r="D12" s="1080" t="s">
        <v>40</v>
      </c>
      <c r="E12" s="1080">
        <v>1</v>
      </c>
      <c r="F12" s="1081">
        <f>VLOOKUP(C12,'[25]SOR RATE'!A:D,4,0)</f>
        <v>5987.84</v>
      </c>
      <c r="G12" s="1081">
        <f t="shared" si="0"/>
        <v>5987.84</v>
      </c>
      <c r="I12" s="108"/>
      <c r="J12" s="108"/>
      <c r="K12" s="108"/>
      <c r="L12" s="108"/>
      <c r="M12" s="108"/>
    </row>
    <row r="13" spans="1:14" ht="16.5" customHeight="1">
      <c r="A13" s="1080">
        <v>4</v>
      </c>
      <c r="B13" s="1840" t="s">
        <v>67</v>
      </c>
      <c r="C13" s="1855">
        <v>7130820010</v>
      </c>
      <c r="D13" s="1080" t="s">
        <v>12</v>
      </c>
      <c r="E13" s="1080">
        <v>3</v>
      </c>
      <c r="F13" s="1081">
        <f>VLOOKUP(C13,'[25]SOR RATE'!A:D,4,0)</f>
        <v>118.97</v>
      </c>
      <c r="G13" s="1081">
        <f t="shared" si="0"/>
        <v>356.90999999999997</v>
      </c>
      <c r="I13" s="622"/>
      <c r="J13" s="2101"/>
      <c r="K13" s="2102"/>
      <c r="L13" s="2103"/>
      <c r="M13" s="2103"/>
      <c r="N13" s="2104"/>
    </row>
    <row r="14" spans="1:14" ht="15.75" customHeight="1">
      <c r="A14" s="1080">
        <v>5</v>
      </c>
      <c r="B14" s="1840" t="s">
        <v>2591</v>
      </c>
      <c r="C14" s="1826">
        <v>7130820241</v>
      </c>
      <c r="D14" s="1080" t="s">
        <v>33</v>
      </c>
      <c r="E14" s="1080">
        <v>3</v>
      </c>
      <c r="F14" s="1081">
        <f>VLOOKUP(C14,'[25]SOR RATE'!A:D,4,0)</f>
        <v>153.49</v>
      </c>
      <c r="G14" s="1081">
        <f t="shared" si="0"/>
        <v>460.47</v>
      </c>
      <c r="J14" s="2101"/>
      <c r="K14" s="2102"/>
      <c r="L14" s="2103"/>
      <c r="M14" s="2103"/>
      <c r="N14" s="2104"/>
    </row>
    <row r="15" spans="1:14" ht="19.5" customHeight="1">
      <c r="A15" s="1918">
        <v>6</v>
      </c>
      <c r="B15" s="1827" t="s">
        <v>2592</v>
      </c>
      <c r="C15" s="2277">
        <v>7130810509</v>
      </c>
      <c r="D15" s="1832" t="s">
        <v>12</v>
      </c>
      <c r="E15" s="1832">
        <v>1</v>
      </c>
      <c r="F15" s="1081">
        <f>VLOOKUP(C15,'[25]SOR RATE'!A:D,4,0)</f>
        <v>2187.33</v>
      </c>
      <c r="G15" s="1081">
        <f t="shared" si="0"/>
        <v>2187.33</v>
      </c>
      <c r="I15" s="1963"/>
      <c r="J15" s="2105"/>
    </row>
    <row r="16" spans="1:14" ht="18" customHeight="1">
      <c r="A16" s="1080">
        <v>7</v>
      </c>
      <c r="B16" s="1840" t="s">
        <v>1700</v>
      </c>
      <c r="C16" s="1855">
        <v>7131930412</v>
      </c>
      <c r="D16" s="1080" t="s">
        <v>33</v>
      </c>
      <c r="E16" s="1080">
        <v>3</v>
      </c>
      <c r="F16" s="1081">
        <f>VLOOKUP(C16,'[25]SOR RATE'!A:D,4,0)</f>
        <v>1123.1500000000001</v>
      </c>
      <c r="G16" s="1081">
        <f t="shared" si="0"/>
        <v>3369.4500000000003</v>
      </c>
    </row>
    <row r="17" spans="1:12" ht="17.25" customHeight="1">
      <c r="A17" s="1080">
        <v>8</v>
      </c>
      <c r="B17" s="1840" t="s">
        <v>1688</v>
      </c>
      <c r="C17" s="1907">
        <v>7130600023</v>
      </c>
      <c r="D17" s="1907" t="s">
        <v>26</v>
      </c>
      <c r="E17" s="1080">
        <v>20</v>
      </c>
      <c r="F17" s="1081">
        <f>VLOOKUP(C17,'[25]SOR RATE'!A:D,4,0)/1000</f>
        <v>54.512970000000003</v>
      </c>
      <c r="G17" s="1081">
        <f t="shared" si="0"/>
        <v>1090.2594000000001</v>
      </c>
      <c r="I17" s="105"/>
    </row>
    <row r="18" spans="1:12" ht="17.25" customHeight="1">
      <c r="A18" s="1918">
        <v>9</v>
      </c>
      <c r="B18" s="1840" t="s">
        <v>2593</v>
      </c>
      <c r="C18" s="1907">
        <v>7130810026</v>
      </c>
      <c r="D18" s="1907" t="s">
        <v>15</v>
      </c>
      <c r="E18" s="1080">
        <v>8</v>
      </c>
      <c r="F18" s="1081">
        <f>VLOOKUP(C18,'[25]SOR RATE'!A:D,4,0)</f>
        <v>198.14</v>
      </c>
      <c r="G18" s="1081">
        <f>F18*E18</f>
        <v>1585.12</v>
      </c>
      <c r="H18" s="1975" t="s">
        <v>119</v>
      </c>
      <c r="I18" s="105"/>
    </row>
    <row r="19" spans="1:12" ht="18.75" customHeight="1">
      <c r="A19" s="3337">
        <v>10</v>
      </c>
      <c r="B19" s="1840" t="s">
        <v>24</v>
      </c>
      <c r="C19" s="1826">
        <v>7130860032</v>
      </c>
      <c r="D19" s="1080" t="s">
        <v>12</v>
      </c>
      <c r="E19" s="1080">
        <v>4</v>
      </c>
      <c r="F19" s="1081">
        <f>VLOOKUP(C19,'[25]SOR RATE'!A:D,4,0)</f>
        <v>566.19000000000005</v>
      </c>
      <c r="G19" s="1081">
        <f t="shared" si="0"/>
        <v>2264.7600000000002</v>
      </c>
    </row>
    <row r="20" spans="1:12" ht="18" customHeight="1">
      <c r="A20" s="3338"/>
      <c r="B20" s="1825" t="s">
        <v>25</v>
      </c>
      <c r="C20" s="1826">
        <v>7130860077</v>
      </c>
      <c r="D20" s="1080" t="s">
        <v>26</v>
      </c>
      <c r="E20" s="1080">
        <v>22</v>
      </c>
      <c r="F20" s="1081">
        <f>VLOOKUP(C20,'[25]SOR RATE'!A:D,4,0)/1000</f>
        <v>93.76643</v>
      </c>
      <c r="G20" s="1081">
        <f t="shared" si="0"/>
        <v>2062.8614600000001</v>
      </c>
    </row>
    <row r="21" spans="1:12" ht="18" customHeight="1">
      <c r="A21" s="3339"/>
      <c r="B21" s="1825" t="s">
        <v>27</v>
      </c>
      <c r="C21" s="1826">
        <v>7130810026</v>
      </c>
      <c r="D21" s="1080" t="s">
        <v>15</v>
      </c>
      <c r="E21" s="1080">
        <v>4</v>
      </c>
      <c r="F21" s="1081">
        <f>VLOOKUP(C21,'[25]SOR RATE'!A201:D201,4,0)</f>
        <v>198.14</v>
      </c>
      <c r="G21" s="1081">
        <f t="shared" si="0"/>
        <v>792.56</v>
      </c>
    </row>
    <row r="22" spans="1:12" ht="35.25" customHeight="1">
      <c r="A22" s="1080">
        <v>11</v>
      </c>
      <c r="B22" s="1840" t="s">
        <v>2594</v>
      </c>
      <c r="C22" s="1855">
        <v>7130200202</v>
      </c>
      <c r="D22" s="1907" t="s">
        <v>76</v>
      </c>
      <c r="E22" s="1907">
        <f>(0.35*3)+(0.2*4)</f>
        <v>1.8499999999999999</v>
      </c>
      <c r="F22" s="1081">
        <f>VLOOKUP(C22,'[25]SOR RATE'!A:D,4,0)</f>
        <v>2970</v>
      </c>
      <c r="G22" s="1081">
        <f>E22*F22</f>
        <v>5494.5</v>
      </c>
      <c r="H22" s="623" t="s">
        <v>47</v>
      </c>
      <c r="J22" s="2036"/>
    </row>
    <row r="23" spans="1:12" ht="21.75" customHeight="1">
      <c r="A23" s="1080">
        <v>12</v>
      </c>
      <c r="B23" s="1051" t="s">
        <v>2595</v>
      </c>
      <c r="C23" s="1855">
        <v>7130600023</v>
      </c>
      <c r="D23" s="2279" t="s">
        <v>26</v>
      </c>
      <c r="E23" s="1080">
        <v>34</v>
      </c>
      <c r="F23" s="1081">
        <f>VLOOKUP(C23,'[25]SOR RATE'!A:D,4,0)/1000</f>
        <v>54.512970000000003</v>
      </c>
      <c r="G23" s="1081">
        <f>F23*E23</f>
        <v>1853.4409800000001</v>
      </c>
      <c r="I23" s="105"/>
      <c r="J23" s="2106"/>
      <c r="K23" s="605"/>
    </row>
    <row r="24" spans="1:12" ht="19.5" customHeight="1">
      <c r="A24" s="1080">
        <v>13</v>
      </c>
      <c r="B24" s="1840" t="s">
        <v>2362</v>
      </c>
      <c r="C24" s="1052">
        <v>7130850201</v>
      </c>
      <c r="D24" s="1907" t="s">
        <v>40</v>
      </c>
      <c r="E24" s="1080">
        <v>1</v>
      </c>
      <c r="F24" s="1081">
        <f>VLOOKUP(C24,'[25]SOR RATE'!A279:D279,4,0)</f>
        <v>5987.84</v>
      </c>
      <c r="G24" s="1081">
        <f>F24*E24</f>
        <v>5987.84</v>
      </c>
    </row>
    <row r="25" spans="1:12" ht="18.75" customHeight="1">
      <c r="A25" s="1080">
        <v>14</v>
      </c>
      <c r="B25" s="1840" t="s">
        <v>32</v>
      </c>
      <c r="C25" s="1855">
        <v>7130880041</v>
      </c>
      <c r="D25" s="1080" t="s">
        <v>33</v>
      </c>
      <c r="E25" s="1080">
        <v>1</v>
      </c>
      <c r="F25" s="1081">
        <f>VLOOKUP(C25,'[25]SOR RATE'!A:D,4,0)</f>
        <v>113.77</v>
      </c>
      <c r="G25" s="1081">
        <f>F25*E25</f>
        <v>113.77</v>
      </c>
    </row>
    <row r="26" spans="1:12" ht="20.25" customHeight="1">
      <c r="A26" s="3337">
        <v>15</v>
      </c>
      <c r="B26" s="1840" t="s">
        <v>2363</v>
      </c>
      <c r="C26" s="1852"/>
      <c r="D26" s="1853"/>
      <c r="E26" s="1853"/>
      <c r="F26" s="1853"/>
      <c r="G26" s="1854"/>
    </row>
    <row r="27" spans="1:12" ht="15">
      <c r="A27" s="3338"/>
      <c r="B27" s="2372" t="s">
        <v>1675</v>
      </c>
      <c r="C27" s="1855">
        <v>7130641396</v>
      </c>
      <c r="D27" s="1080" t="s">
        <v>21</v>
      </c>
      <c r="E27" s="1080">
        <v>9</v>
      </c>
      <c r="F27" s="1081">
        <f>VLOOKUP(C27,'[25]SOR RATE'!A:D,4,0)</f>
        <v>253.11</v>
      </c>
      <c r="G27" s="1081">
        <f>F27*E27</f>
        <v>2277.9900000000002</v>
      </c>
    </row>
    <row r="28" spans="1:12" ht="15">
      <c r="A28" s="3339"/>
      <c r="B28" s="2372" t="s">
        <v>1676</v>
      </c>
      <c r="C28" s="1855">
        <v>7130870043</v>
      </c>
      <c r="D28" s="1080" t="s">
        <v>26</v>
      </c>
      <c r="E28" s="1080">
        <v>15</v>
      </c>
      <c r="F28" s="1081">
        <f>VLOOKUP(C28,'[25]SOR RATE'!A:D,4,0)/1000</f>
        <v>80.521839999999997</v>
      </c>
      <c r="G28" s="1081">
        <f>F28*E28</f>
        <v>1207.8276000000001</v>
      </c>
    </row>
    <row r="29" spans="1:12" ht="19.5" customHeight="1">
      <c r="A29" s="1080">
        <v>16</v>
      </c>
      <c r="B29" s="1051" t="s">
        <v>31</v>
      </c>
      <c r="C29" s="1052">
        <v>7130610206</v>
      </c>
      <c r="D29" s="1080" t="s">
        <v>26</v>
      </c>
      <c r="E29" s="1080">
        <v>6</v>
      </c>
      <c r="F29" s="1081">
        <f>VLOOKUP(C29,'[25]SOR RATE'!A:D,4,0)/1000</f>
        <v>97.233429999999998</v>
      </c>
      <c r="G29" s="1081">
        <f>F29*E29</f>
        <v>583.40057999999999</v>
      </c>
      <c r="H29" s="1972"/>
      <c r="I29" s="87"/>
      <c r="J29" s="85"/>
      <c r="K29" s="85"/>
      <c r="L29" s="1977"/>
    </row>
    <row r="30" spans="1:12" ht="15">
      <c r="A30" s="1080">
        <v>17</v>
      </c>
      <c r="B30" s="1840" t="s">
        <v>28</v>
      </c>
      <c r="C30" s="1855">
        <v>7130211158</v>
      </c>
      <c r="D30" s="1080" t="s">
        <v>29</v>
      </c>
      <c r="E30" s="1080">
        <v>1</v>
      </c>
      <c r="F30" s="1081">
        <f>VLOOKUP(C30,'[25]SOR RATE'!A:D,4,0)</f>
        <v>193.62</v>
      </c>
      <c r="G30" s="1081">
        <f t="shared" ref="G30" si="1">F30*E30</f>
        <v>193.62</v>
      </c>
    </row>
    <row r="31" spans="1:12" ht="15">
      <c r="A31" s="1080">
        <v>18</v>
      </c>
      <c r="B31" s="1840" t="s">
        <v>30</v>
      </c>
      <c r="C31" s="1855">
        <v>7130210809</v>
      </c>
      <c r="D31" s="1080" t="s">
        <v>29</v>
      </c>
      <c r="E31" s="1080">
        <v>1</v>
      </c>
      <c r="F31" s="1081">
        <f>VLOOKUP(C31,'[25]SOR RATE'!A:D,4,0)</f>
        <v>432.63</v>
      </c>
      <c r="G31" s="1081">
        <f>F31*E31</f>
        <v>432.63</v>
      </c>
    </row>
    <row r="32" spans="1:12" ht="18" customHeight="1">
      <c r="A32" s="1080">
        <v>19</v>
      </c>
      <c r="B32" s="1840" t="s">
        <v>712</v>
      </c>
      <c r="C32" s="1855">
        <v>7130840029</v>
      </c>
      <c r="D32" s="1080" t="s">
        <v>33</v>
      </c>
      <c r="E32" s="1080">
        <v>3</v>
      </c>
      <c r="F32" s="1081">
        <f>VLOOKUP(C32,'[25]SOR RATE'!A:D,4,0)</f>
        <v>368.52</v>
      </c>
      <c r="G32" s="1081">
        <f>F32*E32</f>
        <v>1105.56</v>
      </c>
      <c r="I32" s="622"/>
    </row>
    <row r="33" spans="1:12" ht="15">
      <c r="A33" s="3337">
        <v>20</v>
      </c>
      <c r="B33" s="1840" t="s">
        <v>1678</v>
      </c>
      <c r="C33" s="1855"/>
      <c r="D33" s="1080" t="s">
        <v>26</v>
      </c>
      <c r="E33" s="1080">
        <v>14</v>
      </c>
      <c r="F33" s="1081"/>
      <c r="G33" s="1081"/>
    </row>
    <row r="34" spans="1:12" ht="16.5">
      <c r="A34" s="3338"/>
      <c r="B34" s="2373" t="s">
        <v>79</v>
      </c>
      <c r="C34" s="1855">
        <v>7130620609</v>
      </c>
      <c r="D34" s="1080" t="s">
        <v>26</v>
      </c>
      <c r="E34" s="1080">
        <v>1</v>
      </c>
      <c r="F34" s="1081">
        <f>VLOOKUP(C34,'[25]SOR RATE'!A:D,4,0)</f>
        <v>87.23</v>
      </c>
      <c r="G34" s="1081">
        <f t="shared" ref="G34:G40" si="2">F34*E34</f>
        <v>87.23</v>
      </c>
    </row>
    <row r="35" spans="1:12" ht="16.5">
      <c r="A35" s="3338"/>
      <c r="B35" s="2373" t="s">
        <v>111</v>
      </c>
      <c r="C35" s="1855">
        <v>7130620614</v>
      </c>
      <c r="D35" s="1080" t="s">
        <v>26</v>
      </c>
      <c r="E35" s="1080">
        <v>4</v>
      </c>
      <c r="F35" s="1081">
        <f>VLOOKUP(C35,'[25]SOR RATE'!A:D,4,0)</f>
        <v>85.77</v>
      </c>
      <c r="G35" s="1081">
        <f t="shared" si="2"/>
        <v>343.08</v>
      </c>
    </row>
    <row r="36" spans="1:12" ht="16.5">
      <c r="A36" s="3338"/>
      <c r="B36" s="2373" t="s">
        <v>112</v>
      </c>
      <c r="C36" s="1855">
        <v>7130620625</v>
      </c>
      <c r="D36" s="1080" t="s">
        <v>26</v>
      </c>
      <c r="E36" s="1080">
        <v>4</v>
      </c>
      <c r="F36" s="1081">
        <f>VLOOKUP(C36,'[25]SOR RATE'!A:D,4,0)</f>
        <v>84.32</v>
      </c>
      <c r="G36" s="1081">
        <f t="shared" si="2"/>
        <v>337.28</v>
      </c>
    </row>
    <row r="37" spans="1:12" ht="16.5">
      <c r="A37" s="3339"/>
      <c r="B37" s="2373" t="s">
        <v>80</v>
      </c>
      <c r="C37" s="1855">
        <v>7130620631</v>
      </c>
      <c r="D37" s="1080" t="s">
        <v>26</v>
      </c>
      <c r="E37" s="1080">
        <v>5</v>
      </c>
      <c r="F37" s="1081">
        <f>VLOOKUP(C37,'[25]SOR RATE'!A:D,4,0)</f>
        <v>84.32</v>
      </c>
      <c r="G37" s="1081">
        <f t="shared" si="2"/>
        <v>421.59999999999997</v>
      </c>
    </row>
    <row r="38" spans="1:12" ht="18" customHeight="1">
      <c r="A38" s="1080">
        <v>21</v>
      </c>
      <c r="B38" s="1840" t="s">
        <v>2596</v>
      </c>
      <c r="C38" s="1855">
        <v>7131920253</v>
      </c>
      <c r="D38" s="1080" t="s">
        <v>12</v>
      </c>
      <c r="E38" s="1080">
        <v>1</v>
      </c>
      <c r="F38" s="1081">
        <f>VLOOKUP(C38,'[25]SOR RATE'!A:D,4,0)</f>
        <v>885.43</v>
      </c>
      <c r="G38" s="1081">
        <f t="shared" si="2"/>
        <v>885.43</v>
      </c>
    </row>
    <row r="39" spans="1:12" ht="18" customHeight="1">
      <c r="A39" s="1080">
        <v>22</v>
      </c>
      <c r="B39" s="1840" t="s">
        <v>2597</v>
      </c>
      <c r="C39" s="1052">
        <v>7130311008</v>
      </c>
      <c r="D39" s="1907" t="s">
        <v>21</v>
      </c>
      <c r="E39" s="1080">
        <v>120</v>
      </c>
      <c r="F39" s="1081">
        <f>VLOOKUP(C39,'[25]SOR RATE'!A:D,4,0)/1000</f>
        <v>24.908200000000001</v>
      </c>
      <c r="G39" s="1081">
        <f t="shared" si="2"/>
        <v>2988.9839999999999</v>
      </c>
      <c r="I39" s="1978"/>
      <c r="J39" s="1978"/>
    </row>
    <row r="40" spans="1:12" ht="18" customHeight="1">
      <c r="A40" s="1080">
        <v>23</v>
      </c>
      <c r="B40" s="1886" t="s">
        <v>825</v>
      </c>
      <c r="C40" s="1052">
        <v>7131310997</v>
      </c>
      <c r="D40" s="1080" t="s">
        <v>12</v>
      </c>
      <c r="E40" s="1080">
        <v>1</v>
      </c>
      <c r="F40" s="1081">
        <f>VLOOKUP(C40,'[25]SOR RATE'!A:D,4,0)</f>
        <v>1800</v>
      </c>
      <c r="G40" s="1081">
        <f t="shared" si="2"/>
        <v>1800</v>
      </c>
      <c r="H40" s="86" t="s">
        <v>1799</v>
      </c>
      <c r="I40" s="2107"/>
      <c r="J40" s="2107"/>
      <c r="K40" s="2107"/>
    </row>
    <row r="41" spans="1:12" ht="18" customHeight="1">
      <c r="A41" s="1080">
        <v>24</v>
      </c>
      <c r="B41" s="1825" t="s">
        <v>2598</v>
      </c>
      <c r="C41" s="1826">
        <v>7132230016</v>
      </c>
      <c r="D41" s="1080" t="s">
        <v>12</v>
      </c>
      <c r="E41" s="1831">
        <v>4</v>
      </c>
      <c r="F41" s="1081">
        <f>VLOOKUP(C41,'[25]SOR RATE'!A:D,4,0)</f>
        <v>527.46</v>
      </c>
      <c r="G41" s="1081">
        <f>F41*E41</f>
        <v>2109.84</v>
      </c>
      <c r="I41" s="1974"/>
    </row>
    <row r="42" spans="1:12" ht="19.5" customHeight="1">
      <c r="A42" s="1080">
        <v>25</v>
      </c>
      <c r="B42" s="1886" t="s">
        <v>2599</v>
      </c>
      <c r="C42" s="1052">
        <v>7132406420</v>
      </c>
      <c r="D42" s="1080" t="s">
        <v>12</v>
      </c>
      <c r="E42" s="1080">
        <v>1</v>
      </c>
      <c r="F42" s="1081">
        <f>VLOOKUP(C42,'[25]SOR RATE'!A:D,4,0)</f>
        <v>3292.5</v>
      </c>
      <c r="G42" s="1081">
        <f>F42*E42</f>
        <v>3292.5</v>
      </c>
    </row>
    <row r="43" spans="1:12" ht="18" customHeight="1">
      <c r="A43" s="1080">
        <v>26</v>
      </c>
      <c r="B43" s="1886" t="s">
        <v>2600</v>
      </c>
      <c r="C43" s="1052">
        <v>7130310654</v>
      </c>
      <c r="D43" s="1907" t="s">
        <v>21</v>
      </c>
      <c r="E43" s="1907">
        <v>12</v>
      </c>
      <c r="F43" s="1081">
        <f>VLOOKUP(C43,'[25]SOR RATE'!A:D,4,0)/1000</f>
        <v>98.983890000000002</v>
      </c>
      <c r="G43" s="1081">
        <f>F43*E43</f>
        <v>1187.8066800000001</v>
      </c>
      <c r="I43" s="2108"/>
    </row>
    <row r="44" spans="1:12" ht="19.5" customHeight="1">
      <c r="A44" s="1922">
        <v>27</v>
      </c>
      <c r="B44" s="1074" t="s">
        <v>48</v>
      </c>
      <c r="C44" s="2374"/>
      <c r="D44" s="2367"/>
      <c r="E44" s="2367"/>
      <c r="F44" s="2281"/>
      <c r="G44" s="2375">
        <f>SUM(G10:G43)</f>
        <v>134792.41069999998</v>
      </c>
      <c r="H44" s="608"/>
      <c r="I44" s="108"/>
      <c r="J44" s="605"/>
      <c r="K44" s="605"/>
      <c r="L44" s="605"/>
    </row>
    <row r="45" spans="1:12" ht="19.5" customHeight="1">
      <c r="A45" s="1924">
        <v>28</v>
      </c>
      <c r="B45" s="1074" t="s">
        <v>49</v>
      </c>
      <c r="C45" s="1907"/>
      <c r="D45" s="1907"/>
      <c r="E45" s="1907"/>
      <c r="F45" s="2281"/>
      <c r="G45" s="2375">
        <f>G44/1.18</f>
        <v>114230.85652542372</v>
      </c>
      <c r="H45" s="85"/>
      <c r="I45" s="108"/>
      <c r="J45" s="605"/>
      <c r="K45" s="605"/>
      <c r="L45" s="605"/>
    </row>
    <row r="46" spans="1:12" ht="20.25" customHeight="1">
      <c r="A46" s="1918">
        <v>29</v>
      </c>
      <c r="B46" s="1051" t="s">
        <v>50</v>
      </c>
      <c r="C46" s="1839"/>
      <c r="D46" s="1839"/>
      <c r="E46" s="1839"/>
      <c r="F46" s="1826">
        <v>7.4999999999999997E-2</v>
      </c>
      <c r="G46" s="1081">
        <f>G44*F46</f>
        <v>10109.430802499997</v>
      </c>
      <c r="H46" s="87"/>
      <c r="I46" s="364"/>
      <c r="J46" s="583"/>
      <c r="K46" s="624"/>
      <c r="L46" s="605"/>
    </row>
    <row r="47" spans="1:12" ht="18.75" customHeight="1">
      <c r="A47" s="1080">
        <v>30</v>
      </c>
      <c r="B47" s="1840" t="s">
        <v>51</v>
      </c>
      <c r="C47" s="1052"/>
      <c r="D47" s="1907" t="s">
        <v>12</v>
      </c>
      <c r="E47" s="1826">
        <v>3</v>
      </c>
      <c r="F47" s="1054">
        <f>339.936450725958*1.043</f>
        <v>354.55371810717418</v>
      </c>
      <c r="G47" s="1081">
        <f>E47*F47</f>
        <v>1063.6611543215226</v>
      </c>
      <c r="H47" s="634"/>
      <c r="I47" s="381"/>
      <c r="J47" s="583"/>
      <c r="K47" s="624"/>
      <c r="L47" s="605"/>
    </row>
    <row r="48" spans="1:12" ht="18" customHeight="1">
      <c r="A48" s="1080">
        <v>31</v>
      </c>
      <c r="B48" s="1051" t="s">
        <v>2442</v>
      </c>
      <c r="C48" s="1860"/>
      <c r="D48" s="1907" t="s">
        <v>12</v>
      </c>
      <c r="E48" s="1907">
        <v>1</v>
      </c>
      <c r="F48" s="1054">
        <f>9060.44788559616*1.043</f>
        <v>9450.0471446767951</v>
      </c>
      <c r="G48" s="1054">
        <f>F48*E48</f>
        <v>9450.0471446767951</v>
      </c>
      <c r="I48" s="110"/>
      <c r="J48" s="583"/>
      <c r="K48" s="624"/>
    </row>
    <row r="49" spans="1:11" ht="18.75" customHeight="1">
      <c r="A49" s="1080">
        <v>32</v>
      </c>
      <c r="B49" s="1825" t="s">
        <v>1690</v>
      </c>
      <c r="C49" s="1855"/>
      <c r="D49" s="1080"/>
      <c r="E49" s="1080"/>
      <c r="F49" s="1080"/>
      <c r="G49" s="1081">
        <v>12727.36</v>
      </c>
      <c r="H49" s="1997"/>
      <c r="J49" s="583"/>
      <c r="K49" s="624"/>
    </row>
    <row r="50" spans="1:11" ht="18.75" customHeight="1">
      <c r="A50" s="1080">
        <v>33</v>
      </c>
      <c r="B50" s="2376" t="s">
        <v>82</v>
      </c>
      <c r="C50" s="1855"/>
      <c r="D50" s="1833" t="s">
        <v>76</v>
      </c>
      <c r="E50" s="1080">
        <v>1.85</v>
      </c>
      <c r="F50" s="1081">
        <f>665.173187113158*1.043</f>
        <v>693.77563415902364</v>
      </c>
      <c r="G50" s="1081">
        <f>E50*F50</f>
        <v>1283.4849231941937</v>
      </c>
      <c r="H50" s="2031"/>
      <c r="J50" s="583"/>
      <c r="K50" s="624"/>
    </row>
    <row r="51" spans="1:11" ht="18.75" customHeight="1">
      <c r="A51" s="1080">
        <v>34</v>
      </c>
      <c r="B51" s="2377" t="s">
        <v>1716</v>
      </c>
      <c r="C51" s="1855"/>
      <c r="D51" s="1833"/>
      <c r="E51" s="1080"/>
      <c r="F51" s="1081">
        <v>0.02</v>
      </c>
      <c r="G51" s="1894">
        <f>(G10/1.18)*F51</f>
        <v>1271.7820338983051</v>
      </c>
      <c r="H51" s="1975" t="s">
        <v>119</v>
      </c>
      <c r="J51" s="583"/>
      <c r="K51" s="105"/>
    </row>
    <row r="52" spans="1:11" ht="35.25" customHeight="1">
      <c r="A52" s="1080">
        <v>35</v>
      </c>
      <c r="B52" s="1840" t="s">
        <v>2474</v>
      </c>
      <c r="C52" s="1860"/>
      <c r="D52" s="1080"/>
      <c r="E52" s="1080"/>
      <c r="F52" s="1080">
        <v>0.04</v>
      </c>
      <c r="G52" s="1894">
        <f>((G44-G10)/1.18)*F52</f>
        <v>2025.6701932203382</v>
      </c>
      <c r="H52" s="1976" t="s">
        <v>1827</v>
      </c>
      <c r="I52" s="1977"/>
    </row>
    <row r="53" spans="1:11" ht="35.25" customHeight="1">
      <c r="A53" s="1080">
        <v>36</v>
      </c>
      <c r="B53" s="1841" t="s">
        <v>2601</v>
      </c>
      <c r="C53" s="1860"/>
      <c r="D53" s="1080"/>
      <c r="E53" s="1080"/>
      <c r="F53" s="1080"/>
      <c r="G53" s="1894">
        <f>(G44+G46+G47+G48+G49+G50+G51+G52)*0.125</f>
        <v>21590.480868976392</v>
      </c>
      <c r="H53" s="1846"/>
      <c r="I53" s="1977"/>
    </row>
    <row r="54" spans="1:11" ht="33.75" customHeight="1">
      <c r="A54" s="1922">
        <v>37</v>
      </c>
      <c r="B54" s="1842" t="s">
        <v>2602</v>
      </c>
      <c r="C54" s="1860"/>
      <c r="D54" s="1080"/>
      <c r="E54" s="1080"/>
      <c r="F54" s="1080"/>
      <c r="G54" s="1837">
        <f>SUM(G45:G53)</f>
        <v>173752.77364621128</v>
      </c>
      <c r="H54" s="634"/>
    </row>
    <row r="55" spans="1:11" ht="18" customHeight="1">
      <c r="A55" s="1080">
        <v>38</v>
      </c>
      <c r="B55" s="1051" t="s">
        <v>2379</v>
      </c>
      <c r="C55" s="1860"/>
      <c r="D55" s="1080"/>
      <c r="E55" s="1080"/>
      <c r="F55" s="1080">
        <v>0.09</v>
      </c>
      <c r="G55" s="1081">
        <f>G54*F55</f>
        <v>15637.749628159014</v>
      </c>
      <c r="H55" s="634"/>
    </row>
    <row r="56" spans="1:11" ht="18" customHeight="1">
      <c r="A56" s="1080">
        <v>39</v>
      </c>
      <c r="B56" s="1051" t="s">
        <v>2380</v>
      </c>
      <c r="C56" s="1860"/>
      <c r="D56" s="1080"/>
      <c r="E56" s="1080"/>
      <c r="F56" s="1080">
        <v>0.09</v>
      </c>
      <c r="G56" s="1081">
        <f>G54*F56</f>
        <v>15637.749628159014</v>
      </c>
      <c r="H56" s="578"/>
    </row>
    <row r="57" spans="1:11" ht="20.25" customHeight="1">
      <c r="A57" s="1080">
        <v>40</v>
      </c>
      <c r="B57" s="1051" t="s">
        <v>2381</v>
      </c>
      <c r="C57" s="1537"/>
      <c r="D57" s="1537"/>
      <c r="E57" s="1537"/>
      <c r="F57" s="1537"/>
      <c r="G57" s="1081">
        <f>G54+G55+G56</f>
        <v>205028.27290252931</v>
      </c>
    </row>
    <row r="58" spans="1:11" ht="18.75" customHeight="1">
      <c r="A58" s="1922">
        <v>41</v>
      </c>
      <c r="B58" s="1082" t="s">
        <v>59</v>
      </c>
      <c r="C58" s="1537"/>
      <c r="D58" s="1537"/>
      <c r="E58" s="1537"/>
      <c r="F58" s="1537"/>
      <c r="G58" s="356">
        <f>ROUND(G57,0)</f>
        <v>205028</v>
      </c>
    </row>
    <row r="60" spans="1:11" ht="20.25" customHeight="1">
      <c r="B60" s="2109" t="s">
        <v>2603</v>
      </c>
      <c r="C60" s="1963"/>
      <c r="D60" s="1963"/>
      <c r="E60" s="1963"/>
      <c r="F60" s="1963"/>
      <c r="G60" s="1963"/>
    </row>
  </sheetData>
  <mergeCells count="10">
    <mergeCell ref="A19:A21"/>
    <mergeCell ref="A26:A28"/>
    <mergeCell ref="A33:A37"/>
    <mergeCell ref="B1:C1"/>
    <mergeCell ref="B3:E3"/>
    <mergeCell ref="A7:A8"/>
    <mergeCell ref="B7:B8"/>
    <mergeCell ref="C7:C8"/>
    <mergeCell ref="D7:D8"/>
    <mergeCell ref="E7:G7"/>
  </mergeCells>
  <conditionalFormatting sqref="B47">
    <cfRule type="cellIs" dxfId="70" priority="3" stopIfTrue="1" operator="equal">
      <formula>"?"</formula>
    </cfRule>
  </conditionalFormatting>
  <conditionalFormatting sqref="B44">
    <cfRule type="cellIs" dxfId="69" priority="2" stopIfTrue="1" operator="equal">
      <formula>"?"</formula>
    </cfRule>
  </conditionalFormatting>
  <conditionalFormatting sqref="B45">
    <cfRule type="cellIs" dxfId="68" priority="1" stopIfTrue="1" operator="equal">
      <formula>"?"</formula>
    </cfRule>
  </conditionalFormatting>
  <printOptions horizontalCentered="1"/>
  <pageMargins left="0.63" right="0.15" top="0.66" bottom="0.3" header="0.33" footer="0.18"/>
  <pageSetup paperSize="9" fitToHeight="2"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6"/>
  <sheetViews>
    <sheetView zoomScale="89" zoomScaleNormal="89" workbookViewId="0">
      <pane xSplit="2" ySplit="8" topLeftCell="C39" activePane="bottomRight" state="frozen"/>
      <selection pane="topRight" activeCell="C1" sqref="C1"/>
      <selection pane="bottomLeft" activeCell="A9" sqref="A9"/>
      <selection pane="bottomRight" activeCell="I39" sqref="I39"/>
    </sheetView>
  </sheetViews>
  <sheetFormatPr defaultRowHeight="12.75"/>
  <cols>
    <col min="1" max="1" width="4.7109375" style="70" customWidth="1"/>
    <col min="2" max="2" width="70.5703125" style="70" customWidth="1"/>
    <col min="3" max="3" width="13.140625" style="70" customWidth="1"/>
    <col min="4" max="4" width="5.85546875" style="70" bestFit="1" customWidth="1"/>
    <col min="5" max="5" width="10.140625" style="70" customWidth="1"/>
    <col min="6" max="6" width="7.7109375" style="70" customWidth="1"/>
    <col min="7" max="7" width="16.5703125" style="70" customWidth="1"/>
    <col min="8" max="8" width="17.85546875" style="70" customWidth="1"/>
    <col min="9" max="9" width="25.140625" style="70" customWidth="1"/>
    <col min="10" max="10" width="18.140625" style="70" customWidth="1"/>
    <col min="11" max="11" width="14" style="70" customWidth="1"/>
    <col min="12" max="12" width="12.85546875" style="70" customWidth="1"/>
    <col min="13" max="13" width="11.85546875" style="70" customWidth="1"/>
    <col min="14" max="256" width="9.140625" style="70"/>
    <col min="257" max="257" width="4.7109375" style="70" customWidth="1"/>
    <col min="258" max="258" width="70.5703125" style="70" customWidth="1"/>
    <col min="259" max="259" width="13.140625" style="70" customWidth="1"/>
    <col min="260" max="260" width="5.85546875" style="70" bestFit="1" customWidth="1"/>
    <col min="261" max="261" width="10.140625" style="70" customWidth="1"/>
    <col min="262" max="262" width="5" style="70" bestFit="1" customWidth="1"/>
    <col min="263" max="263" width="16.5703125" style="70" customWidth="1"/>
    <col min="264" max="264" width="17.85546875" style="70" customWidth="1"/>
    <col min="265" max="265" width="25.140625" style="70" customWidth="1"/>
    <col min="266" max="266" width="18.140625" style="70" customWidth="1"/>
    <col min="267" max="267" width="14" style="70" customWidth="1"/>
    <col min="268" max="268" width="12.85546875" style="70" customWidth="1"/>
    <col min="269" max="269" width="11.85546875" style="70" customWidth="1"/>
    <col min="270" max="512" width="9.140625" style="70"/>
    <col min="513" max="513" width="4.7109375" style="70" customWidth="1"/>
    <col min="514" max="514" width="70.5703125" style="70" customWidth="1"/>
    <col min="515" max="515" width="13.140625" style="70" customWidth="1"/>
    <col min="516" max="516" width="5.85546875" style="70" bestFit="1" customWidth="1"/>
    <col min="517" max="517" width="10.140625" style="70" customWidth="1"/>
    <col min="518" max="518" width="5" style="70" bestFit="1" customWidth="1"/>
    <col min="519" max="519" width="16.5703125" style="70" customWidth="1"/>
    <col min="520" max="520" width="17.85546875" style="70" customWidth="1"/>
    <col min="521" max="521" width="25.140625" style="70" customWidth="1"/>
    <col min="522" max="522" width="18.140625" style="70" customWidth="1"/>
    <col min="523" max="523" width="14" style="70" customWidth="1"/>
    <col min="524" max="524" width="12.85546875" style="70" customWidth="1"/>
    <col min="525" max="525" width="11.85546875" style="70" customWidth="1"/>
    <col min="526" max="768" width="9.140625" style="70"/>
    <col min="769" max="769" width="4.7109375" style="70" customWidth="1"/>
    <col min="770" max="770" width="70.5703125" style="70" customWidth="1"/>
    <col min="771" max="771" width="13.140625" style="70" customWidth="1"/>
    <col min="772" max="772" width="5.85546875" style="70" bestFit="1" customWidth="1"/>
    <col min="773" max="773" width="10.140625" style="70" customWidth="1"/>
    <col min="774" max="774" width="5" style="70" bestFit="1" customWidth="1"/>
    <col min="775" max="775" width="16.5703125" style="70" customWidth="1"/>
    <col min="776" max="776" width="17.85546875" style="70" customWidth="1"/>
    <col min="777" max="777" width="25.140625" style="70" customWidth="1"/>
    <col min="778" max="778" width="18.140625" style="70" customWidth="1"/>
    <col min="779" max="779" width="14" style="70" customWidth="1"/>
    <col min="780" max="780" width="12.85546875" style="70" customWidth="1"/>
    <col min="781" max="781" width="11.85546875" style="70" customWidth="1"/>
    <col min="782" max="1024" width="9.140625" style="70"/>
    <col min="1025" max="1025" width="4.7109375" style="70" customWidth="1"/>
    <col min="1026" max="1026" width="70.5703125" style="70" customWidth="1"/>
    <col min="1027" max="1027" width="13.140625" style="70" customWidth="1"/>
    <col min="1028" max="1028" width="5.85546875" style="70" bestFit="1" customWidth="1"/>
    <col min="1029" max="1029" width="10.140625" style="70" customWidth="1"/>
    <col min="1030" max="1030" width="5" style="70" bestFit="1" customWidth="1"/>
    <col min="1031" max="1031" width="16.5703125" style="70" customWidth="1"/>
    <col min="1032" max="1032" width="17.85546875" style="70" customWidth="1"/>
    <col min="1033" max="1033" width="25.140625" style="70" customWidth="1"/>
    <col min="1034" max="1034" width="18.140625" style="70" customWidth="1"/>
    <col min="1035" max="1035" width="14" style="70" customWidth="1"/>
    <col min="1036" max="1036" width="12.85546875" style="70" customWidth="1"/>
    <col min="1037" max="1037" width="11.85546875" style="70" customWidth="1"/>
    <col min="1038" max="1280" width="9.140625" style="70"/>
    <col min="1281" max="1281" width="4.7109375" style="70" customWidth="1"/>
    <col min="1282" max="1282" width="70.5703125" style="70" customWidth="1"/>
    <col min="1283" max="1283" width="13.140625" style="70" customWidth="1"/>
    <col min="1284" max="1284" width="5.85546875" style="70" bestFit="1" customWidth="1"/>
    <col min="1285" max="1285" width="10.140625" style="70" customWidth="1"/>
    <col min="1286" max="1286" width="5" style="70" bestFit="1" customWidth="1"/>
    <col min="1287" max="1287" width="16.5703125" style="70" customWidth="1"/>
    <col min="1288" max="1288" width="17.85546875" style="70" customWidth="1"/>
    <col min="1289" max="1289" width="25.140625" style="70" customWidth="1"/>
    <col min="1290" max="1290" width="18.140625" style="70" customWidth="1"/>
    <col min="1291" max="1291" width="14" style="70" customWidth="1"/>
    <col min="1292" max="1292" width="12.85546875" style="70" customWidth="1"/>
    <col min="1293" max="1293" width="11.85546875" style="70" customWidth="1"/>
    <col min="1294" max="1536" width="9.140625" style="70"/>
    <col min="1537" max="1537" width="4.7109375" style="70" customWidth="1"/>
    <col min="1538" max="1538" width="70.5703125" style="70" customWidth="1"/>
    <col min="1539" max="1539" width="13.140625" style="70" customWidth="1"/>
    <col min="1540" max="1540" width="5.85546875" style="70" bestFit="1" customWidth="1"/>
    <col min="1541" max="1541" width="10.140625" style="70" customWidth="1"/>
    <col min="1542" max="1542" width="5" style="70" bestFit="1" customWidth="1"/>
    <col min="1543" max="1543" width="16.5703125" style="70" customWidth="1"/>
    <col min="1544" max="1544" width="17.85546875" style="70" customWidth="1"/>
    <col min="1545" max="1545" width="25.140625" style="70" customWidth="1"/>
    <col min="1546" max="1546" width="18.140625" style="70" customWidth="1"/>
    <col min="1547" max="1547" width="14" style="70" customWidth="1"/>
    <col min="1548" max="1548" width="12.85546875" style="70" customWidth="1"/>
    <col min="1549" max="1549" width="11.85546875" style="70" customWidth="1"/>
    <col min="1550" max="1792" width="9.140625" style="70"/>
    <col min="1793" max="1793" width="4.7109375" style="70" customWidth="1"/>
    <col min="1794" max="1794" width="70.5703125" style="70" customWidth="1"/>
    <col min="1795" max="1795" width="13.140625" style="70" customWidth="1"/>
    <col min="1796" max="1796" width="5.85546875" style="70" bestFit="1" customWidth="1"/>
    <col min="1797" max="1797" width="10.140625" style="70" customWidth="1"/>
    <col min="1798" max="1798" width="5" style="70" bestFit="1" customWidth="1"/>
    <col min="1799" max="1799" width="16.5703125" style="70" customWidth="1"/>
    <col min="1800" max="1800" width="17.85546875" style="70" customWidth="1"/>
    <col min="1801" max="1801" width="25.140625" style="70" customWidth="1"/>
    <col min="1802" max="1802" width="18.140625" style="70" customWidth="1"/>
    <col min="1803" max="1803" width="14" style="70" customWidth="1"/>
    <col min="1804" max="1804" width="12.85546875" style="70" customWidth="1"/>
    <col min="1805" max="1805" width="11.85546875" style="70" customWidth="1"/>
    <col min="1806" max="2048" width="9.140625" style="70"/>
    <col min="2049" max="2049" width="4.7109375" style="70" customWidth="1"/>
    <col min="2050" max="2050" width="70.5703125" style="70" customWidth="1"/>
    <col min="2051" max="2051" width="13.140625" style="70" customWidth="1"/>
    <col min="2052" max="2052" width="5.85546875" style="70" bestFit="1" customWidth="1"/>
    <col min="2053" max="2053" width="10.140625" style="70" customWidth="1"/>
    <col min="2054" max="2054" width="5" style="70" bestFit="1" customWidth="1"/>
    <col min="2055" max="2055" width="16.5703125" style="70" customWidth="1"/>
    <col min="2056" max="2056" width="17.85546875" style="70" customWidth="1"/>
    <col min="2057" max="2057" width="25.140625" style="70" customWidth="1"/>
    <col min="2058" max="2058" width="18.140625" style="70" customWidth="1"/>
    <col min="2059" max="2059" width="14" style="70" customWidth="1"/>
    <col min="2060" max="2060" width="12.85546875" style="70" customWidth="1"/>
    <col min="2061" max="2061" width="11.85546875" style="70" customWidth="1"/>
    <col min="2062" max="2304" width="9.140625" style="70"/>
    <col min="2305" max="2305" width="4.7109375" style="70" customWidth="1"/>
    <col min="2306" max="2306" width="70.5703125" style="70" customWidth="1"/>
    <col min="2307" max="2307" width="13.140625" style="70" customWidth="1"/>
    <col min="2308" max="2308" width="5.85546875" style="70" bestFit="1" customWidth="1"/>
    <col min="2309" max="2309" width="10.140625" style="70" customWidth="1"/>
    <col min="2310" max="2310" width="5" style="70" bestFit="1" customWidth="1"/>
    <col min="2311" max="2311" width="16.5703125" style="70" customWidth="1"/>
    <col min="2312" max="2312" width="17.85546875" style="70" customWidth="1"/>
    <col min="2313" max="2313" width="25.140625" style="70" customWidth="1"/>
    <col min="2314" max="2314" width="18.140625" style="70" customWidth="1"/>
    <col min="2315" max="2315" width="14" style="70" customWidth="1"/>
    <col min="2316" max="2316" width="12.85546875" style="70" customWidth="1"/>
    <col min="2317" max="2317" width="11.85546875" style="70" customWidth="1"/>
    <col min="2318" max="2560" width="9.140625" style="70"/>
    <col min="2561" max="2561" width="4.7109375" style="70" customWidth="1"/>
    <col min="2562" max="2562" width="70.5703125" style="70" customWidth="1"/>
    <col min="2563" max="2563" width="13.140625" style="70" customWidth="1"/>
    <col min="2564" max="2564" width="5.85546875" style="70" bestFit="1" customWidth="1"/>
    <col min="2565" max="2565" width="10.140625" style="70" customWidth="1"/>
    <col min="2566" max="2566" width="5" style="70" bestFit="1" customWidth="1"/>
    <col min="2567" max="2567" width="16.5703125" style="70" customWidth="1"/>
    <col min="2568" max="2568" width="17.85546875" style="70" customWidth="1"/>
    <col min="2569" max="2569" width="25.140625" style="70" customWidth="1"/>
    <col min="2570" max="2570" width="18.140625" style="70" customWidth="1"/>
    <col min="2571" max="2571" width="14" style="70" customWidth="1"/>
    <col min="2572" max="2572" width="12.85546875" style="70" customWidth="1"/>
    <col min="2573" max="2573" width="11.85546875" style="70" customWidth="1"/>
    <col min="2574" max="2816" width="9.140625" style="70"/>
    <col min="2817" max="2817" width="4.7109375" style="70" customWidth="1"/>
    <col min="2818" max="2818" width="70.5703125" style="70" customWidth="1"/>
    <col min="2819" max="2819" width="13.140625" style="70" customWidth="1"/>
    <col min="2820" max="2820" width="5.85546875" style="70" bestFit="1" customWidth="1"/>
    <col min="2821" max="2821" width="10.140625" style="70" customWidth="1"/>
    <col min="2822" max="2822" width="5" style="70" bestFit="1" customWidth="1"/>
    <col min="2823" max="2823" width="16.5703125" style="70" customWidth="1"/>
    <col min="2824" max="2824" width="17.85546875" style="70" customWidth="1"/>
    <col min="2825" max="2825" width="25.140625" style="70" customWidth="1"/>
    <col min="2826" max="2826" width="18.140625" style="70" customWidth="1"/>
    <col min="2827" max="2827" width="14" style="70" customWidth="1"/>
    <col min="2828" max="2828" width="12.85546875" style="70" customWidth="1"/>
    <col min="2829" max="2829" width="11.85546875" style="70" customWidth="1"/>
    <col min="2830" max="3072" width="9.140625" style="70"/>
    <col min="3073" max="3073" width="4.7109375" style="70" customWidth="1"/>
    <col min="3074" max="3074" width="70.5703125" style="70" customWidth="1"/>
    <col min="3075" max="3075" width="13.140625" style="70" customWidth="1"/>
    <col min="3076" max="3076" width="5.85546875" style="70" bestFit="1" customWidth="1"/>
    <col min="3077" max="3077" width="10.140625" style="70" customWidth="1"/>
    <col min="3078" max="3078" width="5" style="70" bestFit="1" customWidth="1"/>
    <col min="3079" max="3079" width="16.5703125" style="70" customWidth="1"/>
    <col min="3080" max="3080" width="17.85546875" style="70" customWidth="1"/>
    <col min="3081" max="3081" width="25.140625" style="70" customWidth="1"/>
    <col min="3082" max="3082" width="18.140625" style="70" customWidth="1"/>
    <col min="3083" max="3083" width="14" style="70" customWidth="1"/>
    <col min="3084" max="3084" width="12.85546875" style="70" customWidth="1"/>
    <col min="3085" max="3085" width="11.85546875" style="70" customWidth="1"/>
    <col min="3086" max="3328" width="9.140625" style="70"/>
    <col min="3329" max="3329" width="4.7109375" style="70" customWidth="1"/>
    <col min="3330" max="3330" width="70.5703125" style="70" customWidth="1"/>
    <col min="3331" max="3331" width="13.140625" style="70" customWidth="1"/>
    <col min="3332" max="3332" width="5.85546875" style="70" bestFit="1" customWidth="1"/>
    <col min="3333" max="3333" width="10.140625" style="70" customWidth="1"/>
    <col min="3334" max="3334" width="5" style="70" bestFit="1" customWidth="1"/>
    <col min="3335" max="3335" width="16.5703125" style="70" customWidth="1"/>
    <col min="3336" max="3336" width="17.85546875" style="70" customWidth="1"/>
    <col min="3337" max="3337" width="25.140625" style="70" customWidth="1"/>
    <col min="3338" max="3338" width="18.140625" style="70" customWidth="1"/>
    <col min="3339" max="3339" width="14" style="70" customWidth="1"/>
    <col min="3340" max="3340" width="12.85546875" style="70" customWidth="1"/>
    <col min="3341" max="3341" width="11.85546875" style="70" customWidth="1"/>
    <col min="3342" max="3584" width="9.140625" style="70"/>
    <col min="3585" max="3585" width="4.7109375" style="70" customWidth="1"/>
    <col min="3586" max="3586" width="70.5703125" style="70" customWidth="1"/>
    <col min="3587" max="3587" width="13.140625" style="70" customWidth="1"/>
    <col min="3588" max="3588" width="5.85546875" style="70" bestFit="1" customWidth="1"/>
    <col min="3589" max="3589" width="10.140625" style="70" customWidth="1"/>
    <col min="3590" max="3590" width="5" style="70" bestFit="1" customWidth="1"/>
    <col min="3591" max="3591" width="16.5703125" style="70" customWidth="1"/>
    <col min="3592" max="3592" width="17.85546875" style="70" customWidth="1"/>
    <col min="3593" max="3593" width="25.140625" style="70" customWidth="1"/>
    <col min="3594" max="3594" width="18.140625" style="70" customWidth="1"/>
    <col min="3595" max="3595" width="14" style="70" customWidth="1"/>
    <col min="3596" max="3596" width="12.85546875" style="70" customWidth="1"/>
    <col min="3597" max="3597" width="11.85546875" style="70" customWidth="1"/>
    <col min="3598" max="3840" width="9.140625" style="70"/>
    <col min="3841" max="3841" width="4.7109375" style="70" customWidth="1"/>
    <col min="3842" max="3842" width="70.5703125" style="70" customWidth="1"/>
    <col min="3843" max="3843" width="13.140625" style="70" customWidth="1"/>
    <col min="3844" max="3844" width="5.85546875" style="70" bestFit="1" customWidth="1"/>
    <col min="3845" max="3845" width="10.140625" style="70" customWidth="1"/>
    <col min="3846" max="3846" width="5" style="70" bestFit="1" customWidth="1"/>
    <col min="3847" max="3847" width="16.5703125" style="70" customWidth="1"/>
    <col min="3848" max="3848" width="17.85546875" style="70" customWidth="1"/>
    <col min="3849" max="3849" width="25.140625" style="70" customWidth="1"/>
    <col min="3850" max="3850" width="18.140625" style="70" customWidth="1"/>
    <col min="3851" max="3851" width="14" style="70" customWidth="1"/>
    <col min="3852" max="3852" width="12.85546875" style="70" customWidth="1"/>
    <col min="3853" max="3853" width="11.85546875" style="70" customWidth="1"/>
    <col min="3854" max="4096" width="9.140625" style="70"/>
    <col min="4097" max="4097" width="4.7109375" style="70" customWidth="1"/>
    <col min="4098" max="4098" width="70.5703125" style="70" customWidth="1"/>
    <col min="4099" max="4099" width="13.140625" style="70" customWidth="1"/>
    <col min="4100" max="4100" width="5.85546875" style="70" bestFit="1" customWidth="1"/>
    <col min="4101" max="4101" width="10.140625" style="70" customWidth="1"/>
    <col min="4102" max="4102" width="5" style="70" bestFit="1" customWidth="1"/>
    <col min="4103" max="4103" width="16.5703125" style="70" customWidth="1"/>
    <col min="4104" max="4104" width="17.85546875" style="70" customWidth="1"/>
    <col min="4105" max="4105" width="25.140625" style="70" customWidth="1"/>
    <col min="4106" max="4106" width="18.140625" style="70" customWidth="1"/>
    <col min="4107" max="4107" width="14" style="70" customWidth="1"/>
    <col min="4108" max="4108" width="12.85546875" style="70" customWidth="1"/>
    <col min="4109" max="4109" width="11.85546875" style="70" customWidth="1"/>
    <col min="4110" max="4352" width="9.140625" style="70"/>
    <col min="4353" max="4353" width="4.7109375" style="70" customWidth="1"/>
    <col min="4354" max="4354" width="70.5703125" style="70" customWidth="1"/>
    <col min="4355" max="4355" width="13.140625" style="70" customWidth="1"/>
    <col min="4356" max="4356" width="5.85546875" style="70" bestFit="1" customWidth="1"/>
    <col min="4357" max="4357" width="10.140625" style="70" customWidth="1"/>
    <col min="4358" max="4358" width="5" style="70" bestFit="1" customWidth="1"/>
    <col min="4359" max="4359" width="16.5703125" style="70" customWidth="1"/>
    <col min="4360" max="4360" width="17.85546875" style="70" customWidth="1"/>
    <col min="4361" max="4361" width="25.140625" style="70" customWidth="1"/>
    <col min="4362" max="4362" width="18.140625" style="70" customWidth="1"/>
    <col min="4363" max="4363" width="14" style="70" customWidth="1"/>
    <col min="4364" max="4364" width="12.85546875" style="70" customWidth="1"/>
    <col min="4365" max="4365" width="11.85546875" style="70" customWidth="1"/>
    <col min="4366" max="4608" width="9.140625" style="70"/>
    <col min="4609" max="4609" width="4.7109375" style="70" customWidth="1"/>
    <col min="4610" max="4610" width="70.5703125" style="70" customWidth="1"/>
    <col min="4611" max="4611" width="13.140625" style="70" customWidth="1"/>
    <col min="4612" max="4612" width="5.85546875" style="70" bestFit="1" customWidth="1"/>
    <col min="4613" max="4613" width="10.140625" style="70" customWidth="1"/>
    <col min="4614" max="4614" width="5" style="70" bestFit="1" customWidth="1"/>
    <col min="4615" max="4615" width="16.5703125" style="70" customWidth="1"/>
    <col min="4616" max="4616" width="17.85546875" style="70" customWidth="1"/>
    <col min="4617" max="4617" width="25.140625" style="70" customWidth="1"/>
    <col min="4618" max="4618" width="18.140625" style="70" customWidth="1"/>
    <col min="4619" max="4619" width="14" style="70" customWidth="1"/>
    <col min="4620" max="4620" width="12.85546875" style="70" customWidth="1"/>
    <col min="4621" max="4621" width="11.85546875" style="70" customWidth="1"/>
    <col min="4622" max="4864" width="9.140625" style="70"/>
    <col min="4865" max="4865" width="4.7109375" style="70" customWidth="1"/>
    <col min="4866" max="4866" width="70.5703125" style="70" customWidth="1"/>
    <col min="4867" max="4867" width="13.140625" style="70" customWidth="1"/>
    <col min="4868" max="4868" width="5.85546875" style="70" bestFit="1" customWidth="1"/>
    <col min="4869" max="4869" width="10.140625" style="70" customWidth="1"/>
    <col min="4870" max="4870" width="5" style="70" bestFit="1" customWidth="1"/>
    <col min="4871" max="4871" width="16.5703125" style="70" customWidth="1"/>
    <col min="4872" max="4872" width="17.85546875" style="70" customWidth="1"/>
    <col min="4873" max="4873" width="25.140625" style="70" customWidth="1"/>
    <col min="4874" max="4874" width="18.140625" style="70" customWidth="1"/>
    <col min="4875" max="4875" width="14" style="70" customWidth="1"/>
    <col min="4876" max="4876" width="12.85546875" style="70" customWidth="1"/>
    <col min="4877" max="4877" width="11.85546875" style="70" customWidth="1"/>
    <col min="4878" max="5120" width="9.140625" style="70"/>
    <col min="5121" max="5121" width="4.7109375" style="70" customWidth="1"/>
    <col min="5122" max="5122" width="70.5703125" style="70" customWidth="1"/>
    <col min="5123" max="5123" width="13.140625" style="70" customWidth="1"/>
    <col min="5124" max="5124" width="5.85546875" style="70" bestFit="1" customWidth="1"/>
    <col min="5125" max="5125" width="10.140625" style="70" customWidth="1"/>
    <col min="5126" max="5126" width="5" style="70" bestFit="1" customWidth="1"/>
    <col min="5127" max="5127" width="16.5703125" style="70" customWidth="1"/>
    <col min="5128" max="5128" width="17.85546875" style="70" customWidth="1"/>
    <col min="5129" max="5129" width="25.140625" style="70" customWidth="1"/>
    <col min="5130" max="5130" width="18.140625" style="70" customWidth="1"/>
    <col min="5131" max="5131" width="14" style="70" customWidth="1"/>
    <col min="5132" max="5132" width="12.85546875" style="70" customWidth="1"/>
    <col min="5133" max="5133" width="11.85546875" style="70" customWidth="1"/>
    <col min="5134" max="5376" width="9.140625" style="70"/>
    <col min="5377" max="5377" width="4.7109375" style="70" customWidth="1"/>
    <col min="5378" max="5378" width="70.5703125" style="70" customWidth="1"/>
    <col min="5379" max="5379" width="13.140625" style="70" customWidth="1"/>
    <col min="5380" max="5380" width="5.85546875" style="70" bestFit="1" customWidth="1"/>
    <col min="5381" max="5381" width="10.140625" style="70" customWidth="1"/>
    <col min="5382" max="5382" width="5" style="70" bestFit="1" customWidth="1"/>
    <col min="5383" max="5383" width="16.5703125" style="70" customWidth="1"/>
    <col min="5384" max="5384" width="17.85546875" style="70" customWidth="1"/>
    <col min="5385" max="5385" width="25.140625" style="70" customWidth="1"/>
    <col min="5386" max="5386" width="18.140625" style="70" customWidth="1"/>
    <col min="5387" max="5387" width="14" style="70" customWidth="1"/>
    <col min="5388" max="5388" width="12.85546875" style="70" customWidth="1"/>
    <col min="5389" max="5389" width="11.85546875" style="70" customWidth="1"/>
    <col min="5390" max="5632" width="9.140625" style="70"/>
    <col min="5633" max="5633" width="4.7109375" style="70" customWidth="1"/>
    <col min="5634" max="5634" width="70.5703125" style="70" customWidth="1"/>
    <col min="5635" max="5635" width="13.140625" style="70" customWidth="1"/>
    <col min="5636" max="5636" width="5.85546875" style="70" bestFit="1" customWidth="1"/>
    <col min="5637" max="5637" width="10.140625" style="70" customWidth="1"/>
    <col min="5638" max="5638" width="5" style="70" bestFit="1" customWidth="1"/>
    <col min="5639" max="5639" width="16.5703125" style="70" customWidth="1"/>
    <col min="5640" max="5640" width="17.85546875" style="70" customWidth="1"/>
    <col min="5641" max="5641" width="25.140625" style="70" customWidth="1"/>
    <col min="5642" max="5642" width="18.140625" style="70" customWidth="1"/>
    <col min="5643" max="5643" width="14" style="70" customWidth="1"/>
    <col min="5644" max="5644" width="12.85546875" style="70" customWidth="1"/>
    <col min="5645" max="5645" width="11.85546875" style="70" customWidth="1"/>
    <col min="5646" max="5888" width="9.140625" style="70"/>
    <col min="5889" max="5889" width="4.7109375" style="70" customWidth="1"/>
    <col min="5890" max="5890" width="70.5703125" style="70" customWidth="1"/>
    <col min="5891" max="5891" width="13.140625" style="70" customWidth="1"/>
    <col min="5892" max="5892" width="5.85546875" style="70" bestFit="1" customWidth="1"/>
    <col min="5893" max="5893" width="10.140625" style="70" customWidth="1"/>
    <col min="5894" max="5894" width="5" style="70" bestFit="1" customWidth="1"/>
    <col min="5895" max="5895" width="16.5703125" style="70" customWidth="1"/>
    <col min="5896" max="5896" width="17.85546875" style="70" customWidth="1"/>
    <col min="5897" max="5897" width="25.140625" style="70" customWidth="1"/>
    <col min="5898" max="5898" width="18.140625" style="70" customWidth="1"/>
    <col min="5899" max="5899" width="14" style="70" customWidth="1"/>
    <col min="5900" max="5900" width="12.85546875" style="70" customWidth="1"/>
    <col min="5901" max="5901" width="11.85546875" style="70" customWidth="1"/>
    <col min="5902" max="6144" width="9.140625" style="70"/>
    <col min="6145" max="6145" width="4.7109375" style="70" customWidth="1"/>
    <col min="6146" max="6146" width="70.5703125" style="70" customWidth="1"/>
    <col min="6147" max="6147" width="13.140625" style="70" customWidth="1"/>
    <col min="6148" max="6148" width="5.85546875" style="70" bestFit="1" customWidth="1"/>
    <col min="6149" max="6149" width="10.140625" style="70" customWidth="1"/>
    <col min="6150" max="6150" width="5" style="70" bestFit="1" customWidth="1"/>
    <col min="6151" max="6151" width="16.5703125" style="70" customWidth="1"/>
    <col min="6152" max="6152" width="17.85546875" style="70" customWidth="1"/>
    <col min="6153" max="6153" width="25.140625" style="70" customWidth="1"/>
    <col min="6154" max="6154" width="18.140625" style="70" customWidth="1"/>
    <col min="6155" max="6155" width="14" style="70" customWidth="1"/>
    <col min="6156" max="6156" width="12.85546875" style="70" customWidth="1"/>
    <col min="6157" max="6157" width="11.85546875" style="70" customWidth="1"/>
    <col min="6158" max="6400" width="9.140625" style="70"/>
    <col min="6401" max="6401" width="4.7109375" style="70" customWidth="1"/>
    <col min="6402" max="6402" width="70.5703125" style="70" customWidth="1"/>
    <col min="6403" max="6403" width="13.140625" style="70" customWidth="1"/>
    <col min="6404" max="6404" width="5.85546875" style="70" bestFit="1" customWidth="1"/>
    <col min="6405" max="6405" width="10.140625" style="70" customWidth="1"/>
    <col min="6406" max="6406" width="5" style="70" bestFit="1" customWidth="1"/>
    <col min="6407" max="6407" width="16.5703125" style="70" customWidth="1"/>
    <col min="6408" max="6408" width="17.85546875" style="70" customWidth="1"/>
    <col min="6409" max="6409" width="25.140625" style="70" customWidth="1"/>
    <col min="6410" max="6410" width="18.140625" style="70" customWidth="1"/>
    <col min="6411" max="6411" width="14" style="70" customWidth="1"/>
    <col min="6412" max="6412" width="12.85546875" style="70" customWidth="1"/>
    <col min="6413" max="6413" width="11.85546875" style="70" customWidth="1"/>
    <col min="6414" max="6656" width="9.140625" style="70"/>
    <col min="6657" max="6657" width="4.7109375" style="70" customWidth="1"/>
    <col min="6658" max="6658" width="70.5703125" style="70" customWidth="1"/>
    <col min="6659" max="6659" width="13.140625" style="70" customWidth="1"/>
    <col min="6660" max="6660" width="5.85546875" style="70" bestFit="1" customWidth="1"/>
    <col min="6661" max="6661" width="10.140625" style="70" customWidth="1"/>
    <col min="6662" max="6662" width="5" style="70" bestFit="1" customWidth="1"/>
    <col min="6663" max="6663" width="16.5703125" style="70" customWidth="1"/>
    <col min="6664" max="6664" width="17.85546875" style="70" customWidth="1"/>
    <col min="6665" max="6665" width="25.140625" style="70" customWidth="1"/>
    <col min="6666" max="6666" width="18.140625" style="70" customWidth="1"/>
    <col min="6667" max="6667" width="14" style="70" customWidth="1"/>
    <col min="6668" max="6668" width="12.85546875" style="70" customWidth="1"/>
    <col min="6669" max="6669" width="11.85546875" style="70" customWidth="1"/>
    <col min="6670" max="6912" width="9.140625" style="70"/>
    <col min="6913" max="6913" width="4.7109375" style="70" customWidth="1"/>
    <col min="6914" max="6914" width="70.5703125" style="70" customWidth="1"/>
    <col min="6915" max="6915" width="13.140625" style="70" customWidth="1"/>
    <col min="6916" max="6916" width="5.85546875" style="70" bestFit="1" customWidth="1"/>
    <col min="6917" max="6917" width="10.140625" style="70" customWidth="1"/>
    <col min="6918" max="6918" width="5" style="70" bestFit="1" customWidth="1"/>
    <col min="6919" max="6919" width="16.5703125" style="70" customWidth="1"/>
    <col min="6920" max="6920" width="17.85546875" style="70" customWidth="1"/>
    <col min="6921" max="6921" width="25.140625" style="70" customWidth="1"/>
    <col min="6922" max="6922" width="18.140625" style="70" customWidth="1"/>
    <col min="6923" max="6923" width="14" style="70" customWidth="1"/>
    <col min="6924" max="6924" width="12.85546875" style="70" customWidth="1"/>
    <col min="6925" max="6925" width="11.85546875" style="70" customWidth="1"/>
    <col min="6926" max="7168" width="9.140625" style="70"/>
    <col min="7169" max="7169" width="4.7109375" style="70" customWidth="1"/>
    <col min="7170" max="7170" width="70.5703125" style="70" customWidth="1"/>
    <col min="7171" max="7171" width="13.140625" style="70" customWidth="1"/>
    <col min="7172" max="7172" width="5.85546875" style="70" bestFit="1" customWidth="1"/>
    <col min="7173" max="7173" width="10.140625" style="70" customWidth="1"/>
    <col min="7174" max="7174" width="5" style="70" bestFit="1" customWidth="1"/>
    <col min="7175" max="7175" width="16.5703125" style="70" customWidth="1"/>
    <col min="7176" max="7176" width="17.85546875" style="70" customWidth="1"/>
    <col min="7177" max="7177" width="25.140625" style="70" customWidth="1"/>
    <col min="7178" max="7178" width="18.140625" style="70" customWidth="1"/>
    <col min="7179" max="7179" width="14" style="70" customWidth="1"/>
    <col min="7180" max="7180" width="12.85546875" style="70" customWidth="1"/>
    <col min="7181" max="7181" width="11.85546875" style="70" customWidth="1"/>
    <col min="7182" max="7424" width="9.140625" style="70"/>
    <col min="7425" max="7425" width="4.7109375" style="70" customWidth="1"/>
    <col min="7426" max="7426" width="70.5703125" style="70" customWidth="1"/>
    <col min="7427" max="7427" width="13.140625" style="70" customWidth="1"/>
    <col min="7428" max="7428" width="5.85546875" style="70" bestFit="1" customWidth="1"/>
    <col min="7429" max="7429" width="10.140625" style="70" customWidth="1"/>
    <col min="7430" max="7430" width="5" style="70" bestFit="1" customWidth="1"/>
    <col min="7431" max="7431" width="16.5703125" style="70" customWidth="1"/>
    <col min="7432" max="7432" width="17.85546875" style="70" customWidth="1"/>
    <col min="7433" max="7433" width="25.140625" style="70" customWidth="1"/>
    <col min="7434" max="7434" width="18.140625" style="70" customWidth="1"/>
    <col min="7435" max="7435" width="14" style="70" customWidth="1"/>
    <col min="7436" max="7436" width="12.85546875" style="70" customWidth="1"/>
    <col min="7437" max="7437" width="11.85546875" style="70" customWidth="1"/>
    <col min="7438" max="7680" width="9.140625" style="70"/>
    <col min="7681" max="7681" width="4.7109375" style="70" customWidth="1"/>
    <col min="7682" max="7682" width="70.5703125" style="70" customWidth="1"/>
    <col min="7683" max="7683" width="13.140625" style="70" customWidth="1"/>
    <col min="7684" max="7684" width="5.85546875" style="70" bestFit="1" customWidth="1"/>
    <col min="7685" max="7685" width="10.140625" style="70" customWidth="1"/>
    <col min="7686" max="7686" width="5" style="70" bestFit="1" customWidth="1"/>
    <col min="7687" max="7687" width="16.5703125" style="70" customWidth="1"/>
    <col min="7688" max="7688" width="17.85546875" style="70" customWidth="1"/>
    <col min="7689" max="7689" width="25.140625" style="70" customWidth="1"/>
    <col min="7690" max="7690" width="18.140625" style="70" customWidth="1"/>
    <col min="7691" max="7691" width="14" style="70" customWidth="1"/>
    <col min="7692" max="7692" width="12.85546875" style="70" customWidth="1"/>
    <col min="7693" max="7693" width="11.85546875" style="70" customWidth="1"/>
    <col min="7694" max="7936" width="9.140625" style="70"/>
    <col min="7937" max="7937" width="4.7109375" style="70" customWidth="1"/>
    <col min="7938" max="7938" width="70.5703125" style="70" customWidth="1"/>
    <col min="7939" max="7939" width="13.140625" style="70" customWidth="1"/>
    <col min="7940" max="7940" width="5.85546875" style="70" bestFit="1" customWidth="1"/>
    <col min="7941" max="7941" width="10.140625" style="70" customWidth="1"/>
    <col min="7942" max="7942" width="5" style="70" bestFit="1" customWidth="1"/>
    <col min="7943" max="7943" width="16.5703125" style="70" customWidth="1"/>
    <col min="7944" max="7944" width="17.85546875" style="70" customWidth="1"/>
    <col min="7945" max="7945" width="25.140625" style="70" customWidth="1"/>
    <col min="7946" max="7946" width="18.140625" style="70" customWidth="1"/>
    <col min="7947" max="7947" width="14" style="70" customWidth="1"/>
    <col min="7948" max="7948" width="12.85546875" style="70" customWidth="1"/>
    <col min="7949" max="7949" width="11.85546875" style="70" customWidth="1"/>
    <col min="7950" max="8192" width="9.140625" style="70"/>
    <col min="8193" max="8193" width="4.7109375" style="70" customWidth="1"/>
    <col min="8194" max="8194" width="70.5703125" style="70" customWidth="1"/>
    <col min="8195" max="8195" width="13.140625" style="70" customWidth="1"/>
    <col min="8196" max="8196" width="5.85546875" style="70" bestFit="1" customWidth="1"/>
    <col min="8197" max="8197" width="10.140625" style="70" customWidth="1"/>
    <col min="8198" max="8198" width="5" style="70" bestFit="1" customWidth="1"/>
    <col min="8199" max="8199" width="16.5703125" style="70" customWidth="1"/>
    <col min="8200" max="8200" width="17.85546875" style="70" customWidth="1"/>
    <col min="8201" max="8201" width="25.140625" style="70" customWidth="1"/>
    <col min="8202" max="8202" width="18.140625" style="70" customWidth="1"/>
    <col min="8203" max="8203" width="14" style="70" customWidth="1"/>
    <col min="8204" max="8204" width="12.85546875" style="70" customWidth="1"/>
    <col min="8205" max="8205" width="11.85546875" style="70" customWidth="1"/>
    <col min="8206" max="8448" width="9.140625" style="70"/>
    <col min="8449" max="8449" width="4.7109375" style="70" customWidth="1"/>
    <col min="8450" max="8450" width="70.5703125" style="70" customWidth="1"/>
    <col min="8451" max="8451" width="13.140625" style="70" customWidth="1"/>
    <col min="8452" max="8452" width="5.85546875" style="70" bestFit="1" customWidth="1"/>
    <col min="8453" max="8453" width="10.140625" style="70" customWidth="1"/>
    <col min="8454" max="8454" width="5" style="70" bestFit="1" customWidth="1"/>
    <col min="8455" max="8455" width="16.5703125" style="70" customWidth="1"/>
    <col min="8456" max="8456" width="17.85546875" style="70" customWidth="1"/>
    <col min="8457" max="8457" width="25.140625" style="70" customWidth="1"/>
    <col min="8458" max="8458" width="18.140625" style="70" customWidth="1"/>
    <col min="8459" max="8459" width="14" style="70" customWidth="1"/>
    <col min="8460" max="8460" width="12.85546875" style="70" customWidth="1"/>
    <col min="8461" max="8461" width="11.85546875" style="70" customWidth="1"/>
    <col min="8462" max="8704" width="9.140625" style="70"/>
    <col min="8705" max="8705" width="4.7109375" style="70" customWidth="1"/>
    <col min="8706" max="8706" width="70.5703125" style="70" customWidth="1"/>
    <col min="8707" max="8707" width="13.140625" style="70" customWidth="1"/>
    <col min="8708" max="8708" width="5.85546875" style="70" bestFit="1" customWidth="1"/>
    <col min="8709" max="8709" width="10.140625" style="70" customWidth="1"/>
    <col min="8710" max="8710" width="5" style="70" bestFit="1" customWidth="1"/>
    <col min="8711" max="8711" width="16.5703125" style="70" customWidth="1"/>
    <col min="8712" max="8712" width="17.85546875" style="70" customWidth="1"/>
    <col min="8713" max="8713" width="25.140625" style="70" customWidth="1"/>
    <col min="8714" max="8714" width="18.140625" style="70" customWidth="1"/>
    <col min="8715" max="8715" width="14" style="70" customWidth="1"/>
    <col min="8716" max="8716" width="12.85546875" style="70" customWidth="1"/>
    <col min="8717" max="8717" width="11.85546875" style="70" customWidth="1"/>
    <col min="8718" max="8960" width="9.140625" style="70"/>
    <col min="8961" max="8961" width="4.7109375" style="70" customWidth="1"/>
    <col min="8962" max="8962" width="70.5703125" style="70" customWidth="1"/>
    <col min="8963" max="8963" width="13.140625" style="70" customWidth="1"/>
    <col min="8964" max="8964" width="5.85546875" style="70" bestFit="1" customWidth="1"/>
    <col min="8965" max="8965" width="10.140625" style="70" customWidth="1"/>
    <col min="8966" max="8966" width="5" style="70" bestFit="1" customWidth="1"/>
    <col min="8967" max="8967" width="16.5703125" style="70" customWidth="1"/>
    <col min="8968" max="8968" width="17.85546875" style="70" customWidth="1"/>
    <col min="8969" max="8969" width="25.140625" style="70" customWidth="1"/>
    <col min="8970" max="8970" width="18.140625" style="70" customWidth="1"/>
    <col min="8971" max="8971" width="14" style="70" customWidth="1"/>
    <col min="8972" max="8972" width="12.85546875" style="70" customWidth="1"/>
    <col min="8973" max="8973" width="11.85546875" style="70" customWidth="1"/>
    <col min="8974" max="9216" width="9.140625" style="70"/>
    <col min="9217" max="9217" width="4.7109375" style="70" customWidth="1"/>
    <col min="9218" max="9218" width="70.5703125" style="70" customWidth="1"/>
    <col min="9219" max="9219" width="13.140625" style="70" customWidth="1"/>
    <col min="9220" max="9220" width="5.85546875" style="70" bestFit="1" customWidth="1"/>
    <col min="9221" max="9221" width="10.140625" style="70" customWidth="1"/>
    <col min="9222" max="9222" width="5" style="70" bestFit="1" customWidth="1"/>
    <col min="9223" max="9223" width="16.5703125" style="70" customWidth="1"/>
    <col min="9224" max="9224" width="17.85546875" style="70" customWidth="1"/>
    <col min="9225" max="9225" width="25.140625" style="70" customWidth="1"/>
    <col min="9226" max="9226" width="18.140625" style="70" customWidth="1"/>
    <col min="9227" max="9227" width="14" style="70" customWidth="1"/>
    <col min="9228" max="9228" width="12.85546875" style="70" customWidth="1"/>
    <col min="9229" max="9229" width="11.85546875" style="70" customWidth="1"/>
    <col min="9230" max="9472" width="9.140625" style="70"/>
    <col min="9473" max="9473" width="4.7109375" style="70" customWidth="1"/>
    <col min="9474" max="9474" width="70.5703125" style="70" customWidth="1"/>
    <col min="9475" max="9475" width="13.140625" style="70" customWidth="1"/>
    <col min="9476" max="9476" width="5.85546875" style="70" bestFit="1" customWidth="1"/>
    <col min="9477" max="9477" width="10.140625" style="70" customWidth="1"/>
    <col min="9478" max="9478" width="5" style="70" bestFit="1" customWidth="1"/>
    <col min="9479" max="9479" width="16.5703125" style="70" customWidth="1"/>
    <col min="9480" max="9480" width="17.85546875" style="70" customWidth="1"/>
    <col min="9481" max="9481" width="25.140625" style="70" customWidth="1"/>
    <col min="9482" max="9482" width="18.140625" style="70" customWidth="1"/>
    <col min="9483" max="9483" width="14" style="70" customWidth="1"/>
    <col min="9484" max="9484" width="12.85546875" style="70" customWidth="1"/>
    <col min="9485" max="9485" width="11.85546875" style="70" customWidth="1"/>
    <col min="9486" max="9728" width="9.140625" style="70"/>
    <col min="9729" max="9729" width="4.7109375" style="70" customWidth="1"/>
    <col min="9730" max="9730" width="70.5703125" style="70" customWidth="1"/>
    <col min="9731" max="9731" width="13.140625" style="70" customWidth="1"/>
    <col min="9732" max="9732" width="5.85546875" style="70" bestFit="1" customWidth="1"/>
    <col min="9733" max="9733" width="10.140625" style="70" customWidth="1"/>
    <col min="9734" max="9734" width="5" style="70" bestFit="1" customWidth="1"/>
    <col min="9735" max="9735" width="16.5703125" style="70" customWidth="1"/>
    <col min="9736" max="9736" width="17.85546875" style="70" customWidth="1"/>
    <col min="9737" max="9737" width="25.140625" style="70" customWidth="1"/>
    <col min="9738" max="9738" width="18.140625" style="70" customWidth="1"/>
    <col min="9739" max="9739" width="14" style="70" customWidth="1"/>
    <col min="9740" max="9740" width="12.85546875" style="70" customWidth="1"/>
    <col min="9741" max="9741" width="11.85546875" style="70" customWidth="1"/>
    <col min="9742" max="9984" width="9.140625" style="70"/>
    <col min="9985" max="9985" width="4.7109375" style="70" customWidth="1"/>
    <col min="9986" max="9986" width="70.5703125" style="70" customWidth="1"/>
    <col min="9987" max="9987" width="13.140625" style="70" customWidth="1"/>
    <col min="9988" max="9988" width="5.85546875" style="70" bestFit="1" customWidth="1"/>
    <col min="9989" max="9989" width="10.140625" style="70" customWidth="1"/>
    <col min="9990" max="9990" width="5" style="70" bestFit="1" customWidth="1"/>
    <col min="9991" max="9991" width="16.5703125" style="70" customWidth="1"/>
    <col min="9992" max="9992" width="17.85546875" style="70" customWidth="1"/>
    <col min="9993" max="9993" width="25.140625" style="70" customWidth="1"/>
    <col min="9994" max="9994" width="18.140625" style="70" customWidth="1"/>
    <col min="9995" max="9995" width="14" style="70" customWidth="1"/>
    <col min="9996" max="9996" width="12.85546875" style="70" customWidth="1"/>
    <col min="9997" max="9997" width="11.85546875" style="70" customWidth="1"/>
    <col min="9998" max="10240" width="9.140625" style="70"/>
    <col min="10241" max="10241" width="4.7109375" style="70" customWidth="1"/>
    <col min="10242" max="10242" width="70.5703125" style="70" customWidth="1"/>
    <col min="10243" max="10243" width="13.140625" style="70" customWidth="1"/>
    <col min="10244" max="10244" width="5.85546875" style="70" bestFit="1" customWidth="1"/>
    <col min="10245" max="10245" width="10.140625" style="70" customWidth="1"/>
    <col min="10246" max="10246" width="5" style="70" bestFit="1" customWidth="1"/>
    <col min="10247" max="10247" width="16.5703125" style="70" customWidth="1"/>
    <col min="10248" max="10248" width="17.85546875" style="70" customWidth="1"/>
    <col min="10249" max="10249" width="25.140625" style="70" customWidth="1"/>
    <col min="10250" max="10250" width="18.140625" style="70" customWidth="1"/>
    <col min="10251" max="10251" width="14" style="70" customWidth="1"/>
    <col min="10252" max="10252" width="12.85546875" style="70" customWidth="1"/>
    <col min="10253" max="10253" width="11.85546875" style="70" customWidth="1"/>
    <col min="10254" max="10496" width="9.140625" style="70"/>
    <col min="10497" max="10497" width="4.7109375" style="70" customWidth="1"/>
    <col min="10498" max="10498" width="70.5703125" style="70" customWidth="1"/>
    <col min="10499" max="10499" width="13.140625" style="70" customWidth="1"/>
    <col min="10500" max="10500" width="5.85546875" style="70" bestFit="1" customWidth="1"/>
    <col min="10501" max="10501" width="10.140625" style="70" customWidth="1"/>
    <col min="10502" max="10502" width="5" style="70" bestFit="1" customWidth="1"/>
    <col min="10503" max="10503" width="16.5703125" style="70" customWidth="1"/>
    <col min="10504" max="10504" width="17.85546875" style="70" customWidth="1"/>
    <col min="10505" max="10505" width="25.140625" style="70" customWidth="1"/>
    <col min="10506" max="10506" width="18.140625" style="70" customWidth="1"/>
    <col min="10507" max="10507" width="14" style="70" customWidth="1"/>
    <col min="10508" max="10508" width="12.85546875" style="70" customWidth="1"/>
    <col min="10509" max="10509" width="11.85546875" style="70" customWidth="1"/>
    <col min="10510" max="10752" width="9.140625" style="70"/>
    <col min="10753" max="10753" width="4.7109375" style="70" customWidth="1"/>
    <col min="10754" max="10754" width="70.5703125" style="70" customWidth="1"/>
    <col min="10755" max="10755" width="13.140625" style="70" customWidth="1"/>
    <col min="10756" max="10756" width="5.85546875" style="70" bestFit="1" customWidth="1"/>
    <col min="10757" max="10757" width="10.140625" style="70" customWidth="1"/>
    <col min="10758" max="10758" width="5" style="70" bestFit="1" customWidth="1"/>
    <col min="10759" max="10759" width="16.5703125" style="70" customWidth="1"/>
    <col min="10760" max="10760" width="17.85546875" style="70" customWidth="1"/>
    <col min="10761" max="10761" width="25.140625" style="70" customWidth="1"/>
    <col min="10762" max="10762" width="18.140625" style="70" customWidth="1"/>
    <col min="10763" max="10763" width="14" style="70" customWidth="1"/>
    <col min="10764" max="10764" width="12.85546875" style="70" customWidth="1"/>
    <col min="10765" max="10765" width="11.85546875" style="70" customWidth="1"/>
    <col min="10766" max="11008" width="9.140625" style="70"/>
    <col min="11009" max="11009" width="4.7109375" style="70" customWidth="1"/>
    <col min="11010" max="11010" width="70.5703125" style="70" customWidth="1"/>
    <col min="11011" max="11011" width="13.140625" style="70" customWidth="1"/>
    <col min="11012" max="11012" width="5.85546875" style="70" bestFit="1" customWidth="1"/>
    <col min="11013" max="11013" width="10.140625" style="70" customWidth="1"/>
    <col min="11014" max="11014" width="5" style="70" bestFit="1" customWidth="1"/>
    <col min="11015" max="11015" width="16.5703125" style="70" customWidth="1"/>
    <col min="11016" max="11016" width="17.85546875" style="70" customWidth="1"/>
    <col min="11017" max="11017" width="25.140625" style="70" customWidth="1"/>
    <col min="11018" max="11018" width="18.140625" style="70" customWidth="1"/>
    <col min="11019" max="11019" width="14" style="70" customWidth="1"/>
    <col min="11020" max="11020" width="12.85546875" style="70" customWidth="1"/>
    <col min="11021" max="11021" width="11.85546875" style="70" customWidth="1"/>
    <col min="11022" max="11264" width="9.140625" style="70"/>
    <col min="11265" max="11265" width="4.7109375" style="70" customWidth="1"/>
    <col min="11266" max="11266" width="70.5703125" style="70" customWidth="1"/>
    <col min="11267" max="11267" width="13.140625" style="70" customWidth="1"/>
    <col min="11268" max="11268" width="5.85546875" style="70" bestFit="1" customWidth="1"/>
    <col min="11269" max="11269" width="10.140625" style="70" customWidth="1"/>
    <col min="11270" max="11270" width="5" style="70" bestFit="1" customWidth="1"/>
    <col min="11271" max="11271" width="16.5703125" style="70" customWidth="1"/>
    <col min="11272" max="11272" width="17.85546875" style="70" customWidth="1"/>
    <col min="11273" max="11273" width="25.140625" style="70" customWidth="1"/>
    <col min="11274" max="11274" width="18.140625" style="70" customWidth="1"/>
    <col min="11275" max="11275" width="14" style="70" customWidth="1"/>
    <col min="11276" max="11276" width="12.85546875" style="70" customWidth="1"/>
    <col min="11277" max="11277" width="11.85546875" style="70" customWidth="1"/>
    <col min="11278" max="11520" width="9.140625" style="70"/>
    <col min="11521" max="11521" width="4.7109375" style="70" customWidth="1"/>
    <col min="11522" max="11522" width="70.5703125" style="70" customWidth="1"/>
    <col min="11523" max="11523" width="13.140625" style="70" customWidth="1"/>
    <col min="11524" max="11524" width="5.85546875" style="70" bestFit="1" customWidth="1"/>
    <col min="11525" max="11525" width="10.140625" style="70" customWidth="1"/>
    <col min="11526" max="11526" width="5" style="70" bestFit="1" customWidth="1"/>
    <col min="11527" max="11527" width="16.5703125" style="70" customWidth="1"/>
    <col min="11528" max="11528" width="17.85546875" style="70" customWidth="1"/>
    <col min="11529" max="11529" width="25.140625" style="70" customWidth="1"/>
    <col min="11530" max="11530" width="18.140625" style="70" customWidth="1"/>
    <col min="11531" max="11531" width="14" style="70" customWidth="1"/>
    <col min="11532" max="11532" width="12.85546875" style="70" customWidth="1"/>
    <col min="11533" max="11533" width="11.85546875" style="70" customWidth="1"/>
    <col min="11534" max="11776" width="9.140625" style="70"/>
    <col min="11777" max="11777" width="4.7109375" style="70" customWidth="1"/>
    <col min="11778" max="11778" width="70.5703125" style="70" customWidth="1"/>
    <col min="11779" max="11779" width="13.140625" style="70" customWidth="1"/>
    <col min="11780" max="11780" width="5.85546875" style="70" bestFit="1" customWidth="1"/>
    <col min="11781" max="11781" width="10.140625" style="70" customWidth="1"/>
    <col min="11782" max="11782" width="5" style="70" bestFit="1" customWidth="1"/>
    <col min="11783" max="11783" width="16.5703125" style="70" customWidth="1"/>
    <col min="11784" max="11784" width="17.85546875" style="70" customWidth="1"/>
    <col min="11785" max="11785" width="25.140625" style="70" customWidth="1"/>
    <col min="11786" max="11786" width="18.140625" style="70" customWidth="1"/>
    <col min="11787" max="11787" width="14" style="70" customWidth="1"/>
    <col min="11788" max="11788" width="12.85546875" style="70" customWidth="1"/>
    <col min="11789" max="11789" width="11.85546875" style="70" customWidth="1"/>
    <col min="11790" max="12032" width="9.140625" style="70"/>
    <col min="12033" max="12033" width="4.7109375" style="70" customWidth="1"/>
    <col min="12034" max="12034" width="70.5703125" style="70" customWidth="1"/>
    <col min="12035" max="12035" width="13.140625" style="70" customWidth="1"/>
    <col min="12036" max="12036" width="5.85546875" style="70" bestFit="1" customWidth="1"/>
    <col min="12037" max="12037" width="10.140625" style="70" customWidth="1"/>
    <col min="12038" max="12038" width="5" style="70" bestFit="1" customWidth="1"/>
    <col min="12039" max="12039" width="16.5703125" style="70" customWidth="1"/>
    <col min="12040" max="12040" width="17.85546875" style="70" customWidth="1"/>
    <col min="12041" max="12041" width="25.140625" style="70" customWidth="1"/>
    <col min="12042" max="12042" width="18.140625" style="70" customWidth="1"/>
    <col min="12043" max="12043" width="14" style="70" customWidth="1"/>
    <col min="12044" max="12044" width="12.85546875" style="70" customWidth="1"/>
    <col min="12045" max="12045" width="11.85546875" style="70" customWidth="1"/>
    <col min="12046" max="12288" width="9.140625" style="70"/>
    <col min="12289" max="12289" width="4.7109375" style="70" customWidth="1"/>
    <col min="12290" max="12290" width="70.5703125" style="70" customWidth="1"/>
    <col min="12291" max="12291" width="13.140625" style="70" customWidth="1"/>
    <col min="12292" max="12292" width="5.85546875" style="70" bestFit="1" customWidth="1"/>
    <col min="12293" max="12293" width="10.140625" style="70" customWidth="1"/>
    <col min="12294" max="12294" width="5" style="70" bestFit="1" customWidth="1"/>
    <col min="12295" max="12295" width="16.5703125" style="70" customWidth="1"/>
    <col min="12296" max="12296" width="17.85546875" style="70" customWidth="1"/>
    <col min="12297" max="12297" width="25.140625" style="70" customWidth="1"/>
    <col min="12298" max="12298" width="18.140625" style="70" customWidth="1"/>
    <col min="12299" max="12299" width="14" style="70" customWidth="1"/>
    <col min="12300" max="12300" width="12.85546875" style="70" customWidth="1"/>
    <col min="12301" max="12301" width="11.85546875" style="70" customWidth="1"/>
    <col min="12302" max="12544" width="9.140625" style="70"/>
    <col min="12545" max="12545" width="4.7109375" style="70" customWidth="1"/>
    <col min="12546" max="12546" width="70.5703125" style="70" customWidth="1"/>
    <col min="12547" max="12547" width="13.140625" style="70" customWidth="1"/>
    <col min="12548" max="12548" width="5.85546875" style="70" bestFit="1" customWidth="1"/>
    <col min="12549" max="12549" width="10.140625" style="70" customWidth="1"/>
    <col min="12550" max="12550" width="5" style="70" bestFit="1" customWidth="1"/>
    <col min="12551" max="12551" width="16.5703125" style="70" customWidth="1"/>
    <col min="12552" max="12552" width="17.85546875" style="70" customWidth="1"/>
    <col min="12553" max="12553" width="25.140625" style="70" customWidth="1"/>
    <col min="12554" max="12554" width="18.140625" style="70" customWidth="1"/>
    <col min="12555" max="12555" width="14" style="70" customWidth="1"/>
    <col min="12556" max="12556" width="12.85546875" style="70" customWidth="1"/>
    <col min="12557" max="12557" width="11.85546875" style="70" customWidth="1"/>
    <col min="12558" max="12800" width="9.140625" style="70"/>
    <col min="12801" max="12801" width="4.7109375" style="70" customWidth="1"/>
    <col min="12802" max="12802" width="70.5703125" style="70" customWidth="1"/>
    <col min="12803" max="12803" width="13.140625" style="70" customWidth="1"/>
    <col min="12804" max="12804" width="5.85546875" style="70" bestFit="1" customWidth="1"/>
    <col min="12805" max="12805" width="10.140625" style="70" customWidth="1"/>
    <col min="12806" max="12806" width="5" style="70" bestFit="1" customWidth="1"/>
    <col min="12807" max="12807" width="16.5703125" style="70" customWidth="1"/>
    <col min="12808" max="12808" width="17.85546875" style="70" customWidth="1"/>
    <col min="12809" max="12809" width="25.140625" style="70" customWidth="1"/>
    <col min="12810" max="12810" width="18.140625" style="70" customWidth="1"/>
    <col min="12811" max="12811" width="14" style="70" customWidth="1"/>
    <col min="12812" max="12812" width="12.85546875" style="70" customWidth="1"/>
    <col min="12813" max="12813" width="11.85546875" style="70" customWidth="1"/>
    <col min="12814" max="13056" width="9.140625" style="70"/>
    <col min="13057" max="13057" width="4.7109375" style="70" customWidth="1"/>
    <col min="13058" max="13058" width="70.5703125" style="70" customWidth="1"/>
    <col min="13059" max="13059" width="13.140625" style="70" customWidth="1"/>
    <col min="13060" max="13060" width="5.85546875" style="70" bestFit="1" customWidth="1"/>
    <col min="13061" max="13061" width="10.140625" style="70" customWidth="1"/>
    <col min="13062" max="13062" width="5" style="70" bestFit="1" customWidth="1"/>
    <col min="13063" max="13063" width="16.5703125" style="70" customWidth="1"/>
    <col min="13064" max="13064" width="17.85546875" style="70" customWidth="1"/>
    <col min="13065" max="13065" width="25.140625" style="70" customWidth="1"/>
    <col min="13066" max="13066" width="18.140625" style="70" customWidth="1"/>
    <col min="13067" max="13067" width="14" style="70" customWidth="1"/>
    <col min="13068" max="13068" width="12.85546875" style="70" customWidth="1"/>
    <col min="13069" max="13069" width="11.85546875" style="70" customWidth="1"/>
    <col min="13070" max="13312" width="9.140625" style="70"/>
    <col min="13313" max="13313" width="4.7109375" style="70" customWidth="1"/>
    <col min="13314" max="13314" width="70.5703125" style="70" customWidth="1"/>
    <col min="13315" max="13315" width="13.140625" style="70" customWidth="1"/>
    <col min="13316" max="13316" width="5.85546875" style="70" bestFit="1" customWidth="1"/>
    <col min="13317" max="13317" width="10.140625" style="70" customWidth="1"/>
    <col min="13318" max="13318" width="5" style="70" bestFit="1" customWidth="1"/>
    <col min="13319" max="13319" width="16.5703125" style="70" customWidth="1"/>
    <col min="13320" max="13320" width="17.85546875" style="70" customWidth="1"/>
    <col min="13321" max="13321" width="25.140625" style="70" customWidth="1"/>
    <col min="13322" max="13322" width="18.140625" style="70" customWidth="1"/>
    <col min="13323" max="13323" width="14" style="70" customWidth="1"/>
    <col min="13324" max="13324" width="12.85546875" style="70" customWidth="1"/>
    <col min="13325" max="13325" width="11.85546875" style="70" customWidth="1"/>
    <col min="13326" max="13568" width="9.140625" style="70"/>
    <col min="13569" max="13569" width="4.7109375" style="70" customWidth="1"/>
    <col min="13570" max="13570" width="70.5703125" style="70" customWidth="1"/>
    <col min="13571" max="13571" width="13.140625" style="70" customWidth="1"/>
    <col min="13572" max="13572" width="5.85546875" style="70" bestFit="1" customWidth="1"/>
    <col min="13573" max="13573" width="10.140625" style="70" customWidth="1"/>
    <col min="13574" max="13574" width="5" style="70" bestFit="1" customWidth="1"/>
    <col min="13575" max="13575" width="16.5703125" style="70" customWidth="1"/>
    <col min="13576" max="13576" width="17.85546875" style="70" customWidth="1"/>
    <col min="13577" max="13577" width="25.140625" style="70" customWidth="1"/>
    <col min="13578" max="13578" width="18.140625" style="70" customWidth="1"/>
    <col min="13579" max="13579" width="14" style="70" customWidth="1"/>
    <col min="13580" max="13580" width="12.85546875" style="70" customWidth="1"/>
    <col min="13581" max="13581" width="11.85546875" style="70" customWidth="1"/>
    <col min="13582" max="13824" width="9.140625" style="70"/>
    <col min="13825" max="13825" width="4.7109375" style="70" customWidth="1"/>
    <col min="13826" max="13826" width="70.5703125" style="70" customWidth="1"/>
    <col min="13827" max="13827" width="13.140625" style="70" customWidth="1"/>
    <col min="13828" max="13828" width="5.85546875" style="70" bestFit="1" customWidth="1"/>
    <col min="13829" max="13829" width="10.140625" style="70" customWidth="1"/>
    <col min="13830" max="13830" width="5" style="70" bestFit="1" customWidth="1"/>
    <col min="13831" max="13831" width="16.5703125" style="70" customWidth="1"/>
    <col min="13832" max="13832" width="17.85546875" style="70" customWidth="1"/>
    <col min="13833" max="13833" width="25.140625" style="70" customWidth="1"/>
    <col min="13834" max="13834" width="18.140625" style="70" customWidth="1"/>
    <col min="13835" max="13835" width="14" style="70" customWidth="1"/>
    <col min="13836" max="13836" width="12.85546875" style="70" customWidth="1"/>
    <col min="13837" max="13837" width="11.85546875" style="70" customWidth="1"/>
    <col min="13838" max="14080" width="9.140625" style="70"/>
    <col min="14081" max="14081" width="4.7109375" style="70" customWidth="1"/>
    <col min="14082" max="14082" width="70.5703125" style="70" customWidth="1"/>
    <col min="14083" max="14083" width="13.140625" style="70" customWidth="1"/>
    <col min="14084" max="14084" width="5.85546875" style="70" bestFit="1" customWidth="1"/>
    <col min="14085" max="14085" width="10.140625" style="70" customWidth="1"/>
    <col min="14086" max="14086" width="5" style="70" bestFit="1" customWidth="1"/>
    <col min="14087" max="14087" width="16.5703125" style="70" customWidth="1"/>
    <col min="14088" max="14088" width="17.85546875" style="70" customWidth="1"/>
    <col min="14089" max="14089" width="25.140625" style="70" customWidth="1"/>
    <col min="14090" max="14090" width="18.140625" style="70" customWidth="1"/>
    <col min="14091" max="14091" width="14" style="70" customWidth="1"/>
    <col min="14092" max="14092" width="12.85546875" style="70" customWidth="1"/>
    <col min="14093" max="14093" width="11.85546875" style="70" customWidth="1"/>
    <col min="14094" max="14336" width="9.140625" style="70"/>
    <col min="14337" max="14337" width="4.7109375" style="70" customWidth="1"/>
    <col min="14338" max="14338" width="70.5703125" style="70" customWidth="1"/>
    <col min="14339" max="14339" width="13.140625" style="70" customWidth="1"/>
    <col min="14340" max="14340" width="5.85546875" style="70" bestFit="1" customWidth="1"/>
    <col min="14341" max="14341" width="10.140625" style="70" customWidth="1"/>
    <col min="14342" max="14342" width="5" style="70" bestFit="1" customWidth="1"/>
    <col min="14343" max="14343" width="16.5703125" style="70" customWidth="1"/>
    <col min="14344" max="14344" width="17.85546875" style="70" customWidth="1"/>
    <col min="14345" max="14345" width="25.140625" style="70" customWidth="1"/>
    <col min="14346" max="14346" width="18.140625" style="70" customWidth="1"/>
    <col min="14347" max="14347" width="14" style="70" customWidth="1"/>
    <col min="14348" max="14348" width="12.85546875" style="70" customWidth="1"/>
    <col min="14349" max="14349" width="11.85546875" style="70" customWidth="1"/>
    <col min="14350" max="14592" width="9.140625" style="70"/>
    <col min="14593" max="14593" width="4.7109375" style="70" customWidth="1"/>
    <col min="14594" max="14594" width="70.5703125" style="70" customWidth="1"/>
    <col min="14595" max="14595" width="13.140625" style="70" customWidth="1"/>
    <col min="14596" max="14596" width="5.85546875" style="70" bestFit="1" customWidth="1"/>
    <col min="14597" max="14597" width="10.140625" style="70" customWidth="1"/>
    <col min="14598" max="14598" width="5" style="70" bestFit="1" customWidth="1"/>
    <col min="14599" max="14599" width="16.5703125" style="70" customWidth="1"/>
    <col min="14600" max="14600" width="17.85546875" style="70" customWidth="1"/>
    <col min="14601" max="14601" width="25.140625" style="70" customWidth="1"/>
    <col min="14602" max="14602" width="18.140625" style="70" customWidth="1"/>
    <col min="14603" max="14603" width="14" style="70" customWidth="1"/>
    <col min="14604" max="14604" width="12.85546875" style="70" customWidth="1"/>
    <col min="14605" max="14605" width="11.85546875" style="70" customWidth="1"/>
    <col min="14606" max="14848" width="9.140625" style="70"/>
    <col min="14849" max="14849" width="4.7109375" style="70" customWidth="1"/>
    <col min="14850" max="14850" width="70.5703125" style="70" customWidth="1"/>
    <col min="14851" max="14851" width="13.140625" style="70" customWidth="1"/>
    <col min="14852" max="14852" width="5.85546875" style="70" bestFit="1" customWidth="1"/>
    <col min="14853" max="14853" width="10.140625" style="70" customWidth="1"/>
    <col min="14854" max="14854" width="5" style="70" bestFit="1" customWidth="1"/>
    <col min="14855" max="14855" width="16.5703125" style="70" customWidth="1"/>
    <col min="14856" max="14856" width="17.85546875" style="70" customWidth="1"/>
    <col min="14857" max="14857" width="25.140625" style="70" customWidth="1"/>
    <col min="14858" max="14858" width="18.140625" style="70" customWidth="1"/>
    <col min="14859" max="14859" width="14" style="70" customWidth="1"/>
    <col min="14860" max="14860" width="12.85546875" style="70" customWidth="1"/>
    <col min="14861" max="14861" width="11.85546875" style="70" customWidth="1"/>
    <col min="14862" max="15104" width="9.140625" style="70"/>
    <col min="15105" max="15105" width="4.7109375" style="70" customWidth="1"/>
    <col min="15106" max="15106" width="70.5703125" style="70" customWidth="1"/>
    <col min="15107" max="15107" width="13.140625" style="70" customWidth="1"/>
    <col min="15108" max="15108" width="5.85546875" style="70" bestFit="1" customWidth="1"/>
    <col min="15109" max="15109" width="10.140625" style="70" customWidth="1"/>
    <col min="15110" max="15110" width="5" style="70" bestFit="1" customWidth="1"/>
    <col min="15111" max="15111" width="16.5703125" style="70" customWidth="1"/>
    <col min="15112" max="15112" width="17.85546875" style="70" customWidth="1"/>
    <col min="15113" max="15113" width="25.140625" style="70" customWidth="1"/>
    <col min="15114" max="15114" width="18.140625" style="70" customWidth="1"/>
    <col min="15115" max="15115" width="14" style="70" customWidth="1"/>
    <col min="15116" max="15116" width="12.85546875" style="70" customWidth="1"/>
    <col min="15117" max="15117" width="11.85546875" style="70" customWidth="1"/>
    <col min="15118" max="15360" width="9.140625" style="70"/>
    <col min="15361" max="15361" width="4.7109375" style="70" customWidth="1"/>
    <col min="15362" max="15362" width="70.5703125" style="70" customWidth="1"/>
    <col min="15363" max="15363" width="13.140625" style="70" customWidth="1"/>
    <col min="15364" max="15364" width="5.85546875" style="70" bestFit="1" customWidth="1"/>
    <col min="15365" max="15365" width="10.140625" style="70" customWidth="1"/>
    <col min="15366" max="15366" width="5" style="70" bestFit="1" customWidth="1"/>
    <col min="15367" max="15367" width="16.5703125" style="70" customWidth="1"/>
    <col min="15368" max="15368" width="17.85546875" style="70" customWidth="1"/>
    <col min="15369" max="15369" width="25.140625" style="70" customWidth="1"/>
    <col min="15370" max="15370" width="18.140625" style="70" customWidth="1"/>
    <col min="15371" max="15371" width="14" style="70" customWidth="1"/>
    <col min="15372" max="15372" width="12.85546875" style="70" customWidth="1"/>
    <col min="15373" max="15373" width="11.85546875" style="70" customWidth="1"/>
    <col min="15374" max="15616" width="9.140625" style="70"/>
    <col min="15617" max="15617" width="4.7109375" style="70" customWidth="1"/>
    <col min="15618" max="15618" width="70.5703125" style="70" customWidth="1"/>
    <col min="15619" max="15619" width="13.140625" style="70" customWidth="1"/>
    <col min="15620" max="15620" width="5.85546875" style="70" bestFit="1" customWidth="1"/>
    <col min="15621" max="15621" width="10.140625" style="70" customWidth="1"/>
    <col min="15622" max="15622" width="5" style="70" bestFit="1" customWidth="1"/>
    <col min="15623" max="15623" width="16.5703125" style="70" customWidth="1"/>
    <col min="15624" max="15624" width="17.85546875" style="70" customWidth="1"/>
    <col min="15625" max="15625" width="25.140625" style="70" customWidth="1"/>
    <col min="15626" max="15626" width="18.140625" style="70" customWidth="1"/>
    <col min="15627" max="15627" width="14" style="70" customWidth="1"/>
    <col min="15628" max="15628" width="12.85546875" style="70" customWidth="1"/>
    <col min="15629" max="15629" width="11.85546875" style="70" customWidth="1"/>
    <col min="15630" max="15872" width="9.140625" style="70"/>
    <col min="15873" max="15873" width="4.7109375" style="70" customWidth="1"/>
    <col min="15874" max="15874" width="70.5703125" style="70" customWidth="1"/>
    <col min="15875" max="15875" width="13.140625" style="70" customWidth="1"/>
    <col min="15876" max="15876" width="5.85546875" style="70" bestFit="1" customWidth="1"/>
    <col min="15877" max="15877" width="10.140625" style="70" customWidth="1"/>
    <col min="15878" max="15878" width="5" style="70" bestFit="1" customWidth="1"/>
    <col min="15879" max="15879" width="16.5703125" style="70" customWidth="1"/>
    <col min="15880" max="15880" width="17.85546875" style="70" customWidth="1"/>
    <col min="15881" max="15881" width="25.140625" style="70" customWidth="1"/>
    <col min="15882" max="15882" width="18.140625" style="70" customWidth="1"/>
    <col min="15883" max="15883" width="14" style="70" customWidth="1"/>
    <col min="15884" max="15884" width="12.85546875" style="70" customWidth="1"/>
    <col min="15885" max="15885" width="11.85546875" style="70" customWidth="1"/>
    <col min="15886" max="16128" width="9.140625" style="70"/>
    <col min="16129" max="16129" width="4.7109375" style="70" customWidth="1"/>
    <col min="16130" max="16130" width="70.5703125" style="70" customWidth="1"/>
    <col min="16131" max="16131" width="13.140625" style="70" customWidth="1"/>
    <col min="16132" max="16132" width="5.85546875" style="70" bestFit="1" customWidth="1"/>
    <col min="16133" max="16133" width="10.140625" style="70" customWidth="1"/>
    <col min="16134" max="16134" width="5" style="70" bestFit="1" customWidth="1"/>
    <col min="16135" max="16135" width="16.5703125" style="70" customWidth="1"/>
    <col min="16136" max="16136" width="17.85546875" style="70" customWidth="1"/>
    <col min="16137" max="16137" width="25.140625" style="70" customWidth="1"/>
    <col min="16138" max="16138" width="18.140625" style="70" customWidth="1"/>
    <col min="16139" max="16139" width="14" style="70" customWidth="1"/>
    <col min="16140" max="16140" width="12.85546875" style="70" customWidth="1"/>
    <col min="16141" max="16141" width="11.85546875" style="70" customWidth="1"/>
    <col min="16142" max="16384" width="9.140625" style="70"/>
  </cols>
  <sheetData>
    <row r="1" spans="1:26" ht="18">
      <c r="A1" s="71"/>
      <c r="B1" s="3115" t="s">
        <v>2672</v>
      </c>
      <c r="C1" s="3115"/>
      <c r="D1" s="71"/>
      <c r="E1" s="71"/>
      <c r="F1" s="71"/>
      <c r="G1" s="71"/>
      <c r="H1" s="71"/>
      <c r="I1" s="71"/>
    </row>
    <row r="2" spans="1:26" ht="8.25" customHeight="1">
      <c r="G2" s="2021"/>
      <c r="H2" s="2021"/>
      <c r="I2" s="2021"/>
    </row>
    <row r="3" spans="1:26" ht="51.75" customHeight="1">
      <c r="B3" s="3095" t="s">
        <v>2673</v>
      </c>
      <c r="C3" s="3095"/>
      <c r="D3" s="3095"/>
      <c r="E3" s="3095"/>
      <c r="F3" s="3095"/>
      <c r="G3" s="3095"/>
      <c r="H3" s="2021"/>
      <c r="I3" s="373"/>
      <c r="J3" s="373"/>
      <c r="K3" s="373"/>
      <c r="L3" s="373"/>
      <c r="M3" s="2048"/>
      <c r="N3" s="2048"/>
      <c r="S3" s="2048"/>
      <c r="T3" s="2048"/>
      <c r="U3" s="2048"/>
      <c r="V3" s="2048"/>
      <c r="W3" s="2048"/>
      <c r="X3" s="2048"/>
      <c r="Y3" s="2048"/>
      <c r="Z3" s="2048"/>
    </row>
    <row r="4" spans="1:26" ht="9.75" customHeight="1">
      <c r="A4" s="572"/>
      <c r="B4" s="572"/>
      <c r="C4" s="572"/>
      <c r="D4" s="572"/>
      <c r="E4" s="572"/>
      <c r="F4" s="572"/>
      <c r="G4" s="572"/>
      <c r="H4" s="572"/>
      <c r="I4" s="580"/>
      <c r="J4" s="580"/>
      <c r="K4" s="580"/>
      <c r="L4" s="580"/>
    </row>
    <row r="5" spans="1:26" ht="15.75">
      <c r="A5" s="605"/>
      <c r="B5" s="605"/>
      <c r="C5" s="605"/>
      <c r="D5" s="605"/>
      <c r="E5" s="605"/>
      <c r="F5" s="605"/>
      <c r="G5" s="1923" t="s">
        <v>89</v>
      </c>
      <c r="H5" s="1985"/>
      <c r="I5" s="2124"/>
    </row>
    <row r="6" spans="1:26" ht="9" customHeight="1">
      <c r="A6" s="605"/>
      <c r="B6" s="605"/>
      <c r="C6" s="605"/>
      <c r="D6" s="605"/>
      <c r="E6" s="605"/>
      <c r="F6" s="605"/>
      <c r="G6" s="573"/>
      <c r="H6" s="573"/>
      <c r="I6" s="573"/>
    </row>
    <row r="7" spans="1:26" ht="92.25" customHeight="1">
      <c r="A7" s="888" t="s">
        <v>2</v>
      </c>
      <c r="B7" s="1643" t="s">
        <v>3</v>
      </c>
      <c r="C7" s="2125" t="s">
        <v>1421</v>
      </c>
      <c r="D7" s="1643" t="s">
        <v>5</v>
      </c>
      <c r="E7" s="1643" t="s">
        <v>9</v>
      </c>
      <c r="F7" s="1643" t="s">
        <v>143</v>
      </c>
      <c r="G7" s="1899" t="s">
        <v>2674</v>
      </c>
      <c r="H7" s="1899" t="s">
        <v>2675</v>
      </c>
      <c r="I7" s="580"/>
    </row>
    <row r="8" spans="1:26" ht="15.75">
      <c r="A8" s="1613">
        <v>1</v>
      </c>
      <c r="B8" s="1613">
        <v>2</v>
      </c>
      <c r="C8" s="1613">
        <v>3</v>
      </c>
      <c r="D8" s="1613">
        <v>4</v>
      </c>
      <c r="E8" s="1613">
        <v>5</v>
      </c>
      <c r="F8" s="1613">
        <v>6</v>
      </c>
      <c r="G8" s="1613">
        <v>7</v>
      </c>
      <c r="H8" s="1613">
        <v>8</v>
      </c>
      <c r="I8" s="573"/>
    </row>
    <row r="9" spans="1:26" ht="15.75">
      <c r="A9" s="2163">
        <v>1</v>
      </c>
      <c r="B9" s="2165" t="s">
        <v>2518</v>
      </c>
      <c r="C9" s="1627">
        <v>7132461004</v>
      </c>
      <c r="D9" s="1291" t="s">
        <v>21</v>
      </c>
      <c r="E9" s="1132">
        <f>VLOOKUP(C9,'[25]SOR RATE'!A:D,4,0)</f>
        <v>1449.18</v>
      </c>
      <c r="F9" s="2163">
        <v>120</v>
      </c>
      <c r="G9" s="2170">
        <f t="shared" ref="G9:G25" si="0">F9*E9</f>
        <v>173901.6</v>
      </c>
      <c r="H9" s="1202">
        <f t="shared" ref="H9:H18" si="1">E9*F9</f>
        <v>173901.6</v>
      </c>
      <c r="I9" s="573"/>
    </row>
    <row r="10" spans="1:26" ht="15.75" customHeight="1">
      <c r="A10" s="2163">
        <v>2</v>
      </c>
      <c r="B10" s="2165" t="s">
        <v>2519</v>
      </c>
      <c r="C10" s="1627">
        <v>7132461005</v>
      </c>
      <c r="D10" s="2163" t="s">
        <v>12</v>
      </c>
      <c r="E10" s="1132">
        <f>VLOOKUP(C10,'[25]SOR RATE'!A:D,4,0)</f>
        <v>535.1</v>
      </c>
      <c r="F10" s="2163">
        <v>18</v>
      </c>
      <c r="G10" s="2170">
        <f t="shared" si="0"/>
        <v>9631.8000000000011</v>
      </c>
      <c r="H10" s="1202">
        <f t="shared" si="1"/>
        <v>9631.8000000000011</v>
      </c>
      <c r="I10" s="132"/>
    </row>
    <row r="11" spans="1:26" ht="15.75" customHeight="1">
      <c r="A11" s="2163">
        <v>3</v>
      </c>
      <c r="B11" s="2316" t="s">
        <v>2676</v>
      </c>
      <c r="C11" s="2166">
        <v>7130310079</v>
      </c>
      <c r="D11" s="1291" t="s">
        <v>21</v>
      </c>
      <c r="E11" s="1132">
        <f>VLOOKUP(C11,'[25]SOR RATE'!A:D,4,0)/1000</f>
        <v>1248.8896000000002</v>
      </c>
      <c r="F11" s="2163">
        <v>180</v>
      </c>
      <c r="G11" s="1202">
        <f t="shared" si="0"/>
        <v>224800.12800000003</v>
      </c>
      <c r="H11" s="1202">
        <f t="shared" si="1"/>
        <v>224800.12800000003</v>
      </c>
      <c r="I11" s="132"/>
    </row>
    <row r="12" spans="1:26" ht="17.25" customHeight="1">
      <c r="A12" s="1291">
        <v>4</v>
      </c>
      <c r="B12" s="1615" t="s">
        <v>2677</v>
      </c>
      <c r="C12" s="2164">
        <v>7130352041</v>
      </c>
      <c r="D12" s="1291" t="s">
        <v>40</v>
      </c>
      <c r="E12" s="1132">
        <f>VLOOKUP(C12,'[25]SOR RATE'!A:D,4,0)</f>
        <v>25556.400000000001</v>
      </c>
      <c r="F12" s="1291">
        <v>4</v>
      </c>
      <c r="G12" s="1202">
        <f t="shared" si="0"/>
        <v>102225.60000000001</v>
      </c>
      <c r="H12" s="1202">
        <f t="shared" si="1"/>
        <v>102225.60000000001</v>
      </c>
      <c r="I12" s="573"/>
    </row>
    <row r="13" spans="1:26" ht="18" customHeight="1">
      <c r="A13" s="2378">
        <v>5</v>
      </c>
      <c r="B13" s="1615" t="s">
        <v>2521</v>
      </c>
      <c r="C13" s="2041">
        <v>7130640027</v>
      </c>
      <c r="D13" s="1291" t="s">
        <v>536</v>
      </c>
      <c r="E13" s="1132">
        <f>VLOOKUP(C13,'[25]SOR RATE'!A:D,4,0)</f>
        <v>1269.1500000000001</v>
      </c>
      <c r="F13" s="1291">
        <v>24</v>
      </c>
      <c r="G13" s="1202">
        <f t="shared" si="0"/>
        <v>30459.600000000002</v>
      </c>
      <c r="H13" s="1202">
        <f t="shared" si="1"/>
        <v>30459.600000000002</v>
      </c>
      <c r="I13" s="624"/>
      <c r="J13" s="806"/>
    </row>
    <row r="14" spans="1:26" ht="46.5" customHeight="1">
      <c r="A14" s="2378">
        <v>6</v>
      </c>
      <c r="B14" s="2165" t="s">
        <v>2522</v>
      </c>
      <c r="C14" s="2164"/>
      <c r="D14" s="1291" t="s">
        <v>68</v>
      </c>
      <c r="E14" s="1202">
        <v>1500</v>
      </c>
      <c r="F14" s="1291">
        <v>4</v>
      </c>
      <c r="G14" s="1202">
        <f t="shared" si="0"/>
        <v>6000</v>
      </c>
      <c r="H14" s="1202">
        <f t="shared" si="1"/>
        <v>6000</v>
      </c>
      <c r="I14" s="2055"/>
    </row>
    <row r="15" spans="1:26" ht="16.5" customHeight="1">
      <c r="A15" s="2378">
        <v>7</v>
      </c>
      <c r="B15" s="2165" t="s">
        <v>2523</v>
      </c>
      <c r="C15" s="1291">
        <v>7130600173</v>
      </c>
      <c r="D15" s="1291" t="s">
        <v>1705</v>
      </c>
      <c r="E15" s="1132">
        <f>VLOOKUP(C15,'[25]SOR RATE'!A:D,4,0)/1000</f>
        <v>57.763910000000003</v>
      </c>
      <c r="F15" s="1291">
        <v>100</v>
      </c>
      <c r="G15" s="1202">
        <f t="shared" si="0"/>
        <v>5776.3910000000005</v>
      </c>
      <c r="H15" s="1202">
        <f t="shared" si="1"/>
        <v>5776.3910000000005</v>
      </c>
      <c r="I15" s="573"/>
    </row>
    <row r="16" spans="1:26" ht="44.25" customHeight="1">
      <c r="A16" s="2378">
        <v>8</v>
      </c>
      <c r="B16" s="2165" t="s">
        <v>2524</v>
      </c>
      <c r="C16" s="2166"/>
      <c r="D16" s="1291" t="s">
        <v>68</v>
      </c>
      <c r="E16" s="1202">
        <v>556</v>
      </c>
      <c r="F16" s="1291">
        <v>4</v>
      </c>
      <c r="G16" s="1202">
        <f t="shared" si="0"/>
        <v>2224</v>
      </c>
      <c r="H16" s="1202">
        <f t="shared" si="1"/>
        <v>2224</v>
      </c>
      <c r="I16" s="2055"/>
    </row>
    <row r="17" spans="1:10" ht="15.75" customHeight="1">
      <c r="A17" s="2378">
        <v>9</v>
      </c>
      <c r="B17" s="1290" t="s">
        <v>2525</v>
      </c>
      <c r="C17" s="1291">
        <v>7130201343</v>
      </c>
      <c r="D17" s="1291" t="s">
        <v>33</v>
      </c>
      <c r="E17" s="1132">
        <f>VLOOKUP(C17,'[25]SOR RATE'!A:D,4,0)</f>
        <v>33</v>
      </c>
      <c r="F17" s="1291">
        <v>80</v>
      </c>
      <c r="G17" s="1202">
        <f t="shared" si="0"/>
        <v>2640</v>
      </c>
      <c r="H17" s="1202">
        <f t="shared" si="1"/>
        <v>2640</v>
      </c>
      <c r="I17" s="808"/>
      <c r="J17" s="598"/>
    </row>
    <row r="18" spans="1:10" ht="15.75" customHeight="1">
      <c r="A18" s="2378">
        <v>10</v>
      </c>
      <c r="B18" s="1290" t="s">
        <v>2526</v>
      </c>
      <c r="C18" s="1291">
        <v>7132498006</v>
      </c>
      <c r="D18" s="1291" t="s">
        <v>76</v>
      </c>
      <c r="E18" s="1132">
        <f>VLOOKUP(C18,'[25]SOR RATE'!A:D,4,0)</f>
        <v>714</v>
      </c>
      <c r="F18" s="1291">
        <v>1.2</v>
      </c>
      <c r="G18" s="1202">
        <f t="shared" si="0"/>
        <v>856.8</v>
      </c>
      <c r="H18" s="1202">
        <f t="shared" si="1"/>
        <v>856.8</v>
      </c>
      <c r="I18" s="808"/>
    </row>
    <row r="19" spans="1:10" ht="15.75" customHeight="1">
      <c r="A19" s="2378">
        <v>11</v>
      </c>
      <c r="B19" s="2168" t="s">
        <v>1677</v>
      </c>
      <c r="C19" s="2167">
        <v>7130840029</v>
      </c>
      <c r="D19" s="1914" t="s">
        <v>33</v>
      </c>
      <c r="E19" s="1132">
        <f>VLOOKUP(C19,'[25]SOR RATE'!A:D,4,0)</f>
        <v>368.52</v>
      </c>
      <c r="F19" s="1291">
        <v>6</v>
      </c>
      <c r="G19" s="1202">
        <f t="shared" si="0"/>
        <v>2211.12</v>
      </c>
      <c r="H19" s="1202">
        <f>E19*F19</f>
        <v>2211.12</v>
      </c>
      <c r="I19" s="808"/>
    </row>
    <row r="20" spans="1:10" ht="15.75" customHeight="1">
      <c r="A20" s="2378">
        <v>12</v>
      </c>
      <c r="B20" s="2168" t="s">
        <v>2527</v>
      </c>
      <c r="C20" s="2167">
        <v>7130830060</v>
      </c>
      <c r="D20" s="1914" t="s">
        <v>21</v>
      </c>
      <c r="E20" s="1132">
        <f>VLOOKUP(C20,'[25]SOR RATE'!A:D,4,0)/1000</f>
        <v>70.920659999999998</v>
      </c>
      <c r="F20" s="1291">
        <v>18</v>
      </c>
      <c r="G20" s="1202">
        <f t="shared" si="0"/>
        <v>1276.57188</v>
      </c>
      <c r="H20" s="1202">
        <f>E20*F20</f>
        <v>1276.57188</v>
      </c>
      <c r="I20" s="808"/>
    </row>
    <row r="21" spans="1:10" ht="15.75" customHeight="1">
      <c r="A21" s="2378">
        <v>13</v>
      </c>
      <c r="B21" s="1615" t="s">
        <v>2531</v>
      </c>
      <c r="C21" s="1291">
        <v>7130830603</v>
      </c>
      <c r="D21" s="1914" t="s">
        <v>68</v>
      </c>
      <c r="E21" s="1132">
        <f>VLOOKUP(C21,'[25]SOR RATE'!A:D,4,0)</f>
        <v>386.39</v>
      </c>
      <c r="F21" s="1291">
        <v>4</v>
      </c>
      <c r="G21" s="1202">
        <f>F21*E21</f>
        <v>1545.56</v>
      </c>
      <c r="H21" s="1202">
        <f>F21*E21</f>
        <v>1545.56</v>
      </c>
      <c r="I21" s="1939" t="s">
        <v>119</v>
      </c>
    </row>
    <row r="22" spans="1:10" ht="15.75" customHeight="1">
      <c r="A22" s="2378">
        <v>14</v>
      </c>
      <c r="B22" s="1615" t="s">
        <v>2532</v>
      </c>
      <c r="C22" s="1291">
        <v>7132498054</v>
      </c>
      <c r="D22" s="1914" t="s">
        <v>68</v>
      </c>
      <c r="E22" s="1132">
        <f>VLOOKUP(C22,'[25]SOR RATE'!A:D,4,0)</f>
        <v>6</v>
      </c>
      <c r="F22" s="1291">
        <v>128</v>
      </c>
      <c r="G22" s="1202">
        <f>F22*E22</f>
        <v>768</v>
      </c>
      <c r="H22" s="1202">
        <f>F22*E22</f>
        <v>768</v>
      </c>
      <c r="I22" s="1939" t="s">
        <v>119</v>
      </c>
    </row>
    <row r="23" spans="1:10" ht="15.75" customHeight="1">
      <c r="A23" s="2378">
        <v>15</v>
      </c>
      <c r="B23" s="1615" t="s">
        <v>259</v>
      </c>
      <c r="C23" s="1291">
        <v>7130200401</v>
      </c>
      <c r="D23" s="1291" t="s">
        <v>258</v>
      </c>
      <c r="E23" s="1132">
        <f>VLOOKUP(C23,'[25]SOR RATE'!A:D,4,0)</f>
        <v>320</v>
      </c>
      <c r="F23" s="1291">
        <v>2</v>
      </c>
      <c r="G23" s="1202">
        <f>F23*E23</f>
        <v>640</v>
      </c>
      <c r="H23" s="1202">
        <f>F23*E23</f>
        <v>640</v>
      </c>
      <c r="I23" s="1939" t="s">
        <v>119</v>
      </c>
    </row>
    <row r="24" spans="1:10" ht="15.75" customHeight="1">
      <c r="A24" s="2378">
        <v>16</v>
      </c>
      <c r="B24" s="1290" t="s">
        <v>2528</v>
      </c>
      <c r="C24" s="1616">
        <v>7130830585</v>
      </c>
      <c r="D24" s="1914" t="s">
        <v>68</v>
      </c>
      <c r="E24" s="1132">
        <f>VLOOKUP(C24,'[25]SOR RATE'!A:D,4,0)</f>
        <v>346.08</v>
      </c>
      <c r="F24" s="1291">
        <v>6</v>
      </c>
      <c r="G24" s="1202">
        <f t="shared" si="0"/>
        <v>2076.48</v>
      </c>
      <c r="H24" s="1202">
        <f>E24*F24</f>
        <v>2076.48</v>
      </c>
      <c r="I24" s="808"/>
    </row>
    <row r="25" spans="1:10" ht="34.5" customHeight="1">
      <c r="A25" s="2378">
        <v>17</v>
      </c>
      <c r="B25" s="1615" t="s">
        <v>2529</v>
      </c>
      <c r="C25" s="1625">
        <v>7130642039</v>
      </c>
      <c r="D25" s="1291" t="s">
        <v>12</v>
      </c>
      <c r="E25" s="1132">
        <f>VLOOKUP(C25,'[25]SOR RATE'!A:D,4,0)</f>
        <v>998.57</v>
      </c>
      <c r="F25" s="1291">
        <v>10</v>
      </c>
      <c r="G25" s="1202">
        <f t="shared" si="0"/>
        <v>9985.7000000000007</v>
      </c>
      <c r="H25" s="1202">
        <f>E25*F25</f>
        <v>9985.7000000000007</v>
      </c>
      <c r="I25" s="573"/>
    </row>
    <row r="26" spans="1:10" ht="45.75" customHeight="1">
      <c r="A26" s="2378">
        <v>18</v>
      </c>
      <c r="B26" s="2165" t="s">
        <v>2678</v>
      </c>
      <c r="C26" s="2379"/>
      <c r="D26" s="2163" t="s">
        <v>114</v>
      </c>
      <c r="E26" s="2163" t="s">
        <v>114</v>
      </c>
      <c r="F26" s="2163" t="s">
        <v>114</v>
      </c>
      <c r="G26" s="2170">
        <v>25000</v>
      </c>
      <c r="H26" s="2170"/>
      <c r="I26" s="573"/>
    </row>
    <row r="27" spans="1:10" ht="19.5" customHeight="1">
      <c r="A27" s="1915">
        <v>19</v>
      </c>
      <c r="B27" s="1639" t="s">
        <v>48</v>
      </c>
      <c r="C27" s="2171"/>
      <c r="D27" s="2172"/>
      <c r="E27" s="1915"/>
      <c r="F27" s="1915"/>
      <c r="G27" s="1916">
        <f>SUM(G9:G26)</f>
        <v>602019.35087999993</v>
      </c>
      <c r="H27" s="1916">
        <f>SUM(H9:H26)</f>
        <v>577019.35087999993</v>
      </c>
      <c r="I27" s="85"/>
      <c r="J27" s="102"/>
    </row>
    <row r="28" spans="1:10" ht="19.5" customHeight="1">
      <c r="A28" s="1915">
        <v>20</v>
      </c>
      <c r="B28" s="1639" t="s">
        <v>49</v>
      </c>
      <c r="C28" s="2171"/>
      <c r="D28" s="2172"/>
      <c r="E28" s="1915"/>
      <c r="F28" s="1915"/>
      <c r="G28" s="1916">
        <f>G27/1.18</f>
        <v>510185.89057627117</v>
      </c>
      <c r="H28" s="1916">
        <f>H27/1.18</f>
        <v>488999.44989830506</v>
      </c>
      <c r="I28" s="85"/>
      <c r="J28" s="102"/>
    </row>
    <row r="29" spans="1:10" ht="20.25" customHeight="1">
      <c r="A29" s="1291">
        <v>21</v>
      </c>
      <c r="B29" s="1619" t="s">
        <v>50</v>
      </c>
      <c r="C29" s="2176"/>
      <c r="D29" s="2176"/>
      <c r="E29" s="1914">
        <v>7.4999999999999997E-2</v>
      </c>
      <c r="F29" s="1914"/>
      <c r="G29" s="1132">
        <f>G27*E29</f>
        <v>45151.451315999991</v>
      </c>
      <c r="H29" s="1132">
        <f>H27*E29</f>
        <v>43276.451315999991</v>
      </c>
      <c r="I29" s="803"/>
    </row>
    <row r="30" spans="1:10" ht="18" customHeight="1">
      <c r="A30" s="1291">
        <v>22</v>
      </c>
      <c r="B30" s="1615" t="s">
        <v>2534</v>
      </c>
      <c r="C30" s="2380"/>
      <c r="D30" s="1291" t="s">
        <v>12</v>
      </c>
      <c r="E30" s="2180">
        <f>3020.13589298559*1.043</f>
        <v>3150.0017363839702</v>
      </c>
      <c r="F30" s="1914">
        <v>10</v>
      </c>
      <c r="G30" s="1132">
        <f>E30*F30</f>
        <v>31500.017363839703</v>
      </c>
      <c r="H30" s="1132">
        <f>E30*F30</f>
        <v>31500.017363839703</v>
      </c>
      <c r="I30" s="82"/>
    </row>
    <row r="31" spans="1:10" ht="33.75" customHeight="1">
      <c r="A31" s="1291">
        <v>23</v>
      </c>
      <c r="B31" s="1615" t="s">
        <v>2679</v>
      </c>
      <c r="C31" s="2181"/>
      <c r="D31" s="2181"/>
      <c r="E31" s="1291"/>
      <c r="F31" s="1291"/>
      <c r="G31" s="1771">
        <v>238847.78</v>
      </c>
      <c r="H31" s="1132">
        <v>238847.78</v>
      </c>
      <c r="I31" s="1997"/>
    </row>
    <row r="32" spans="1:10" ht="30.75" customHeight="1">
      <c r="A32" s="1914">
        <v>24</v>
      </c>
      <c r="B32" s="1615" t="s">
        <v>2680</v>
      </c>
      <c r="C32" s="2181"/>
      <c r="D32" s="1291" t="s">
        <v>76</v>
      </c>
      <c r="E32" s="1202">
        <f>291.9956344831*1.043</f>
        <v>304.55144676587327</v>
      </c>
      <c r="F32" s="2183">
        <f>12+0.216*2</f>
        <v>12.432</v>
      </c>
      <c r="G32" s="1132">
        <f>E32*F32</f>
        <v>3786.1835861933364</v>
      </c>
      <c r="H32" s="1132">
        <f>E32*F32</f>
        <v>3786.1835861933364</v>
      </c>
      <c r="I32" s="2060" t="s">
        <v>1827</v>
      </c>
      <c r="J32" s="93" t="s">
        <v>2681</v>
      </c>
    </row>
    <row r="33" spans="1:10" ht="17.25" customHeight="1">
      <c r="A33" s="1914">
        <v>25</v>
      </c>
      <c r="B33" s="1290" t="s">
        <v>2682</v>
      </c>
      <c r="C33" s="2181"/>
      <c r="D33" s="2181"/>
      <c r="E33" s="1291">
        <v>0.04</v>
      </c>
      <c r="F33" s="1291"/>
      <c r="G33" s="1676">
        <f>G28*E33</f>
        <v>20407.435623050846</v>
      </c>
      <c r="H33" s="1676">
        <f>H28*E33</f>
        <v>19559.977995932204</v>
      </c>
      <c r="I33" s="2060" t="s">
        <v>1827</v>
      </c>
      <c r="J33" s="1977"/>
    </row>
    <row r="34" spans="1:10" ht="30.75" customHeight="1">
      <c r="A34" s="1914">
        <v>26</v>
      </c>
      <c r="B34" s="1626" t="s">
        <v>2206</v>
      </c>
      <c r="C34" s="2181"/>
      <c r="D34" s="2181"/>
      <c r="E34" s="1291"/>
      <c r="F34" s="1291"/>
      <c r="G34" s="1676">
        <f>(G27+G29+G30+G31+G32+G33)*0.125</f>
        <v>117714.02734613548</v>
      </c>
      <c r="H34" s="1676">
        <f>(H27+H29+H30+H31+H32+H33)*0.125</f>
        <v>114248.72014274565</v>
      </c>
      <c r="I34" s="2014"/>
      <c r="J34" s="1977"/>
    </row>
    <row r="35" spans="1:10" ht="18" customHeight="1">
      <c r="A35" s="1917">
        <v>27</v>
      </c>
      <c r="B35" s="1647" t="s">
        <v>2207</v>
      </c>
      <c r="C35" s="2181"/>
      <c r="D35" s="2181"/>
      <c r="E35" s="1291"/>
      <c r="F35" s="1291"/>
      <c r="G35" s="1642">
        <f>SUM(G28:G34)</f>
        <v>967592.78581149061</v>
      </c>
      <c r="H35" s="1642">
        <f>SUM(H28:H34)</f>
        <v>940218.580303016</v>
      </c>
      <c r="I35" s="624"/>
    </row>
    <row r="36" spans="1:10" ht="18" customHeight="1">
      <c r="A36" s="1914">
        <v>28</v>
      </c>
      <c r="B36" s="1619" t="s">
        <v>2208</v>
      </c>
      <c r="C36" s="2181"/>
      <c r="D36" s="2181"/>
      <c r="E36" s="1291">
        <v>0.09</v>
      </c>
      <c r="F36" s="1291"/>
      <c r="G36" s="1132">
        <f>G35*E36</f>
        <v>87083.350723034149</v>
      </c>
      <c r="H36" s="1132">
        <f>H35*E36</f>
        <v>84619.67222727144</v>
      </c>
      <c r="I36" s="624"/>
    </row>
    <row r="37" spans="1:10" ht="17.25" customHeight="1">
      <c r="A37" s="1914">
        <v>29</v>
      </c>
      <c r="B37" s="1619" t="s">
        <v>2209</v>
      </c>
      <c r="C37" s="2181"/>
      <c r="D37" s="2181"/>
      <c r="E37" s="1291">
        <v>0.09</v>
      </c>
      <c r="F37" s="1291"/>
      <c r="G37" s="1132">
        <f>G35*E37</f>
        <v>87083.350723034149</v>
      </c>
      <c r="H37" s="1132">
        <f>H35*E37</f>
        <v>84619.67222727144</v>
      </c>
      <c r="I37" s="578"/>
    </row>
    <row r="38" spans="1:10" ht="18.75" customHeight="1">
      <c r="A38" s="1914">
        <v>30</v>
      </c>
      <c r="B38" s="1615" t="s">
        <v>2556</v>
      </c>
      <c r="C38" s="2185">
        <v>0.15</v>
      </c>
      <c r="D38" s="1615"/>
      <c r="E38" s="1291"/>
      <c r="F38" s="1291"/>
      <c r="G38" s="1132">
        <f>G35*0.15</f>
        <v>145138.91787172359</v>
      </c>
      <c r="H38" s="1132"/>
      <c r="I38" s="2126"/>
      <c r="J38" s="2127"/>
    </row>
    <row r="39" spans="1:10" ht="18.75" customHeight="1">
      <c r="A39" s="1914">
        <v>31</v>
      </c>
      <c r="B39" s="1615" t="s">
        <v>2539</v>
      </c>
      <c r="C39" s="2185"/>
      <c r="D39" s="1291" t="s">
        <v>114</v>
      </c>
      <c r="E39" s="1291"/>
      <c r="F39" s="1291"/>
      <c r="G39" s="1132"/>
      <c r="H39" s="2170"/>
      <c r="I39" s="2128"/>
      <c r="J39" s="2129"/>
    </row>
    <row r="40" spans="1:10" ht="19.5" customHeight="1">
      <c r="A40" s="1914">
        <v>32</v>
      </c>
      <c r="B40" s="1619" t="s">
        <v>2683</v>
      </c>
      <c r="C40" s="2181"/>
      <c r="D40" s="2181"/>
      <c r="E40" s="1291"/>
      <c r="F40" s="1291"/>
      <c r="G40" s="1132"/>
      <c r="H40" s="1132"/>
      <c r="I40" s="573"/>
    </row>
    <row r="41" spans="1:10" ht="19.5" customHeight="1">
      <c r="A41" s="2317" t="s">
        <v>1493</v>
      </c>
      <c r="B41" s="1646" t="s">
        <v>2684</v>
      </c>
      <c r="C41" s="2181"/>
      <c r="D41" s="2181"/>
      <c r="E41" s="1291"/>
      <c r="F41" s="1291"/>
      <c r="G41" s="1132">
        <f>G35+G36+G37+G38</f>
        <v>1286898.4051292827</v>
      </c>
      <c r="H41" s="1132"/>
      <c r="I41" s="573"/>
    </row>
    <row r="42" spans="1:10" ht="19.5" customHeight="1">
      <c r="A42" s="2317" t="s">
        <v>1494</v>
      </c>
      <c r="B42" s="1646" t="s">
        <v>2685</v>
      </c>
      <c r="C42" s="2181"/>
      <c r="D42" s="2181"/>
      <c r="E42" s="1291"/>
      <c r="F42" s="1291"/>
      <c r="G42" s="1132"/>
      <c r="H42" s="1132">
        <f>H35+H36+H37+H39</f>
        <v>1109457.9247575589</v>
      </c>
      <c r="I42" s="573"/>
    </row>
    <row r="43" spans="1:10" ht="20.25" customHeight="1">
      <c r="A43" s="1917">
        <v>33</v>
      </c>
      <c r="B43" s="1647" t="s">
        <v>2686</v>
      </c>
      <c r="C43" s="2181"/>
      <c r="D43" s="2181"/>
      <c r="E43" s="1291"/>
      <c r="F43" s="1291"/>
      <c r="G43" s="1642">
        <f>ROUND(G41,0)</f>
        <v>1286898</v>
      </c>
      <c r="H43" s="1642">
        <f>ROUND(H42,0)</f>
        <v>1109458</v>
      </c>
      <c r="I43" s="573"/>
    </row>
    <row r="44" spans="1:10" ht="13.5" customHeight="1">
      <c r="A44" s="605"/>
      <c r="B44" s="605"/>
      <c r="C44" s="605"/>
      <c r="D44" s="605"/>
      <c r="E44" s="605"/>
      <c r="F44" s="605"/>
      <c r="G44" s="573"/>
      <c r="H44" s="573"/>
      <c r="I44" s="573"/>
    </row>
    <row r="45" spans="1:10" ht="20.25">
      <c r="A45" s="2065" t="s">
        <v>62</v>
      </c>
      <c r="B45" s="105" t="s">
        <v>2541</v>
      </c>
      <c r="C45" s="605"/>
      <c r="D45" s="605"/>
      <c r="E45" s="605"/>
      <c r="F45" s="605"/>
      <c r="G45" s="573"/>
      <c r="H45" s="573"/>
      <c r="I45" s="573"/>
    </row>
    <row r="46" spans="1:10" ht="20.25">
      <c r="A46" s="2065" t="s">
        <v>2542</v>
      </c>
      <c r="B46" s="105" t="s">
        <v>2543</v>
      </c>
      <c r="C46" s="605"/>
      <c r="D46" s="605"/>
      <c r="E46" s="605"/>
      <c r="F46" s="605"/>
      <c r="G46" s="573"/>
      <c r="H46" s="573"/>
      <c r="I46" s="573"/>
    </row>
    <row r="47" spans="1:10" ht="33" customHeight="1">
      <c r="B47" s="3107" t="s">
        <v>2687</v>
      </c>
      <c r="C47" s="3107"/>
      <c r="D47" s="3107"/>
      <c r="E47" s="3107"/>
      <c r="F47" s="3107"/>
      <c r="G47" s="573"/>
      <c r="H47" s="573"/>
      <c r="I47" s="573"/>
    </row>
    <row r="48" spans="1:10" ht="32.25" customHeight="1">
      <c r="A48" s="2066" t="s">
        <v>2545</v>
      </c>
      <c r="B48" s="3107" t="s">
        <v>2546</v>
      </c>
      <c r="C48" s="3107"/>
      <c r="D48" s="3107"/>
      <c r="E48" s="3107"/>
      <c r="F48" s="3107"/>
      <c r="G48" s="573"/>
      <c r="H48" s="573"/>
      <c r="I48" s="573"/>
    </row>
    <row r="49" spans="1:9" ht="15.75">
      <c r="A49" s="605"/>
      <c r="B49" s="605"/>
      <c r="C49" s="605"/>
      <c r="D49" s="605"/>
      <c r="E49" s="605"/>
      <c r="F49" s="605"/>
      <c r="G49" s="573"/>
      <c r="H49" s="573"/>
      <c r="I49" s="573"/>
    </row>
    <row r="50" spans="1:9" ht="15.75">
      <c r="A50" s="605"/>
      <c r="B50" s="2035"/>
      <c r="C50" s="605"/>
      <c r="D50" s="605"/>
      <c r="E50" s="605"/>
      <c r="F50" s="605"/>
      <c r="G50" s="573"/>
      <c r="H50" s="573"/>
      <c r="I50" s="573"/>
    </row>
    <row r="51" spans="1:9" ht="15.75">
      <c r="A51" s="605"/>
      <c r="B51" s="1969"/>
      <c r="C51" s="605"/>
      <c r="D51" s="605"/>
      <c r="E51" s="605"/>
      <c r="F51" s="605"/>
      <c r="G51" s="573"/>
      <c r="H51" s="573"/>
      <c r="I51" s="573"/>
    </row>
    <row r="52" spans="1:9" ht="15.75">
      <c r="A52" s="605"/>
      <c r="B52" s="605"/>
      <c r="C52" s="605"/>
      <c r="D52" s="605"/>
      <c r="E52" s="605"/>
      <c r="F52" s="605"/>
      <c r="G52" s="573"/>
      <c r="H52" s="573"/>
      <c r="I52" s="573"/>
    </row>
    <row r="53" spans="1:9" ht="15.75">
      <c r="A53" s="605"/>
      <c r="B53" s="605"/>
      <c r="C53" s="605"/>
      <c r="D53" s="605"/>
      <c r="E53" s="605"/>
      <c r="F53" s="605"/>
      <c r="G53" s="573"/>
      <c r="H53" s="573"/>
      <c r="I53" s="573"/>
    </row>
    <row r="54" spans="1:9" ht="15.75">
      <c r="A54" s="605"/>
      <c r="B54" s="605"/>
      <c r="C54" s="605"/>
      <c r="D54" s="605"/>
      <c r="E54" s="605"/>
      <c r="F54" s="605"/>
      <c r="G54" s="573"/>
      <c r="H54" s="573"/>
      <c r="I54" s="573"/>
    </row>
    <row r="55" spans="1:9" ht="15.75">
      <c r="A55" s="605"/>
      <c r="B55" s="605"/>
      <c r="C55" s="605"/>
      <c r="D55" s="605"/>
      <c r="E55" s="605"/>
      <c r="F55" s="605"/>
      <c r="G55" s="573"/>
      <c r="H55" s="573"/>
      <c r="I55" s="573"/>
    </row>
    <row r="56" spans="1:9" ht="15.75">
      <c r="A56" s="605"/>
      <c r="B56" s="605"/>
      <c r="C56" s="605"/>
      <c r="D56" s="605"/>
      <c r="E56" s="605"/>
      <c r="F56" s="605"/>
      <c r="G56" s="573"/>
      <c r="H56" s="573"/>
      <c r="I56" s="573"/>
    </row>
  </sheetData>
  <mergeCells count="4">
    <mergeCell ref="B1:C1"/>
    <mergeCell ref="B3:G3"/>
    <mergeCell ref="B47:F47"/>
    <mergeCell ref="B48:F48"/>
  </mergeCells>
  <conditionalFormatting sqref="B30">
    <cfRule type="cellIs" dxfId="67" priority="3" stopIfTrue="1" operator="equal">
      <formula>"?"</formula>
    </cfRule>
  </conditionalFormatting>
  <conditionalFormatting sqref="B27">
    <cfRule type="cellIs" dxfId="66" priority="2" stopIfTrue="1" operator="equal">
      <formula>"?"</formula>
    </cfRule>
  </conditionalFormatting>
  <conditionalFormatting sqref="B28">
    <cfRule type="cellIs" dxfId="65" priority="1" stopIfTrue="1" operator="equal">
      <formula>"?"</formula>
    </cfRule>
  </conditionalFormatting>
  <printOptions horizontalCentered="1"/>
  <pageMargins left="0.62992125984251968" right="0.15748031496062992" top="0.6692913385826772" bottom="0.23622047244094491" header="0.55118110236220474" footer="0.15748031496062992"/>
  <pageSetup paperSize="9" scale="90" orientation="landscape"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0"/>
  <sheetViews>
    <sheetView zoomScaleSheetLayoutView="75" workbookViewId="0">
      <pane xSplit="2" ySplit="8" topLeftCell="C48" activePane="bottomRight" state="frozen"/>
      <selection pane="topRight" activeCell="C1" sqref="C1"/>
      <selection pane="bottomLeft" activeCell="A9" sqref="A9"/>
      <selection pane="bottomRight" activeCell="B58" sqref="B58"/>
    </sheetView>
  </sheetViews>
  <sheetFormatPr defaultRowHeight="14.25"/>
  <cols>
    <col min="1" max="1" width="4.85546875" style="2015" customWidth="1"/>
    <col min="2" max="2" width="76.5703125" style="102" customWidth="1"/>
    <col min="3" max="3" width="14.140625" style="2015" customWidth="1"/>
    <col min="4" max="5" width="6.28515625" style="102" customWidth="1"/>
    <col min="6" max="6" width="11.28515625" style="102" customWidth="1"/>
    <col min="7" max="7" width="11.5703125" style="102" customWidth="1"/>
    <col min="8" max="8" width="23.28515625" style="102" customWidth="1"/>
    <col min="9" max="9" width="21.5703125" style="102" customWidth="1"/>
    <col min="10" max="10" width="23.7109375" style="102" customWidth="1"/>
    <col min="11" max="256" width="9.140625" style="102"/>
    <col min="257" max="257" width="4.85546875" style="102" customWidth="1"/>
    <col min="258" max="258" width="76.5703125" style="102" customWidth="1"/>
    <col min="259" max="259" width="14.140625" style="102" customWidth="1"/>
    <col min="260" max="261" width="6.28515625" style="102" customWidth="1"/>
    <col min="262" max="262" width="11.28515625" style="102" customWidth="1"/>
    <col min="263" max="263" width="11.5703125" style="102" customWidth="1"/>
    <col min="264" max="264" width="23.28515625" style="102" customWidth="1"/>
    <col min="265" max="265" width="21.5703125" style="102" customWidth="1"/>
    <col min="266" max="266" width="23.7109375" style="102" customWidth="1"/>
    <col min="267" max="512" width="9.140625" style="102"/>
    <col min="513" max="513" width="4.85546875" style="102" customWidth="1"/>
    <col min="514" max="514" width="76.5703125" style="102" customWidth="1"/>
    <col min="515" max="515" width="14.140625" style="102" customWidth="1"/>
    <col min="516" max="517" width="6.28515625" style="102" customWidth="1"/>
    <col min="518" max="518" width="11.28515625" style="102" customWidth="1"/>
    <col min="519" max="519" width="11.5703125" style="102" customWidth="1"/>
    <col min="520" max="520" width="23.28515625" style="102" customWidth="1"/>
    <col min="521" max="521" width="21.5703125" style="102" customWidth="1"/>
    <col min="522" max="522" width="23.7109375" style="102" customWidth="1"/>
    <col min="523" max="768" width="9.140625" style="102"/>
    <col min="769" max="769" width="4.85546875" style="102" customWidth="1"/>
    <col min="770" max="770" width="76.5703125" style="102" customWidth="1"/>
    <col min="771" max="771" width="14.140625" style="102" customWidth="1"/>
    <col min="772" max="773" width="6.28515625" style="102" customWidth="1"/>
    <col min="774" max="774" width="11.28515625" style="102" customWidth="1"/>
    <col min="775" max="775" width="11.5703125" style="102" customWidth="1"/>
    <col min="776" max="776" width="23.28515625" style="102" customWidth="1"/>
    <col min="777" max="777" width="21.5703125" style="102" customWidth="1"/>
    <col min="778" max="778" width="23.7109375" style="102" customWidth="1"/>
    <col min="779" max="1024" width="9.140625" style="102"/>
    <col min="1025" max="1025" width="4.85546875" style="102" customWidth="1"/>
    <col min="1026" max="1026" width="76.5703125" style="102" customWidth="1"/>
    <col min="1027" max="1027" width="14.140625" style="102" customWidth="1"/>
    <col min="1028" max="1029" width="6.28515625" style="102" customWidth="1"/>
    <col min="1030" max="1030" width="11.28515625" style="102" customWidth="1"/>
    <col min="1031" max="1031" width="11.5703125" style="102" customWidth="1"/>
    <col min="1032" max="1032" width="23.28515625" style="102" customWidth="1"/>
    <col min="1033" max="1033" width="21.5703125" style="102" customWidth="1"/>
    <col min="1034" max="1034" width="23.7109375" style="102" customWidth="1"/>
    <col min="1035" max="1280" width="9.140625" style="102"/>
    <col min="1281" max="1281" width="4.85546875" style="102" customWidth="1"/>
    <col min="1282" max="1282" width="76.5703125" style="102" customWidth="1"/>
    <col min="1283" max="1283" width="14.140625" style="102" customWidth="1"/>
    <col min="1284" max="1285" width="6.28515625" style="102" customWidth="1"/>
    <col min="1286" max="1286" width="11.28515625" style="102" customWidth="1"/>
    <col min="1287" max="1287" width="11.5703125" style="102" customWidth="1"/>
    <col min="1288" max="1288" width="23.28515625" style="102" customWidth="1"/>
    <col min="1289" max="1289" width="21.5703125" style="102" customWidth="1"/>
    <col min="1290" max="1290" width="23.7109375" style="102" customWidth="1"/>
    <col min="1291" max="1536" width="9.140625" style="102"/>
    <col min="1537" max="1537" width="4.85546875" style="102" customWidth="1"/>
    <col min="1538" max="1538" width="76.5703125" style="102" customWidth="1"/>
    <col min="1539" max="1539" width="14.140625" style="102" customWidth="1"/>
    <col min="1540" max="1541" width="6.28515625" style="102" customWidth="1"/>
    <col min="1542" max="1542" width="11.28515625" style="102" customWidth="1"/>
    <col min="1543" max="1543" width="11.5703125" style="102" customWidth="1"/>
    <col min="1544" max="1544" width="23.28515625" style="102" customWidth="1"/>
    <col min="1545" max="1545" width="21.5703125" style="102" customWidth="1"/>
    <col min="1546" max="1546" width="23.7109375" style="102" customWidth="1"/>
    <col min="1547" max="1792" width="9.140625" style="102"/>
    <col min="1793" max="1793" width="4.85546875" style="102" customWidth="1"/>
    <col min="1794" max="1794" width="76.5703125" style="102" customWidth="1"/>
    <col min="1795" max="1795" width="14.140625" style="102" customWidth="1"/>
    <col min="1796" max="1797" width="6.28515625" style="102" customWidth="1"/>
    <col min="1798" max="1798" width="11.28515625" style="102" customWidth="1"/>
    <col min="1799" max="1799" width="11.5703125" style="102" customWidth="1"/>
    <col min="1800" max="1800" width="23.28515625" style="102" customWidth="1"/>
    <col min="1801" max="1801" width="21.5703125" style="102" customWidth="1"/>
    <col min="1802" max="1802" width="23.7109375" style="102" customWidth="1"/>
    <col min="1803" max="2048" width="9.140625" style="102"/>
    <col min="2049" max="2049" width="4.85546875" style="102" customWidth="1"/>
    <col min="2050" max="2050" width="76.5703125" style="102" customWidth="1"/>
    <col min="2051" max="2051" width="14.140625" style="102" customWidth="1"/>
    <col min="2052" max="2053" width="6.28515625" style="102" customWidth="1"/>
    <col min="2054" max="2054" width="11.28515625" style="102" customWidth="1"/>
    <col min="2055" max="2055" width="11.5703125" style="102" customWidth="1"/>
    <col min="2056" max="2056" width="23.28515625" style="102" customWidth="1"/>
    <col min="2057" max="2057" width="21.5703125" style="102" customWidth="1"/>
    <col min="2058" max="2058" width="23.7109375" style="102" customWidth="1"/>
    <col min="2059" max="2304" width="9.140625" style="102"/>
    <col min="2305" max="2305" width="4.85546875" style="102" customWidth="1"/>
    <col min="2306" max="2306" width="76.5703125" style="102" customWidth="1"/>
    <col min="2307" max="2307" width="14.140625" style="102" customWidth="1"/>
    <col min="2308" max="2309" width="6.28515625" style="102" customWidth="1"/>
    <col min="2310" max="2310" width="11.28515625" style="102" customWidth="1"/>
    <col min="2311" max="2311" width="11.5703125" style="102" customWidth="1"/>
    <col min="2312" max="2312" width="23.28515625" style="102" customWidth="1"/>
    <col min="2313" max="2313" width="21.5703125" style="102" customWidth="1"/>
    <col min="2314" max="2314" width="23.7109375" style="102" customWidth="1"/>
    <col min="2315" max="2560" width="9.140625" style="102"/>
    <col min="2561" max="2561" width="4.85546875" style="102" customWidth="1"/>
    <col min="2562" max="2562" width="76.5703125" style="102" customWidth="1"/>
    <col min="2563" max="2563" width="14.140625" style="102" customWidth="1"/>
    <col min="2564" max="2565" width="6.28515625" style="102" customWidth="1"/>
    <col min="2566" max="2566" width="11.28515625" style="102" customWidth="1"/>
    <col min="2567" max="2567" width="11.5703125" style="102" customWidth="1"/>
    <col min="2568" max="2568" width="23.28515625" style="102" customWidth="1"/>
    <col min="2569" max="2569" width="21.5703125" style="102" customWidth="1"/>
    <col min="2570" max="2570" width="23.7109375" style="102" customWidth="1"/>
    <col min="2571" max="2816" width="9.140625" style="102"/>
    <col min="2817" max="2817" width="4.85546875" style="102" customWidth="1"/>
    <col min="2818" max="2818" width="76.5703125" style="102" customWidth="1"/>
    <col min="2819" max="2819" width="14.140625" style="102" customWidth="1"/>
    <col min="2820" max="2821" width="6.28515625" style="102" customWidth="1"/>
    <col min="2822" max="2822" width="11.28515625" style="102" customWidth="1"/>
    <col min="2823" max="2823" width="11.5703125" style="102" customWidth="1"/>
    <col min="2824" max="2824" width="23.28515625" style="102" customWidth="1"/>
    <col min="2825" max="2825" width="21.5703125" style="102" customWidth="1"/>
    <col min="2826" max="2826" width="23.7109375" style="102" customWidth="1"/>
    <col min="2827" max="3072" width="9.140625" style="102"/>
    <col min="3073" max="3073" width="4.85546875" style="102" customWidth="1"/>
    <col min="3074" max="3074" width="76.5703125" style="102" customWidth="1"/>
    <col min="3075" max="3075" width="14.140625" style="102" customWidth="1"/>
    <col min="3076" max="3077" width="6.28515625" style="102" customWidth="1"/>
    <col min="3078" max="3078" width="11.28515625" style="102" customWidth="1"/>
    <col min="3079" max="3079" width="11.5703125" style="102" customWidth="1"/>
    <col min="3080" max="3080" width="23.28515625" style="102" customWidth="1"/>
    <col min="3081" max="3081" width="21.5703125" style="102" customWidth="1"/>
    <col min="3082" max="3082" width="23.7109375" style="102" customWidth="1"/>
    <col min="3083" max="3328" width="9.140625" style="102"/>
    <col min="3329" max="3329" width="4.85546875" style="102" customWidth="1"/>
    <col min="3330" max="3330" width="76.5703125" style="102" customWidth="1"/>
    <col min="3331" max="3331" width="14.140625" style="102" customWidth="1"/>
    <col min="3332" max="3333" width="6.28515625" style="102" customWidth="1"/>
    <col min="3334" max="3334" width="11.28515625" style="102" customWidth="1"/>
    <col min="3335" max="3335" width="11.5703125" style="102" customWidth="1"/>
    <col min="3336" max="3336" width="23.28515625" style="102" customWidth="1"/>
    <col min="3337" max="3337" width="21.5703125" style="102" customWidth="1"/>
    <col min="3338" max="3338" width="23.7109375" style="102" customWidth="1"/>
    <col min="3339" max="3584" width="9.140625" style="102"/>
    <col min="3585" max="3585" width="4.85546875" style="102" customWidth="1"/>
    <col min="3586" max="3586" width="76.5703125" style="102" customWidth="1"/>
    <col min="3587" max="3587" width="14.140625" style="102" customWidth="1"/>
    <col min="3588" max="3589" width="6.28515625" style="102" customWidth="1"/>
    <col min="3590" max="3590" width="11.28515625" style="102" customWidth="1"/>
    <col min="3591" max="3591" width="11.5703125" style="102" customWidth="1"/>
    <col min="3592" max="3592" width="23.28515625" style="102" customWidth="1"/>
    <col min="3593" max="3593" width="21.5703125" style="102" customWidth="1"/>
    <col min="3594" max="3594" width="23.7109375" style="102" customWidth="1"/>
    <col min="3595" max="3840" width="9.140625" style="102"/>
    <col min="3841" max="3841" width="4.85546875" style="102" customWidth="1"/>
    <col min="3842" max="3842" width="76.5703125" style="102" customWidth="1"/>
    <col min="3843" max="3843" width="14.140625" style="102" customWidth="1"/>
    <col min="3844" max="3845" width="6.28515625" style="102" customWidth="1"/>
    <col min="3846" max="3846" width="11.28515625" style="102" customWidth="1"/>
    <col min="3847" max="3847" width="11.5703125" style="102" customWidth="1"/>
    <col min="3848" max="3848" width="23.28515625" style="102" customWidth="1"/>
    <col min="3849" max="3849" width="21.5703125" style="102" customWidth="1"/>
    <col min="3850" max="3850" width="23.7109375" style="102" customWidth="1"/>
    <col min="3851" max="4096" width="9.140625" style="102"/>
    <col min="4097" max="4097" width="4.85546875" style="102" customWidth="1"/>
    <col min="4098" max="4098" width="76.5703125" style="102" customWidth="1"/>
    <col min="4099" max="4099" width="14.140625" style="102" customWidth="1"/>
    <col min="4100" max="4101" width="6.28515625" style="102" customWidth="1"/>
    <col min="4102" max="4102" width="11.28515625" style="102" customWidth="1"/>
    <col min="4103" max="4103" width="11.5703125" style="102" customWidth="1"/>
    <col min="4104" max="4104" width="23.28515625" style="102" customWidth="1"/>
    <col min="4105" max="4105" width="21.5703125" style="102" customWidth="1"/>
    <col min="4106" max="4106" width="23.7109375" style="102" customWidth="1"/>
    <col min="4107" max="4352" width="9.140625" style="102"/>
    <col min="4353" max="4353" width="4.85546875" style="102" customWidth="1"/>
    <col min="4354" max="4354" width="76.5703125" style="102" customWidth="1"/>
    <col min="4355" max="4355" width="14.140625" style="102" customWidth="1"/>
    <col min="4356" max="4357" width="6.28515625" style="102" customWidth="1"/>
    <col min="4358" max="4358" width="11.28515625" style="102" customWidth="1"/>
    <col min="4359" max="4359" width="11.5703125" style="102" customWidth="1"/>
    <col min="4360" max="4360" width="23.28515625" style="102" customWidth="1"/>
    <col min="4361" max="4361" width="21.5703125" style="102" customWidth="1"/>
    <col min="4362" max="4362" width="23.7109375" style="102" customWidth="1"/>
    <col min="4363" max="4608" width="9.140625" style="102"/>
    <col min="4609" max="4609" width="4.85546875" style="102" customWidth="1"/>
    <col min="4610" max="4610" width="76.5703125" style="102" customWidth="1"/>
    <col min="4611" max="4611" width="14.140625" style="102" customWidth="1"/>
    <col min="4612" max="4613" width="6.28515625" style="102" customWidth="1"/>
    <col min="4614" max="4614" width="11.28515625" style="102" customWidth="1"/>
    <col min="4615" max="4615" width="11.5703125" style="102" customWidth="1"/>
    <col min="4616" max="4616" width="23.28515625" style="102" customWidth="1"/>
    <col min="4617" max="4617" width="21.5703125" style="102" customWidth="1"/>
    <col min="4618" max="4618" width="23.7109375" style="102" customWidth="1"/>
    <col min="4619" max="4864" width="9.140625" style="102"/>
    <col min="4865" max="4865" width="4.85546875" style="102" customWidth="1"/>
    <col min="4866" max="4866" width="76.5703125" style="102" customWidth="1"/>
    <col min="4867" max="4867" width="14.140625" style="102" customWidth="1"/>
    <col min="4868" max="4869" width="6.28515625" style="102" customWidth="1"/>
    <col min="4870" max="4870" width="11.28515625" style="102" customWidth="1"/>
    <col min="4871" max="4871" width="11.5703125" style="102" customWidth="1"/>
    <col min="4872" max="4872" width="23.28515625" style="102" customWidth="1"/>
    <col min="4873" max="4873" width="21.5703125" style="102" customWidth="1"/>
    <col min="4874" max="4874" width="23.7109375" style="102" customWidth="1"/>
    <col min="4875" max="5120" width="9.140625" style="102"/>
    <col min="5121" max="5121" width="4.85546875" style="102" customWidth="1"/>
    <col min="5122" max="5122" width="76.5703125" style="102" customWidth="1"/>
    <col min="5123" max="5123" width="14.140625" style="102" customWidth="1"/>
    <col min="5124" max="5125" width="6.28515625" style="102" customWidth="1"/>
    <col min="5126" max="5126" width="11.28515625" style="102" customWidth="1"/>
    <col min="5127" max="5127" width="11.5703125" style="102" customWidth="1"/>
    <col min="5128" max="5128" width="23.28515625" style="102" customWidth="1"/>
    <col min="5129" max="5129" width="21.5703125" style="102" customWidth="1"/>
    <col min="5130" max="5130" width="23.7109375" style="102" customWidth="1"/>
    <col min="5131" max="5376" width="9.140625" style="102"/>
    <col min="5377" max="5377" width="4.85546875" style="102" customWidth="1"/>
    <col min="5378" max="5378" width="76.5703125" style="102" customWidth="1"/>
    <col min="5379" max="5379" width="14.140625" style="102" customWidth="1"/>
    <col min="5380" max="5381" width="6.28515625" style="102" customWidth="1"/>
    <col min="5382" max="5382" width="11.28515625" style="102" customWidth="1"/>
    <col min="5383" max="5383" width="11.5703125" style="102" customWidth="1"/>
    <col min="5384" max="5384" width="23.28515625" style="102" customWidth="1"/>
    <col min="5385" max="5385" width="21.5703125" style="102" customWidth="1"/>
    <col min="5386" max="5386" width="23.7109375" style="102" customWidth="1"/>
    <col min="5387" max="5632" width="9.140625" style="102"/>
    <col min="5633" max="5633" width="4.85546875" style="102" customWidth="1"/>
    <col min="5634" max="5634" width="76.5703125" style="102" customWidth="1"/>
    <col min="5635" max="5635" width="14.140625" style="102" customWidth="1"/>
    <col min="5636" max="5637" width="6.28515625" style="102" customWidth="1"/>
    <col min="5638" max="5638" width="11.28515625" style="102" customWidth="1"/>
    <col min="5639" max="5639" width="11.5703125" style="102" customWidth="1"/>
    <col min="5640" max="5640" width="23.28515625" style="102" customWidth="1"/>
    <col min="5641" max="5641" width="21.5703125" style="102" customWidth="1"/>
    <col min="5642" max="5642" width="23.7109375" style="102" customWidth="1"/>
    <col min="5643" max="5888" width="9.140625" style="102"/>
    <col min="5889" max="5889" width="4.85546875" style="102" customWidth="1"/>
    <col min="5890" max="5890" width="76.5703125" style="102" customWidth="1"/>
    <col min="5891" max="5891" width="14.140625" style="102" customWidth="1"/>
    <col min="5892" max="5893" width="6.28515625" style="102" customWidth="1"/>
    <col min="5894" max="5894" width="11.28515625" style="102" customWidth="1"/>
    <col min="5895" max="5895" width="11.5703125" style="102" customWidth="1"/>
    <col min="5896" max="5896" width="23.28515625" style="102" customWidth="1"/>
    <col min="5897" max="5897" width="21.5703125" style="102" customWidth="1"/>
    <col min="5898" max="5898" width="23.7109375" style="102" customWidth="1"/>
    <col min="5899" max="6144" width="9.140625" style="102"/>
    <col min="6145" max="6145" width="4.85546875" style="102" customWidth="1"/>
    <col min="6146" max="6146" width="76.5703125" style="102" customWidth="1"/>
    <col min="6147" max="6147" width="14.140625" style="102" customWidth="1"/>
    <col min="6148" max="6149" width="6.28515625" style="102" customWidth="1"/>
    <col min="6150" max="6150" width="11.28515625" style="102" customWidth="1"/>
    <col min="6151" max="6151" width="11.5703125" style="102" customWidth="1"/>
    <col min="6152" max="6152" width="23.28515625" style="102" customWidth="1"/>
    <col min="6153" max="6153" width="21.5703125" style="102" customWidth="1"/>
    <col min="6154" max="6154" width="23.7109375" style="102" customWidth="1"/>
    <col min="6155" max="6400" width="9.140625" style="102"/>
    <col min="6401" max="6401" width="4.85546875" style="102" customWidth="1"/>
    <col min="6402" max="6402" width="76.5703125" style="102" customWidth="1"/>
    <col min="6403" max="6403" width="14.140625" style="102" customWidth="1"/>
    <col min="6404" max="6405" width="6.28515625" style="102" customWidth="1"/>
    <col min="6406" max="6406" width="11.28515625" style="102" customWidth="1"/>
    <col min="6407" max="6407" width="11.5703125" style="102" customWidth="1"/>
    <col min="6408" max="6408" width="23.28515625" style="102" customWidth="1"/>
    <col min="6409" max="6409" width="21.5703125" style="102" customWidth="1"/>
    <col min="6410" max="6410" width="23.7109375" style="102" customWidth="1"/>
    <col min="6411" max="6656" width="9.140625" style="102"/>
    <col min="6657" max="6657" width="4.85546875" style="102" customWidth="1"/>
    <col min="6658" max="6658" width="76.5703125" style="102" customWidth="1"/>
    <col min="6659" max="6659" width="14.140625" style="102" customWidth="1"/>
    <col min="6660" max="6661" width="6.28515625" style="102" customWidth="1"/>
    <col min="6662" max="6662" width="11.28515625" style="102" customWidth="1"/>
    <col min="6663" max="6663" width="11.5703125" style="102" customWidth="1"/>
    <col min="6664" max="6664" width="23.28515625" style="102" customWidth="1"/>
    <col min="6665" max="6665" width="21.5703125" style="102" customWidth="1"/>
    <col min="6666" max="6666" width="23.7109375" style="102" customWidth="1"/>
    <col min="6667" max="6912" width="9.140625" style="102"/>
    <col min="6913" max="6913" width="4.85546875" style="102" customWidth="1"/>
    <col min="6914" max="6914" width="76.5703125" style="102" customWidth="1"/>
    <col min="6915" max="6915" width="14.140625" style="102" customWidth="1"/>
    <col min="6916" max="6917" width="6.28515625" style="102" customWidth="1"/>
    <col min="6918" max="6918" width="11.28515625" style="102" customWidth="1"/>
    <col min="6919" max="6919" width="11.5703125" style="102" customWidth="1"/>
    <col min="6920" max="6920" width="23.28515625" style="102" customWidth="1"/>
    <col min="6921" max="6921" width="21.5703125" style="102" customWidth="1"/>
    <col min="6922" max="6922" width="23.7109375" style="102" customWidth="1"/>
    <col min="6923" max="7168" width="9.140625" style="102"/>
    <col min="7169" max="7169" width="4.85546875" style="102" customWidth="1"/>
    <col min="7170" max="7170" width="76.5703125" style="102" customWidth="1"/>
    <col min="7171" max="7171" width="14.140625" style="102" customWidth="1"/>
    <col min="7172" max="7173" width="6.28515625" style="102" customWidth="1"/>
    <col min="7174" max="7174" width="11.28515625" style="102" customWidth="1"/>
    <col min="7175" max="7175" width="11.5703125" style="102" customWidth="1"/>
    <col min="7176" max="7176" width="23.28515625" style="102" customWidth="1"/>
    <col min="7177" max="7177" width="21.5703125" style="102" customWidth="1"/>
    <col min="7178" max="7178" width="23.7109375" style="102" customWidth="1"/>
    <col min="7179" max="7424" width="9.140625" style="102"/>
    <col min="7425" max="7425" width="4.85546875" style="102" customWidth="1"/>
    <col min="7426" max="7426" width="76.5703125" style="102" customWidth="1"/>
    <col min="7427" max="7427" width="14.140625" style="102" customWidth="1"/>
    <col min="7428" max="7429" width="6.28515625" style="102" customWidth="1"/>
    <col min="7430" max="7430" width="11.28515625" style="102" customWidth="1"/>
    <col min="7431" max="7431" width="11.5703125" style="102" customWidth="1"/>
    <col min="7432" max="7432" width="23.28515625" style="102" customWidth="1"/>
    <col min="7433" max="7433" width="21.5703125" style="102" customWidth="1"/>
    <col min="7434" max="7434" width="23.7109375" style="102" customWidth="1"/>
    <col min="7435" max="7680" width="9.140625" style="102"/>
    <col min="7681" max="7681" width="4.85546875" style="102" customWidth="1"/>
    <col min="7682" max="7682" width="76.5703125" style="102" customWidth="1"/>
    <col min="7683" max="7683" width="14.140625" style="102" customWidth="1"/>
    <col min="7684" max="7685" width="6.28515625" style="102" customWidth="1"/>
    <col min="7686" max="7686" width="11.28515625" style="102" customWidth="1"/>
    <col min="7687" max="7687" width="11.5703125" style="102" customWidth="1"/>
    <col min="7688" max="7688" width="23.28515625" style="102" customWidth="1"/>
    <col min="7689" max="7689" width="21.5703125" style="102" customWidth="1"/>
    <col min="7690" max="7690" width="23.7109375" style="102" customWidth="1"/>
    <col min="7691" max="7936" width="9.140625" style="102"/>
    <col min="7937" max="7937" width="4.85546875" style="102" customWidth="1"/>
    <col min="7938" max="7938" width="76.5703125" style="102" customWidth="1"/>
    <col min="7939" max="7939" width="14.140625" style="102" customWidth="1"/>
    <col min="7940" max="7941" width="6.28515625" style="102" customWidth="1"/>
    <col min="7942" max="7942" width="11.28515625" style="102" customWidth="1"/>
    <col min="7943" max="7943" width="11.5703125" style="102" customWidth="1"/>
    <col min="7944" max="7944" width="23.28515625" style="102" customWidth="1"/>
    <col min="7945" max="7945" width="21.5703125" style="102" customWidth="1"/>
    <col min="7946" max="7946" width="23.7109375" style="102" customWidth="1"/>
    <col min="7947" max="8192" width="9.140625" style="102"/>
    <col min="8193" max="8193" width="4.85546875" style="102" customWidth="1"/>
    <col min="8194" max="8194" width="76.5703125" style="102" customWidth="1"/>
    <col min="8195" max="8195" width="14.140625" style="102" customWidth="1"/>
    <col min="8196" max="8197" width="6.28515625" style="102" customWidth="1"/>
    <col min="8198" max="8198" width="11.28515625" style="102" customWidth="1"/>
    <col min="8199" max="8199" width="11.5703125" style="102" customWidth="1"/>
    <col min="8200" max="8200" width="23.28515625" style="102" customWidth="1"/>
    <col min="8201" max="8201" width="21.5703125" style="102" customWidth="1"/>
    <col min="8202" max="8202" width="23.7109375" style="102" customWidth="1"/>
    <col min="8203" max="8448" width="9.140625" style="102"/>
    <col min="8449" max="8449" width="4.85546875" style="102" customWidth="1"/>
    <col min="8450" max="8450" width="76.5703125" style="102" customWidth="1"/>
    <col min="8451" max="8451" width="14.140625" style="102" customWidth="1"/>
    <col min="8452" max="8453" width="6.28515625" style="102" customWidth="1"/>
    <col min="8454" max="8454" width="11.28515625" style="102" customWidth="1"/>
    <col min="8455" max="8455" width="11.5703125" style="102" customWidth="1"/>
    <col min="8456" max="8456" width="23.28515625" style="102" customWidth="1"/>
    <col min="8457" max="8457" width="21.5703125" style="102" customWidth="1"/>
    <col min="8458" max="8458" width="23.7109375" style="102" customWidth="1"/>
    <col min="8459" max="8704" width="9.140625" style="102"/>
    <col min="8705" max="8705" width="4.85546875" style="102" customWidth="1"/>
    <col min="8706" max="8706" width="76.5703125" style="102" customWidth="1"/>
    <col min="8707" max="8707" width="14.140625" style="102" customWidth="1"/>
    <col min="8708" max="8709" width="6.28515625" style="102" customWidth="1"/>
    <col min="8710" max="8710" width="11.28515625" style="102" customWidth="1"/>
    <col min="8711" max="8711" width="11.5703125" style="102" customWidth="1"/>
    <col min="8712" max="8712" width="23.28515625" style="102" customWidth="1"/>
    <col min="8713" max="8713" width="21.5703125" style="102" customWidth="1"/>
    <col min="8714" max="8714" width="23.7109375" style="102" customWidth="1"/>
    <col min="8715" max="8960" width="9.140625" style="102"/>
    <col min="8961" max="8961" width="4.85546875" style="102" customWidth="1"/>
    <col min="8962" max="8962" width="76.5703125" style="102" customWidth="1"/>
    <col min="8963" max="8963" width="14.140625" style="102" customWidth="1"/>
    <col min="8964" max="8965" width="6.28515625" style="102" customWidth="1"/>
    <col min="8966" max="8966" width="11.28515625" style="102" customWidth="1"/>
    <col min="8967" max="8967" width="11.5703125" style="102" customWidth="1"/>
    <col min="8968" max="8968" width="23.28515625" style="102" customWidth="1"/>
    <col min="8969" max="8969" width="21.5703125" style="102" customWidth="1"/>
    <col min="8970" max="8970" width="23.7109375" style="102" customWidth="1"/>
    <col min="8971" max="9216" width="9.140625" style="102"/>
    <col min="9217" max="9217" width="4.85546875" style="102" customWidth="1"/>
    <col min="9218" max="9218" width="76.5703125" style="102" customWidth="1"/>
    <col min="9219" max="9219" width="14.140625" style="102" customWidth="1"/>
    <col min="9220" max="9221" width="6.28515625" style="102" customWidth="1"/>
    <col min="9222" max="9222" width="11.28515625" style="102" customWidth="1"/>
    <col min="9223" max="9223" width="11.5703125" style="102" customWidth="1"/>
    <col min="9224" max="9224" width="23.28515625" style="102" customWidth="1"/>
    <col min="9225" max="9225" width="21.5703125" style="102" customWidth="1"/>
    <col min="9226" max="9226" width="23.7109375" style="102" customWidth="1"/>
    <col min="9227" max="9472" width="9.140625" style="102"/>
    <col min="9473" max="9473" width="4.85546875" style="102" customWidth="1"/>
    <col min="9474" max="9474" width="76.5703125" style="102" customWidth="1"/>
    <col min="9475" max="9475" width="14.140625" style="102" customWidth="1"/>
    <col min="9476" max="9477" width="6.28515625" style="102" customWidth="1"/>
    <col min="9478" max="9478" width="11.28515625" style="102" customWidth="1"/>
    <col min="9479" max="9479" width="11.5703125" style="102" customWidth="1"/>
    <col min="9480" max="9480" width="23.28515625" style="102" customWidth="1"/>
    <col min="9481" max="9481" width="21.5703125" style="102" customWidth="1"/>
    <col min="9482" max="9482" width="23.7109375" style="102" customWidth="1"/>
    <col min="9483" max="9728" width="9.140625" style="102"/>
    <col min="9729" max="9729" width="4.85546875" style="102" customWidth="1"/>
    <col min="9730" max="9730" width="76.5703125" style="102" customWidth="1"/>
    <col min="9731" max="9731" width="14.140625" style="102" customWidth="1"/>
    <col min="9732" max="9733" width="6.28515625" style="102" customWidth="1"/>
    <col min="9734" max="9734" width="11.28515625" style="102" customWidth="1"/>
    <col min="9735" max="9735" width="11.5703125" style="102" customWidth="1"/>
    <col min="9736" max="9736" width="23.28515625" style="102" customWidth="1"/>
    <col min="9737" max="9737" width="21.5703125" style="102" customWidth="1"/>
    <col min="9738" max="9738" width="23.7109375" style="102" customWidth="1"/>
    <col min="9739" max="9984" width="9.140625" style="102"/>
    <col min="9985" max="9985" width="4.85546875" style="102" customWidth="1"/>
    <col min="9986" max="9986" width="76.5703125" style="102" customWidth="1"/>
    <col min="9987" max="9987" width="14.140625" style="102" customWidth="1"/>
    <col min="9988" max="9989" width="6.28515625" style="102" customWidth="1"/>
    <col min="9990" max="9990" width="11.28515625" style="102" customWidth="1"/>
    <col min="9991" max="9991" width="11.5703125" style="102" customWidth="1"/>
    <col min="9992" max="9992" width="23.28515625" style="102" customWidth="1"/>
    <col min="9993" max="9993" width="21.5703125" style="102" customWidth="1"/>
    <col min="9994" max="9994" width="23.7109375" style="102" customWidth="1"/>
    <col min="9995" max="10240" width="9.140625" style="102"/>
    <col min="10241" max="10241" width="4.85546875" style="102" customWidth="1"/>
    <col min="10242" max="10242" width="76.5703125" style="102" customWidth="1"/>
    <col min="10243" max="10243" width="14.140625" style="102" customWidth="1"/>
    <col min="10244" max="10245" width="6.28515625" style="102" customWidth="1"/>
    <col min="10246" max="10246" width="11.28515625" style="102" customWidth="1"/>
    <col min="10247" max="10247" width="11.5703125" style="102" customWidth="1"/>
    <col min="10248" max="10248" width="23.28515625" style="102" customWidth="1"/>
    <col min="10249" max="10249" width="21.5703125" style="102" customWidth="1"/>
    <col min="10250" max="10250" width="23.7109375" style="102" customWidth="1"/>
    <col min="10251" max="10496" width="9.140625" style="102"/>
    <col min="10497" max="10497" width="4.85546875" style="102" customWidth="1"/>
    <col min="10498" max="10498" width="76.5703125" style="102" customWidth="1"/>
    <col min="10499" max="10499" width="14.140625" style="102" customWidth="1"/>
    <col min="10500" max="10501" width="6.28515625" style="102" customWidth="1"/>
    <col min="10502" max="10502" width="11.28515625" style="102" customWidth="1"/>
    <col min="10503" max="10503" width="11.5703125" style="102" customWidth="1"/>
    <col min="10504" max="10504" width="23.28515625" style="102" customWidth="1"/>
    <col min="10505" max="10505" width="21.5703125" style="102" customWidth="1"/>
    <col min="10506" max="10506" width="23.7109375" style="102" customWidth="1"/>
    <col min="10507" max="10752" width="9.140625" style="102"/>
    <col min="10753" max="10753" width="4.85546875" style="102" customWidth="1"/>
    <col min="10754" max="10754" width="76.5703125" style="102" customWidth="1"/>
    <col min="10755" max="10755" width="14.140625" style="102" customWidth="1"/>
    <col min="10756" max="10757" width="6.28515625" style="102" customWidth="1"/>
    <col min="10758" max="10758" width="11.28515625" style="102" customWidth="1"/>
    <col min="10759" max="10759" width="11.5703125" style="102" customWidth="1"/>
    <col min="10760" max="10760" width="23.28515625" style="102" customWidth="1"/>
    <col min="10761" max="10761" width="21.5703125" style="102" customWidth="1"/>
    <col min="10762" max="10762" width="23.7109375" style="102" customWidth="1"/>
    <col min="10763" max="11008" width="9.140625" style="102"/>
    <col min="11009" max="11009" width="4.85546875" style="102" customWidth="1"/>
    <col min="11010" max="11010" width="76.5703125" style="102" customWidth="1"/>
    <col min="11011" max="11011" width="14.140625" style="102" customWidth="1"/>
    <col min="11012" max="11013" width="6.28515625" style="102" customWidth="1"/>
    <col min="11014" max="11014" width="11.28515625" style="102" customWidth="1"/>
    <col min="11015" max="11015" width="11.5703125" style="102" customWidth="1"/>
    <col min="11016" max="11016" width="23.28515625" style="102" customWidth="1"/>
    <col min="11017" max="11017" width="21.5703125" style="102" customWidth="1"/>
    <col min="11018" max="11018" width="23.7109375" style="102" customWidth="1"/>
    <col min="11019" max="11264" width="9.140625" style="102"/>
    <col min="11265" max="11265" width="4.85546875" style="102" customWidth="1"/>
    <col min="11266" max="11266" width="76.5703125" style="102" customWidth="1"/>
    <col min="11267" max="11267" width="14.140625" style="102" customWidth="1"/>
    <col min="11268" max="11269" width="6.28515625" style="102" customWidth="1"/>
    <col min="11270" max="11270" width="11.28515625" style="102" customWidth="1"/>
    <col min="11271" max="11271" width="11.5703125" style="102" customWidth="1"/>
    <col min="11272" max="11272" width="23.28515625" style="102" customWidth="1"/>
    <col min="11273" max="11273" width="21.5703125" style="102" customWidth="1"/>
    <col min="11274" max="11274" width="23.7109375" style="102" customWidth="1"/>
    <col min="11275" max="11520" width="9.140625" style="102"/>
    <col min="11521" max="11521" width="4.85546875" style="102" customWidth="1"/>
    <col min="11522" max="11522" width="76.5703125" style="102" customWidth="1"/>
    <col min="11523" max="11523" width="14.140625" style="102" customWidth="1"/>
    <col min="11524" max="11525" width="6.28515625" style="102" customWidth="1"/>
    <col min="11526" max="11526" width="11.28515625" style="102" customWidth="1"/>
    <col min="11527" max="11527" width="11.5703125" style="102" customWidth="1"/>
    <col min="11528" max="11528" width="23.28515625" style="102" customWidth="1"/>
    <col min="11529" max="11529" width="21.5703125" style="102" customWidth="1"/>
    <col min="11530" max="11530" width="23.7109375" style="102" customWidth="1"/>
    <col min="11531" max="11776" width="9.140625" style="102"/>
    <col min="11777" max="11777" width="4.85546875" style="102" customWidth="1"/>
    <col min="11778" max="11778" width="76.5703125" style="102" customWidth="1"/>
    <col min="11779" max="11779" width="14.140625" style="102" customWidth="1"/>
    <col min="11780" max="11781" width="6.28515625" style="102" customWidth="1"/>
    <col min="11782" max="11782" width="11.28515625" style="102" customWidth="1"/>
    <col min="11783" max="11783" width="11.5703125" style="102" customWidth="1"/>
    <col min="11784" max="11784" width="23.28515625" style="102" customWidth="1"/>
    <col min="11785" max="11785" width="21.5703125" style="102" customWidth="1"/>
    <col min="11786" max="11786" width="23.7109375" style="102" customWidth="1"/>
    <col min="11787" max="12032" width="9.140625" style="102"/>
    <col min="12033" max="12033" width="4.85546875" style="102" customWidth="1"/>
    <col min="12034" max="12034" width="76.5703125" style="102" customWidth="1"/>
    <col min="12035" max="12035" width="14.140625" style="102" customWidth="1"/>
    <col min="12036" max="12037" width="6.28515625" style="102" customWidth="1"/>
    <col min="12038" max="12038" width="11.28515625" style="102" customWidth="1"/>
    <col min="12039" max="12039" width="11.5703125" style="102" customWidth="1"/>
    <col min="12040" max="12040" width="23.28515625" style="102" customWidth="1"/>
    <col min="12041" max="12041" width="21.5703125" style="102" customWidth="1"/>
    <col min="12042" max="12042" width="23.7109375" style="102" customWidth="1"/>
    <col min="12043" max="12288" width="9.140625" style="102"/>
    <col min="12289" max="12289" width="4.85546875" style="102" customWidth="1"/>
    <col min="12290" max="12290" width="76.5703125" style="102" customWidth="1"/>
    <col min="12291" max="12291" width="14.140625" style="102" customWidth="1"/>
    <col min="12292" max="12293" width="6.28515625" style="102" customWidth="1"/>
    <col min="12294" max="12294" width="11.28515625" style="102" customWidth="1"/>
    <col min="12295" max="12295" width="11.5703125" style="102" customWidth="1"/>
    <col min="12296" max="12296" width="23.28515625" style="102" customWidth="1"/>
    <col min="12297" max="12297" width="21.5703125" style="102" customWidth="1"/>
    <col min="12298" max="12298" width="23.7109375" style="102" customWidth="1"/>
    <col min="12299" max="12544" width="9.140625" style="102"/>
    <col min="12545" max="12545" width="4.85546875" style="102" customWidth="1"/>
    <col min="12546" max="12546" width="76.5703125" style="102" customWidth="1"/>
    <col min="12547" max="12547" width="14.140625" style="102" customWidth="1"/>
    <col min="12548" max="12549" width="6.28515625" style="102" customWidth="1"/>
    <col min="12550" max="12550" width="11.28515625" style="102" customWidth="1"/>
    <col min="12551" max="12551" width="11.5703125" style="102" customWidth="1"/>
    <col min="12552" max="12552" width="23.28515625" style="102" customWidth="1"/>
    <col min="12553" max="12553" width="21.5703125" style="102" customWidth="1"/>
    <col min="12554" max="12554" width="23.7109375" style="102" customWidth="1"/>
    <col min="12555" max="12800" width="9.140625" style="102"/>
    <col min="12801" max="12801" width="4.85546875" style="102" customWidth="1"/>
    <col min="12802" max="12802" width="76.5703125" style="102" customWidth="1"/>
    <col min="12803" max="12803" width="14.140625" style="102" customWidth="1"/>
    <col min="12804" max="12805" width="6.28515625" style="102" customWidth="1"/>
    <col min="12806" max="12806" width="11.28515625" style="102" customWidth="1"/>
    <col min="12807" max="12807" width="11.5703125" style="102" customWidth="1"/>
    <col min="12808" max="12808" width="23.28515625" style="102" customWidth="1"/>
    <col min="12809" max="12809" width="21.5703125" style="102" customWidth="1"/>
    <col min="12810" max="12810" width="23.7109375" style="102" customWidth="1"/>
    <col min="12811" max="13056" width="9.140625" style="102"/>
    <col min="13057" max="13057" width="4.85546875" style="102" customWidth="1"/>
    <col min="13058" max="13058" width="76.5703125" style="102" customWidth="1"/>
    <col min="13059" max="13059" width="14.140625" style="102" customWidth="1"/>
    <col min="13060" max="13061" width="6.28515625" style="102" customWidth="1"/>
    <col min="13062" max="13062" width="11.28515625" style="102" customWidth="1"/>
    <col min="13063" max="13063" width="11.5703125" style="102" customWidth="1"/>
    <col min="13064" max="13064" width="23.28515625" style="102" customWidth="1"/>
    <col min="13065" max="13065" width="21.5703125" style="102" customWidth="1"/>
    <col min="13066" max="13066" width="23.7109375" style="102" customWidth="1"/>
    <col min="13067" max="13312" width="9.140625" style="102"/>
    <col min="13313" max="13313" width="4.85546875" style="102" customWidth="1"/>
    <col min="13314" max="13314" width="76.5703125" style="102" customWidth="1"/>
    <col min="13315" max="13315" width="14.140625" style="102" customWidth="1"/>
    <col min="13316" max="13317" width="6.28515625" style="102" customWidth="1"/>
    <col min="13318" max="13318" width="11.28515625" style="102" customWidth="1"/>
    <col min="13319" max="13319" width="11.5703125" style="102" customWidth="1"/>
    <col min="13320" max="13320" width="23.28515625" style="102" customWidth="1"/>
    <col min="13321" max="13321" width="21.5703125" style="102" customWidth="1"/>
    <col min="13322" max="13322" width="23.7109375" style="102" customWidth="1"/>
    <col min="13323" max="13568" width="9.140625" style="102"/>
    <col min="13569" max="13569" width="4.85546875" style="102" customWidth="1"/>
    <col min="13570" max="13570" width="76.5703125" style="102" customWidth="1"/>
    <col min="13571" max="13571" width="14.140625" style="102" customWidth="1"/>
    <col min="13572" max="13573" width="6.28515625" style="102" customWidth="1"/>
    <col min="13574" max="13574" width="11.28515625" style="102" customWidth="1"/>
    <col min="13575" max="13575" width="11.5703125" style="102" customWidth="1"/>
    <col min="13576" max="13576" width="23.28515625" style="102" customWidth="1"/>
    <col min="13577" max="13577" width="21.5703125" style="102" customWidth="1"/>
    <col min="13578" max="13578" width="23.7109375" style="102" customWidth="1"/>
    <col min="13579" max="13824" width="9.140625" style="102"/>
    <col min="13825" max="13825" width="4.85546875" style="102" customWidth="1"/>
    <col min="13826" max="13826" width="76.5703125" style="102" customWidth="1"/>
    <col min="13827" max="13827" width="14.140625" style="102" customWidth="1"/>
    <col min="13828" max="13829" width="6.28515625" style="102" customWidth="1"/>
    <col min="13830" max="13830" width="11.28515625" style="102" customWidth="1"/>
    <col min="13831" max="13831" width="11.5703125" style="102" customWidth="1"/>
    <col min="13832" max="13832" width="23.28515625" style="102" customWidth="1"/>
    <col min="13833" max="13833" width="21.5703125" style="102" customWidth="1"/>
    <col min="13834" max="13834" width="23.7109375" style="102" customWidth="1"/>
    <col min="13835" max="14080" width="9.140625" style="102"/>
    <col min="14081" max="14081" width="4.85546875" style="102" customWidth="1"/>
    <col min="14082" max="14082" width="76.5703125" style="102" customWidth="1"/>
    <col min="14083" max="14083" width="14.140625" style="102" customWidth="1"/>
    <col min="14084" max="14085" width="6.28515625" style="102" customWidth="1"/>
    <col min="14086" max="14086" width="11.28515625" style="102" customWidth="1"/>
    <col min="14087" max="14087" width="11.5703125" style="102" customWidth="1"/>
    <col min="14088" max="14088" width="23.28515625" style="102" customWidth="1"/>
    <col min="14089" max="14089" width="21.5703125" style="102" customWidth="1"/>
    <col min="14090" max="14090" width="23.7109375" style="102" customWidth="1"/>
    <col min="14091" max="14336" width="9.140625" style="102"/>
    <col min="14337" max="14337" width="4.85546875" style="102" customWidth="1"/>
    <col min="14338" max="14338" width="76.5703125" style="102" customWidth="1"/>
    <col min="14339" max="14339" width="14.140625" style="102" customWidth="1"/>
    <col min="14340" max="14341" width="6.28515625" style="102" customWidth="1"/>
    <col min="14342" max="14342" width="11.28515625" style="102" customWidth="1"/>
    <col min="14343" max="14343" width="11.5703125" style="102" customWidth="1"/>
    <col min="14344" max="14344" width="23.28515625" style="102" customWidth="1"/>
    <col min="14345" max="14345" width="21.5703125" style="102" customWidth="1"/>
    <col min="14346" max="14346" width="23.7109375" style="102" customWidth="1"/>
    <col min="14347" max="14592" width="9.140625" style="102"/>
    <col min="14593" max="14593" width="4.85546875" style="102" customWidth="1"/>
    <col min="14594" max="14594" width="76.5703125" style="102" customWidth="1"/>
    <col min="14595" max="14595" width="14.140625" style="102" customWidth="1"/>
    <col min="14596" max="14597" width="6.28515625" style="102" customWidth="1"/>
    <col min="14598" max="14598" width="11.28515625" style="102" customWidth="1"/>
    <col min="14599" max="14599" width="11.5703125" style="102" customWidth="1"/>
    <col min="14600" max="14600" width="23.28515625" style="102" customWidth="1"/>
    <col min="14601" max="14601" width="21.5703125" style="102" customWidth="1"/>
    <col min="14602" max="14602" width="23.7109375" style="102" customWidth="1"/>
    <col min="14603" max="14848" width="9.140625" style="102"/>
    <col min="14849" max="14849" width="4.85546875" style="102" customWidth="1"/>
    <col min="14850" max="14850" width="76.5703125" style="102" customWidth="1"/>
    <col min="14851" max="14851" width="14.140625" style="102" customWidth="1"/>
    <col min="14852" max="14853" width="6.28515625" style="102" customWidth="1"/>
    <col min="14854" max="14854" width="11.28515625" style="102" customWidth="1"/>
    <col min="14855" max="14855" width="11.5703125" style="102" customWidth="1"/>
    <col min="14856" max="14856" width="23.28515625" style="102" customWidth="1"/>
    <col min="14857" max="14857" width="21.5703125" style="102" customWidth="1"/>
    <col min="14858" max="14858" width="23.7109375" style="102" customWidth="1"/>
    <col min="14859" max="15104" width="9.140625" style="102"/>
    <col min="15105" max="15105" width="4.85546875" style="102" customWidth="1"/>
    <col min="15106" max="15106" width="76.5703125" style="102" customWidth="1"/>
    <col min="15107" max="15107" width="14.140625" style="102" customWidth="1"/>
    <col min="15108" max="15109" width="6.28515625" style="102" customWidth="1"/>
    <col min="15110" max="15110" width="11.28515625" style="102" customWidth="1"/>
    <col min="15111" max="15111" width="11.5703125" style="102" customWidth="1"/>
    <col min="15112" max="15112" width="23.28515625" style="102" customWidth="1"/>
    <col min="15113" max="15113" width="21.5703125" style="102" customWidth="1"/>
    <col min="15114" max="15114" width="23.7109375" style="102" customWidth="1"/>
    <col min="15115" max="15360" width="9.140625" style="102"/>
    <col min="15361" max="15361" width="4.85546875" style="102" customWidth="1"/>
    <col min="15362" max="15362" width="76.5703125" style="102" customWidth="1"/>
    <col min="15363" max="15363" width="14.140625" style="102" customWidth="1"/>
    <col min="15364" max="15365" width="6.28515625" style="102" customWidth="1"/>
    <col min="15366" max="15366" width="11.28515625" style="102" customWidth="1"/>
    <col min="15367" max="15367" width="11.5703125" style="102" customWidth="1"/>
    <col min="15368" max="15368" width="23.28515625" style="102" customWidth="1"/>
    <col min="15369" max="15369" width="21.5703125" style="102" customWidth="1"/>
    <col min="15370" max="15370" width="23.7109375" style="102" customWidth="1"/>
    <col min="15371" max="15616" width="9.140625" style="102"/>
    <col min="15617" max="15617" width="4.85546875" style="102" customWidth="1"/>
    <col min="15618" max="15618" width="76.5703125" style="102" customWidth="1"/>
    <col min="15619" max="15619" width="14.140625" style="102" customWidth="1"/>
    <col min="15620" max="15621" width="6.28515625" style="102" customWidth="1"/>
    <col min="15622" max="15622" width="11.28515625" style="102" customWidth="1"/>
    <col min="15623" max="15623" width="11.5703125" style="102" customWidth="1"/>
    <col min="15624" max="15624" width="23.28515625" style="102" customWidth="1"/>
    <col min="15625" max="15625" width="21.5703125" style="102" customWidth="1"/>
    <col min="15626" max="15626" width="23.7109375" style="102" customWidth="1"/>
    <col min="15627" max="15872" width="9.140625" style="102"/>
    <col min="15873" max="15873" width="4.85546875" style="102" customWidth="1"/>
    <col min="15874" max="15874" width="76.5703125" style="102" customWidth="1"/>
    <col min="15875" max="15875" width="14.140625" style="102" customWidth="1"/>
    <col min="15876" max="15877" width="6.28515625" style="102" customWidth="1"/>
    <col min="15878" max="15878" width="11.28515625" style="102" customWidth="1"/>
    <col min="15879" max="15879" width="11.5703125" style="102" customWidth="1"/>
    <col min="15880" max="15880" width="23.28515625" style="102" customWidth="1"/>
    <col min="15881" max="15881" width="21.5703125" style="102" customWidth="1"/>
    <col min="15882" max="15882" width="23.7109375" style="102" customWidth="1"/>
    <col min="15883" max="16128" width="9.140625" style="102"/>
    <col min="16129" max="16129" width="4.85546875" style="102" customWidth="1"/>
    <col min="16130" max="16130" width="76.5703125" style="102" customWidth="1"/>
    <col min="16131" max="16131" width="14.140625" style="102" customWidth="1"/>
    <col min="16132" max="16133" width="6.28515625" style="102" customWidth="1"/>
    <col min="16134" max="16134" width="11.28515625" style="102" customWidth="1"/>
    <col min="16135" max="16135" width="11.5703125" style="102" customWidth="1"/>
    <col min="16136" max="16136" width="23.28515625" style="102" customWidth="1"/>
    <col min="16137" max="16137" width="21.5703125" style="102" customWidth="1"/>
    <col min="16138" max="16138" width="23.7109375" style="102" customWidth="1"/>
    <col min="16139" max="16384" width="9.140625" style="102"/>
  </cols>
  <sheetData>
    <row r="1" spans="1:11" ht="20.25" customHeight="1">
      <c r="B1" s="3389" t="s">
        <v>2604</v>
      </c>
      <c r="C1" s="3389"/>
      <c r="D1" s="3389"/>
      <c r="E1" s="3389"/>
      <c r="F1" s="630"/>
      <c r="G1" s="630"/>
    </row>
    <row r="2" spans="1:11" ht="9.75" customHeight="1">
      <c r="B2" s="630"/>
      <c r="C2" s="630"/>
      <c r="D2" s="2030"/>
      <c r="E2" s="2030"/>
      <c r="F2" s="630"/>
      <c r="G2" s="630"/>
    </row>
    <row r="3" spans="1:11" ht="32.25" customHeight="1">
      <c r="B3" s="3390" t="s">
        <v>2605</v>
      </c>
      <c r="C3" s="3390"/>
      <c r="D3" s="3390"/>
      <c r="E3" s="3390"/>
      <c r="F3" s="3390"/>
      <c r="G3" s="373"/>
    </row>
    <row r="4" spans="1:11" ht="8.25" customHeight="1">
      <c r="B4" s="580"/>
      <c r="C4" s="580"/>
      <c r="D4" s="580"/>
      <c r="E4" s="580"/>
      <c r="F4" s="580"/>
      <c r="G4" s="580"/>
    </row>
    <row r="5" spans="1:11" ht="19.5" customHeight="1">
      <c r="B5" s="580"/>
      <c r="C5" s="580"/>
      <c r="D5" s="580"/>
      <c r="E5" s="580"/>
      <c r="F5" s="580"/>
      <c r="G5" s="2110" t="s">
        <v>89</v>
      </c>
    </row>
    <row r="6" spans="1:11" ht="17.25" customHeight="1">
      <c r="A6" s="3097" t="s">
        <v>2</v>
      </c>
      <c r="B6" s="3117" t="s">
        <v>3</v>
      </c>
      <c r="C6" s="3117" t="s">
        <v>1795</v>
      </c>
      <c r="D6" s="3117" t="s">
        <v>5</v>
      </c>
      <c r="E6" s="3117" t="s">
        <v>143</v>
      </c>
      <c r="F6" s="3117" t="s">
        <v>2606</v>
      </c>
      <c r="G6" s="3117"/>
      <c r="H6" s="2111"/>
      <c r="I6" s="373"/>
    </row>
    <row r="7" spans="1:11" ht="15.75" customHeight="1">
      <c r="A7" s="3098"/>
      <c r="B7" s="3117"/>
      <c r="C7" s="3117"/>
      <c r="D7" s="3117"/>
      <c r="E7" s="3117"/>
      <c r="F7" s="1899" t="s">
        <v>9</v>
      </c>
      <c r="G7" s="1899" t="s">
        <v>1668</v>
      </c>
      <c r="H7" s="2111"/>
      <c r="I7" s="373"/>
      <c r="J7" s="2112"/>
    </row>
    <row r="8" spans="1:11" s="598" customFormat="1" ht="18" customHeight="1">
      <c r="A8" s="2113">
        <v>1</v>
      </c>
      <c r="B8" s="1899">
        <v>2</v>
      </c>
      <c r="C8" s="1899">
        <v>3</v>
      </c>
      <c r="D8" s="1899">
        <v>4</v>
      </c>
      <c r="E8" s="1899">
        <v>5</v>
      </c>
      <c r="F8" s="1899">
        <v>6</v>
      </c>
      <c r="G8" s="1899">
        <v>7</v>
      </c>
      <c r="H8" s="2114"/>
      <c r="I8" s="1950"/>
      <c r="J8" s="2112"/>
      <c r="K8" s="576"/>
    </row>
    <row r="9" spans="1:11" ht="18.75" customHeight="1">
      <c r="A9" s="1291">
        <v>1</v>
      </c>
      <c r="B9" s="1290" t="s">
        <v>2588</v>
      </c>
      <c r="C9" s="1291">
        <v>7132210017</v>
      </c>
      <c r="D9" s="1291" t="s">
        <v>68</v>
      </c>
      <c r="E9" s="1291">
        <v>1</v>
      </c>
      <c r="F9" s="1132">
        <f>VLOOKUP(C9,'[25]SOR RATE'!A:D,4,0)</f>
        <v>75035.14</v>
      </c>
      <c r="G9" s="1202">
        <f t="shared" ref="G9:G22" si="0">F9*E9</f>
        <v>75035.14</v>
      </c>
      <c r="H9" s="2115"/>
      <c r="I9" s="2116"/>
    </row>
    <row r="10" spans="1:11" ht="16.5" customHeight="1">
      <c r="A10" s="1291">
        <v>2</v>
      </c>
      <c r="B10" s="1290" t="s">
        <v>1248</v>
      </c>
      <c r="C10" s="1291">
        <v>7130800033</v>
      </c>
      <c r="D10" s="1291" t="s">
        <v>68</v>
      </c>
      <c r="E10" s="1291">
        <v>1</v>
      </c>
      <c r="F10" s="1132">
        <f>VLOOKUP(C10,'[25]SOR RATE'!A621:D621,4,0)</f>
        <v>2596.21</v>
      </c>
      <c r="G10" s="1202">
        <f t="shared" si="0"/>
        <v>2596.21</v>
      </c>
    </row>
    <row r="11" spans="1:11" ht="16.5" customHeight="1">
      <c r="A11" s="1291">
        <f>A10+1</f>
        <v>3</v>
      </c>
      <c r="B11" s="1290" t="s">
        <v>2607</v>
      </c>
      <c r="C11" s="1616">
        <v>7130810495</v>
      </c>
      <c r="D11" s="1914" t="s">
        <v>12</v>
      </c>
      <c r="E11" s="1291">
        <v>1</v>
      </c>
      <c r="F11" s="1132">
        <f>VLOOKUP(C11,'[25]SOR RATE'!A:D,4,0)</f>
        <v>1380.08</v>
      </c>
      <c r="G11" s="1202">
        <f t="shared" si="0"/>
        <v>1380.08</v>
      </c>
      <c r="I11" s="2116"/>
    </row>
    <row r="12" spans="1:11" ht="16.5" customHeight="1">
      <c r="A12" s="1291">
        <v>4</v>
      </c>
      <c r="B12" s="1290" t="s">
        <v>2608</v>
      </c>
      <c r="C12" s="1616">
        <v>7130810679</v>
      </c>
      <c r="D12" s="1914" t="s">
        <v>12</v>
      </c>
      <c r="E12" s="1291">
        <v>1</v>
      </c>
      <c r="F12" s="1132">
        <f>VLOOKUP(C12,'[25]SOR RATE'!A:D,4,0)</f>
        <v>387.16</v>
      </c>
      <c r="G12" s="1202">
        <f t="shared" si="0"/>
        <v>387.16</v>
      </c>
      <c r="I12" s="2116"/>
    </row>
    <row r="13" spans="1:11" ht="16.5" customHeight="1">
      <c r="A13" s="1291">
        <v>5</v>
      </c>
      <c r="B13" s="1619" t="s">
        <v>102</v>
      </c>
      <c r="C13" s="1616">
        <v>7130820008</v>
      </c>
      <c r="D13" s="1914" t="s">
        <v>12</v>
      </c>
      <c r="E13" s="1291">
        <v>3</v>
      </c>
      <c r="F13" s="1132">
        <f>VLOOKUP(C13,'[25]SOR RATE'!A:D,4,0)</f>
        <v>157.08000000000001</v>
      </c>
      <c r="G13" s="1202">
        <f t="shared" si="0"/>
        <v>471.24</v>
      </c>
      <c r="I13" s="85"/>
      <c r="J13" s="85"/>
    </row>
    <row r="14" spans="1:11" ht="16.5" customHeight="1">
      <c r="A14" s="1291">
        <v>6</v>
      </c>
      <c r="B14" s="1290" t="s">
        <v>67</v>
      </c>
      <c r="C14" s="2299">
        <v>7130820010</v>
      </c>
      <c r="D14" s="1914" t="s">
        <v>12</v>
      </c>
      <c r="E14" s="1291">
        <v>3</v>
      </c>
      <c r="F14" s="1132">
        <f>VLOOKUP(C14,'[25]SOR RATE'!A:D,4,0)</f>
        <v>118.97</v>
      </c>
      <c r="G14" s="1202">
        <f t="shared" si="0"/>
        <v>356.90999999999997</v>
      </c>
      <c r="I14" s="105"/>
    </row>
    <row r="15" spans="1:11" ht="16.5" customHeight="1">
      <c r="A15" s="1291">
        <v>7</v>
      </c>
      <c r="B15" s="1290" t="s">
        <v>2609</v>
      </c>
      <c r="C15" s="1616">
        <v>7130820241</v>
      </c>
      <c r="D15" s="1914" t="s">
        <v>12</v>
      </c>
      <c r="E15" s="1291">
        <v>3</v>
      </c>
      <c r="F15" s="1132">
        <f>VLOOKUP(C15,'[25]SOR RATE'!A:D,4,0)</f>
        <v>153.49</v>
      </c>
      <c r="G15" s="1202">
        <f t="shared" si="0"/>
        <v>460.47</v>
      </c>
    </row>
    <row r="16" spans="1:11" ht="19.5" customHeight="1">
      <c r="A16" s="1291">
        <v>8</v>
      </c>
      <c r="B16" s="1290" t="s">
        <v>2610</v>
      </c>
      <c r="C16" s="2301">
        <v>7130810509</v>
      </c>
      <c r="D16" s="1621" t="s">
        <v>12</v>
      </c>
      <c r="E16" s="1291">
        <v>1</v>
      </c>
      <c r="F16" s="1132">
        <f>VLOOKUP(C16,'[25]SOR RATE'!A:D,4,0)</f>
        <v>2187.33</v>
      </c>
      <c r="G16" s="1202">
        <f t="shared" si="0"/>
        <v>2187.33</v>
      </c>
      <c r="I16" s="2116"/>
    </row>
    <row r="17" spans="1:10" ht="16.5" customHeight="1">
      <c r="A17" s="1913">
        <v>9</v>
      </c>
      <c r="B17" s="1290" t="s">
        <v>2611</v>
      </c>
      <c r="C17" s="2299">
        <v>7131930412</v>
      </c>
      <c r="D17" s="1914" t="s">
        <v>33</v>
      </c>
      <c r="E17" s="1291">
        <v>3</v>
      </c>
      <c r="F17" s="1132">
        <f>VLOOKUP(C17,'[25]SOR RATE'!A:D,4,0)</f>
        <v>1123.1500000000001</v>
      </c>
      <c r="G17" s="1202">
        <f t="shared" si="0"/>
        <v>3369.4500000000003</v>
      </c>
    </row>
    <row r="18" spans="1:10" ht="17.25" customHeight="1">
      <c r="A18" s="1291">
        <v>10</v>
      </c>
      <c r="B18" s="1290" t="s">
        <v>2612</v>
      </c>
      <c r="C18" s="1291">
        <v>7130600023</v>
      </c>
      <c r="D18" s="1291" t="s">
        <v>26</v>
      </c>
      <c r="E18" s="1291">
        <v>20</v>
      </c>
      <c r="F18" s="1132">
        <f>VLOOKUP(C18,'[25]SOR RATE'!A:D,4,0)/1000</f>
        <v>54.512970000000003</v>
      </c>
      <c r="G18" s="1202">
        <f t="shared" si="0"/>
        <v>1090.2594000000001</v>
      </c>
      <c r="I18" s="2116"/>
    </row>
    <row r="19" spans="1:10" ht="17.25" customHeight="1">
      <c r="A19" s="1913">
        <v>11</v>
      </c>
      <c r="B19" s="1290" t="s">
        <v>2593</v>
      </c>
      <c r="C19" s="1817">
        <v>7130810193</v>
      </c>
      <c r="D19" s="1291" t="s">
        <v>15</v>
      </c>
      <c r="E19" s="1291">
        <v>4</v>
      </c>
      <c r="F19" s="1132">
        <f>VLOOKUP(C19,'[25]SOR RATE'!A:D,4,0)</f>
        <v>369.79</v>
      </c>
      <c r="G19" s="1202">
        <f>F19*E19</f>
        <v>1479.16</v>
      </c>
      <c r="H19" s="1944" t="s">
        <v>119</v>
      </c>
      <c r="I19" s="2116"/>
    </row>
    <row r="20" spans="1:10" ht="16.5" customHeight="1">
      <c r="A20" s="3269">
        <v>12</v>
      </c>
      <c r="B20" s="1290" t="s">
        <v>236</v>
      </c>
      <c r="C20" s="2299">
        <v>7130860032</v>
      </c>
      <c r="D20" s="1914" t="s">
        <v>12</v>
      </c>
      <c r="E20" s="1291">
        <v>4</v>
      </c>
      <c r="F20" s="1132">
        <f>VLOOKUP(C20,'[25]SOR RATE'!A:D,4,0)</f>
        <v>566.19000000000005</v>
      </c>
      <c r="G20" s="1202">
        <f t="shared" si="0"/>
        <v>2264.7600000000002</v>
      </c>
    </row>
    <row r="21" spans="1:10" ht="18" customHeight="1">
      <c r="A21" s="3270"/>
      <c r="B21" s="1290" t="s">
        <v>2613</v>
      </c>
      <c r="C21" s="2299">
        <v>7130860077</v>
      </c>
      <c r="D21" s="1914" t="s">
        <v>26</v>
      </c>
      <c r="E21" s="1291">
        <v>22</v>
      </c>
      <c r="F21" s="1132">
        <f>VLOOKUP(C21,'[25]SOR RATE'!A:D,4,0)/1000</f>
        <v>93.76643</v>
      </c>
      <c r="G21" s="1202">
        <f t="shared" si="0"/>
        <v>2062.8614600000001</v>
      </c>
    </row>
    <row r="22" spans="1:10" ht="15.75" customHeight="1">
      <c r="A22" s="3271"/>
      <c r="B22" s="1290" t="s">
        <v>2614</v>
      </c>
      <c r="C22" s="2381">
        <v>7130810026</v>
      </c>
      <c r="D22" s="1914" t="s">
        <v>15</v>
      </c>
      <c r="E22" s="1291">
        <v>4</v>
      </c>
      <c r="F22" s="1132">
        <f>VLOOKUP(C22,'[25]SOR RATE'!A201:D201,4,0)</f>
        <v>198.14</v>
      </c>
      <c r="G22" s="1202">
        <f t="shared" si="0"/>
        <v>792.56</v>
      </c>
    </row>
    <row r="23" spans="1:10" ht="34.5" customHeight="1">
      <c r="A23" s="1291">
        <v>13</v>
      </c>
      <c r="B23" s="1290" t="s">
        <v>2615</v>
      </c>
      <c r="C23" s="1291">
        <v>7130200202</v>
      </c>
      <c r="D23" s="1291" t="s">
        <v>76</v>
      </c>
      <c r="E23" s="1291">
        <f>(0.55*1)+(0.2*4)</f>
        <v>1.35</v>
      </c>
      <c r="F23" s="1132">
        <f>VLOOKUP(C23,'[25]SOR RATE'!A:D,4,0)</f>
        <v>2970</v>
      </c>
      <c r="G23" s="1202">
        <f>E23*F23</f>
        <v>4009.5000000000005</v>
      </c>
      <c r="H23" s="86" t="s">
        <v>47</v>
      </c>
      <c r="J23" s="582"/>
    </row>
    <row r="24" spans="1:10" ht="16.5" customHeight="1">
      <c r="A24" s="1291">
        <v>14</v>
      </c>
      <c r="B24" s="1290" t="s">
        <v>1669</v>
      </c>
      <c r="C24" s="2299">
        <v>7130810517</v>
      </c>
      <c r="D24" s="1914" t="s">
        <v>40</v>
      </c>
      <c r="E24" s="1291">
        <v>2</v>
      </c>
      <c r="F24" s="1132">
        <f>VLOOKUP(C24,'[25]SOR RATE'!A:D,4,0)</f>
        <v>5987.84</v>
      </c>
      <c r="G24" s="1202">
        <f>F24*E24</f>
        <v>11975.68</v>
      </c>
      <c r="H24" s="100"/>
    </row>
    <row r="25" spans="1:10" ht="17.25" customHeight="1">
      <c r="A25" s="1291">
        <v>15</v>
      </c>
      <c r="B25" s="1290" t="s">
        <v>32</v>
      </c>
      <c r="C25" s="2299">
        <v>7130880041</v>
      </c>
      <c r="D25" s="1914" t="s">
        <v>33</v>
      </c>
      <c r="E25" s="1291">
        <v>1</v>
      </c>
      <c r="F25" s="1132">
        <f>VLOOKUP(C25,'[25]SOR RATE'!A:D,4,0)</f>
        <v>113.77</v>
      </c>
      <c r="G25" s="1202">
        <f>F25*E25</f>
        <v>113.77</v>
      </c>
    </row>
    <row r="26" spans="1:10" ht="16.5" customHeight="1">
      <c r="A26" s="1291">
        <v>16</v>
      </c>
      <c r="B26" s="1619" t="s">
        <v>31</v>
      </c>
      <c r="C26" s="1625">
        <v>7130610206</v>
      </c>
      <c r="D26" s="1914" t="s">
        <v>26</v>
      </c>
      <c r="E26" s="1291">
        <v>2</v>
      </c>
      <c r="F26" s="1132">
        <f>VLOOKUP(C26,'[25]SOR RATE'!A:D,4,0)/1000</f>
        <v>97.233429999999998</v>
      </c>
      <c r="G26" s="1202">
        <f>F26*E26</f>
        <v>194.46686</v>
      </c>
      <c r="H26" s="505"/>
      <c r="I26" s="803"/>
      <c r="J26" s="85"/>
    </row>
    <row r="27" spans="1:10" ht="16.5" customHeight="1">
      <c r="A27" s="3269">
        <v>17</v>
      </c>
      <c r="B27" s="1290" t="s">
        <v>2616</v>
      </c>
      <c r="C27" s="2296"/>
      <c r="D27" s="2382"/>
      <c r="E27" s="2382"/>
      <c r="F27" s="2382"/>
      <c r="G27" s="2383"/>
    </row>
    <row r="28" spans="1:10" ht="16.5" customHeight="1">
      <c r="A28" s="3270"/>
      <c r="B28" s="1290" t="s">
        <v>2617</v>
      </c>
      <c r="C28" s="2299">
        <v>7130641396</v>
      </c>
      <c r="D28" s="1914" t="s">
        <v>21</v>
      </c>
      <c r="E28" s="1291">
        <v>9</v>
      </c>
      <c r="F28" s="1132">
        <f>VLOOKUP(C28,'[25]SOR RATE'!A:D,4,0)</f>
        <v>253.11</v>
      </c>
      <c r="G28" s="1202">
        <f>F28*E28</f>
        <v>2277.9900000000002</v>
      </c>
    </row>
    <row r="29" spans="1:10" ht="16.5" customHeight="1">
      <c r="A29" s="3271"/>
      <c r="B29" s="1290" t="s">
        <v>41</v>
      </c>
      <c r="C29" s="2299">
        <v>7130870043</v>
      </c>
      <c r="D29" s="1914" t="s">
        <v>26</v>
      </c>
      <c r="E29" s="1291">
        <v>15</v>
      </c>
      <c r="F29" s="1132">
        <f>VLOOKUP(C29,'[25]SOR RATE'!A:D,4,0)/1000</f>
        <v>80.521839999999997</v>
      </c>
      <c r="G29" s="1202">
        <f>F29*E29</f>
        <v>1207.8276000000001</v>
      </c>
    </row>
    <row r="30" spans="1:10" ht="16.5" customHeight="1">
      <c r="A30" s="1291">
        <v>18</v>
      </c>
      <c r="B30" s="1290" t="s">
        <v>161</v>
      </c>
      <c r="C30" s="2384">
        <v>7130211158</v>
      </c>
      <c r="D30" s="1914" t="s">
        <v>29</v>
      </c>
      <c r="E30" s="1291">
        <v>1</v>
      </c>
      <c r="F30" s="1132">
        <f>VLOOKUP(C30,'[25]SOR RATE'!A:D,4,0)</f>
        <v>193.62</v>
      </c>
      <c r="G30" s="1202">
        <f>F30*E30</f>
        <v>193.62</v>
      </c>
    </row>
    <row r="31" spans="1:10" ht="16.5" customHeight="1">
      <c r="A31" s="1291">
        <v>19</v>
      </c>
      <c r="B31" s="1290" t="s">
        <v>162</v>
      </c>
      <c r="C31" s="1616">
        <v>7130210809</v>
      </c>
      <c r="D31" s="1914" t="s">
        <v>29</v>
      </c>
      <c r="E31" s="1291">
        <v>1</v>
      </c>
      <c r="F31" s="1132">
        <f>VLOOKUP(C31,'[25]SOR RATE'!A:D,4,0)</f>
        <v>432.63</v>
      </c>
      <c r="G31" s="1202">
        <f>F31*E31</f>
        <v>432.63</v>
      </c>
    </row>
    <row r="32" spans="1:10" ht="16.5" customHeight="1">
      <c r="A32" s="1291">
        <v>20</v>
      </c>
      <c r="B32" s="1290" t="s">
        <v>712</v>
      </c>
      <c r="C32" s="2299">
        <v>7130840029</v>
      </c>
      <c r="D32" s="1914" t="s">
        <v>33</v>
      </c>
      <c r="E32" s="1291">
        <v>3</v>
      </c>
      <c r="F32" s="1132">
        <f>VLOOKUP(C32,'[25]SOR RATE'!A:D,4,0)</f>
        <v>368.52</v>
      </c>
      <c r="G32" s="1202">
        <f>F32*E32</f>
        <v>1105.56</v>
      </c>
      <c r="I32" s="105"/>
    </row>
    <row r="33" spans="1:10" ht="16.5" customHeight="1">
      <c r="A33" s="3269">
        <v>21</v>
      </c>
      <c r="B33" s="1290" t="s">
        <v>1443</v>
      </c>
      <c r="C33" s="2296"/>
      <c r="D33" s="2382"/>
      <c r="E33" s="2382"/>
      <c r="F33" s="2382"/>
      <c r="G33" s="2383"/>
    </row>
    <row r="34" spans="1:10" ht="16.5" customHeight="1">
      <c r="A34" s="3270"/>
      <c r="B34" s="1290" t="s">
        <v>2618</v>
      </c>
      <c r="C34" s="2299">
        <v>7130620609</v>
      </c>
      <c r="D34" s="1620" t="s">
        <v>26</v>
      </c>
      <c r="E34" s="1291">
        <v>1</v>
      </c>
      <c r="F34" s="1132">
        <f>VLOOKUP(C34,'[25]SOR RATE'!A:D,4,0)</f>
        <v>87.23</v>
      </c>
      <c r="G34" s="1202">
        <f t="shared" ref="G34:G40" si="1">F34*E34</f>
        <v>87.23</v>
      </c>
    </row>
    <row r="35" spans="1:10" ht="16.5" customHeight="1">
      <c r="A35" s="3270"/>
      <c r="B35" s="1290" t="s">
        <v>2619</v>
      </c>
      <c r="C35" s="2299">
        <v>7130620614</v>
      </c>
      <c r="D35" s="1620" t="s">
        <v>26</v>
      </c>
      <c r="E35" s="1291">
        <v>4</v>
      </c>
      <c r="F35" s="1132">
        <f>VLOOKUP(C35,'[25]SOR RATE'!A:D,4,0)</f>
        <v>85.77</v>
      </c>
      <c r="G35" s="1202">
        <f t="shared" si="1"/>
        <v>343.08</v>
      </c>
    </row>
    <row r="36" spans="1:10" ht="16.5" customHeight="1">
      <c r="A36" s="3270"/>
      <c r="B36" s="1290" t="s">
        <v>2620</v>
      </c>
      <c r="C36" s="2299">
        <v>7130620625</v>
      </c>
      <c r="D36" s="1620" t="s">
        <v>26</v>
      </c>
      <c r="E36" s="1291">
        <v>4</v>
      </c>
      <c r="F36" s="1132">
        <f>VLOOKUP(C36,'[25]SOR RATE'!A:D,4,0)</f>
        <v>84.32</v>
      </c>
      <c r="G36" s="1202">
        <f t="shared" si="1"/>
        <v>337.28</v>
      </c>
    </row>
    <row r="37" spans="1:10" ht="16.5" customHeight="1">
      <c r="A37" s="3271"/>
      <c r="B37" s="1290" t="s">
        <v>2621</v>
      </c>
      <c r="C37" s="2299">
        <v>7130620631</v>
      </c>
      <c r="D37" s="1620" t="s">
        <v>26</v>
      </c>
      <c r="E37" s="1291">
        <v>5</v>
      </c>
      <c r="F37" s="1132">
        <f>VLOOKUP(C37,'[25]SOR RATE'!A:D,4,0)</f>
        <v>84.32</v>
      </c>
      <c r="G37" s="1202">
        <f t="shared" si="1"/>
        <v>421.59999999999997</v>
      </c>
    </row>
    <row r="38" spans="1:10" ht="16.5" customHeight="1">
      <c r="A38" s="1291">
        <v>22</v>
      </c>
      <c r="B38" s="1290" t="s">
        <v>2622</v>
      </c>
      <c r="C38" s="2299">
        <v>7131920253</v>
      </c>
      <c r="D38" s="1914" t="s">
        <v>12</v>
      </c>
      <c r="E38" s="1291">
        <v>1</v>
      </c>
      <c r="F38" s="1132">
        <f>VLOOKUP(C38,'[25]SOR RATE'!A:D,4,0)</f>
        <v>885.43</v>
      </c>
      <c r="G38" s="1202">
        <f t="shared" si="1"/>
        <v>885.43</v>
      </c>
    </row>
    <row r="39" spans="1:10" ht="18" customHeight="1">
      <c r="A39" s="1291">
        <v>23</v>
      </c>
      <c r="B39" s="1290" t="s">
        <v>2623</v>
      </c>
      <c r="C39" s="1291">
        <v>7130311084</v>
      </c>
      <c r="D39" s="1291" t="s">
        <v>190</v>
      </c>
      <c r="E39" s="1291">
        <v>30</v>
      </c>
      <c r="F39" s="1132">
        <f>VLOOKUP(C39,'[25]SOR RATE'!A:D,4,0)/1000</f>
        <v>78.216340000000002</v>
      </c>
      <c r="G39" s="1202">
        <f t="shared" si="1"/>
        <v>2346.4902000000002</v>
      </c>
      <c r="I39" s="2008"/>
      <c r="J39" s="2008"/>
    </row>
    <row r="40" spans="1:10" ht="15.75" customHeight="1">
      <c r="A40" s="1291">
        <v>24</v>
      </c>
      <c r="B40" s="1290" t="s">
        <v>2624</v>
      </c>
      <c r="C40" s="2299">
        <v>7130890004</v>
      </c>
      <c r="D40" s="1291" t="s">
        <v>68</v>
      </c>
      <c r="E40" s="1291">
        <v>1</v>
      </c>
      <c r="F40" s="1132">
        <f>VLOOKUP(C40,'[25]SOR RATE'!A:D,4,0)</f>
        <v>6584.07</v>
      </c>
      <c r="G40" s="1202">
        <f t="shared" si="1"/>
        <v>6584.07</v>
      </c>
    </row>
    <row r="41" spans="1:10" ht="17.25" customHeight="1">
      <c r="A41" s="1915">
        <v>25</v>
      </c>
      <c r="B41" s="1639" t="s">
        <v>48</v>
      </c>
      <c r="C41" s="1915"/>
      <c r="D41" s="1291"/>
      <c r="E41" s="1291"/>
      <c r="F41" s="1291"/>
      <c r="G41" s="1916">
        <f>SUM(G9:G40)</f>
        <v>126449.81552000003</v>
      </c>
      <c r="H41" s="130"/>
    </row>
    <row r="42" spans="1:10" ht="17.25" customHeight="1">
      <c r="A42" s="2003">
        <v>26</v>
      </c>
      <c r="B42" s="1639" t="s">
        <v>49</v>
      </c>
      <c r="C42" s="1915"/>
      <c r="D42" s="1291"/>
      <c r="E42" s="1291"/>
      <c r="F42" s="1291"/>
      <c r="G42" s="1916">
        <f>G41/1.18</f>
        <v>107160.86061016952</v>
      </c>
      <c r="H42" s="87"/>
    </row>
    <row r="43" spans="1:10" ht="18" customHeight="1">
      <c r="A43" s="1911">
        <v>27</v>
      </c>
      <c r="B43" s="1619" t="s">
        <v>50</v>
      </c>
      <c r="C43" s="1290"/>
      <c r="D43" s="1290"/>
      <c r="E43" s="1290"/>
      <c r="F43" s="1291">
        <v>7.4999999999999997E-2</v>
      </c>
      <c r="G43" s="1202">
        <f>G41*F43</f>
        <v>9483.7361640000017</v>
      </c>
      <c r="H43" s="803"/>
      <c r="I43" s="85"/>
    </row>
    <row r="44" spans="1:10" ht="17.25" customHeight="1">
      <c r="A44" s="1914">
        <v>28</v>
      </c>
      <c r="B44" s="1290" t="s">
        <v>2625</v>
      </c>
      <c r="C44" s="1291"/>
      <c r="D44" s="1291" t="s">
        <v>68</v>
      </c>
      <c r="E44" s="1291">
        <v>0</v>
      </c>
      <c r="F44" s="1202">
        <f>339.936450725958*1.043</f>
        <v>354.55371810717418</v>
      </c>
      <c r="G44" s="1202">
        <f>F44*E44</f>
        <v>0</v>
      </c>
      <c r="I44" s="2120"/>
      <c r="J44" s="843"/>
    </row>
    <row r="45" spans="1:10" ht="18" customHeight="1">
      <c r="A45" s="1914">
        <v>29</v>
      </c>
      <c r="B45" s="1624" t="s">
        <v>82</v>
      </c>
      <c r="C45" s="1291"/>
      <c r="D45" s="1291" t="s">
        <v>76</v>
      </c>
      <c r="E45" s="1291">
        <v>1.35</v>
      </c>
      <c r="F45" s="1202">
        <f>665.173187113158*1.043</f>
        <v>693.77563415902364</v>
      </c>
      <c r="G45" s="1202">
        <f>F45*E45</f>
        <v>936.59710611468199</v>
      </c>
      <c r="H45" s="2117"/>
      <c r="I45" s="2120"/>
      <c r="J45" s="843"/>
    </row>
    <row r="46" spans="1:10" ht="18.75" customHeight="1">
      <c r="A46" s="1914">
        <v>30</v>
      </c>
      <c r="B46" s="1290" t="s">
        <v>2626</v>
      </c>
      <c r="C46" s="1291"/>
      <c r="D46" s="1291"/>
      <c r="E46" s="1291"/>
      <c r="F46" s="1291"/>
      <c r="G46" s="1202">
        <v>7915.89</v>
      </c>
      <c r="H46" s="1997"/>
      <c r="I46" s="2120"/>
      <c r="J46" s="843"/>
    </row>
    <row r="47" spans="1:10" ht="18.75" customHeight="1">
      <c r="A47" s="1914">
        <v>31</v>
      </c>
      <c r="B47" s="564" t="s">
        <v>1716</v>
      </c>
      <c r="C47" s="1291"/>
      <c r="D47" s="1291"/>
      <c r="E47" s="1291"/>
      <c r="F47" s="1291">
        <v>0.02</v>
      </c>
      <c r="G47" s="2385">
        <f>(G9/1.18)*F47</f>
        <v>1271.7820338983051</v>
      </c>
      <c r="H47" s="1944" t="s">
        <v>119</v>
      </c>
      <c r="I47" s="2120"/>
      <c r="J47" s="843"/>
    </row>
    <row r="48" spans="1:10" ht="32.25" customHeight="1">
      <c r="A48" s="1914">
        <v>32</v>
      </c>
      <c r="B48" s="1290" t="s">
        <v>2627</v>
      </c>
      <c r="C48" s="1291"/>
      <c r="D48" s="1291"/>
      <c r="E48" s="1291"/>
      <c r="F48" s="1202">
        <v>0.04</v>
      </c>
      <c r="G48" s="1676">
        <f>((G41-G9)/1.18)*F48</f>
        <v>1742.8703566101708</v>
      </c>
      <c r="H48" s="1945" t="s">
        <v>1827</v>
      </c>
      <c r="I48" s="82"/>
    </row>
    <row r="49" spans="1:9" ht="32.25" customHeight="1">
      <c r="A49" s="1914">
        <v>33</v>
      </c>
      <c r="B49" s="1626" t="s">
        <v>2628</v>
      </c>
      <c r="C49" s="1291"/>
      <c r="D49" s="1291"/>
      <c r="E49" s="1291"/>
      <c r="F49" s="1202"/>
      <c r="G49" s="1676">
        <f>(G41+G43+G44+G45+G46+G47+G48)*0.125</f>
        <v>18475.086397577899</v>
      </c>
      <c r="H49" s="92"/>
      <c r="I49" s="82"/>
    </row>
    <row r="50" spans="1:9" ht="17.25" customHeight="1">
      <c r="A50" s="1917">
        <v>34</v>
      </c>
      <c r="B50" s="1647" t="s">
        <v>2629</v>
      </c>
      <c r="C50" s="1291"/>
      <c r="D50" s="1291"/>
      <c r="E50" s="1291"/>
      <c r="F50" s="1916"/>
      <c r="G50" s="1916">
        <f>SUM(G42:G49)</f>
        <v>146986.82266837059</v>
      </c>
      <c r="H50" s="132"/>
    </row>
    <row r="51" spans="1:9" ht="18.75" customHeight="1">
      <c r="A51" s="1914">
        <v>35</v>
      </c>
      <c r="B51" s="1619" t="s">
        <v>2630</v>
      </c>
      <c r="C51" s="1291"/>
      <c r="D51" s="1291"/>
      <c r="E51" s="1291"/>
      <c r="F51" s="1202">
        <v>0.09</v>
      </c>
      <c r="G51" s="1202">
        <f>G50*F51</f>
        <v>13228.814040153353</v>
      </c>
      <c r="H51" s="132"/>
    </row>
    <row r="52" spans="1:9" ht="18" customHeight="1">
      <c r="A52" s="1914">
        <v>36</v>
      </c>
      <c r="B52" s="1619" t="s">
        <v>2631</v>
      </c>
      <c r="C52" s="1291"/>
      <c r="D52" s="1291"/>
      <c r="E52" s="1291"/>
      <c r="F52" s="1202">
        <v>0.09</v>
      </c>
      <c r="G52" s="1202">
        <f>G50*F52</f>
        <v>13228.814040153353</v>
      </c>
      <c r="H52" s="578"/>
    </row>
    <row r="53" spans="1:9" ht="16.5" customHeight="1">
      <c r="A53" s="1914">
        <v>37</v>
      </c>
      <c r="B53" s="1626" t="s">
        <v>2632</v>
      </c>
      <c r="C53" s="1291"/>
      <c r="D53" s="1291"/>
      <c r="E53" s="1291"/>
      <c r="F53" s="1291"/>
      <c r="G53" s="1202">
        <f>G50+G51+G52</f>
        <v>173444.45074867728</v>
      </c>
    </row>
    <row r="54" spans="1:9" ht="17.25" customHeight="1">
      <c r="A54" s="1917">
        <v>38</v>
      </c>
      <c r="B54" s="1647" t="s">
        <v>59</v>
      </c>
      <c r="C54" s="1915"/>
      <c r="D54" s="1915"/>
      <c r="E54" s="1915"/>
      <c r="F54" s="1916"/>
      <c r="G54" s="1916">
        <f>ROUND(G53,0)</f>
        <v>173444</v>
      </c>
    </row>
    <row r="56" spans="1:9" ht="18">
      <c r="A56" s="614" t="s">
        <v>62</v>
      </c>
      <c r="B56" s="105" t="s">
        <v>2487</v>
      </c>
    </row>
    <row r="57" spans="1:9" ht="18">
      <c r="A57" s="614"/>
      <c r="B57" s="105"/>
    </row>
    <row r="58" spans="1:9" ht="18">
      <c r="A58" s="614"/>
      <c r="B58" s="105"/>
    </row>
    <row r="59" spans="1:9" ht="15">
      <c r="B59" s="2118"/>
      <c r="C59" s="2118"/>
      <c r="D59" s="2059"/>
      <c r="I59" s="2118"/>
    </row>
    <row r="60" spans="1:9" ht="18.75" customHeight="1">
      <c r="B60" s="2118"/>
      <c r="C60" s="2118"/>
      <c r="D60" s="2059"/>
    </row>
  </sheetData>
  <mergeCells count="11">
    <mergeCell ref="A20:A22"/>
    <mergeCell ref="A27:A29"/>
    <mergeCell ref="A33:A37"/>
    <mergeCell ref="B1:E1"/>
    <mergeCell ref="B3:F3"/>
    <mergeCell ref="A6:A7"/>
    <mergeCell ref="B6:B7"/>
    <mergeCell ref="C6:C7"/>
    <mergeCell ref="D6:D7"/>
    <mergeCell ref="E6:E7"/>
    <mergeCell ref="F6:G6"/>
  </mergeCells>
  <conditionalFormatting sqref="B41">
    <cfRule type="cellIs" dxfId="64" priority="2" stopIfTrue="1" operator="equal">
      <formula>"?"</formula>
    </cfRule>
  </conditionalFormatting>
  <conditionalFormatting sqref="B42">
    <cfRule type="cellIs" dxfId="63" priority="1" stopIfTrue="1" operator="equal">
      <formula>"?"</formula>
    </cfRule>
  </conditionalFormatting>
  <printOptions horizontalCentered="1"/>
  <pageMargins left="0.85" right="0.16" top="0.69" bottom="0.3" header="0.49" footer="0.15"/>
  <pageSetup paperSize="9" scale="102" orientation="landscape" verticalDpi="300" r:id="rId1"/>
  <headerFooter alignWithMargins="0"/>
  <rowBreaks count="1" manualBreakCount="1">
    <brk id="29"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7"/>
  <sheetViews>
    <sheetView zoomScaleNormal="100" workbookViewId="0">
      <pane xSplit="2" ySplit="7" topLeftCell="C58" activePane="bottomRight" state="frozen"/>
      <selection pane="topRight" activeCell="C1" sqref="C1"/>
      <selection pane="bottomLeft" activeCell="A8" sqref="A8"/>
      <selection pane="bottomRight" activeCell="L62" sqref="L62"/>
    </sheetView>
  </sheetViews>
  <sheetFormatPr defaultRowHeight="12.75"/>
  <cols>
    <col min="1" max="1" width="3.85546875" style="137" customWidth="1"/>
    <col min="2" max="2" width="38.7109375" style="70" customWidth="1"/>
    <col min="3" max="3" width="12.28515625" style="70" customWidth="1"/>
    <col min="4" max="4" width="7.85546875" style="70" customWidth="1"/>
    <col min="5" max="5" width="10.85546875" style="70" bestFit="1" customWidth="1"/>
    <col min="6" max="6" width="5.5703125" style="70" customWidth="1"/>
    <col min="7" max="7" width="10.42578125" style="70" customWidth="1"/>
    <col min="8" max="8" width="5.5703125" style="70" bestFit="1" customWidth="1"/>
    <col min="9" max="9" width="10.7109375" style="70" customWidth="1"/>
    <col min="10" max="10" width="5.7109375" style="70" customWidth="1"/>
    <col min="11" max="11" width="10.5703125" style="70" customWidth="1"/>
    <col min="12" max="12" width="23.42578125" style="70" customWidth="1"/>
    <col min="13" max="13" width="20" style="70" customWidth="1"/>
    <col min="14" max="14" width="12.140625" style="70" customWidth="1"/>
    <col min="15" max="15" width="3.28515625" style="70" customWidth="1"/>
    <col min="16" max="16" width="3.42578125" style="70" customWidth="1"/>
    <col min="17" max="17" width="4.5703125" style="70" customWidth="1"/>
    <col min="18" max="256" width="9.140625" style="70"/>
    <col min="257" max="257" width="3.85546875" style="70" customWidth="1"/>
    <col min="258" max="258" width="38.7109375" style="70" customWidth="1"/>
    <col min="259" max="259" width="12.28515625" style="70" customWidth="1"/>
    <col min="260" max="260" width="7.85546875" style="70" customWidth="1"/>
    <col min="261" max="261" width="10.85546875" style="70" bestFit="1" customWidth="1"/>
    <col min="262" max="262" width="5.5703125" style="70" customWidth="1"/>
    <col min="263" max="263" width="10.42578125" style="70" customWidth="1"/>
    <col min="264" max="264" width="5.5703125" style="70" bestFit="1" customWidth="1"/>
    <col min="265" max="265" width="10.7109375" style="70" customWidth="1"/>
    <col min="266" max="266" width="5.7109375" style="70" customWidth="1"/>
    <col min="267" max="267" width="10.5703125" style="70" customWidth="1"/>
    <col min="268" max="268" width="23.42578125" style="70" customWidth="1"/>
    <col min="269" max="269" width="20" style="70" customWidth="1"/>
    <col min="270" max="270" width="12.140625" style="70" customWidth="1"/>
    <col min="271" max="271" width="3.28515625" style="70" customWidth="1"/>
    <col min="272" max="272" width="3.42578125" style="70" customWidth="1"/>
    <col min="273" max="273" width="4.5703125" style="70" customWidth="1"/>
    <col min="274" max="512" width="9.140625" style="70"/>
    <col min="513" max="513" width="3.85546875" style="70" customWidth="1"/>
    <col min="514" max="514" width="38.7109375" style="70" customWidth="1"/>
    <col min="515" max="515" width="12.28515625" style="70" customWidth="1"/>
    <col min="516" max="516" width="7.85546875" style="70" customWidth="1"/>
    <col min="517" max="517" width="10.85546875" style="70" bestFit="1" customWidth="1"/>
    <col min="518" max="518" width="5.5703125" style="70" customWidth="1"/>
    <col min="519" max="519" width="10.42578125" style="70" customWidth="1"/>
    <col min="520" max="520" width="5.5703125" style="70" bestFit="1" customWidth="1"/>
    <col min="521" max="521" width="10.7109375" style="70" customWidth="1"/>
    <col min="522" max="522" width="5.7109375" style="70" customWidth="1"/>
    <col min="523" max="523" width="10.5703125" style="70" customWidth="1"/>
    <col min="524" max="524" width="23.42578125" style="70" customWidth="1"/>
    <col min="525" max="525" width="20" style="70" customWidth="1"/>
    <col min="526" max="526" width="12.140625" style="70" customWidth="1"/>
    <col min="527" max="527" width="3.28515625" style="70" customWidth="1"/>
    <col min="528" max="528" width="3.42578125" style="70" customWidth="1"/>
    <col min="529" max="529" width="4.5703125" style="70" customWidth="1"/>
    <col min="530" max="768" width="9.140625" style="70"/>
    <col min="769" max="769" width="3.85546875" style="70" customWidth="1"/>
    <col min="770" max="770" width="38.7109375" style="70" customWidth="1"/>
    <col min="771" max="771" width="12.28515625" style="70" customWidth="1"/>
    <col min="772" max="772" width="7.85546875" style="70" customWidth="1"/>
    <col min="773" max="773" width="10.85546875" style="70" bestFit="1" customWidth="1"/>
    <col min="774" max="774" width="5.5703125" style="70" customWidth="1"/>
    <col min="775" max="775" width="10.42578125" style="70" customWidth="1"/>
    <col min="776" max="776" width="5.5703125" style="70" bestFit="1" customWidth="1"/>
    <col min="777" max="777" width="10.7109375" style="70" customWidth="1"/>
    <col min="778" max="778" width="5.7109375" style="70" customWidth="1"/>
    <col min="779" max="779" width="10.5703125" style="70" customWidth="1"/>
    <col min="780" max="780" width="23.42578125" style="70" customWidth="1"/>
    <col min="781" max="781" width="20" style="70" customWidth="1"/>
    <col min="782" max="782" width="12.140625" style="70" customWidth="1"/>
    <col min="783" max="783" width="3.28515625" style="70" customWidth="1"/>
    <col min="784" max="784" width="3.42578125" style="70" customWidth="1"/>
    <col min="785" max="785" width="4.5703125" style="70" customWidth="1"/>
    <col min="786" max="1024" width="9.140625" style="70"/>
    <col min="1025" max="1025" width="3.85546875" style="70" customWidth="1"/>
    <col min="1026" max="1026" width="38.7109375" style="70" customWidth="1"/>
    <col min="1027" max="1027" width="12.28515625" style="70" customWidth="1"/>
    <col min="1028" max="1028" width="7.85546875" style="70" customWidth="1"/>
    <col min="1029" max="1029" width="10.85546875" style="70" bestFit="1" customWidth="1"/>
    <col min="1030" max="1030" width="5.5703125" style="70" customWidth="1"/>
    <col min="1031" max="1031" width="10.42578125" style="70" customWidth="1"/>
    <col min="1032" max="1032" width="5.5703125" style="70" bestFit="1" customWidth="1"/>
    <col min="1033" max="1033" width="10.7109375" style="70" customWidth="1"/>
    <col min="1034" max="1034" width="5.7109375" style="70" customWidth="1"/>
    <col min="1035" max="1035" width="10.5703125" style="70" customWidth="1"/>
    <col min="1036" max="1036" width="23.42578125" style="70" customWidth="1"/>
    <col min="1037" max="1037" width="20" style="70" customWidth="1"/>
    <col min="1038" max="1038" width="12.140625" style="70" customWidth="1"/>
    <col min="1039" max="1039" width="3.28515625" style="70" customWidth="1"/>
    <col min="1040" max="1040" width="3.42578125" style="70" customWidth="1"/>
    <col min="1041" max="1041" width="4.5703125" style="70" customWidth="1"/>
    <col min="1042" max="1280" width="9.140625" style="70"/>
    <col min="1281" max="1281" width="3.85546875" style="70" customWidth="1"/>
    <col min="1282" max="1282" width="38.7109375" style="70" customWidth="1"/>
    <col min="1283" max="1283" width="12.28515625" style="70" customWidth="1"/>
    <col min="1284" max="1284" width="7.85546875" style="70" customWidth="1"/>
    <col min="1285" max="1285" width="10.85546875" style="70" bestFit="1" customWidth="1"/>
    <col min="1286" max="1286" width="5.5703125" style="70" customWidth="1"/>
    <col min="1287" max="1287" width="10.42578125" style="70" customWidth="1"/>
    <col min="1288" max="1288" width="5.5703125" style="70" bestFit="1" customWidth="1"/>
    <col min="1289" max="1289" width="10.7109375" style="70" customWidth="1"/>
    <col min="1290" max="1290" width="5.7109375" style="70" customWidth="1"/>
    <col min="1291" max="1291" width="10.5703125" style="70" customWidth="1"/>
    <col min="1292" max="1292" width="23.42578125" style="70" customWidth="1"/>
    <col min="1293" max="1293" width="20" style="70" customWidth="1"/>
    <col min="1294" max="1294" width="12.140625" style="70" customWidth="1"/>
    <col min="1295" max="1295" width="3.28515625" style="70" customWidth="1"/>
    <col min="1296" max="1296" width="3.42578125" style="70" customWidth="1"/>
    <col min="1297" max="1297" width="4.5703125" style="70" customWidth="1"/>
    <col min="1298" max="1536" width="9.140625" style="70"/>
    <col min="1537" max="1537" width="3.85546875" style="70" customWidth="1"/>
    <col min="1538" max="1538" width="38.7109375" style="70" customWidth="1"/>
    <col min="1539" max="1539" width="12.28515625" style="70" customWidth="1"/>
    <col min="1540" max="1540" width="7.85546875" style="70" customWidth="1"/>
    <col min="1541" max="1541" width="10.85546875" style="70" bestFit="1" customWidth="1"/>
    <col min="1542" max="1542" width="5.5703125" style="70" customWidth="1"/>
    <col min="1543" max="1543" width="10.42578125" style="70" customWidth="1"/>
    <col min="1544" max="1544" width="5.5703125" style="70" bestFit="1" customWidth="1"/>
    <col min="1545" max="1545" width="10.7109375" style="70" customWidth="1"/>
    <col min="1546" max="1546" width="5.7109375" style="70" customWidth="1"/>
    <col min="1547" max="1547" width="10.5703125" style="70" customWidth="1"/>
    <col min="1548" max="1548" width="23.42578125" style="70" customWidth="1"/>
    <col min="1549" max="1549" width="20" style="70" customWidth="1"/>
    <col min="1550" max="1550" width="12.140625" style="70" customWidth="1"/>
    <col min="1551" max="1551" width="3.28515625" style="70" customWidth="1"/>
    <col min="1552" max="1552" width="3.42578125" style="70" customWidth="1"/>
    <col min="1553" max="1553" width="4.5703125" style="70" customWidth="1"/>
    <col min="1554" max="1792" width="9.140625" style="70"/>
    <col min="1793" max="1793" width="3.85546875" style="70" customWidth="1"/>
    <col min="1794" max="1794" width="38.7109375" style="70" customWidth="1"/>
    <col min="1795" max="1795" width="12.28515625" style="70" customWidth="1"/>
    <col min="1796" max="1796" width="7.85546875" style="70" customWidth="1"/>
    <col min="1797" max="1797" width="10.85546875" style="70" bestFit="1" customWidth="1"/>
    <col min="1798" max="1798" width="5.5703125" style="70" customWidth="1"/>
    <col min="1799" max="1799" width="10.42578125" style="70" customWidth="1"/>
    <col min="1800" max="1800" width="5.5703125" style="70" bestFit="1" customWidth="1"/>
    <col min="1801" max="1801" width="10.7109375" style="70" customWidth="1"/>
    <col min="1802" max="1802" width="5.7109375" style="70" customWidth="1"/>
    <col min="1803" max="1803" width="10.5703125" style="70" customWidth="1"/>
    <col min="1804" max="1804" width="23.42578125" style="70" customWidth="1"/>
    <col min="1805" max="1805" width="20" style="70" customWidth="1"/>
    <col min="1806" max="1806" width="12.140625" style="70" customWidth="1"/>
    <col min="1807" max="1807" width="3.28515625" style="70" customWidth="1"/>
    <col min="1808" max="1808" width="3.42578125" style="70" customWidth="1"/>
    <col min="1809" max="1809" width="4.5703125" style="70" customWidth="1"/>
    <col min="1810" max="2048" width="9.140625" style="70"/>
    <col min="2049" max="2049" width="3.85546875" style="70" customWidth="1"/>
    <col min="2050" max="2050" width="38.7109375" style="70" customWidth="1"/>
    <col min="2051" max="2051" width="12.28515625" style="70" customWidth="1"/>
    <col min="2052" max="2052" width="7.85546875" style="70" customWidth="1"/>
    <col min="2053" max="2053" width="10.85546875" style="70" bestFit="1" customWidth="1"/>
    <col min="2054" max="2054" width="5.5703125" style="70" customWidth="1"/>
    <col min="2055" max="2055" width="10.42578125" style="70" customWidth="1"/>
    <col min="2056" max="2056" width="5.5703125" style="70" bestFit="1" customWidth="1"/>
    <col min="2057" max="2057" width="10.7109375" style="70" customWidth="1"/>
    <col min="2058" max="2058" width="5.7109375" style="70" customWidth="1"/>
    <col min="2059" max="2059" width="10.5703125" style="70" customWidth="1"/>
    <col min="2060" max="2060" width="23.42578125" style="70" customWidth="1"/>
    <col min="2061" max="2061" width="20" style="70" customWidth="1"/>
    <col min="2062" max="2062" width="12.140625" style="70" customWidth="1"/>
    <col min="2063" max="2063" width="3.28515625" style="70" customWidth="1"/>
    <col min="2064" max="2064" width="3.42578125" style="70" customWidth="1"/>
    <col min="2065" max="2065" width="4.5703125" style="70" customWidth="1"/>
    <col min="2066" max="2304" width="9.140625" style="70"/>
    <col min="2305" max="2305" width="3.85546875" style="70" customWidth="1"/>
    <col min="2306" max="2306" width="38.7109375" style="70" customWidth="1"/>
    <col min="2307" max="2307" width="12.28515625" style="70" customWidth="1"/>
    <col min="2308" max="2308" width="7.85546875" style="70" customWidth="1"/>
    <col min="2309" max="2309" width="10.85546875" style="70" bestFit="1" customWidth="1"/>
    <col min="2310" max="2310" width="5.5703125" style="70" customWidth="1"/>
    <col min="2311" max="2311" width="10.42578125" style="70" customWidth="1"/>
    <col min="2312" max="2312" width="5.5703125" style="70" bestFit="1" customWidth="1"/>
    <col min="2313" max="2313" width="10.7109375" style="70" customWidth="1"/>
    <col min="2314" max="2314" width="5.7109375" style="70" customWidth="1"/>
    <col min="2315" max="2315" width="10.5703125" style="70" customWidth="1"/>
    <col min="2316" max="2316" width="23.42578125" style="70" customWidth="1"/>
    <col min="2317" max="2317" width="20" style="70" customWidth="1"/>
    <col min="2318" max="2318" width="12.140625" style="70" customWidth="1"/>
    <col min="2319" max="2319" width="3.28515625" style="70" customWidth="1"/>
    <col min="2320" max="2320" width="3.42578125" style="70" customWidth="1"/>
    <col min="2321" max="2321" width="4.5703125" style="70" customWidth="1"/>
    <col min="2322" max="2560" width="9.140625" style="70"/>
    <col min="2561" max="2561" width="3.85546875" style="70" customWidth="1"/>
    <col min="2562" max="2562" width="38.7109375" style="70" customWidth="1"/>
    <col min="2563" max="2563" width="12.28515625" style="70" customWidth="1"/>
    <col min="2564" max="2564" width="7.85546875" style="70" customWidth="1"/>
    <col min="2565" max="2565" width="10.85546875" style="70" bestFit="1" customWidth="1"/>
    <col min="2566" max="2566" width="5.5703125" style="70" customWidth="1"/>
    <col min="2567" max="2567" width="10.42578125" style="70" customWidth="1"/>
    <col min="2568" max="2568" width="5.5703125" style="70" bestFit="1" customWidth="1"/>
    <col min="2569" max="2569" width="10.7109375" style="70" customWidth="1"/>
    <col min="2570" max="2570" width="5.7109375" style="70" customWidth="1"/>
    <col min="2571" max="2571" width="10.5703125" style="70" customWidth="1"/>
    <col min="2572" max="2572" width="23.42578125" style="70" customWidth="1"/>
    <col min="2573" max="2573" width="20" style="70" customWidth="1"/>
    <col min="2574" max="2574" width="12.140625" style="70" customWidth="1"/>
    <col min="2575" max="2575" width="3.28515625" style="70" customWidth="1"/>
    <col min="2576" max="2576" width="3.42578125" style="70" customWidth="1"/>
    <col min="2577" max="2577" width="4.5703125" style="70" customWidth="1"/>
    <col min="2578" max="2816" width="9.140625" style="70"/>
    <col min="2817" max="2817" width="3.85546875" style="70" customWidth="1"/>
    <col min="2818" max="2818" width="38.7109375" style="70" customWidth="1"/>
    <col min="2819" max="2819" width="12.28515625" style="70" customWidth="1"/>
    <col min="2820" max="2820" width="7.85546875" style="70" customWidth="1"/>
    <col min="2821" max="2821" width="10.85546875" style="70" bestFit="1" customWidth="1"/>
    <col min="2822" max="2822" width="5.5703125" style="70" customWidth="1"/>
    <col min="2823" max="2823" width="10.42578125" style="70" customWidth="1"/>
    <col min="2824" max="2824" width="5.5703125" style="70" bestFit="1" customWidth="1"/>
    <col min="2825" max="2825" width="10.7109375" style="70" customWidth="1"/>
    <col min="2826" max="2826" width="5.7109375" style="70" customWidth="1"/>
    <col min="2827" max="2827" width="10.5703125" style="70" customWidth="1"/>
    <col min="2828" max="2828" width="23.42578125" style="70" customWidth="1"/>
    <col min="2829" max="2829" width="20" style="70" customWidth="1"/>
    <col min="2830" max="2830" width="12.140625" style="70" customWidth="1"/>
    <col min="2831" max="2831" width="3.28515625" style="70" customWidth="1"/>
    <col min="2832" max="2832" width="3.42578125" style="70" customWidth="1"/>
    <col min="2833" max="2833" width="4.5703125" style="70" customWidth="1"/>
    <col min="2834" max="3072" width="9.140625" style="70"/>
    <col min="3073" max="3073" width="3.85546875" style="70" customWidth="1"/>
    <col min="3074" max="3074" width="38.7109375" style="70" customWidth="1"/>
    <col min="3075" max="3075" width="12.28515625" style="70" customWidth="1"/>
    <col min="3076" max="3076" width="7.85546875" style="70" customWidth="1"/>
    <col min="3077" max="3077" width="10.85546875" style="70" bestFit="1" customWidth="1"/>
    <col min="3078" max="3078" width="5.5703125" style="70" customWidth="1"/>
    <col min="3079" max="3079" width="10.42578125" style="70" customWidth="1"/>
    <col min="3080" max="3080" width="5.5703125" style="70" bestFit="1" customWidth="1"/>
    <col min="3081" max="3081" width="10.7109375" style="70" customWidth="1"/>
    <col min="3082" max="3082" width="5.7109375" style="70" customWidth="1"/>
    <col min="3083" max="3083" width="10.5703125" style="70" customWidth="1"/>
    <col min="3084" max="3084" width="23.42578125" style="70" customWidth="1"/>
    <col min="3085" max="3085" width="20" style="70" customWidth="1"/>
    <col min="3086" max="3086" width="12.140625" style="70" customWidth="1"/>
    <col min="3087" max="3087" width="3.28515625" style="70" customWidth="1"/>
    <col min="3088" max="3088" width="3.42578125" style="70" customWidth="1"/>
    <col min="3089" max="3089" width="4.5703125" style="70" customWidth="1"/>
    <col min="3090" max="3328" width="9.140625" style="70"/>
    <col min="3329" max="3329" width="3.85546875" style="70" customWidth="1"/>
    <col min="3330" max="3330" width="38.7109375" style="70" customWidth="1"/>
    <col min="3331" max="3331" width="12.28515625" style="70" customWidth="1"/>
    <col min="3332" max="3332" width="7.85546875" style="70" customWidth="1"/>
    <col min="3333" max="3333" width="10.85546875" style="70" bestFit="1" customWidth="1"/>
    <col min="3334" max="3334" width="5.5703125" style="70" customWidth="1"/>
    <col min="3335" max="3335" width="10.42578125" style="70" customWidth="1"/>
    <col min="3336" max="3336" width="5.5703125" style="70" bestFit="1" customWidth="1"/>
    <col min="3337" max="3337" width="10.7109375" style="70" customWidth="1"/>
    <col min="3338" max="3338" width="5.7109375" style="70" customWidth="1"/>
    <col min="3339" max="3339" width="10.5703125" style="70" customWidth="1"/>
    <col min="3340" max="3340" width="23.42578125" style="70" customWidth="1"/>
    <col min="3341" max="3341" width="20" style="70" customWidth="1"/>
    <col min="3342" max="3342" width="12.140625" style="70" customWidth="1"/>
    <col min="3343" max="3343" width="3.28515625" style="70" customWidth="1"/>
    <col min="3344" max="3344" width="3.42578125" style="70" customWidth="1"/>
    <col min="3345" max="3345" width="4.5703125" style="70" customWidth="1"/>
    <col min="3346" max="3584" width="9.140625" style="70"/>
    <col min="3585" max="3585" width="3.85546875" style="70" customWidth="1"/>
    <col min="3586" max="3586" width="38.7109375" style="70" customWidth="1"/>
    <col min="3587" max="3587" width="12.28515625" style="70" customWidth="1"/>
    <col min="3588" max="3588" width="7.85546875" style="70" customWidth="1"/>
    <col min="3589" max="3589" width="10.85546875" style="70" bestFit="1" customWidth="1"/>
    <col min="3590" max="3590" width="5.5703125" style="70" customWidth="1"/>
    <col min="3591" max="3591" width="10.42578125" style="70" customWidth="1"/>
    <col min="3592" max="3592" width="5.5703125" style="70" bestFit="1" customWidth="1"/>
    <col min="3593" max="3593" width="10.7109375" style="70" customWidth="1"/>
    <col min="3594" max="3594" width="5.7109375" style="70" customWidth="1"/>
    <col min="3595" max="3595" width="10.5703125" style="70" customWidth="1"/>
    <col min="3596" max="3596" width="23.42578125" style="70" customWidth="1"/>
    <col min="3597" max="3597" width="20" style="70" customWidth="1"/>
    <col min="3598" max="3598" width="12.140625" style="70" customWidth="1"/>
    <col min="3599" max="3599" width="3.28515625" style="70" customWidth="1"/>
    <col min="3600" max="3600" width="3.42578125" style="70" customWidth="1"/>
    <col min="3601" max="3601" width="4.5703125" style="70" customWidth="1"/>
    <col min="3602" max="3840" width="9.140625" style="70"/>
    <col min="3841" max="3841" width="3.85546875" style="70" customWidth="1"/>
    <col min="3842" max="3842" width="38.7109375" style="70" customWidth="1"/>
    <col min="3843" max="3843" width="12.28515625" style="70" customWidth="1"/>
    <col min="3844" max="3844" width="7.85546875" style="70" customWidth="1"/>
    <col min="3845" max="3845" width="10.85546875" style="70" bestFit="1" customWidth="1"/>
    <col min="3846" max="3846" width="5.5703125" style="70" customWidth="1"/>
    <col min="3847" max="3847" width="10.42578125" style="70" customWidth="1"/>
    <col min="3848" max="3848" width="5.5703125" style="70" bestFit="1" customWidth="1"/>
    <col min="3849" max="3849" width="10.7109375" style="70" customWidth="1"/>
    <col min="3850" max="3850" width="5.7109375" style="70" customWidth="1"/>
    <col min="3851" max="3851" width="10.5703125" style="70" customWidth="1"/>
    <col min="3852" max="3852" width="23.42578125" style="70" customWidth="1"/>
    <col min="3853" max="3853" width="20" style="70" customWidth="1"/>
    <col min="3854" max="3854" width="12.140625" style="70" customWidth="1"/>
    <col min="3855" max="3855" width="3.28515625" style="70" customWidth="1"/>
    <col min="3856" max="3856" width="3.42578125" style="70" customWidth="1"/>
    <col min="3857" max="3857" width="4.5703125" style="70" customWidth="1"/>
    <col min="3858" max="4096" width="9.140625" style="70"/>
    <col min="4097" max="4097" width="3.85546875" style="70" customWidth="1"/>
    <col min="4098" max="4098" width="38.7109375" style="70" customWidth="1"/>
    <col min="4099" max="4099" width="12.28515625" style="70" customWidth="1"/>
    <col min="4100" max="4100" width="7.85546875" style="70" customWidth="1"/>
    <col min="4101" max="4101" width="10.85546875" style="70" bestFit="1" customWidth="1"/>
    <col min="4102" max="4102" width="5.5703125" style="70" customWidth="1"/>
    <col min="4103" max="4103" width="10.42578125" style="70" customWidth="1"/>
    <col min="4104" max="4104" width="5.5703125" style="70" bestFit="1" customWidth="1"/>
    <col min="4105" max="4105" width="10.7109375" style="70" customWidth="1"/>
    <col min="4106" max="4106" width="5.7109375" style="70" customWidth="1"/>
    <col min="4107" max="4107" width="10.5703125" style="70" customWidth="1"/>
    <col min="4108" max="4108" width="23.42578125" style="70" customWidth="1"/>
    <col min="4109" max="4109" width="20" style="70" customWidth="1"/>
    <col min="4110" max="4110" width="12.140625" style="70" customWidth="1"/>
    <col min="4111" max="4111" width="3.28515625" style="70" customWidth="1"/>
    <col min="4112" max="4112" width="3.42578125" style="70" customWidth="1"/>
    <col min="4113" max="4113" width="4.5703125" style="70" customWidth="1"/>
    <col min="4114" max="4352" width="9.140625" style="70"/>
    <col min="4353" max="4353" width="3.85546875" style="70" customWidth="1"/>
    <col min="4354" max="4354" width="38.7109375" style="70" customWidth="1"/>
    <col min="4355" max="4355" width="12.28515625" style="70" customWidth="1"/>
    <col min="4356" max="4356" width="7.85546875" style="70" customWidth="1"/>
    <col min="4357" max="4357" width="10.85546875" style="70" bestFit="1" customWidth="1"/>
    <col min="4358" max="4358" width="5.5703125" style="70" customWidth="1"/>
    <col min="4359" max="4359" width="10.42578125" style="70" customWidth="1"/>
    <col min="4360" max="4360" width="5.5703125" style="70" bestFit="1" customWidth="1"/>
    <col min="4361" max="4361" width="10.7109375" style="70" customWidth="1"/>
    <col min="4362" max="4362" width="5.7109375" style="70" customWidth="1"/>
    <col min="4363" max="4363" width="10.5703125" style="70" customWidth="1"/>
    <col min="4364" max="4364" width="23.42578125" style="70" customWidth="1"/>
    <col min="4365" max="4365" width="20" style="70" customWidth="1"/>
    <col min="4366" max="4366" width="12.140625" style="70" customWidth="1"/>
    <col min="4367" max="4367" width="3.28515625" style="70" customWidth="1"/>
    <col min="4368" max="4368" width="3.42578125" style="70" customWidth="1"/>
    <col min="4369" max="4369" width="4.5703125" style="70" customWidth="1"/>
    <col min="4370" max="4608" width="9.140625" style="70"/>
    <col min="4609" max="4609" width="3.85546875" style="70" customWidth="1"/>
    <col min="4610" max="4610" width="38.7109375" style="70" customWidth="1"/>
    <col min="4611" max="4611" width="12.28515625" style="70" customWidth="1"/>
    <col min="4612" max="4612" width="7.85546875" style="70" customWidth="1"/>
    <col min="4613" max="4613" width="10.85546875" style="70" bestFit="1" customWidth="1"/>
    <col min="4614" max="4614" width="5.5703125" style="70" customWidth="1"/>
    <col min="4615" max="4615" width="10.42578125" style="70" customWidth="1"/>
    <col min="4616" max="4616" width="5.5703125" style="70" bestFit="1" customWidth="1"/>
    <col min="4617" max="4617" width="10.7109375" style="70" customWidth="1"/>
    <col min="4618" max="4618" width="5.7109375" style="70" customWidth="1"/>
    <col min="4619" max="4619" width="10.5703125" style="70" customWidth="1"/>
    <col min="4620" max="4620" width="23.42578125" style="70" customWidth="1"/>
    <col min="4621" max="4621" width="20" style="70" customWidth="1"/>
    <col min="4622" max="4622" width="12.140625" style="70" customWidth="1"/>
    <col min="4623" max="4623" width="3.28515625" style="70" customWidth="1"/>
    <col min="4624" max="4624" width="3.42578125" style="70" customWidth="1"/>
    <col min="4625" max="4625" width="4.5703125" style="70" customWidth="1"/>
    <col min="4626" max="4864" width="9.140625" style="70"/>
    <col min="4865" max="4865" width="3.85546875" style="70" customWidth="1"/>
    <col min="4866" max="4866" width="38.7109375" style="70" customWidth="1"/>
    <col min="4867" max="4867" width="12.28515625" style="70" customWidth="1"/>
    <col min="4868" max="4868" width="7.85546875" style="70" customWidth="1"/>
    <col min="4869" max="4869" width="10.85546875" style="70" bestFit="1" customWidth="1"/>
    <col min="4870" max="4870" width="5.5703125" style="70" customWidth="1"/>
    <col min="4871" max="4871" width="10.42578125" style="70" customWidth="1"/>
    <col min="4872" max="4872" width="5.5703125" style="70" bestFit="1" customWidth="1"/>
    <col min="4873" max="4873" width="10.7109375" style="70" customWidth="1"/>
    <col min="4874" max="4874" width="5.7109375" style="70" customWidth="1"/>
    <col min="4875" max="4875" width="10.5703125" style="70" customWidth="1"/>
    <col min="4876" max="4876" width="23.42578125" style="70" customWidth="1"/>
    <col min="4877" max="4877" width="20" style="70" customWidth="1"/>
    <col min="4878" max="4878" width="12.140625" style="70" customWidth="1"/>
    <col min="4879" max="4879" width="3.28515625" style="70" customWidth="1"/>
    <col min="4880" max="4880" width="3.42578125" style="70" customWidth="1"/>
    <col min="4881" max="4881" width="4.5703125" style="70" customWidth="1"/>
    <col min="4882" max="5120" width="9.140625" style="70"/>
    <col min="5121" max="5121" width="3.85546875" style="70" customWidth="1"/>
    <col min="5122" max="5122" width="38.7109375" style="70" customWidth="1"/>
    <col min="5123" max="5123" width="12.28515625" style="70" customWidth="1"/>
    <col min="5124" max="5124" width="7.85546875" style="70" customWidth="1"/>
    <col min="5125" max="5125" width="10.85546875" style="70" bestFit="1" customWidth="1"/>
    <col min="5126" max="5126" width="5.5703125" style="70" customWidth="1"/>
    <col min="5127" max="5127" width="10.42578125" style="70" customWidth="1"/>
    <col min="5128" max="5128" width="5.5703125" style="70" bestFit="1" customWidth="1"/>
    <col min="5129" max="5129" width="10.7109375" style="70" customWidth="1"/>
    <col min="5130" max="5130" width="5.7109375" style="70" customWidth="1"/>
    <col min="5131" max="5131" width="10.5703125" style="70" customWidth="1"/>
    <col min="5132" max="5132" width="23.42578125" style="70" customWidth="1"/>
    <col min="5133" max="5133" width="20" style="70" customWidth="1"/>
    <col min="5134" max="5134" width="12.140625" style="70" customWidth="1"/>
    <col min="5135" max="5135" width="3.28515625" style="70" customWidth="1"/>
    <col min="5136" max="5136" width="3.42578125" style="70" customWidth="1"/>
    <col min="5137" max="5137" width="4.5703125" style="70" customWidth="1"/>
    <col min="5138" max="5376" width="9.140625" style="70"/>
    <col min="5377" max="5377" width="3.85546875" style="70" customWidth="1"/>
    <col min="5378" max="5378" width="38.7109375" style="70" customWidth="1"/>
    <col min="5379" max="5379" width="12.28515625" style="70" customWidth="1"/>
    <col min="5380" max="5380" width="7.85546875" style="70" customWidth="1"/>
    <col min="5381" max="5381" width="10.85546875" style="70" bestFit="1" customWidth="1"/>
    <col min="5382" max="5382" width="5.5703125" style="70" customWidth="1"/>
    <col min="5383" max="5383" width="10.42578125" style="70" customWidth="1"/>
    <col min="5384" max="5384" width="5.5703125" style="70" bestFit="1" customWidth="1"/>
    <col min="5385" max="5385" width="10.7109375" style="70" customWidth="1"/>
    <col min="5386" max="5386" width="5.7109375" style="70" customWidth="1"/>
    <col min="5387" max="5387" width="10.5703125" style="70" customWidth="1"/>
    <col min="5388" max="5388" width="23.42578125" style="70" customWidth="1"/>
    <col min="5389" max="5389" width="20" style="70" customWidth="1"/>
    <col min="5390" max="5390" width="12.140625" style="70" customWidth="1"/>
    <col min="5391" max="5391" width="3.28515625" style="70" customWidth="1"/>
    <col min="5392" max="5392" width="3.42578125" style="70" customWidth="1"/>
    <col min="5393" max="5393" width="4.5703125" style="70" customWidth="1"/>
    <col min="5394" max="5632" width="9.140625" style="70"/>
    <col min="5633" max="5633" width="3.85546875" style="70" customWidth="1"/>
    <col min="5634" max="5634" width="38.7109375" style="70" customWidth="1"/>
    <col min="5635" max="5635" width="12.28515625" style="70" customWidth="1"/>
    <col min="5636" max="5636" width="7.85546875" style="70" customWidth="1"/>
    <col min="5637" max="5637" width="10.85546875" style="70" bestFit="1" customWidth="1"/>
    <col min="5638" max="5638" width="5.5703125" style="70" customWidth="1"/>
    <col min="5639" max="5639" width="10.42578125" style="70" customWidth="1"/>
    <col min="5640" max="5640" width="5.5703125" style="70" bestFit="1" customWidth="1"/>
    <col min="5641" max="5641" width="10.7109375" style="70" customWidth="1"/>
    <col min="5642" max="5642" width="5.7109375" style="70" customWidth="1"/>
    <col min="5643" max="5643" width="10.5703125" style="70" customWidth="1"/>
    <col min="5644" max="5644" width="23.42578125" style="70" customWidth="1"/>
    <col min="5645" max="5645" width="20" style="70" customWidth="1"/>
    <col min="5646" max="5646" width="12.140625" style="70" customWidth="1"/>
    <col min="5647" max="5647" width="3.28515625" style="70" customWidth="1"/>
    <col min="5648" max="5648" width="3.42578125" style="70" customWidth="1"/>
    <col min="5649" max="5649" width="4.5703125" style="70" customWidth="1"/>
    <col min="5650" max="5888" width="9.140625" style="70"/>
    <col min="5889" max="5889" width="3.85546875" style="70" customWidth="1"/>
    <col min="5890" max="5890" width="38.7109375" style="70" customWidth="1"/>
    <col min="5891" max="5891" width="12.28515625" style="70" customWidth="1"/>
    <col min="5892" max="5892" width="7.85546875" style="70" customWidth="1"/>
    <col min="5893" max="5893" width="10.85546875" style="70" bestFit="1" customWidth="1"/>
    <col min="5894" max="5894" width="5.5703125" style="70" customWidth="1"/>
    <col min="5895" max="5895" width="10.42578125" style="70" customWidth="1"/>
    <col min="5896" max="5896" width="5.5703125" style="70" bestFit="1" customWidth="1"/>
    <col min="5897" max="5897" width="10.7109375" style="70" customWidth="1"/>
    <col min="5898" max="5898" width="5.7109375" style="70" customWidth="1"/>
    <col min="5899" max="5899" width="10.5703125" style="70" customWidth="1"/>
    <col min="5900" max="5900" width="23.42578125" style="70" customWidth="1"/>
    <col min="5901" max="5901" width="20" style="70" customWidth="1"/>
    <col min="5902" max="5902" width="12.140625" style="70" customWidth="1"/>
    <col min="5903" max="5903" width="3.28515625" style="70" customWidth="1"/>
    <col min="5904" max="5904" width="3.42578125" style="70" customWidth="1"/>
    <col min="5905" max="5905" width="4.5703125" style="70" customWidth="1"/>
    <col min="5906" max="6144" width="9.140625" style="70"/>
    <col min="6145" max="6145" width="3.85546875" style="70" customWidth="1"/>
    <col min="6146" max="6146" width="38.7109375" style="70" customWidth="1"/>
    <col min="6147" max="6147" width="12.28515625" style="70" customWidth="1"/>
    <col min="6148" max="6148" width="7.85546875" style="70" customWidth="1"/>
    <col min="6149" max="6149" width="10.85546875" style="70" bestFit="1" customWidth="1"/>
    <col min="6150" max="6150" width="5.5703125" style="70" customWidth="1"/>
    <col min="6151" max="6151" width="10.42578125" style="70" customWidth="1"/>
    <col min="6152" max="6152" width="5.5703125" style="70" bestFit="1" customWidth="1"/>
    <col min="6153" max="6153" width="10.7109375" style="70" customWidth="1"/>
    <col min="6154" max="6154" width="5.7109375" style="70" customWidth="1"/>
    <col min="6155" max="6155" width="10.5703125" style="70" customWidth="1"/>
    <col min="6156" max="6156" width="23.42578125" style="70" customWidth="1"/>
    <col min="6157" max="6157" width="20" style="70" customWidth="1"/>
    <col min="6158" max="6158" width="12.140625" style="70" customWidth="1"/>
    <col min="6159" max="6159" width="3.28515625" style="70" customWidth="1"/>
    <col min="6160" max="6160" width="3.42578125" style="70" customWidth="1"/>
    <col min="6161" max="6161" width="4.5703125" style="70" customWidth="1"/>
    <col min="6162" max="6400" width="9.140625" style="70"/>
    <col min="6401" max="6401" width="3.85546875" style="70" customWidth="1"/>
    <col min="6402" max="6402" width="38.7109375" style="70" customWidth="1"/>
    <col min="6403" max="6403" width="12.28515625" style="70" customWidth="1"/>
    <col min="6404" max="6404" width="7.85546875" style="70" customWidth="1"/>
    <col min="6405" max="6405" width="10.85546875" style="70" bestFit="1" customWidth="1"/>
    <col min="6406" max="6406" width="5.5703125" style="70" customWidth="1"/>
    <col min="6407" max="6407" width="10.42578125" style="70" customWidth="1"/>
    <col min="6408" max="6408" width="5.5703125" style="70" bestFit="1" customWidth="1"/>
    <col min="6409" max="6409" width="10.7109375" style="70" customWidth="1"/>
    <col min="6410" max="6410" width="5.7109375" style="70" customWidth="1"/>
    <col min="6411" max="6411" width="10.5703125" style="70" customWidth="1"/>
    <col min="6412" max="6412" width="23.42578125" style="70" customWidth="1"/>
    <col min="6413" max="6413" width="20" style="70" customWidth="1"/>
    <col min="6414" max="6414" width="12.140625" style="70" customWidth="1"/>
    <col min="6415" max="6415" width="3.28515625" style="70" customWidth="1"/>
    <col min="6416" max="6416" width="3.42578125" style="70" customWidth="1"/>
    <col min="6417" max="6417" width="4.5703125" style="70" customWidth="1"/>
    <col min="6418" max="6656" width="9.140625" style="70"/>
    <col min="6657" max="6657" width="3.85546875" style="70" customWidth="1"/>
    <col min="6658" max="6658" width="38.7109375" style="70" customWidth="1"/>
    <col min="6659" max="6659" width="12.28515625" style="70" customWidth="1"/>
    <col min="6660" max="6660" width="7.85546875" style="70" customWidth="1"/>
    <col min="6661" max="6661" width="10.85546875" style="70" bestFit="1" customWidth="1"/>
    <col min="6662" max="6662" width="5.5703125" style="70" customWidth="1"/>
    <col min="6663" max="6663" width="10.42578125" style="70" customWidth="1"/>
    <col min="6664" max="6664" width="5.5703125" style="70" bestFit="1" customWidth="1"/>
    <col min="6665" max="6665" width="10.7109375" style="70" customWidth="1"/>
    <col min="6666" max="6666" width="5.7109375" style="70" customWidth="1"/>
    <col min="6667" max="6667" width="10.5703125" style="70" customWidth="1"/>
    <col min="6668" max="6668" width="23.42578125" style="70" customWidth="1"/>
    <col min="6669" max="6669" width="20" style="70" customWidth="1"/>
    <col min="6670" max="6670" width="12.140625" style="70" customWidth="1"/>
    <col min="6671" max="6671" width="3.28515625" style="70" customWidth="1"/>
    <col min="6672" max="6672" width="3.42578125" style="70" customWidth="1"/>
    <col min="6673" max="6673" width="4.5703125" style="70" customWidth="1"/>
    <col min="6674" max="6912" width="9.140625" style="70"/>
    <col min="6913" max="6913" width="3.85546875" style="70" customWidth="1"/>
    <col min="6914" max="6914" width="38.7109375" style="70" customWidth="1"/>
    <col min="6915" max="6915" width="12.28515625" style="70" customWidth="1"/>
    <col min="6916" max="6916" width="7.85546875" style="70" customWidth="1"/>
    <col min="6917" max="6917" width="10.85546875" style="70" bestFit="1" customWidth="1"/>
    <col min="6918" max="6918" width="5.5703125" style="70" customWidth="1"/>
    <col min="6919" max="6919" width="10.42578125" style="70" customWidth="1"/>
    <col min="6920" max="6920" width="5.5703125" style="70" bestFit="1" customWidth="1"/>
    <col min="6921" max="6921" width="10.7109375" style="70" customWidth="1"/>
    <col min="6922" max="6922" width="5.7109375" style="70" customWidth="1"/>
    <col min="6923" max="6923" width="10.5703125" style="70" customWidth="1"/>
    <col min="6924" max="6924" width="23.42578125" style="70" customWidth="1"/>
    <col min="6925" max="6925" width="20" style="70" customWidth="1"/>
    <col min="6926" max="6926" width="12.140625" style="70" customWidth="1"/>
    <col min="6927" max="6927" width="3.28515625" style="70" customWidth="1"/>
    <col min="6928" max="6928" width="3.42578125" style="70" customWidth="1"/>
    <col min="6929" max="6929" width="4.5703125" style="70" customWidth="1"/>
    <col min="6930" max="7168" width="9.140625" style="70"/>
    <col min="7169" max="7169" width="3.85546875" style="70" customWidth="1"/>
    <col min="7170" max="7170" width="38.7109375" style="70" customWidth="1"/>
    <col min="7171" max="7171" width="12.28515625" style="70" customWidth="1"/>
    <col min="7172" max="7172" width="7.85546875" style="70" customWidth="1"/>
    <col min="7173" max="7173" width="10.85546875" style="70" bestFit="1" customWidth="1"/>
    <col min="7174" max="7174" width="5.5703125" style="70" customWidth="1"/>
    <col min="7175" max="7175" width="10.42578125" style="70" customWidth="1"/>
    <col min="7176" max="7176" width="5.5703125" style="70" bestFit="1" customWidth="1"/>
    <col min="7177" max="7177" width="10.7109375" style="70" customWidth="1"/>
    <col min="7178" max="7178" width="5.7109375" style="70" customWidth="1"/>
    <col min="7179" max="7179" width="10.5703125" style="70" customWidth="1"/>
    <col min="7180" max="7180" width="23.42578125" style="70" customWidth="1"/>
    <col min="7181" max="7181" width="20" style="70" customWidth="1"/>
    <col min="7182" max="7182" width="12.140625" style="70" customWidth="1"/>
    <col min="7183" max="7183" width="3.28515625" style="70" customWidth="1"/>
    <col min="7184" max="7184" width="3.42578125" style="70" customWidth="1"/>
    <col min="7185" max="7185" width="4.5703125" style="70" customWidth="1"/>
    <col min="7186" max="7424" width="9.140625" style="70"/>
    <col min="7425" max="7425" width="3.85546875" style="70" customWidth="1"/>
    <col min="7426" max="7426" width="38.7109375" style="70" customWidth="1"/>
    <col min="7427" max="7427" width="12.28515625" style="70" customWidth="1"/>
    <col min="7428" max="7428" width="7.85546875" style="70" customWidth="1"/>
    <col min="7429" max="7429" width="10.85546875" style="70" bestFit="1" customWidth="1"/>
    <col min="7430" max="7430" width="5.5703125" style="70" customWidth="1"/>
    <col min="7431" max="7431" width="10.42578125" style="70" customWidth="1"/>
    <col min="7432" max="7432" width="5.5703125" style="70" bestFit="1" customWidth="1"/>
    <col min="7433" max="7433" width="10.7109375" style="70" customWidth="1"/>
    <col min="7434" max="7434" width="5.7109375" style="70" customWidth="1"/>
    <col min="7435" max="7435" width="10.5703125" style="70" customWidth="1"/>
    <col min="7436" max="7436" width="23.42578125" style="70" customWidth="1"/>
    <col min="7437" max="7437" width="20" style="70" customWidth="1"/>
    <col min="7438" max="7438" width="12.140625" style="70" customWidth="1"/>
    <col min="7439" max="7439" width="3.28515625" style="70" customWidth="1"/>
    <col min="7440" max="7440" width="3.42578125" style="70" customWidth="1"/>
    <col min="7441" max="7441" width="4.5703125" style="70" customWidth="1"/>
    <col min="7442" max="7680" width="9.140625" style="70"/>
    <col min="7681" max="7681" width="3.85546875" style="70" customWidth="1"/>
    <col min="7682" max="7682" width="38.7109375" style="70" customWidth="1"/>
    <col min="7683" max="7683" width="12.28515625" style="70" customWidth="1"/>
    <col min="7684" max="7684" width="7.85546875" style="70" customWidth="1"/>
    <col min="7685" max="7685" width="10.85546875" style="70" bestFit="1" customWidth="1"/>
    <col min="7686" max="7686" width="5.5703125" style="70" customWidth="1"/>
    <col min="7687" max="7687" width="10.42578125" style="70" customWidth="1"/>
    <col min="7688" max="7688" width="5.5703125" style="70" bestFit="1" customWidth="1"/>
    <col min="7689" max="7689" width="10.7109375" style="70" customWidth="1"/>
    <col min="7690" max="7690" width="5.7109375" style="70" customWidth="1"/>
    <col min="7691" max="7691" width="10.5703125" style="70" customWidth="1"/>
    <col min="7692" max="7692" width="23.42578125" style="70" customWidth="1"/>
    <col min="7693" max="7693" width="20" style="70" customWidth="1"/>
    <col min="7694" max="7694" width="12.140625" style="70" customWidth="1"/>
    <col min="7695" max="7695" width="3.28515625" style="70" customWidth="1"/>
    <col min="7696" max="7696" width="3.42578125" style="70" customWidth="1"/>
    <col min="7697" max="7697" width="4.5703125" style="70" customWidth="1"/>
    <col min="7698" max="7936" width="9.140625" style="70"/>
    <col min="7937" max="7937" width="3.85546875" style="70" customWidth="1"/>
    <col min="7938" max="7938" width="38.7109375" style="70" customWidth="1"/>
    <col min="7939" max="7939" width="12.28515625" style="70" customWidth="1"/>
    <col min="7940" max="7940" width="7.85546875" style="70" customWidth="1"/>
    <col min="7941" max="7941" width="10.85546875" style="70" bestFit="1" customWidth="1"/>
    <col min="7942" max="7942" width="5.5703125" style="70" customWidth="1"/>
    <col min="7943" max="7943" width="10.42578125" style="70" customWidth="1"/>
    <col min="7944" max="7944" width="5.5703125" style="70" bestFit="1" customWidth="1"/>
    <col min="7945" max="7945" width="10.7109375" style="70" customWidth="1"/>
    <col min="7946" max="7946" width="5.7109375" style="70" customWidth="1"/>
    <col min="7947" max="7947" width="10.5703125" style="70" customWidth="1"/>
    <col min="7948" max="7948" width="23.42578125" style="70" customWidth="1"/>
    <col min="7949" max="7949" width="20" style="70" customWidth="1"/>
    <col min="7950" max="7950" width="12.140625" style="70" customWidth="1"/>
    <col min="7951" max="7951" width="3.28515625" style="70" customWidth="1"/>
    <col min="7952" max="7952" width="3.42578125" style="70" customWidth="1"/>
    <col min="7953" max="7953" width="4.5703125" style="70" customWidth="1"/>
    <col min="7954" max="8192" width="9.140625" style="70"/>
    <col min="8193" max="8193" width="3.85546875" style="70" customWidth="1"/>
    <col min="8194" max="8194" width="38.7109375" style="70" customWidth="1"/>
    <col min="8195" max="8195" width="12.28515625" style="70" customWidth="1"/>
    <col min="8196" max="8196" width="7.85546875" style="70" customWidth="1"/>
    <col min="8197" max="8197" width="10.85546875" style="70" bestFit="1" customWidth="1"/>
    <col min="8198" max="8198" width="5.5703125" style="70" customWidth="1"/>
    <col min="8199" max="8199" width="10.42578125" style="70" customWidth="1"/>
    <col min="8200" max="8200" width="5.5703125" style="70" bestFit="1" customWidth="1"/>
    <col min="8201" max="8201" width="10.7109375" style="70" customWidth="1"/>
    <col min="8202" max="8202" width="5.7109375" style="70" customWidth="1"/>
    <col min="8203" max="8203" width="10.5703125" style="70" customWidth="1"/>
    <col min="8204" max="8204" width="23.42578125" style="70" customWidth="1"/>
    <col min="8205" max="8205" width="20" style="70" customWidth="1"/>
    <col min="8206" max="8206" width="12.140625" style="70" customWidth="1"/>
    <col min="8207" max="8207" width="3.28515625" style="70" customWidth="1"/>
    <col min="8208" max="8208" width="3.42578125" style="70" customWidth="1"/>
    <col min="8209" max="8209" width="4.5703125" style="70" customWidth="1"/>
    <col min="8210" max="8448" width="9.140625" style="70"/>
    <col min="8449" max="8449" width="3.85546875" style="70" customWidth="1"/>
    <col min="8450" max="8450" width="38.7109375" style="70" customWidth="1"/>
    <col min="8451" max="8451" width="12.28515625" style="70" customWidth="1"/>
    <col min="8452" max="8452" width="7.85546875" style="70" customWidth="1"/>
    <col min="8453" max="8453" width="10.85546875" style="70" bestFit="1" customWidth="1"/>
    <col min="8454" max="8454" width="5.5703125" style="70" customWidth="1"/>
    <col min="8455" max="8455" width="10.42578125" style="70" customWidth="1"/>
    <col min="8456" max="8456" width="5.5703125" style="70" bestFit="1" customWidth="1"/>
    <col min="8457" max="8457" width="10.7109375" style="70" customWidth="1"/>
    <col min="8458" max="8458" width="5.7109375" style="70" customWidth="1"/>
    <col min="8459" max="8459" width="10.5703125" style="70" customWidth="1"/>
    <col min="8460" max="8460" width="23.42578125" style="70" customWidth="1"/>
    <col min="8461" max="8461" width="20" style="70" customWidth="1"/>
    <col min="8462" max="8462" width="12.140625" style="70" customWidth="1"/>
    <col min="8463" max="8463" width="3.28515625" style="70" customWidth="1"/>
    <col min="8464" max="8464" width="3.42578125" style="70" customWidth="1"/>
    <col min="8465" max="8465" width="4.5703125" style="70" customWidth="1"/>
    <col min="8466" max="8704" width="9.140625" style="70"/>
    <col min="8705" max="8705" width="3.85546875" style="70" customWidth="1"/>
    <col min="8706" max="8706" width="38.7109375" style="70" customWidth="1"/>
    <col min="8707" max="8707" width="12.28515625" style="70" customWidth="1"/>
    <col min="8708" max="8708" width="7.85546875" style="70" customWidth="1"/>
    <col min="8709" max="8709" width="10.85546875" style="70" bestFit="1" customWidth="1"/>
    <col min="8710" max="8710" width="5.5703125" style="70" customWidth="1"/>
    <col min="8711" max="8711" width="10.42578125" style="70" customWidth="1"/>
    <col min="8712" max="8712" width="5.5703125" style="70" bestFit="1" customWidth="1"/>
    <col min="8713" max="8713" width="10.7109375" style="70" customWidth="1"/>
    <col min="8714" max="8714" width="5.7109375" style="70" customWidth="1"/>
    <col min="8715" max="8715" width="10.5703125" style="70" customWidth="1"/>
    <col min="8716" max="8716" width="23.42578125" style="70" customWidth="1"/>
    <col min="8717" max="8717" width="20" style="70" customWidth="1"/>
    <col min="8718" max="8718" width="12.140625" style="70" customWidth="1"/>
    <col min="8719" max="8719" width="3.28515625" style="70" customWidth="1"/>
    <col min="8720" max="8720" width="3.42578125" style="70" customWidth="1"/>
    <col min="8721" max="8721" width="4.5703125" style="70" customWidth="1"/>
    <col min="8722" max="8960" width="9.140625" style="70"/>
    <col min="8961" max="8961" width="3.85546875" style="70" customWidth="1"/>
    <col min="8962" max="8962" width="38.7109375" style="70" customWidth="1"/>
    <col min="8963" max="8963" width="12.28515625" style="70" customWidth="1"/>
    <col min="8964" max="8964" width="7.85546875" style="70" customWidth="1"/>
    <col min="8965" max="8965" width="10.85546875" style="70" bestFit="1" customWidth="1"/>
    <col min="8966" max="8966" width="5.5703125" style="70" customWidth="1"/>
    <col min="8967" max="8967" width="10.42578125" style="70" customWidth="1"/>
    <col min="8968" max="8968" width="5.5703125" style="70" bestFit="1" customWidth="1"/>
    <col min="8969" max="8969" width="10.7109375" style="70" customWidth="1"/>
    <col min="8970" max="8970" width="5.7109375" style="70" customWidth="1"/>
    <col min="8971" max="8971" width="10.5703125" style="70" customWidth="1"/>
    <col min="8972" max="8972" width="23.42578125" style="70" customWidth="1"/>
    <col min="8973" max="8973" width="20" style="70" customWidth="1"/>
    <col min="8974" max="8974" width="12.140625" style="70" customWidth="1"/>
    <col min="8975" max="8975" width="3.28515625" style="70" customWidth="1"/>
    <col min="8976" max="8976" width="3.42578125" style="70" customWidth="1"/>
    <col min="8977" max="8977" width="4.5703125" style="70" customWidth="1"/>
    <col min="8978" max="9216" width="9.140625" style="70"/>
    <col min="9217" max="9217" width="3.85546875" style="70" customWidth="1"/>
    <col min="9218" max="9218" width="38.7109375" style="70" customWidth="1"/>
    <col min="9219" max="9219" width="12.28515625" style="70" customWidth="1"/>
    <col min="9220" max="9220" width="7.85546875" style="70" customWidth="1"/>
    <col min="9221" max="9221" width="10.85546875" style="70" bestFit="1" customWidth="1"/>
    <col min="9222" max="9222" width="5.5703125" style="70" customWidth="1"/>
    <col min="9223" max="9223" width="10.42578125" style="70" customWidth="1"/>
    <col min="9224" max="9224" width="5.5703125" style="70" bestFit="1" customWidth="1"/>
    <col min="9225" max="9225" width="10.7109375" style="70" customWidth="1"/>
    <col min="9226" max="9226" width="5.7109375" style="70" customWidth="1"/>
    <col min="9227" max="9227" width="10.5703125" style="70" customWidth="1"/>
    <col min="9228" max="9228" width="23.42578125" style="70" customWidth="1"/>
    <col min="9229" max="9229" width="20" style="70" customWidth="1"/>
    <col min="9230" max="9230" width="12.140625" style="70" customWidth="1"/>
    <col min="9231" max="9231" width="3.28515625" style="70" customWidth="1"/>
    <col min="9232" max="9232" width="3.42578125" style="70" customWidth="1"/>
    <col min="9233" max="9233" width="4.5703125" style="70" customWidth="1"/>
    <col min="9234" max="9472" width="9.140625" style="70"/>
    <col min="9473" max="9473" width="3.85546875" style="70" customWidth="1"/>
    <col min="9474" max="9474" width="38.7109375" style="70" customWidth="1"/>
    <col min="9475" max="9475" width="12.28515625" style="70" customWidth="1"/>
    <col min="9476" max="9476" width="7.85546875" style="70" customWidth="1"/>
    <col min="9477" max="9477" width="10.85546875" style="70" bestFit="1" customWidth="1"/>
    <col min="9478" max="9478" width="5.5703125" style="70" customWidth="1"/>
    <col min="9479" max="9479" width="10.42578125" style="70" customWidth="1"/>
    <col min="9480" max="9480" width="5.5703125" style="70" bestFit="1" customWidth="1"/>
    <col min="9481" max="9481" width="10.7109375" style="70" customWidth="1"/>
    <col min="9482" max="9482" width="5.7109375" style="70" customWidth="1"/>
    <col min="9483" max="9483" width="10.5703125" style="70" customWidth="1"/>
    <col min="9484" max="9484" width="23.42578125" style="70" customWidth="1"/>
    <col min="9485" max="9485" width="20" style="70" customWidth="1"/>
    <col min="9486" max="9486" width="12.140625" style="70" customWidth="1"/>
    <col min="9487" max="9487" width="3.28515625" style="70" customWidth="1"/>
    <col min="9488" max="9488" width="3.42578125" style="70" customWidth="1"/>
    <col min="9489" max="9489" width="4.5703125" style="70" customWidth="1"/>
    <col min="9490" max="9728" width="9.140625" style="70"/>
    <col min="9729" max="9729" width="3.85546875" style="70" customWidth="1"/>
    <col min="9730" max="9730" width="38.7109375" style="70" customWidth="1"/>
    <col min="9731" max="9731" width="12.28515625" style="70" customWidth="1"/>
    <col min="9732" max="9732" width="7.85546875" style="70" customWidth="1"/>
    <col min="9733" max="9733" width="10.85546875" style="70" bestFit="1" customWidth="1"/>
    <col min="9734" max="9734" width="5.5703125" style="70" customWidth="1"/>
    <col min="9735" max="9735" width="10.42578125" style="70" customWidth="1"/>
    <col min="9736" max="9736" width="5.5703125" style="70" bestFit="1" customWidth="1"/>
    <col min="9737" max="9737" width="10.7109375" style="70" customWidth="1"/>
    <col min="9738" max="9738" width="5.7109375" style="70" customWidth="1"/>
    <col min="9739" max="9739" width="10.5703125" style="70" customWidth="1"/>
    <col min="9740" max="9740" width="23.42578125" style="70" customWidth="1"/>
    <col min="9741" max="9741" width="20" style="70" customWidth="1"/>
    <col min="9742" max="9742" width="12.140625" style="70" customWidth="1"/>
    <col min="9743" max="9743" width="3.28515625" style="70" customWidth="1"/>
    <col min="9744" max="9744" width="3.42578125" style="70" customWidth="1"/>
    <col min="9745" max="9745" width="4.5703125" style="70" customWidth="1"/>
    <col min="9746" max="9984" width="9.140625" style="70"/>
    <col min="9985" max="9985" width="3.85546875" style="70" customWidth="1"/>
    <col min="9986" max="9986" width="38.7109375" style="70" customWidth="1"/>
    <col min="9987" max="9987" width="12.28515625" style="70" customWidth="1"/>
    <col min="9988" max="9988" width="7.85546875" style="70" customWidth="1"/>
    <col min="9989" max="9989" width="10.85546875" style="70" bestFit="1" customWidth="1"/>
    <col min="9990" max="9990" width="5.5703125" style="70" customWidth="1"/>
    <col min="9991" max="9991" width="10.42578125" style="70" customWidth="1"/>
    <col min="9992" max="9992" width="5.5703125" style="70" bestFit="1" customWidth="1"/>
    <col min="9993" max="9993" width="10.7109375" style="70" customWidth="1"/>
    <col min="9994" max="9994" width="5.7109375" style="70" customWidth="1"/>
    <col min="9995" max="9995" width="10.5703125" style="70" customWidth="1"/>
    <col min="9996" max="9996" width="23.42578125" style="70" customWidth="1"/>
    <col min="9997" max="9997" width="20" style="70" customWidth="1"/>
    <col min="9998" max="9998" width="12.140625" style="70" customWidth="1"/>
    <col min="9999" max="9999" width="3.28515625" style="70" customWidth="1"/>
    <col min="10000" max="10000" width="3.42578125" style="70" customWidth="1"/>
    <col min="10001" max="10001" width="4.5703125" style="70" customWidth="1"/>
    <col min="10002" max="10240" width="9.140625" style="70"/>
    <col min="10241" max="10241" width="3.85546875" style="70" customWidth="1"/>
    <col min="10242" max="10242" width="38.7109375" style="70" customWidth="1"/>
    <col min="10243" max="10243" width="12.28515625" style="70" customWidth="1"/>
    <col min="10244" max="10244" width="7.85546875" style="70" customWidth="1"/>
    <col min="10245" max="10245" width="10.85546875" style="70" bestFit="1" customWidth="1"/>
    <col min="10246" max="10246" width="5.5703125" style="70" customWidth="1"/>
    <col min="10247" max="10247" width="10.42578125" style="70" customWidth="1"/>
    <col min="10248" max="10248" width="5.5703125" style="70" bestFit="1" customWidth="1"/>
    <col min="10249" max="10249" width="10.7109375" style="70" customWidth="1"/>
    <col min="10250" max="10250" width="5.7109375" style="70" customWidth="1"/>
    <col min="10251" max="10251" width="10.5703125" style="70" customWidth="1"/>
    <col min="10252" max="10252" width="23.42578125" style="70" customWidth="1"/>
    <col min="10253" max="10253" width="20" style="70" customWidth="1"/>
    <col min="10254" max="10254" width="12.140625" style="70" customWidth="1"/>
    <col min="10255" max="10255" width="3.28515625" style="70" customWidth="1"/>
    <col min="10256" max="10256" width="3.42578125" style="70" customWidth="1"/>
    <col min="10257" max="10257" width="4.5703125" style="70" customWidth="1"/>
    <col min="10258" max="10496" width="9.140625" style="70"/>
    <col min="10497" max="10497" width="3.85546875" style="70" customWidth="1"/>
    <col min="10498" max="10498" width="38.7109375" style="70" customWidth="1"/>
    <col min="10499" max="10499" width="12.28515625" style="70" customWidth="1"/>
    <col min="10500" max="10500" width="7.85546875" style="70" customWidth="1"/>
    <col min="10501" max="10501" width="10.85546875" style="70" bestFit="1" customWidth="1"/>
    <col min="10502" max="10502" width="5.5703125" style="70" customWidth="1"/>
    <col min="10503" max="10503" width="10.42578125" style="70" customWidth="1"/>
    <col min="10504" max="10504" width="5.5703125" style="70" bestFit="1" customWidth="1"/>
    <col min="10505" max="10505" width="10.7109375" style="70" customWidth="1"/>
    <col min="10506" max="10506" width="5.7109375" style="70" customWidth="1"/>
    <col min="10507" max="10507" width="10.5703125" style="70" customWidth="1"/>
    <col min="10508" max="10508" width="23.42578125" style="70" customWidth="1"/>
    <col min="10509" max="10509" width="20" style="70" customWidth="1"/>
    <col min="10510" max="10510" width="12.140625" style="70" customWidth="1"/>
    <col min="10511" max="10511" width="3.28515625" style="70" customWidth="1"/>
    <col min="10512" max="10512" width="3.42578125" style="70" customWidth="1"/>
    <col min="10513" max="10513" width="4.5703125" style="70" customWidth="1"/>
    <col min="10514" max="10752" width="9.140625" style="70"/>
    <col min="10753" max="10753" width="3.85546875" style="70" customWidth="1"/>
    <col min="10754" max="10754" width="38.7109375" style="70" customWidth="1"/>
    <col min="10755" max="10755" width="12.28515625" style="70" customWidth="1"/>
    <col min="10756" max="10756" width="7.85546875" style="70" customWidth="1"/>
    <col min="10757" max="10757" width="10.85546875" style="70" bestFit="1" customWidth="1"/>
    <col min="10758" max="10758" width="5.5703125" style="70" customWidth="1"/>
    <col min="10759" max="10759" width="10.42578125" style="70" customWidth="1"/>
    <col min="10760" max="10760" width="5.5703125" style="70" bestFit="1" customWidth="1"/>
    <col min="10761" max="10761" width="10.7109375" style="70" customWidth="1"/>
    <col min="10762" max="10762" width="5.7109375" style="70" customWidth="1"/>
    <col min="10763" max="10763" width="10.5703125" style="70" customWidth="1"/>
    <col min="10764" max="10764" width="23.42578125" style="70" customWidth="1"/>
    <col min="10765" max="10765" width="20" style="70" customWidth="1"/>
    <col min="10766" max="10766" width="12.140625" style="70" customWidth="1"/>
    <col min="10767" max="10767" width="3.28515625" style="70" customWidth="1"/>
    <col min="10768" max="10768" width="3.42578125" style="70" customWidth="1"/>
    <col min="10769" max="10769" width="4.5703125" style="70" customWidth="1"/>
    <col min="10770" max="11008" width="9.140625" style="70"/>
    <col min="11009" max="11009" width="3.85546875" style="70" customWidth="1"/>
    <col min="11010" max="11010" width="38.7109375" style="70" customWidth="1"/>
    <col min="11011" max="11011" width="12.28515625" style="70" customWidth="1"/>
    <col min="11012" max="11012" width="7.85546875" style="70" customWidth="1"/>
    <col min="11013" max="11013" width="10.85546875" style="70" bestFit="1" customWidth="1"/>
    <col min="11014" max="11014" width="5.5703125" style="70" customWidth="1"/>
    <col min="11015" max="11015" width="10.42578125" style="70" customWidth="1"/>
    <col min="11016" max="11016" width="5.5703125" style="70" bestFit="1" customWidth="1"/>
    <col min="11017" max="11017" width="10.7109375" style="70" customWidth="1"/>
    <col min="11018" max="11018" width="5.7109375" style="70" customWidth="1"/>
    <col min="11019" max="11019" width="10.5703125" style="70" customWidth="1"/>
    <col min="11020" max="11020" width="23.42578125" style="70" customWidth="1"/>
    <col min="11021" max="11021" width="20" style="70" customWidth="1"/>
    <col min="11022" max="11022" width="12.140625" style="70" customWidth="1"/>
    <col min="11023" max="11023" width="3.28515625" style="70" customWidth="1"/>
    <col min="11024" max="11024" width="3.42578125" style="70" customWidth="1"/>
    <col min="11025" max="11025" width="4.5703125" style="70" customWidth="1"/>
    <col min="11026" max="11264" width="9.140625" style="70"/>
    <col min="11265" max="11265" width="3.85546875" style="70" customWidth="1"/>
    <col min="11266" max="11266" width="38.7109375" style="70" customWidth="1"/>
    <col min="11267" max="11267" width="12.28515625" style="70" customWidth="1"/>
    <col min="11268" max="11268" width="7.85546875" style="70" customWidth="1"/>
    <col min="11269" max="11269" width="10.85546875" style="70" bestFit="1" customWidth="1"/>
    <col min="11270" max="11270" width="5.5703125" style="70" customWidth="1"/>
    <col min="11271" max="11271" width="10.42578125" style="70" customWidth="1"/>
    <col min="11272" max="11272" width="5.5703125" style="70" bestFit="1" customWidth="1"/>
    <col min="11273" max="11273" width="10.7109375" style="70" customWidth="1"/>
    <col min="11274" max="11274" width="5.7109375" style="70" customWidth="1"/>
    <col min="11275" max="11275" width="10.5703125" style="70" customWidth="1"/>
    <col min="11276" max="11276" width="23.42578125" style="70" customWidth="1"/>
    <col min="11277" max="11277" width="20" style="70" customWidth="1"/>
    <col min="11278" max="11278" width="12.140625" style="70" customWidth="1"/>
    <col min="11279" max="11279" width="3.28515625" style="70" customWidth="1"/>
    <col min="11280" max="11280" width="3.42578125" style="70" customWidth="1"/>
    <col min="11281" max="11281" width="4.5703125" style="70" customWidth="1"/>
    <col min="11282" max="11520" width="9.140625" style="70"/>
    <col min="11521" max="11521" width="3.85546875" style="70" customWidth="1"/>
    <col min="11522" max="11522" width="38.7109375" style="70" customWidth="1"/>
    <col min="11523" max="11523" width="12.28515625" style="70" customWidth="1"/>
    <col min="11524" max="11524" width="7.85546875" style="70" customWidth="1"/>
    <col min="11525" max="11525" width="10.85546875" style="70" bestFit="1" customWidth="1"/>
    <col min="11526" max="11526" width="5.5703125" style="70" customWidth="1"/>
    <col min="11527" max="11527" width="10.42578125" style="70" customWidth="1"/>
    <col min="11528" max="11528" width="5.5703125" style="70" bestFit="1" customWidth="1"/>
    <col min="11529" max="11529" width="10.7109375" style="70" customWidth="1"/>
    <col min="11530" max="11530" width="5.7109375" style="70" customWidth="1"/>
    <col min="11531" max="11531" width="10.5703125" style="70" customWidth="1"/>
    <col min="11532" max="11532" width="23.42578125" style="70" customWidth="1"/>
    <col min="11533" max="11533" width="20" style="70" customWidth="1"/>
    <col min="11534" max="11534" width="12.140625" style="70" customWidth="1"/>
    <col min="11535" max="11535" width="3.28515625" style="70" customWidth="1"/>
    <col min="11536" max="11536" width="3.42578125" style="70" customWidth="1"/>
    <col min="11537" max="11537" width="4.5703125" style="70" customWidth="1"/>
    <col min="11538" max="11776" width="9.140625" style="70"/>
    <col min="11777" max="11777" width="3.85546875" style="70" customWidth="1"/>
    <col min="11778" max="11778" width="38.7109375" style="70" customWidth="1"/>
    <col min="11779" max="11779" width="12.28515625" style="70" customWidth="1"/>
    <col min="11780" max="11780" width="7.85546875" style="70" customWidth="1"/>
    <col min="11781" max="11781" width="10.85546875" style="70" bestFit="1" customWidth="1"/>
    <col min="11782" max="11782" width="5.5703125" style="70" customWidth="1"/>
    <col min="11783" max="11783" width="10.42578125" style="70" customWidth="1"/>
    <col min="11784" max="11784" width="5.5703125" style="70" bestFit="1" customWidth="1"/>
    <col min="11785" max="11785" width="10.7109375" style="70" customWidth="1"/>
    <col min="11786" max="11786" width="5.7109375" style="70" customWidth="1"/>
    <col min="11787" max="11787" width="10.5703125" style="70" customWidth="1"/>
    <col min="11788" max="11788" width="23.42578125" style="70" customWidth="1"/>
    <col min="11789" max="11789" width="20" style="70" customWidth="1"/>
    <col min="11790" max="11790" width="12.140625" style="70" customWidth="1"/>
    <col min="11791" max="11791" width="3.28515625" style="70" customWidth="1"/>
    <col min="11792" max="11792" width="3.42578125" style="70" customWidth="1"/>
    <col min="11793" max="11793" width="4.5703125" style="70" customWidth="1"/>
    <col min="11794" max="12032" width="9.140625" style="70"/>
    <col min="12033" max="12033" width="3.85546875" style="70" customWidth="1"/>
    <col min="12034" max="12034" width="38.7109375" style="70" customWidth="1"/>
    <col min="12035" max="12035" width="12.28515625" style="70" customWidth="1"/>
    <col min="12036" max="12036" width="7.85546875" style="70" customWidth="1"/>
    <col min="12037" max="12037" width="10.85546875" style="70" bestFit="1" customWidth="1"/>
    <col min="12038" max="12038" width="5.5703125" style="70" customWidth="1"/>
    <col min="12039" max="12039" width="10.42578125" style="70" customWidth="1"/>
    <col min="12040" max="12040" width="5.5703125" style="70" bestFit="1" customWidth="1"/>
    <col min="12041" max="12041" width="10.7109375" style="70" customWidth="1"/>
    <col min="12042" max="12042" width="5.7109375" style="70" customWidth="1"/>
    <col min="12043" max="12043" width="10.5703125" style="70" customWidth="1"/>
    <col min="12044" max="12044" width="23.42578125" style="70" customWidth="1"/>
    <col min="12045" max="12045" width="20" style="70" customWidth="1"/>
    <col min="12046" max="12046" width="12.140625" style="70" customWidth="1"/>
    <col min="12047" max="12047" width="3.28515625" style="70" customWidth="1"/>
    <col min="12048" max="12048" width="3.42578125" style="70" customWidth="1"/>
    <col min="12049" max="12049" width="4.5703125" style="70" customWidth="1"/>
    <col min="12050" max="12288" width="9.140625" style="70"/>
    <col min="12289" max="12289" width="3.85546875" style="70" customWidth="1"/>
    <col min="12290" max="12290" width="38.7109375" style="70" customWidth="1"/>
    <col min="12291" max="12291" width="12.28515625" style="70" customWidth="1"/>
    <col min="12292" max="12292" width="7.85546875" style="70" customWidth="1"/>
    <col min="12293" max="12293" width="10.85546875" style="70" bestFit="1" customWidth="1"/>
    <col min="12294" max="12294" width="5.5703125" style="70" customWidth="1"/>
    <col min="12295" max="12295" width="10.42578125" style="70" customWidth="1"/>
    <col min="12296" max="12296" width="5.5703125" style="70" bestFit="1" customWidth="1"/>
    <col min="12297" max="12297" width="10.7109375" style="70" customWidth="1"/>
    <col min="12298" max="12298" width="5.7109375" style="70" customWidth="1"/>
    <col min="12299" max="12299" width="10.5703125" style="70" customWidth="1"/>
    <col min="12300" max="12300" width="23.42578125" style="70" customWidth="1"/>
    <col min="12301" max="12301" width="20" style="70" customWidth="1"/>
    <col min="12302" max="12302" width="12.140625" style="70" customWidth="1"/>
    <col min="12303" max="12303" width="3.28515625" style="70" customWidth="1"/>
    <col min="12304" max="12304" width="3.42578125" style="70" customWidth="1"/>
    <col min="12305" max="12305" width="4.5703125" style="70" customWidth="1"/>
    <col min="12306" max="12544" width="9.140625" style="70"/>
    <col min="12545" max="12545" width="3.85546875" style="70" customWidth="1"/>
    <col min="12546" max="12546" width="38.7109375" style="70" customWidth="1"/>
    <col min="12547" max="12547" width="12.28515625" style="70" customWidth="1"/>
    <col min="12548" max="12548" width="7.85546875" style="70" customWidth="1"/>
    <col min="12549" max="12549" width="10.85546875" style="70" bestFit="1" customWidth="1"/>
    <col min="12550" max="12550" width="5.5703125" style="70" customWidth="1"/>
    <col min="12551" max="12551" width="10.42578125" style="70" customWidth="1"/>
    <col min="12552" max="12552" width="5.5703125" style="70" bestFit="1" customWidth="1"/>
    <col min="12553" max="12553" width="10.7109375" style="70" customWidth="1"/>
    <col min="12554" max="12554" width="5.7109375" style="70" customWidth="1"/>
    <col min="12555" max="12555" width="10.5703125" style="70" customWidth="1"/>
    <col min="12556" max="12556" width="23.42578125" style="70" customWidth="1"/>
    <col min="12557" max="12557" width="20" style="70" customWidth="1"/>
    <col min="12558" max="12558" width="12.140625" style="70" customWidth="1"/>
    <col min="12559" max="12559" width="3.28515625" style="70" customWidth="1"/>
    <col min="12560" max="12560" width="3.42578125" style="70" customWidth="1"/>
    <col min="12561" max="12561" width="4.5703125" style="70" customWidth="1"/>
    <col min="12562" max="12800" width="9.140625" style="70"/>
    <col min="12801" max="12801" width="3.85546875" style="70" customWidth="1"/>
    <col min="12802" max="12802" width="38.7109375" style="70" customWidth="1"/>
    <col min="12803" max="12803" width="12.28515625" style="70" customWidth="1"/>
    <col min="12804" max="12804" width="7.85546875" style="70" customWidth="1"/>
    <col min="12805" max="12805" width="10.85546875" style="70" bestFit="1" customWidth="1"/>
    <col min="12806" max="12806" width="5.5703125" style="70" customWidth="1"/>
    <col min="12807" max="12807" width="10.42578125" style="70" customWidth="1"/>
    <col min="12808" max="12808" width="5.5703125" style="70" bestFit="1" customWidth="1"/>
    <col min="12809" max="12809" width="10.7109375" style="70" customWidth="1"/>
    <col min="12810" max="12810" width="5.7109375" style="70" customWidth="1"/>
    <col min="12811" max="12811" width="10.5703125" style="70" customWidth="1"/>
    <col min="12812" max="12812" width="23.42578125" style="70" customWidth="1"/>
    <col min="12813" max="12813" width="20" style="70" customWidth="1"/>
    <col min="12814" max="12814" width="12.140625" style="70" customWidth="1"/>
    <col min="12815" max="12815" width="3.28515625" style="70" customWidth="1"/>
    <col min="12816" max="12816" width="3.42578125" style="70" customWidth="1"/>
    <col min="12817" max="12817" width="4.5703125" style="70" customWidth="1"/>
    <col min="12818" max="13056" width="9.140625" style="70"/>
    <col min="13057" max="13057" width="3.85546875" style="70" customWidth="1"/>
    <col min="13058" max="13058" width="38.7109375" style="70" customWidth="1"/>
    <col min="13059" max="13059" width="12.28515625" style="70" customWidth="1"/>
    <col min="13060" max="13060" width="7.85546875" style="70" customWidth="1"/>
    <col min="13061" max="13061" width="10.85546875" style="70" bestFit="1" customWidth="1"/>
    <col min="13062" max="13062" width="5.5703125" style="70" customWidth="1"/>
    <col min="13063" max="13063" width="10.42578125" style="70" customWidth="1"/>
    <col min="13064" max="13064" width="5.5703125" style="70" bestFit="1" customWidth="1"/>
    <col min="13065" max="13065" width="10.7109375" style="70" customWidth="1"/>
    <col min="13066" max="13066" width="5.7109375" style="70" customWidth="1"/>
    <col min="13067" max="13067" width="10.5703125" style="70" customWidth="1"/>
    <col min="13068" max="13068" width="23.42578125" style="70" customWidth="1"/>
    <col min="13069" max="13069" width="20" style="70" customWidth="1"/>
    <col min="13070" max="13070" width="12.140625" style="70" customWidth="1"/>
    <col min="13071" max="13071" width="3.28515625" style="70" customWidth="1"/>
    <col min="13072" max="13072" width="3.42578125" style="70" customWidth="1"/>
    <col min="13073" max="13073" width="4.5703125" style="70" customWidth="1"/>
    <col min="13074" max="13312" width="9.140625" style="70"/>
    <col min="13313" max="13313" width="3.85546875" style="70" customWidth="1"/>
    <col min="13314" max="13314" width="38.7109375" style="70" customWidth="1"/>
    <col min="13315" max="13315" width="12.28515625" style="70" customWidth="1"/>
    <col min="13316" max="13316" width="7.85546875" style="70" customWidth="1"/>
    <col min="13317" max="13317" width="10.85546875" style="70" bestFit="1" customWidth="1"/>
    <col min="13318" max="13318" width="5.5703125" style="70" customWidth="1"/>
    <col min="13319" max="13319" width="10.42578125" style="70" customWidth="1"/>
    <col min="13320" max="13320" width="5.5703125" style="70" bestFit="1" customWidth="1"/>
    <col min="13321" max="13321" width="10.7109375" style="70" customWidth="1"/>
    <col min="13322" max="13322" width="5.7109375" style="70" customWidth="1"/>
    <col min="13323" max="13323" width="10.5703125" style="70" customWidth="1"/>
    <col min="13324" max="13324" width="23.42578125" style="70" customWidth="1"/>
    <col min="13325" max="13325" width="20" style="70" customWidth="1"/>
    <col min="13326" max="13326" width="12.140625" style="70" customWidth="1"/>
    <col min="13327" max="13327" width="3.28515625" style="70" customWidth="1"/>
    <col min="13328" max="13328" width="3.42578125" style="70" customWidth="1"/>
    <col min="13329" max="13329" width="4.5703125" style="70" customWidth="1"/>
    <col min="13330" max="13568" width="9.140625" style="70"/>
    <col min="13569" max="13569" width="3.85546875" style="70" customWidth="1"/>
    <col min="13570" max="13570" width="38.7109375" style="70" customWidth="1"/>
    <col min="13571" max="13571" width="12.28515625" style="70" customWidth="1"/>
    <col min="13572" max="13572" width="7.85546875" style="70" customWidth="1"/>
    <col min="13573" max="13573" width="10.85546875" style="70" bestFit="1" customWidth="1"/>
    <col min="13574" max="13574" width="5.5703125" style="70" customWidth="1"/>
    <col min="13575" max="13575" width="10.42578125" style="70" customWidth="1"/>
    <col min="13576" max="13576" width="5.5703125" style="70" bestFit="1" customWidth="1"/>
    <col min="13577" max="13577" width="10.7109375" style="70" customWidth="1"/>
    <col min="13578" max="13578" width="5.7109375" style="70" customWidth="1"/>
    <col min="13579" max="13579" width="10.5703125" style="70" customWidth="1"/>
    <col min="13580" max="13580" width="23.42578125" style="70" customWidth="1"/>
    <col min="13581" max="13581" width="20" style="70" customWidth="1"/>
    <col min="13582" max="13582" width="12.140625" style="70" customWidth="1"/>
    <col min="13583" max="13583" width="3.28515625" style="70" customWidth="1"/>
    <col min="13584" max="13584" width="3.42578125" style="70" customWidth="1"/>
    <col min="13585" max="13585" width="4.5703125" style="70" customWidth="1"/>
    <col min="13586" max="13824" width="9.140625" style="70"/>
    <col min="13825" max="13825" width="3.85546875" style="70" customWidth="1"/>
    <col min="13826" max="13826" width="38.7109375" style="70" customWidth="1"/>
    <col min="13827" max="13827" width="12.28515625" style="70" customWidth="1"/>
    <col min="13828" max="13828" width="7.85546875" style="70" customWidth="1"/>
    <col min="13829" max="13829" width="10.85546875" style="70" bestFit="1" customWidth="1"/>
    <col min="13830" max="13830" width="5.5703125" style="70" customWidth="1"/>
    <col min="13831" max="13831" width="10.42578125" style="70" customWidth="1"/>
    <col min="13832" max="13832" width="5.5703125" style="70" bestFit="1" customWidth="1"/>
    <col min="13833" max="13833" width="10.7109375" style="70" customWidth="1"/>
    <col min="13834" max="13834" width="5.7109375" style="70" customWidth="1"/>
    <col min="13835" max="13835" width="10.5703125" style="70" customWidth="1"/>
    <col min="13836" max="13836" width="23.42578125" style="70" customWidth="1"/>
    <col min="13837" max="13837" width="20" style="70" customWidth="1"/>
    <col min="13838" max="13838" width="12.140625" style="70" customWidth="1"/>
    <col min="13839" max="13839" width="3.28515625" style="70" customWidth="1"/>
    <col min="13840" max="13840" width="3.42578125" style="70" customWidth="1"/>
    <col min="13841" max="13841" width="4.5703125" style="70" customWidth="1"/>
    <col min="13842" max="14080" width="9.140625" style="70"/>
    <col min="14081" max="14081" width="3.85546875" style="70" customWidth="1"/>
    <col min="14082" max="14082" width="38.7109375" style="70" customWidth="1"/>
    <col min="14083" max="14083" width="12.28515625" style="70" customWidth="1"/>
    <col min="14084" max="14084" width="7.85546875" style="70" customWidth="1"/>
    <col min="14085" max="14085" width="10.85546875" style="70" bestFit="1" customWidth="1"/>
    <col min="14086" max="14086" width="5.5703125" style="70" customWidth="1"/>
    <col min="14087" max="14087" width="10.42578125" style="70" customWidth="1"/>
    <col min="14088" max="14088" width="5.5703125" style="70" bestFit="1" customWidth="1"/>
    <col min="14089" max="14089" width="10.7109375" style="70" customWidth="1"/>
    <col min="14090" max="14090" width="5.7109375" style="70" customWidth="1"/>
    <col min="14091" max="14091" width="10.5703125" style="70" customWidth="1"/>
    <col min="14092" max="14092" width="23.42578125" style="70" customWidth="1"/>
    <col min="14093" max="14093" width="20" style="70" customWidth="1"/>
    <col min="14094" max="14094" width="12.140625" style="70" customWidth="1"/>
    <col min="14095" max="14095" width="3.28515625" style="70" customWidth="1"/>
    <col min="14096" max="14096" width="3.42578125" style="70" customWidth="1"/>
    <col min="14097" max="14097" width="4.5703125" style="70" customWidth="1"/>
    <col min="14098" max="14336" width="9.140625" style="70"/>
    <col min="14337" max="14337" width="3.85546875" style="70" customWidth="1"/>
    <col min="14338" max="14338" width="38.7109375" style="70" customWidth="1"/>
    <col min="14339" max="14339" width="12.28515625" style="70" customWidth="1"/>
    <col min="14340" max="14340" width="7.85546875" style="70" customWidth="1"/>
    <col min="14341" max="14341" width="10.85546875" style="70" bestFit="1" customWidth="1"/>
    <col min="14342" max="14342" width="5.5703125" style="70" customWidth="1"/>
    <col min="14343" max="14343" width="10.42578125" style="70" customWidth="1"/>
    <col min="14344" max="14344" width="5.5703125" style="70" bestFit="1" customWidth="1"/>
    <col min="14345" max="14345" width="10.7109375" style="70" customWidth="1"/>
    <col min="14346" max="14346" width="5.7109375" style="70" customWidth="1"/>
    <col min="14347" max="14347" width="10.5703125" style="70" customWidth="1"/>
    <col min="14348" max="14348" width="23.42578125" style="70" customWidth="1"/>
    <col min="14349" max="14349" width="20" style="70" customWidth="1"/>
    <col min="14350" max="14350" width="12.140625" style="70" customWidth="1"/>
    <col min="14351" max="14351" width="3.28515625" style="70" customWidth="1"/>
    <col min="14352" max="14352" width="3.42578125" style="70" customWidth="1"/>
    <col min="14353" max="14353" width="4.5703125" style="70" customWidth="1"/>
    <col min="14354" max="14592" width="9.140625" style="70"/>
    <col min="14593" max="14593" width="3.85546875" style="70" customWidth="1"/>
    <col min="14594" max="14594" width="38.7109375" style="70" customWidth="1"/>
    <col min="14595" max="14595" width="12.28515625" style="70" customWidth="1"/>
    <col min="14596" max="14596" width="7.85546875" style="70" customWidth="1"/>
    <col min="14597" max="14597" width="10.85546875" style="70" bestFit="1" customWidth="1"/>
    <col min="14598" max="14598" width="5.5703125" style="70" customWidth="1"/>
    <col min="14599" max="14599" width="10.42578125" style="70" customWidth="1"/>
    <col min="14600" max="14600" width="5.5703125" style="70" bestFit="1" customWidth="1"/>
    <col min="14601" max="14601" width="10.7109375" style="70" customWidth="1"/>
    <col min="14602" max="14602" width="5.7109375" style="70" customWidth="1"/>
    <col min="14603" max="14603" width="10.5703125" style="70" customWidth="1"/>
    <col min="14604" max="14604" width="23.42578125" style="70" customWidth="1"/>
    <col min="14605" max="14605" width="20" style="70" customWidth="1"/>
    <col min="14606" max="14606" width="12.140625" style="70" customWidth="1"/>
    <col min="14607" max="14607" width="3.28515625" style="70" customWidth="1"/>
    <col min="14608" max="14608" width="3.42578125" style="70" customWidth="1"/>
    <col min="14609" max="14609" width="4.5703125" style="70" customWidth="1"/>
    <col min="14610" max="14848" width="9.140625" style="70"/>
    <col min="14849" max="14849" width="3.85546875" style="70" customWidth="1"/>
    <col min="14850" max="14850" width="38.7109375" style="70" customWidth="1"/>
    <col min="14851" max="14851" width="12.28515625" style="70" customWidth="1"/>
    <col min="14852" max="14852" width="7.85546875" style="70" customWidth="1"/>
    <col min="14853" max="14853" width="10.85546875" style="70" bestFit="1" customWidth="1"/>
    <col min="14854" max="14854" width="5.5703125" style="70" customWidth="1"/>
    <col min="14855" max="14855" width="10.42578125" style="70" customWidth="1"/>
    <col min="14856" max="14856" width="5.5703125" style="70" bestFit="1" customWidth="1"/>
    <col min="14857" max="14857" width="10.7109375" style="70" customWidth="1"/>
    <col min="14858" max="14858" width="5.7109375" style="70" customWidth="1"/>
    <col min="14859" max="14859" width="10.5703125" style="70" customWidth="1"/>
    <col min="14860" max="14860" width="23.42578125" style="70" customWidth="1"/>
    <col min="14861" max="14861" width="20" style="70" customWidth="1"/>
    <col min="14862" max="14862" width="12.140625" style="70" customWidth="1"/>
    <col min="14863" max="14863" width="3.28515625" style="70" customWidth="1"/>
    <col min="14864" max="14864" width="3.42578125" style="70" customWidth="1"/>
    <col min="14865" max="14865" width="4.5703125" style="70" customWidth="1"/>
    <col min="14866" max="15104" width="9.140625" style="70"/>
    <col min="15105" max="15105" width="3.85546875" style="70" customWidth="1"/>
    <col min="15106" max="15106" width="38.7109375" style="70" customWidth="1"/>
    <col min="15107" max="15107" width="12.28515625" style="70" customWidth="1"/>
    <col min="15108" max="15108" width="7.85546875" style="70" customWidth="1"/>
    <col min="15109" max="15109" width="10.85546875" style="70" bestFit="1" customWidth="1"/>
    <col min="15110" max="15110" width="5.5703125" style="70" customWidth="1"/>
    <col min="15111" max="15111" width="10.42578125" style="70" customWidth="1"/>
    <col min="15112" max="15112" width="5.5703125" style="70" bestFit="1" customWidth="1"/>
    <col min="15113" max="15113" width="10.7109375" style="70" customWidth="1"/>
    <col min="15114" max="15114" width="5.7109375" style="70" customWidth="1"/>
    <col min="15115" max="15115" width="10.5703125" style="70" customWidth="1"/>
    <col min="15116" max="15116" width="23.42578125" style="70" customWidth="1"/>
    <col min="15117" max="15117" width="20" style="70" customWidth="1"/>
    <col min="15118" max="15118" width="12.140625" style="70" customWidth="1"/>
    <col min="15119" max="15119" width="3.28515625" style="70" customWidth="1"/>
    <col min="15120" max="15120" width="3.42578125" style="70" customWidth="1"/>
    <col min="15121" max="15121" width="4.5703125" style="70" customWidth="1"/>
    <col min="15122" max="15360" width="9.140625" style="70"/>
    <col min="15361" max="15361" width="3.85546875" style="70" customWidth="1"/>
    <col min="15362" max="15362" width="38.7109375" style="70" customWidth="1"/>
    <col min="15363" max="15363" width="12.28515625" style="70" customWidth="1"/>
    <col min="15364" max="15364" width="7.85546875" style="70" customWidth="1"/>
    <col min="15365" max="15365" width="10.85546875" style="70" bestFit="1" customWidth="1"/>
    <col min="15366" max="15366" width="5.5703125" style="70" customWidth="1"/>
    <col min="15367" max="15367" width="10.42578125" style="70" customWidth="1"/>
    <col min="15368" max="15368" width="5.5703125" style="70" bestFit="1" customWidth="1"/>
    <col min="15369" max="15369" width="10.7109375" style="70" customWidth="1"/>
    <col min="15370" max="15370" width="5.7109375" style="70" customWidth="1"/>
    <col min="15371" max="15371" width="10.5703125" style="70" customWidth="1"/>
    <col min="15372" max="15372" width="23.42578125" style="70" customWidth="1"/>
    <col min="15373" max="15373" width="20" style="70" customWidth="1"/>
    <col min="15374" max="15374" width="12.140625" style="70" customWidth="1"/>
    <col min="15375" max="15375" width="3.28515625" style="70" customWidth="1"/>
    <col min="15376" max="15376" width="3.42578125" style="70" customWidth="1"/>
    <col min="15377" max="15377" width="4.5703125" style="70" customWidth="1"/>
    <col min="15378" max="15616" width="9.140625" style="70"/>
    <col min="15617" max="15617" width="3.85546875" style="70" customWidth="1"/>
    <col min="15618" max="15618" width="38.7109375" style="70" customWidth="1"/>
    <col min="15619" max="15619" width="12.28515625" style="70" customWidth="1"/>
    <col min="15620" max="15620" width="7.85546875" style="70" customWidth="1"/>
    <col min="15621" max="15621" width="10.85546875" style="70" bestFit="1" customWidth="1"/>
    <col min="15622" max="15622" width="5.5703125" style="70" customWidth="1"/>
    <col min="15623" max="15623" width="10.42578125" style="70" customWidth="1"/>
    <col min="15624" max="15624" width="5.5703125" style="70" bestFit="1" customWidth="1"/>
    <col min="15625" max="15625" width="10.7109375" style="70" customWidth="1"/>
    <col min="15626" max="15626" width="5.7109375" style="70" customWidth="1"/>
    <col min="15627" max="15627" width="10.5703125" style="70" customWidth="1"/>
    <col min="15628" max="15628" width="23.42578125" style="70" customWidth="1"/>
    <col min="15629" max="15629" width="20" style="70" customWidth="1"/>
    <col min="15630" max="15630" width="12.140625" style="70" customWidth="1"/>
    <col min="15631" max="15631" width="3.28515625" style="70" customWidth="1"/>
    <col min="15632" max="15632" width="3.42578125" style="70" customWidth="1"/>
    <col min="15633" max="15633" width="4.5703125" style="70" customWidth="1"/>
    <col min="15634" max="15872" width="9.140625" style="70"/>
    <col min="15873" max="15873" width="3.85546875" style="70" customWidth="1"/>
    <col min="15874" max="15874" width="38.7109375" style="70" customWidth="1"/>
    <col min="15875" max="15875" width="12.28515625" style="70" customWidth="1"/>
    <col min="15876" max="15876" width="7.85546875" style="70" customWidth="1"/>
    <col min="15877" max="15877" width="10.85546875" style="70" bestFit="1" customWidth="1"/>
    <col min="15878" max="15878" width="5.5703125" style="70" customWidth="1"/>
    <col min="15879" max="15879" width="10.42578125" style="70" customWidth="1"/>
    <col min="15880" max="15880" width="5.5703125" style="70" bestFit="1" customWidth="1"/>
    <col min="15881" max="15881" width="10.7109375" style="70" customWidth="1"/>
    <col min="15882" max="15882" width="5.7109375" style="70" customWidth="1"/>
    <col min="15883" max="15883" width="10.5703125" style="70" customWidth="1"/>
    <col min="15884" max="15884" width="23.42578125" style="70" customWidth="1"/>
    <col min="15885" max="15885" width="20" style="70" customWidth="1"/>
    <col min="15886" max="15886" width="12.140625" style="70" customWidth="1"/>
    <col min="15887" max="15887" width="3.28515625" style="70" customWidth="1"/>
    <col min="15888" max="15888" width="3.42578125" style="70" customWidth="1"/>
    <col min="15889" max="15889" width="4.5703125" style="70" customWidth="1"/>
    <col min="15890" max="16128" width="9.140625" style="70"/>
    <col min="16129" max="16129" width="3.85546875" style="70" customWidth="1"/>
    <col min="16130" max="16130" width="38.7109375" style="70" customWidth="1"/>
    <col min="16131" max="16131" width="12.28515625" style="70" customWidth="1"/>
    <col min="16132" max="16132" width="7.85546875" style="70" customWidth="1"/>
    <col min="16133" max="16133" width="10.85546875" style="70" bestFit="1" customWidth="1"/>
    <col min="16134" max="16134" width="5.5703125" style="70" customWidth="1"/>
    <col min="16135" max="16135" width="10.42578125" style="70" customWidth="1"/>
    <col min="16136" max="16136" width="5.5703125" style="70" bestFit="1" customWidth="1"/>
    <col min="16137" max="16137" width="10.7109375" style="70" customWidth="1"/>
    <col min="16138" max="16138" width="5.7109375" style="70" customWidth="1"/>
    <col min="16139" max="16139" width="10.5703125" style="70" customWidth="1"/>
    <col min="16140" max="16140" width="23.42578125" style="70" customWidth="1"/>
    <col min="16141" max="16141" width="20" style="70" customWidth="1"/>
    <col min="16142" max="16142" width="12.140625" style="70" customWidth="1"/>
    <col min="16143" max="16143" width="3.28515625" style="70" customWidth="1"/>
    <col min="16144" max="16144" width="3.42578125" style="70" customWidth="1"/>
    <col min="16145" max="16145" width="4.5703125" style="70" customWidth="1"/>
    <col min="16146" max="16384" width="9.140625" style="70"/>
  </cols>
  <sheetData>
    <row r="1" spans="1:17" ht="20.25" customHeight="1">
      <c r="B1" s="597"/>
      <c r="C1" s="3391" t="s">
        <v>2633</v>
      </c>
      <c r="D1" s="3391"/>
      <c r="E1" s="3391"/>
      <c r="F1" s="3391"/>
      <c r="G1" s="3391"/>
      <c r="H1" s="597"/>
      <c r="I1" s="597"/>
      <c r="J1" s="597"/>
      <c r="K1" s="597"/>
    </row>
    <row r="2" spans="1:17" ht="17.25" customHeight="1">
      <c r="B2" s="597"/>
      <c r="C2" s="2047"/>
      <c r="D2" s="2047"/>
      <c r="E2" s="2047"/>
      <c r="F2" s="2047"/>
      <c r="G2" s="2047"/>
      <c r="H2" s="597"/>
      <c r="I2" s="597"/>
      <c r="J2" s="3392" t="s">
        <v>89</v>
      </c>
      <c r="K2" s="3392"/>
    </row>
    <row r="3" spans="1:17" ht="15.75" customHeight="1">
      <c r="C3" s="3393" t="s">
        <v>2634</v>
      </c>
      <c r="D3" s="3393"/>
      <c r="E3" s="3393"/>
      <c r="F3" s="3393"/>
      <c r="G3" s="3393"/>
      <c r="H3" s="3393"/>
      <c r="I3" s="3393"/>
      <c r="J3" s="2119"/>
      <c r="K3" s="2119"/>
      <c r="L3" s="2119"/>
    </row>
    <row r="4" spans="1:17" ht="14.25" customHeight="1">
      <c r="B4" s="597"/>
      <c r="C4" s="2047"/>
      <c r="D4" s="2047"/>
      <c r="E4" s="2047"/>
      <c r="F4" s="2047"/>
      <c r="G4" s="2047"/>
      <c r="H4" s="597"/>
      <c r="I4" s="597"/>
      <c r="J4" s="597"/>
      <c r="K4" s="597"/>
    </row>
    <row r="5" spans="1:17">
      <c r="A5" s="3327" t="s">
        <v>2</v>
      </c>
      <c r="B5" s="3327" t="s">
        <v>3</v>
      </c>
      <c r="C5" s="3327" t="s">
        <v>2216</v>
      </c>
      <c r="D5" s="3327" t="s">
        <v>5</v>
      </c>
      <c r="E5" s="3327" t="s">
        <v>96</v>
      </c>
      <c r="F5" s="3327" t="s">
        <v>2635</v>
      </c>
      <c r="G5" s="3327"/>
      <c r="H5" s="3327" t="s">
        <v>2636</v>
      </c>
      <c r="I5" s="3327"/>
      <c r="J5" s="3327" t="s">
        <v>2637</v>
      </c>
      <c r="K5" s="3327"/>
    </row>
    <row r="6" spans="1:17">
      <c r="A6" s="3327"/>
      <c r="B6" s="3327"/>
      <c r="C6" s="3327"/>
      <c r="D6" s="3327"/>
      <c r="E6" s="3327"/>
      <c r="F6" s="836" t="s">
        <v>95</v>
      </c>
      <c r="G6" s="836" t="s">
        <v>1668</v>
      </c>
      <c r="H6" s="836" t="s">
        <v>95</v>
      </c>
      <c r="I6" s="836" t="s">
        <v>1668</v>
      </c>
      <c r="J6" s="836" t="s">
        <v>95</v>
      </c>
      <c r="K6" s="836" t="s">
        <v>1668</v>
      </c>
      <c r="M6" s="2120"/>
    </row>
    <row r="7" spans="1:17">
      <c r="A7" s="836">
        <v>1</v>
      </c>
      <c r="B7" s="836">
        <v>2</v>
      </c>
      <c r="C7" s="836">
        <v>3</v>
      </c>
      <c r="D7" s="836">
        <v>4</v>
      </c>
      <c r="E7" s="836">
        <v>5</v>
      </c>
      <c r="F7" s="836">
        <v>6</v>
      </c>
      <c r="G7" s="836">
        <v>7</v>
      </c>
      <c r="H7" s="836">
        <v>8</v>
      </c>
      <c r="I7" s="836">
        <v>9</v>
      </c>
      <c r="J7" s="836">
        <v>10</v>
      </c>
      <c r="K7" s="836">
        <v>11</v>
      </c>
      <c r="M7" s="2120"/>
    </row>
    <row r="8" spans="1:17" ht="38.25" customHeight="1">
      <c r="A8" s="1559">
        <v>1</v>
      </c>
      <c r="B8" s="1560" t="s">
        <v>2638</v>
      </c>
      <c r="C8" s="2148">
        <v>7130600675</v>
      </c>
      <c r="D8" s="2144" t="s">
        <v>26</v>
      </c>
      <c r="E8" s="1571">
        <f>VLOOKUP(C8,'[25]SOR RATE'!A:D,4,0)/1000</f>
        <v>68.748589999999993</v>
      </c>
      <c r="F8" s="1561">
        <v>429</v>
      </c>
      <c r="G8" s="2146">
        <f>F8*E8</f>
        <v>29493.145109999998</v>
      </c>
      <c r="H8" s="1561">
        <v>429</v>
      </c>
      <c r="I8" s="2146">
        <f>H8*E8</f>
        <v>29493.145109999998</v>
      </c>
      <c r="J8" s="1561"/>
      <c r="K8" s="2146"/>
    </row>
    <row r="9" spans="1:17" ht="30" customHeight="1">
      <c r="A9" s="1559">
        <v>2</v>
      </c>
      <c r="B9" s="1558" t="s">
        <v>2639</v>
      </c>
      <c r="C9" s="2148">
        <v>7130601958</v>
      </c>
      <c r="D9" s="1559" t="s">
        <v>26</v>
      </c>
      <c r="E9" s="1571">
        <f>VLOOKUP(C9,'[25]SOR RATE'!A:D,4,0)/1000</f>
        <v>64.326520000000002</v>
      </c>
      <c r="F9" s="1561"/>
      <c r="G9" s="2146"/>
      <c r="H9" s="1561"/>
      <c r="I9" s="2146"/>
      <c r="J9" s="1561">
        <v>964.6</v>
      </c>
      <c r="K9" s="2146">
        <f>J9*E9</f>
        <v>62049.361192000004</v>
      </c>
    </row>
    <row r="10" spans="1:17" ht="12.75" customHeight="1">
      <c r="A10" s="3394">
        <v>3</v>
      </c>
      <c r="B10" s="1564" t="s">
        <v>2640</v>
      </c>
      <c r="C10" s="2386"/>
      <c r="D10" s="2387"/>
      <c r="E10" s="1522"/>
      <c r="F10" s="2387"/>
      <c r="G10" s="2387"/>
      <c r="H10" s="2387"/>
      <c r="I10" s="2387"/>
      <c r="J10" s="2387"/>
      <c r="K10" s="2388"/>
    </row>
    <row r="11" spans="1:17">
      <c r="A11" s="3395"/>
      <c r="B11" s="1558" t="s">
        <v>2641</v>
      </c>
      <c r="C11" s="2221">
        <v>7132210019</v>
      </c>
      <c r="D11" s="1548" t="s">
        <v>33</v>
      </c>
      <c r="E11" s="1571">
        <f>VLOOKUP(C11,'[25]SOR RATE'!A:D,4,0)</f>
        <v>120435.39</v>
      </c>
      <c r="F11" s="1561">
        <v>1</v>
      </c>
      <c r="G11" s="2146">
        <f>F11*E11</f>
        <v>120435.39</v>
      </c>
      <c r="H11" s="1561"/>
      <c r="I11" s="2146"/>
      <c r="J11" s="1561"/>
      <c r="K11" s="2146"/>
      <c r="L11" s="2121"/>
      <c r="M11" s="87"/>
      <c r="N11" s="87"/>
      <c r="O11" s="87"/>
    </row>
    <row r="12" spans="1:17" ht="13.5" customHeight="1">
      <c r="A12" s="3395"/>
      <c r="B12" s="1558" t="s">
        <v>2642</v>
      </c>
      <c r="C12" s="2221">
        <v>7132210020</v>
      </c>
      <c r="D12" s="1548" t="s">
        <v>33</v>
      </c>
      <c r="E12" s="1571">
        <f>VLOOKUP(C12,'[25]SOR RATE'!A:D,4,0)</f>
        <v>158302.13</v>
      </c>
      <c r="F12" s="1561"/>
      <c r="G12" s="2146"/>
      <c r="H12" s="1561">
        <v>1</v>
      </c>
      <c r="I12" s="2146">
        <f>H12*E12</f>
        <v>158302.13</v>
      </c>
      <c r="J12" s="1561"/>
      <c r="K12" s="2146"/>
      <c r="L12" s="2121"/>
    </row>
    <row r="13" spans="1:17" ht="14.25" customHeight="1">
      <c r="A13" s="3396"/>
      <c r="B13" s="1558" t="s">
        <v>2643</v>
      </c>
      <c r="C13" s="2221">
        <v>7132210021</v>
      </c>
      <c r="D13" s="1548" t="s">
        <v>33</v>
      </c>
      <c r="E13" s="1571">
        <f>VLOOKUP(C13,'[25]SOR RATE'!A:D,4,0)</f>
        <v>291828.78999999998</v>
      </c>
      <c r="F13" s="1561"/>
      <c r="G13" s="2146"/>
      <c r="H13" s="1561"/>
      <c r="I13" s="2146"/>
      <c r="J13" s="1561">
        <v>1</v>
      </c>
      <c r="K13" s="2146">
        <f t="shared" ref="K13:K23" si="0">J13*E13</f>
        <v>291828.78999999998</v>
      </c>
      <c r="L13" s="2121"/>
    </row>
    <row r="14" spans="1:17" ht="13.5" customHeight="1">
      <c r="A14" s="1559">
        <v>4</v>
      </c>
      <c r="B14" s="1566" t="s">
        <v>2644</v>
      </c>
      <c r="C14" s="2221">
        <v>7130810517</v>
      </c>
      <c r="D14" s="1548" t="s">
        <v>40</v>
      </c>
      <c r="E14" s="1571">
        <f>VLOOKUP(C14,'[25]SOR RATE'!A:D,4,0)</f>
        <v>5987.84</v>
      </c>
      <c r="F14" s="1561">
        <v>1</v>
      </c>
      <c r="G14" s="2146">
        <f t="shared" ref="G14:G24" si="1">F14*E14</f>
        <v>5987.84</v>
      </c>
      <c r="H14" s="1561">
        <v>1</v>
      </c>
      <c r="I14" s="2146">
        <f t="shared" ref="I14:I24" si="2">H14*E14</f>
        <v>5987.84</v>
      </c>
      <c r="J14" s="1561">
        <v>1</v>
      </c>
      <c r="K14" s="2146">
        <f t="shared" si="0"/>
        <v>5987.84</v>
      </c>
      <c r="M14" s="2116"/>
      <c r="N14" s="102"/>
      <c r="O14" s="102"/>
      <c r="P14" s="102"/>
      <c r="Q14" s="102"/>
    </row>
    <row r="15" spans="1:17">
      <c r="A15" s="3394">
        <v>5</v>
      </c>
      <c r="B15" s="1949" t="s">
        <v>67</v>
      </c>
      <c r="C15" s="2227">
        <v>7130820010</v>
      </c>
      <c r="D15" s="1548" t="s">
        <v>12</v>
      </c>
      <c r="E15" s="1571">
        <f>VLOOKUP(C15,'[25]SOR RATE'!A:D,4,0)</f>
        <v>118.97</v>
      </c>
      <c r="F15" s="1561">
        <v>3</v>
      </c>
      <c r="G15" s="2146">
        <f t="shared" si="1"/>
        <v>356.90999999999997</v>
      </c>
      <c r="H15" s="1561">
        <v>3</v>
      </c>
      <c r="I15" s="2146">
        <f t="shared" si="2"/>
        <v>356.90999999999997</v>
      </c>
      <c r="J15" s="1561">
        <v>3</v>
      </c>
      <c r="K15" s="2146">
        <f t="shared" si="0"/>
        <v>356.90999999999997</v>
      </c>
      <c r="M15" s="806"/>
      <c r="N15" s="806"/>
    </row>
    <row r="16" spans="1:17">
      <c r="A16" s="3396"/>
      <c r="B16" s="1566" t="s">
        <v>1670</v>
      </c>
      <c r="C16" s="2227">
        <v>7130820241</v>
      </c>
      <c r="D16" s="1548" t="s">
        <v>12</v>
      </c>
      <c r="E16" s="1571">
        <f>VLOOKUP(C16,'[25]SOR RATE'!A:D,4,0)</f>
        <v>153.49</v>
      </c>
      <c r="F16" s="1561">
        <v>3</v>
      </c>
      <c r="G16" s="2146">
        <f t="shared" si="1"/>
        <v>460.47</v>
      </c>
      <c r="H16" s="1561">
        <v>3</v>
      </c>
      <c r="I16" s="2146">
        <f t="shared" si="2"/>
        <v>460.47</v>
      </c>
      <c r="J16" s="1561">
        <v>3</v>
      </c>
      <c r="K16" s="2146">
        <f t="shared" si="0"/>
        <v>460.47</v>
      </c>
    </row>
    <row r="17" spans="1:15" ht="25.5">
      <c r="A17" s="1559">
        <v>6</v>
      </c>
      <c r="B17" s="1566" t="s">
        <v>2645</v>
      </c>
      <c r="C17" s="2230">
        <v>7130810509</v>
      </c>
      <c r="D17" s="2223" t="s">
        <v>12</v>
      </c>
      <c r="E17" s="1571">
        <f>VLOOKUP(C17,'[25]SOR RATE'!A:D,4,0)</f>
        <v>2187.33</v>
      </c>
      <c r="F17" s="1561">
        <v>1</v>
      </c>
      <c r="G17" s="2146">
        <f t="shared" si="1"/>
        <v>2187.33</v>
      </c>
      <c r="H17" s="1561">
        <v>1</v>
      </c>
      <c r="I17" s="2146">
        <f t="shared" si="2"/>
        <v>2187.33</v>
      </c>
      <c r="J17" s="1561">
        <v>1</v>
      </c>
      <c r="K17" s="2146">
        <f t="shared" si="0"/>
        <v>2187.33</v>
      </c>
      <c r="M17" s="2122"/>
    </row>
    <row r="18" spans="1:15" ht="15.75" customHeight="1">
      <c r="A18" s="1559">
        <v>7</v>
      </c>
      <c r="B18" s="1566" t="s">
        <v>2646</v>
      </c>
      <c r="C18" s="2221">
        <v>7131930412</v>
      </c>
      <c r="D18" s="1548" t="s">
        <v>33</v>
      </c>
      <c r="E18" s="1571">
        <f>VLOOKUP(C18,'[25]SOR RATE'!A:D,4,0)</f>
        <v>1123.1500000000001</v>
      </c>
      <c r="F18" s="1561">
        <v>3</v>
      </c>
      <c r="G18" s="2146">
        <f t="shared" si="1"/>
        <v>3369.4500000000003</v>
      </c>
      <c r="H18" s="1561">
        <v>3</v>
      </c>
      <c r="I18" s="2146">
        <f t="shared" si="2"/>
        <v>3369.4500000000003</v>
      </c>
      <c r="J18" s="1561">
        <v>3</v>
      </c>
      <c r="K18" s="2146">
        <f t="shared" si="0"/>
        <v>3369.4500000000003</v>
      </c>
    </row>
    <row r="19" spans="1:15" ht="15" customHeight="1">
      <c r="A19" s="1559">
        <v>8</v>
      </c>
      <c r="B19" s="1566" t="s">
        <v>2647</v>
      </c>
      <c r="C19" s="1559">
        <v>7130600023</v>
      </c>
      <c r="D19" s="1559" t="s">
        <v>26</v>
      </c>
      <c r="E19" s="1571">
        <f>VLOOKUP(C19,'[25]SOR RATE'!A:D,4,0)/1000</f>
        <v>54.512970000000003</v>
      </c>
      <c r="F19" s="1561">
        <v>20</v>
      </c>
      <c r="G19" s="2146">
        <f t="shared" si="1"/>
        <v>1090.2594000000001</v>
      </c>
      <c r="H19" s="1561">
        <v>20</v>
      </c>
      <c r="I19" s="2146">
        <f t="shared" si="2"/>
        <v>1090.2594000000001</v>
      </c>
      <c r="J19" s="1561">
        <v>20</v>
      </c>
      <c r="K19" s="2146">
        <f t="shared" si="0"/>
        <v>1090.2594000000001</v>
      </c>
    </row>
    <row r="20" spans="1:15" ht="15" customHeight="1">
      <c r="A20" s="2389">
        <v>9</v>
      </c>
      <c r="B20" s="1558" t="s">
        <v>2648</v>
      </c>
      <c r="C20" s="2390">
        <v>7130810216</v>
      </c>
      <c r="D20" s="1559" t="s">
        <v>15</v>
      </c>
      <c r="E20" s="1571">
        <f>VLOOKUP(C20,'[25]SOR RATE'!A:D,4,0)</f>
        <v>393.51</v>
      </c>
      <c r="F20" s="1561">
        <v>8</v>
      </c>
      <c r="G20" s="2146">
        <f t="shared" si="1"/>
        <v>3148.08</v>
      </c>
      <c r="H20" s="1561">
        <v>8</v>
      </c>
      <c r="I20" s="2146">
        <f t="shared" si="2"/>
        <v>3148.08</v>
      </c>
      <c r="J20" s="1561"/>
      <c r="K20" s="2146"/>
      <c r="L20" s="1941" t="s">
        <v>119</v>
      </c>
    </row>
    <row r="21" spans="1:15" ht="15" customHeight="1">
      <c r="A21" s="2389">
        <v>10</v>
      </c>
      <c r="B21" s="1558" t="s">
        <v>2649</v>
      </c>
      <c r="C21" s="2390">
        <v>7130810692</v>
      </c>
      <c r="D21" s="1559" t="s">
        <v>15</v>
      </c>
      <c r="E21" s="1571">
        <f>VLOOKUP(C21,'[25]SOR RATE'!A:D,4,0)</f>
        <v>410.25</v>
      </c>
      <c r="F21" s="1561"/>
      <c r="G21" s="2146"/>
      <c r="H21" s="1561"/>
      <c r="I21" s="2146"/>
      <c r="J21" s="1561">
        <v>8</v>
      </c>
      <c r="K21" s="2146">
        <f>J21*E21</f>
        <v>3282</v>
      </c>
      <c r="L21" s="1941" t="s">
        <v>119</v>
      </c>
    </row>
    <row r="22" spans="1:15">
      <c r="A22" s="3394">
        <v>11</v>
      </c>
      <c r="B22" s="1566" t="s">
        <v>24</v>
      </c>
      <c r="C22" s="2221">
        <v>7130860032</v>
      </c>
      <c r="D22" s="1548" t="s">
        <v>12</v>
      </c>
      <c r="E22" s="1571">
        <f>VLOOKUP(C22,'[25]SOR RATE'!A:D,4,0)</f>
        <v>566.19000000000005</v>
      </c>
      <c r="F22" s="1561">
        <v>4</v>
      </c>
      <c r="G22" s="2146">
        <f t="shared" si="1"/>
        <v>2264.7600000000002</v>
      </c>
      <c r="H22" s="1561">
        <v>4</v>
      </c>
      <c r="I22" s="2146">
        <f t="shared" si="2"/>
        <v>2264.7600000000002</v>
      </c>
      <c r="J22" s="1561">
        <v>4</v>
      </c>
      <c r="K22" s="2146">
        <f t="shared" si="0"/>
        <v>2264.7600000000002</v>
      </c>
    </row>
    <row r="23" spans="1:15" ht="15" customHeight="1">
      <c r="A23" s="3395"/>
      <c r="B23" s="1566" t="s">
        <v>2650</v>
      </c>
      <c r="C23" s="2221">
        <v>7130860077</v>
      </c>
      <c r="D23" s="1548" t="s">
        <v>26</v>
      </c>
      <c r="E23" s="1571">
        <f>VLOOKUP(C23,'[25]SOR RATE'!A:D,4,0)/1000</f>
        <v>93.76643</v>
      </c>
      <c r="F23" s="1561">
        <v>30</v>
      </c>
      <c r="G23" s="2146">
        <f t="shared" si="1"/>
        <v>2812.9929000000002</v>
      </c>
      <c r="H23" s="1561">
        <v>30</v>
      </c>
      <c r="I23" s="2146">
        <f t="shared" si="2"/>
        <v>2812.9929000000002</v>
      </c>
      <c r="J23" s="1561">
        <v>30</v>
      </c>
      <c r="K23" s="2146">
        <f t="shared" si="0"/>
        <v>2812.9929000000002</v>
      </c>
    </row>
    <row r="24" spans="1:15">
      <c r="A24" s="3395"/>
      <c r="B24" s="1566" t="s">
        <v>2651</v>
      </c>
      <c r="C24" s="1561">
        <v>7130810216</v>
      </c>
      <c r="D24" s="1537" t="s">
        <v>15</v>
      </c>
      <c r="E24" s="1571">
        <f>VLOOKUP(C24,'[25]SOR RATE'!A:D,4,0)</f>
        <v>393.51</v>
      </c>
      <c r="F24" s="1561">
        <v>4</v>
      </c>
      <c r="G24" s="2146">
        <f t="shared" si="1"/>
        <v>1574.04</v>
      </c>
      <c r="H24" s="1561">
        <v>4</v>
      </c>
      <c r="I24" s="2146">
        <f t="shared" si="2"/>
        <v>1574.04</v>
      </c>
      <c r="J24" s="1561"/>
      <c r="K24" s="2146"/>
      <c r="M24" s="804"/>
    </row>
    <row r="25" spans="1:15">
      <c r="A25" s="3396"/>
      <c r="B25" s="1566" t="s">
        <v>2652</v>
      </c>
      <c r="C25" s="2148">
        <v>7130810692</v>
      </c>
      <c r="D25" s="2144" t="s">
        <v>15</v>
      </c>
      <c r="E25" s="1571">
        <f>VLOOKUP(C25,'[25]SOR RATE'!A:D,4,0)</f>
        <v>410.25</v>
      </c>
      <c r="F25" s="1561"/>
      <c r="G25" s="2146"/>
      <c r="H25" s="1561"/>
      <c r="I25" s="2146"/>
      <c r="J25" s="1561">
        <v>4</v>
      </c>
      <c r="K25" s="2146">
        <f>J25*E25</f>
        <v>1641</v>
      </c>
      <c r="M25" s="2122"/>
    </row>
    <row r="26" spans="1:15" ht="55.5" customHeight="1">
      <c r="A26" s="2389">
        <v>12</v>
      </c>
      <c r="B26" s="1558" t="s">
        <v>2653</v>
      </c>
      <c r="C26" s="1561">
        <v>7130200202</v>
      </c>
      <c r="D26" s="1561" t="s">
        <v>1575</v>
      </c>
      <c r="E26" s="1571">
        <f>VLOOKUP(C26,'[25]SOR RATE'!A:D,4,0)</f>
        <v>2970</v>
      </c>
      <c r="F26" s="1561">
        <f>((0.35*2)+(0.2*4)+9)</f>
        <v>10.5</v>
      </c>
      <c r="G26" s="2146">
        <f>E26*F26</f>
        <v>31185</v>
      </c>
      <c r="H26" s="1561">
        <f>((0.35*2)+(0.2*4)+9)</f>
        <v>10.5</v>
      </c>
      <c r="I26" s="2146">
        <f>H26*E26</f>
        <v>31185</v>
      </c>
      <c r="J26" s="1561">
        <f>((0.65*2)+(0.2*4)+9)</f>
        <v>11.1</v>
      </c>
      <c r="K26" s="2146">
        <f>J26*E26</f>
        <v>32967</v>
      </c>
      <c r="L26" s="337" t="s">
        <v>2654</v>
      </c>
      <c r="N26" s="2057"/>
      <c r="O26" s="2057"/>
    </row>
    <row r="27" spans="1:15">
      <c r="A27" s="1559">
        <v>13</v>
      </c>
      <c r="B27" s="1566" t="s">
        <v>128</v>
      </c>
      <c r="C27" s="2227">
        <v>7130880041</v>
      </c>
      <c r="D27" s="1537" t="s">
        <v>33</v>
      </c>
      <c r="E27" s="1571">
        <f>VLOOKUP(C27,'[25]SOR RATE'!A:D,4,0)</f>
        <v>113.77</v>
      </c>
      <c r="F27" s="1561">
        <v>1</v>
      </c>
      <c r="G27" s="2146">
        <f>F27*E27</f>
        <v>113.77</v>
      </c>
      <c r="H27" s="1561">
        <v>1</v>
      </c>
      <c r="I27" s="2146">
        <f>H27*E27</f>
        <v>113.77</v>
      </c>
      <c r="J27" s="1561">
        <v>1</v>
      </c>
      <c r="K27" s="2146">
        <f>J27*E27</f>
        <v>113.77</v>
      </c>
    </row>
    <row r="28" spans="1:15">
      <c r="A28" s="3394">
        <v>14</v>
      </c>
      <c r="B28" s="2386" t="s">
        <v>2655</v>
      </c>
      <c r="C28" s="2387"/>
      <c r="D28" s="2387"/>
      <c r="E28" s="2387"/>
      <c r="F28" s="2387"/>
      <c r="G28" s="2387"/>
      <c r="H28" s="2387"/>
      <c r="I28" s="2387"/>
      <c r="J28" s="2387"/>
      <c r="K28" s="2388"/>
    </row>
    <row r="29" spans="1:15">
      <c r="A29" s="3395"/>
      <c r="B29" s="1566" t="s">
        <v>2656</v>
      </c>
      <c r="C29" s="2221">
        <v>7130641396</v>
      </c>
      <c r="D29" s="1548" t="s">
        <v>21</v>
      </c>
      <c r="E29" s="1571">
        <f>VLOOKUP(C29,'[25]SOR RATE'!A:D,4,0)</f>
        <v>253.11</v>
      </c>
      <c r="F29" s="1561">
        <v>9</v>
      </c>
      <c r="G29" s="2146">
        <f t="shared" ref="G29:G34" si="3">F29*E29</f>
        <v>2277.9900000000002</v>
      </c>
      <c r="H29" s="1561">
        <v>9</v>
      </c>
      <c r="I29" s="2146">
        <f t="shared" ref="I29:I34" si="4">H29*E29</f>
        <v>2277.9900000000002</v>
      </c>
      <c r="J29" s="1561">
        <v>9</v>
      </c>
      <c r="K29" s="2146">
        <f t="shared" ref="K29:K34" si="5">J29*E29</f>
        <v>2277.9900000000002</v>
      </c>
    </row>
    <row r="30" spans="1:15">
      <c r="A30" s="3396"/>
      <c r="B30" s="1566" t="s">
        <v>41</v>
      </c>
      <c r="C30" s="2221">
        <v>7130870043</v>
      </c>
      <c r="D30" s="1548" t="s">
        <v>26</v>
      </c>
      <c r="E30" s="1571">
        <f>VLOOKUP(C30,'[25]SOR RATE'!A:D,4,0)/1000</f>
        <v>80.521839999999997</v>
      </c>
      <c r="F30" s="1561">
        <v>15</v>
      </c>
      <c r="G30" s="2146">
        <f t="shared" si="3"/>
        <v>1207.8276000000001</v>
      </c>
      <c r="H30" s="1561">
        <v>15</v>
      </c>
      <c r="I30" s="2146">
        <f t="shared" si="4"/>
        <v>1207.8276000000001</v>
      </c>
      <c r="J30" s="1561">
        <v>15</v>
      </c>
      <c r="K30" s="2146">
        <f t="shared" si="5"/>
        <v>1207.8276000000001</v>
      </c>
    </row>
    <row r="31" spans="1:15" ht="16.5" customHeight="1">
      <c r="A31" s="1559">
        <v>15</v>
      </c>
      <c r="B31" s="1572" t="s">
        <v>31</v>
      </c>
      <c r="C31" s="2148">
        <v>7130610206</v>
      </c>
      <c r="D31" s="1548" t="s">
        <v>26</v>
      </c>
      <c r="E31" s="1571">
        <f>VLOOKUP(C31,'[25]SOR RATE'!A:D,4,0)/1000</f>
        <v>97.233429999999998</v>
      </c>
      <c r="F31" s="1561">
        <v>4</v>
      </c>
      <c r="G31" s="2146">
        <f t="shared" si="3"/>
        <v>388.93371999999999</v>
      </c>
      <c r="H31" s="1561">
        <v>4</v>
      </c>
      <c r="I31" s="2146">
        <f t="shared" si="4"/>
        <v>388.93371999999999</v>
      </c>
      <c r="J31" s="1561">
        <v>4</v>
      </c>
      <c r="K31" s="2146">
        <f t="shared" si="5"/>
        <v>388.93371999999999</v>
      </c>
      <c r="L31" s="505"/>
      <c r="M31" s="803"/>
    </row>
    <row r="32" spans="1:15">
      <c r="A32" s="1559">
        <v>16</v>
      </c>
      <c r="B32" s="1566" t="s">
        <v>161</v>
      </c>
      <c r="C32" s="2227">
        <v>7130211158</v>
      </c>
      <c r="D32" s="1537" t="s">
        <v>29</v>
      </c>
      <c r="E32" s="1571">
        <f>VLOOKUP(C32,'[25]SOR RATE'!A:D,4,0)</f>
        <v>193.62</v>
      </c>
      <c r="F32" s="1561">
        <v>2</v>
      </c>
      <c r="G32" s="2146">
        <f t="shared" si="3"/>
        <v>387.24</v>
      </c>
      <c r="H32" s="1561">
        <v>2</v>
      </c>
      <c r="I32" s="2146">
        <f t="shared" si="4"/>
        <v>387.24</v>
      </c>
      <c r="J32" s="1561">
        <v>2</v>
      </c>
      <c r="K32" s="2146">
        <f t="shared" si="5"/>
        <v>387.24</v>
      </c>
    </row>
    <row r="33" spans="1:22">
      <c r="A33" s="1559">
        <v>17</v>
      </c>
      <c r="B33" s="1566" t="s">
        <v>162</v>
      </c>
      <c r="C33" s="2391">
        <v>7130210809</v>
      </c>
      <c r="D33" s="1537" t="s">
        <v>29</v>
      </c>
      <c r="E33" s="1571">
        <f>VLOOKUP(C33,'[25]SOR RATE'!A:D,4,0)</f>
        <v>432.63</v>
      </c>
      <c r="F33" s="1561">
        <v>2</v>
      </c>
      <c r="G33" s="2146">
        <f t="shared" si="3"/>
        <v>865.26</v>
      </c>
      <c r="H33" s="1561">
        <v>2</v>
      </c>
      <c r="I33" s="2146">
        <f t="shared" si="4"/>
        <v>865.26</v>
      </c>
      <c r="J33" s="1561">
        <v>2</v>
      </c>
      <c r="K33" s="2146">
        <f t="shared" si="5"/>
        <v>865.26</v>
      </c>
    </row>
    <row r="34" spans="1:22">
      <c r="A34" s="1559">
        <v>18</v>
      </c>
      <c r="B34" s="1558" t="s">
        <v>712</v>
      </c>
      <c r="C34" s="2221">
        <v>7130840029</v>
      </c>
      <c r="D34" s="1548" t="s">
        <v>33</v>
      </c>
      <c r="E34" s="1571">
        <f>VLOOKUP(C34,'[25]SOR RATE'!A:D,4,0)</f>
        <v>368.52</v>
      </c>
      <c r="F34" s="1561">
        <v>3</v>
      </c>
      <c r="G34" s="2146">
        <f t="shared" si="3"/>
        <v>1105.56</v>
      </c>
      <c r="H34" s="1561">
        <v>3</v>
      </c>
      <c r="I34" s="2146">
        <f t="shared" si="4"/>
        <v>1105.56</v>
      </c>
      <c r="J34" s="1561">
        <v>3</v>
      </c>
      <c r="K34" s="2146">
        <f t="shared" si="5"/>
        <v>1105.56</v>
      </c>
      <c r="M34" s="1937"/>
    </row>
    <row r="35" spans="1:22">
      <c r="A35" s="3394">
        <v>19</v>
      </c>
      <c r="B35" s="2386" t="s">
        <v>2569</v>
      </c>
      <c r="C35" s="2392"/>
      <c r="D35" s="1561"/>
      <c r="E35" s="2146"/>
      <c r="F35" s="1561">
        <v>14</v>
      </c>
      <c r="G35" s="2146"/>
      <c r="H35" s="1561">
        <v>14</v>
      </c>
      <c r="I35" s="2146"/>
      <c r="J35" s="1561">
        <v>17</v>
      </c>
      <c r="K35" s="2146"/>
    </row>
    <row r="36" spans="1:22">
      <c r="A36" s="3395"/>
      <c r="B36" s="1566" t="s">
        <v>2657</v>
      </c>
      <c r="C36" s="2221">
        <v>7130620609</v>
      </c>
      <c r="D36" s="2144" t="s">
        <v>26</v>
      </c>
      <c r="E36" s="1571">
        <f>VLOOKUP(C36,'[25]SOR RATE'!A:D,4,0)</f>
        <v>87.23</v>
      </c>
      <c r="F36" s="1561">
        <v>1</v>
      </c>
      <c r="G36" s="2146">
        <f>F36*E36</f>
        <v>87.23</v>
      </c>
      <c r="H36" s="1561">
        <v>1</v>
      </c>
      <c r="I36" s="2146">
        <f>H36*E36</f>
        <v>87.23</v>
      </c>
      <c r="J36" s="1561">
        <v>1</v>
      </c>
      <c r="K36" s="2146">
        <f t="shared" ref="K36" si="6">J36*E36</f>
        <v>87.23</v>
      </c>
    </row>
    <row r="37" spans="1:22">
      <c r="A37" s="3395"/>
      <c r="B37" s="1566" t="s">
        <v>111</v>
      </c>
      <c r="C37" s="2221">
        <v>7130620614</v>
      </c>
      <c r="D37" s="2144" t="s">
        <v>26</v>
      </c>
      <c r="E37" s="1571">
        <f>VLOOKUP(C37,'[25]SOR RATE'!A:D,4,0)</f>
        <v>85.77</v>
      </c>
      <c r="F37" s="1561">
        <v>4</v>
      </c>
      <c r="G37" s="2146">
        <f>F37*E37</f>
        <v>343.08</v>
      </c>
      <c r="H37" s="1561">
        <v>4</v>
      </c>
      <c r="I37" s="2146">
        <f>H37*E37</f>
        <v>343.08</v>
      </c>
      <c r="J37" s="1561">
        <v>4</v>
      </c>
      <c r="K37" s="2146">
        <f>J37*E37</f>
        <v>343.08</v>
      </c>
    </row>
    <row r="38" spans="1:22">
      <c r="A38" s="3395"/>
      <c r="B38" s="1566" t="s">
        <v>112</v>
      </c>
      <c r="C38" s="2221">
        <v>7130620625</v>
      </c>
      <c r="D38" s="2144" t="s">
        <v>26</v>
      </c>
      <c r="E38" s="1571">
        <f>VLOOKUP(C38,'[25]SOR RATE'!A:D,4,0)</f>
        <v>84.32</v>
      </c>
      <c r="F38" s="1561">
        <v>4</v>
      </c>
      <c r="G38" s="2146">
        <f>F38*E38</f>
        <v>337.28</v>
      </c>
      <c r="H38" s="1561">
        <v>4</v>
      </c>
      <c r="I38" s="2146">
        <f>H38*E38</f>
        <v>337.28</v>
      </c>
      <c r="J38" s="1561">
        <v>5</v>
      </c>
      <c r="K38" s="2146">
        <f>J38*E38</f>
        <v>421.59999999999997</v>
      </c>
    </row>
    <row r="39" spans="1:22">
      <c r="A39" s="3396"/>
      <c r="B39" s="1566" t="s">
        <v>80</v>
      </c>
      <c r="C39" s="2221">
        <v>7130620631</v>
      </c>
      <c r="D39" s="2144" t="s">
        <v>26</v>
      </c>
      <c r="E39" s="1571">
        <f>VLOOKUP(C39,'[25]SOR RATE'!A:D,4,0)</f>
        <v>84.32</v>
      </c>
      <c r="F39" s="1561">
        <v>5</v>
      </c>
      <c r="G39" s="2146">
        <f>F39*E39</f>
        <v>421.59999999999997</v>
      </c>
      <c r="H39" s="1561">
        <v>5</v>
      </c>
      <c r="I39" s="2146">
        <f>H39*E39</f>
        <v>421.59999999999997</v>
      </c>
      <c r="J39" s="1561">
        <v>7</v>
      </c>
      <c r="K39" s="2146">
        <f>J39*E39</f>
        <v>590.24</v>
      </c>
      <c r="M39" s="605"/>
      <c r="N39" s="605"/>
      <c r="O39" s="605"/>
      <c r="P39" s="605"/>
    </row>
    <row r="40" spans="1:22" ht="12.75" customHeight="1">
      <c r="A40" s="3394">
        <v>20</v>
      </c>
      <c r="B40" s="1564" t="s">
        <v>1679</v>
      </c>
      <c r="C40" s="2387"/>
      <c r="D40" s="2387"/>
      <c r="E40" s="2387"/>
      <c r="F40" s="2387"/>
      <c r="G40" s="2387"/>
      <c r="H40" s="2387"/>
      <c r="I40" s="2387"/>
      <c r="J40" s="2387"/>
      <c r="K40" s="2388"/>
      <c r="M40" s="806"/>
      <c r="N40" s="807"/>
      <c r="O40" s="807"/>
      <c r="P40" s="807"/>
      <c r="Q40" s="807"/>
      <c r="R40" s="807"/>
      <c r="S40" s="807"/>
      <c r="T40" s="807"/>
      <c r="U40" s="807"/>
      <c r="V40" s="807"/>
    </row>
    <row r="41" spans="1:22">
      <c r="A41" s="3395"/>
      <c r="B41" s="1558" t="s">
        <v>2366</v>
      </c>
      <c r="C41" s="1561">
        <v>7130311010</v>
      </c>
      <c r="D41" s="1561" t="s">
        <v>21</v>
      </c>
      <c r="E41" s="1571">
        <f>VLOOKUP(C41,'[25]SOR RATE'!A:D,4,0)/1000</f>
        <v>79.580550000000002</v>
      </c>
      <c r="F41" s="1561">
        <v>160</v>
      </c>
      <c r="G41" s="2146">
        <f>F41*E41</f>
        <v>12732.888000000001</v>
      </c>
      <c r="H41" s="1561">
        <v>120</v>
      </c>
      <c r="I41" s="2146">
        <f>H41*E41</f>
        <v>9549.6660000000011</v>
      </c>
      <c r="J41" s="1561"/>
      <c r="K41" s="2146"/>
      <c r="L41" s="598"/>
    </row>
    <row r="42" spans="1:22">
      <c r="A42" s="3395"/>
      <c r="B42" s="1566" t="s">
        <v>2658</v>
      </c>
      <c r="C42" s="1561">
        <v>7130311011</v>
      </c>
      <c r="D42" s="1561" t="s">
        <v>21</v>
      </c>
      <c r="E42" s="1571">
        <f>VLOOKUP(C42,'[25]SOR RATE'!A:D,4,0)/1000</f>
        <v>155.45142000000001</v>
      </c>
      <c r="F42" s="1561"/>
      <c r="G42" s="2146"/>
      <c r="H42" s="1561">
        <v>40</v>
      </c>
      <c r="I42" s="2146">
        <f>H42*E42</f>
        <v>6218.0568000000003</v>
      </c>
      <c r="J42" s="1561">
        <v>120</v>
      </c>
      <c r="K42" s="2146">
        <f>J42*E42</f>
        <v>18654.170400000003</v>
      </c>
      <c r="L42" s="598"/>
    </row>
    <row r="43" spans="1:22">
      <c r="A43" s="3396"/>
      <c r="B43" s="1566" t="s">
        <v>2659</v>
      </c>
      <c r="C43" s="1561">
        <v>7130311012</v>
      </c>
      <c r="D43" s="1561" t="s">
        <v>21</v>
      </c>
      <c r="E43" s="1571">
        <f>VLOOKUP(C43,'[25]SOR RATE'!A:D,4,0)/1000</f>
        <v>305.83782000000002</v>
      </c>
      <c r="F43" s="1561"/>
      <c r="G43" s="2146"/>
      <c r="H43" s="1561"/>
      <c r="I43" s="2146"/>
      <c r="J43" s="1561">
        <v>40</v>
      </c>
      <c r="K43" s="2146">
        <f>J43*E43</f>
        <v>12233.5128</v>
      </c>
      <c r="L43" s="598"/>
    </row>
    <row r="44" spans="1:22">
      <c r="A44" s="3394">
        <v>21</v>
      </c>
      <c r="B44" s="2386" t="s">
        <v>2660</v>
      </c>
      <c r="C44" s="2387"/>
      <c r="D44" s="2387"/>
      <c r="E44" s="2387"/>
      <c r="F44" s="2387"/>
      <c r="G44" s="2387"/>
      <c r="H44" s="2387"/>
      <c r="I44" s="2387"/>
      <c r="J44" s="2387"/>
      <c r="K44" s="2388"/>
      <c r="L44" s="598"/>
    </row>
    <row r="45" spans="1:22">
      <c r="A45" s="3395"/>
      <c r="B45" s="1566" t="s">
        <v>2368</v>
      </c>
      <c r="C45" s="1561">
        <v>7131950065</v>
      </c>
      <c r="D45" s="1561" t="s">
        <v>68</v>
      </c>
      <c r="E45" s="1571">
        <f>VLOOKUP(C45,'[25]SOR RATE'!A:D,4,0)</f>
        <v>18477.650000000001</v>
      </c>
      <c r="F45" s="1561">
        <v>1</v>
      </c>
      <c r="G45" s="2146">
        <f>F45*E45</f>
        <v>18477.650000000001</v>
      </c>
      <c r="H45" s="1561"/>
      <c r="I45" s="2146"/>
      <c r="J45" s="1561"/>
      <c r="K45" s="2146"/>
    </row>
    <row r="46" spans="1:22">
      <c r="A46" s="3395"/>
      <c r="B46" s="1566" t="s">
        <v>2369</v>
      </c>
      <c r="C46" s="1561">
        <v>7131950105</v>
      </c>
      <c r="D46" s="1561" t="s">
        <v>68</v>
      </c>
      <c r="E46" s="1571">
        <f>VLOOKUP(C46,'[25]SOR RATE'!A:D,4,0)</f>
        <v>23098.03</v>
      </c>
      <c r="F46" s="1561"/>
      <c r="G46" s="2146"/>
      <c r="H46" s="1561">
        <v>1</v>
      </c>
      <c r="I46" s="2146">
        <f>H46*E46</f>
        <v>23098.03</v>
      </c>
      <c r="J46" s="1561"/>
      <c r="K46" s="2146"/>
    </row>
    <row r="47" spans="1:22">
      <c r="A47" s="3396"/>
      <c r="B47" s="1566" t="s">
        <v>2370</v>
      </c>
      <c r="C47" s="1561">
        <v>7131950200</v>
      </c>
      <c r="D47" s="1561" t="s">
        <v>68</v>
      </c>
      <c r="E47" s="1571">
        <f>VLOOKUP(C47,'[25]SOR RATE'!A:D,4,0)</f>
        <v>46194.13</v>
      </c>
      <c r="F47" s="1561"/>
      <c r="G47" s="2146"/>
      <c r="H47" s="1561"/>
      <c r="I47" s="2146"/>
      <c r="J47" s="1561">
        <v>1</v>
      </c>
      <c r="K47" s="2146">
        <f>J47*E47</f>
        <v>46194.13</v>
      </c>
    </row>
    <row r="48" spans="1:22" ht="15" customHeight="1">
      <c r="A48" s="3397">
        <v>22</v>
      </c>
      <c r="B48" s="1566" t="s">
        <v>2661</v>
      </c>
      <c r="C48" s="1561">
        <v>7130810216</v>
      </c>
      <c r="D48" s="1537" t="s">
        <v>15</v>
      </c>
      <c r="E48" s="1571">
        <f>VLOOKUP(C48,'[25]SOR RATE'!A:D,4,0)</f>
        <v>393.51</v>
      </c>
      <c r="F48" s="1561">
        <v>14</v>
      </c>
      <c r="G48" s="2146">
        <f>F48*E48</f>
        <v>5509.1399999999994</v>
      </c>
      <c r="H48" s="1561">
        <v>14</v>
      </c>
      <c r="I48" s="2146">
        <f>H48*E48</f>
        <v>5509.1399999999994</v>
      </c>
      <c r="J48" s="1561"/>
      <c r="K48" s="2146"/>
    </row>
    <row r="49" spans="1:14">
      <c r="A49" s="3397"/>
      <c r="B49" s="1566" t="s">
        <v>2662</v>
      </c>
      <c r="C49" s="2148">
        <v>7130810692</v>
      </c>
      <c r="D49" s="2144" t="s">
        <v>15</v>
      </c>
      <c r="E49" s="1571">
        <f>VLOOKUP(C49,'[25]SOR RATE'!A:D,4,0)</f>
        <v>410.25</v>
      </c>
      <c r="F49" s="1561"/>
      <c r="G49" s="2146"/>
      <c r="H49" s="1561"/>
      <c r="I49" s="2146"/>
      <c r="J49" s="1561">
        <v>14</v>
      </c>
      <c r="K49" s="2146">
        <f>J49*E49</f>
        <v>5743.5</v>
      </c>
    </row>
    <row r="50" spans="1:14">
      <c r="A50" s="1559">
        <v>23</v>
      </c>
      <c r="B50" s="1566" t="s">
        <v>2663</v>
      </c>
      <c r="C50" s="1561">
        <v>7131930221</v>
      </c>
      <c r="D50" s="1561" t="s">
        <v>33</v>
      </c>
      <c r="E50" s="1571">
        <f>VLOOKUP(C50,'[25]SOR RATE'!A:D,4,0)</f>
        <v>9934.19</v>
      </c>
      <c r="F50" s="1561"/>
      <c r="G50" s="2146"/>
      <c r="H50" s="1561">
        <v>1</v>
      </c>
      <c r="I50" s="2146">
        <f>H50*E50</f>
        <v>9934.19</v>
      </c>
      <c r="J50" s="1561">
        <v>1</v>
      </c>
      <c r="K50" s="2146">
        <f>J50*E50</f>
        <v>9934.19</v>
      </c>
    </row>
    <row r="51" spans="1:14">
      <c r="A51" s="1559">
        <v>24</v>
      </c>
      <c r="B51" s="1566" t="s">
        <v>2664</v>
      </c>
      <c r="C51" s="1561">
        <v>7130830057</v>
      </c>
      <c r="D51" s="1561" t="s">
        <v>21</v>
      </c>
      <c r="E51" s="1571">
        <f>VLOOKUP(C51,'[25]SOR RATE'!A:D,4,0)/1000</f>
        <v>46.676089999999995</v>
      </c>
      <c r="F51" s="1561">
        <v>30</v>
      </c>
      <c r="G51" s="2146">
        <f>F51*E51</f>
        <v>1400.2826999999997</v>
      </c>
      <c r="H51" s="1561">
        <v>30</v>
      </c>
      <c r="I51" s="2146">
        <f>H51*E51</f>
        <v>1400.2826999999997</v>
      </c>
      <c r="J51" s="1561">
        <v>30</v>
      </c>
      <c r="K51" s="2146">
        <f>J51*E51</f>
        <v>1400.2826999999997</v>
      </c>
    </row>
    <row r="52" spans="1:14" ht="27" customHeight="1">
      <c r="A52" s="1932">
        <v>25</v>
      </c>
      <c r="B52" s="1568" t="s">
        <v>48</v>
      </c>
      <c r="C52" s="2393"/>
      <c r="D52" s="1561"/>
      <c r="E52" s="2146"/>
      <c r="F52" s="1561"/>
      <c r="G52" s="2155">
        <f>SUM(G8:G51)</f>
        <v>250021.39943000002</v>
      </c>
      <c r="H52" s="2155"/>
      <c r="I52" s="2155">
        <f>SUM(I8:I51)</f>
        <v>305477.54422999994</v>
      </c>
      <c r="J52" s="2155"/>
      <c r="K52" s="2155">
        <f>SUM(K8:K51)</f>
        <v>512246.68071199994</v>
      </c>
      <c r="L52" s="2123"/>
      <c r="M52" s="598"/>
    </row>
    <row r="53" spans="1:14" ht="27.75" customHeight="1">
      <c r="A53" s="1932">
        <v>26</v>
      </c>
      <c r="B53" s="1568" t="s">
        <v>49</v>
      </c>
      <c r="C53" s="1932"/>
      <c r="D53" s="1561"/>
      <c r="E53" s="2146"/>
      <c r="F53" s="2394"/>
      <c r="G53" s="2155">
        <f>G52/1.18</f>
        <v>211882.54188983055</v>
      </c>
      <c r="H53" s="2155"/>
      <c r="I53" s="2155">
        <f>I52/1.18</f>
        <v>258879.27477118641</v>
      </c>
      <c r="J53" s="2155"/>
      <c r="K53" s="2155">
        <f>K52/1.18</f>
        <v>434107.35653559322</v>
      </c>
      <c r="L53" s="87"/>
      <c r="M53" s="598"/>
    </row>
    <row r="54" spans="1:14" ht="16.5" customHeight="1">
      <c r="A54" s="1559">
        <v>27</v>
      </c>
      <c r="B54" s="1572" t="s">
        <v>50</v>
      </c>
      <c r="C54" s="2160"/>
      <c r="D54" s="2160"/>
      <c r="E54" s="1559">
        <v>7.4999999999999997E-2</v>
      </c>
      <c r="F54" s="2395"/>
      <c r="G54" s="1522">
        <f>G52*E54</f>
        <v>18751.604957250001</v>
      </c>
      <c r="H54" s="1522"/>
      <c r="I54" s="1522">
        <f>I52*E54</f>
        <v>22910.815817249993</v>
      </c>
      <c r="J54" s="1522"/>
      <c r="K54" s="1522">
        <f>K52*E54</f>
        <v>38418.501053399996</v>
      </c>
      <c r="L54" s="803"/>
      <c r="M54" s="87"/>
    </row>
    <row r="55" spans="1:14" ht="15" customHeight="1">
      <c r="A55" s="1537">
        <v>28</v>
      </c>
      <c r="B55" s="1558" t="s">
        <v>2665</v>
      </c>
      <c r="C55" s="2393"/>
      <c r="D55" s="1561"/>
      <c r="E55" s="1561"/>
      <c r="F55" s="1561"/>
      <c r="G55" s="2146">
        <v>19451.13</v>
      </c>
      <c r="H55" s="2146"/>
      <c r="I55" s="2146">
        <v>21070.38</v>
      </c>
      <c r="J55" s="2146"/>
      <c r="K55" s="2146">
        <v>23412.91</v>
      </c>
      <c r="L55" s="1997"/>
    </row>
    <row r="56" spans="1:14" ht="15.75" customHeight="1">
      <c r="A56" s="1559">
        <v>29</v>
      </c>
      <c r="B56" s="1570" t="s">
        <v>82</v>
      </c>
      <c r="C56" s="2393"/>
      <c r="D56" s="2390" t="s">
        <v>76</v>
      </c>
      <c r="E56" s="1522">
        <f>665.173187113158*1.043</f>
        <v>693.77563415902364</v>
      </c>
      <c r="F56" s="1561">
        <v>10.5</v>
      </c>
      <c r="G56" s="2146">
        <f>E56*F56</f>
        <v>7284.6441586697483</v>
      </c>
      <c r="H56" s="2396">
        <v>10.5</v>
      </c>
      <c r="I56" s="2146">
        <f>E56*H56</f>
        <v>7284.6441586697483</v>
      </c>
      <c r="J56" s="2396">
        <v>11.1</v>
      </c>
      <c r="K56" s="2146">
        <f>E56*J56</f>
        <v>7700.9095391651617</v>
      </c>
      <c r="L56" s="91"/>
      <c r="M56" s="2120"/>
      <c r="N56" s="2120"/>
    </row>
    <row r="57" spans="1:14" ht="27.75" customHeight="1">
      <c r="A57" s="1559">
        <v>30</v>
      </c>
      <c r="B57" s="2261" t="s">
        <v>1716</v>
      </c>
      <c r="C57" s="2393"/>
      <c r="D57" s="2390"/>
      <c r="E57" s="1522">
        <v>0.02</v>
      </c>
      <c r="F57" s="1561"/>
      <c r="G57" s="2397">
        <f>(G11/1.18)*E57</f>
        <v>2041.2777966101696</v>
      </c>
      <c r="H57" s="2396"/>
      <c r="I57" s="2146">
        <f>(I12/1.18)*E57</f>
        <v>2683.0869491525427</v>
      </c>
      <c r="J57" s="2396"/>
      <c r="K57" s="2397">
        <f>(K13/1.18)*E57</f>
        <v>4946.2506779661016</v>
      </c>
      <c r="L57" s="1941" t="s">
        <v>119</v>
      </c>
      <c r="M57" s="2120"/>
      <c r="N57" s="2120"/>
    </row>
    <row r="58" spans="1:14" ht="28.5" customHeight="1">
      <c r="A58" s="1537">
        <v>31</v>
      </c>
      <c r="B58" s="1558" t="s">
        <v>2666</v>
      </c>
      <c r="C58" s="2393"/>
      <c r="D58" s="1561"/>
      <c r="E58" s="1561">
        <v>0.04</v>
      </c>
      <c r="F58" s="1561"/>
      <c r="G58" s="2262">
        <f>((G52-G11)/1.18)*E58</f>
        <v>4392.7460823728825</v>
      </c>
      <c r="H58" s="2146"/>
      <c r="I58" s="2146">
        <f>((I52-I12)/1.18)*E58</f>
        <v>4988.9970925423713</v>
      </c>
      <c r="J58" s="2146"/>
      <c r="K58" s="2262">
        <f>((K52-K13)/1.18)*E58</f>
        <v>7471.7929054915239</v>
      </c>
      <c r="L58" s="1942" t="s">
        <v>1827</v>
      </c>
      <c r="M58" s="93"/>
    </row>
    <row r="59" spans="1:14" ht="40.5" customHeight="1">
      <c r="A59" s="1537">
        <v>32</v>
      </c>
      <c r="B59" s="2263" t="s">
        <v>2667</v>
      </c>
      <c r="C59" s="2393"/>
      <c r="D59" s="1561"/>
      <c r="E59" s="1561"/>
      <c r="F59" s="1561"/>
      <c r="G59" s="2262">
        <f>(G52+G54+G55+G56+G57+G58)*0.125</f>
        <v>37742.850303112849</v>
      </c>
      <c r="H59" s="2262"/>
      <c r="I59" s="2262">
        <f>(I52+I54+I55+I56+I57+I58)*0.125</f>
        <v>45551.933530951821</v>
      </c>
      <c r="J59" s="2262"/>
      <c r="K59" s="2262">
        <f>(K52+K54+K55+K56+K57+K58)*0.125</f>
        <v>74274.630611002853</v>
      </c>
      <c r="L59" s="1973"/>
      <c r="M59" s="93"/>
    </row>
    <row r="60" spans="1:14" ht="27" customHeight="1">
      <c r="A60" s="1933">
        <v>33</v>
      </c>
      <c r="B60" s="2266" t="s">
        <v>2668</v>
      </c>
      <c r="C60" s="2393"/>
      <c r="D60" s="1561"/>
      <c r="E60" s="1561"/>
      <c r="F60" s="1561"/>
      <c r="G60" s="2155">
        <f>SUM(G53:G59)</f>
        <v>301546.79518784618</v>
      </c>
      <c r="H60" s="2155"/>
      <c r="I60" s="2155">
        <f>SUM(I53:I59)</f>
        <v>363369.13231975283</v>
      </c>
      <c r="J60" s="2155"/>
      <c r="K60" s="2155">
        <f>SUM(K53:K59)</f>
        <v>590332.35132261878</v>
      </c>
      <c r="L60" s="842"/>
    </row>
    <row r="61" spans="1:14" ht="16.5" customHeight="1">
      <c r="A61" s="1548">
        <v>34</v>
      </c>
      <c r="B61" s="1572" t="s">
        <v>2669</v>
      </c>
      <c r="C61" s="2393"/>
      <c r="D61" s="1561"/>
      <c r="E61" s="1561">
        <v>0.09</v>
      </c>
      <c r="F61" s="1561"/>
      <c r="G61" s="1522">
        <f>G60*E61</f>
        <v>27139.211566906153</v>
      </c>
      <c r="H61" s="1522"/>
      <c r="I61" s="1522">
        <f>I60*E61</f>
        <v>32703.221908777752</v>
      </c>
      <c r="J61" s="1522"/>
      <c r="K61" s="1522">
        <f>K60*E61</f>
        <v>53129.911619035687</v>
      </c>
      <c r="L61" s="842"/>
    </row>
    <row r="62" spans="1:14" ht="16.5" customHeight="1">
      <c r="A62" s="1537">
        <v>35</v>
      </c>
      <c r="B62" s="1572" t="s">
        <v>2670</v>
      </c>
      <c r="C62" s="2393"/>
      <c r="D62" s="1561"/>
      <c r="E62" s="1561">
        <v>0.09</v>
      </c>
      <c r="F62" s="1561"/>
      <c r="G62" s="2146">
        <f>G60*E62</f>
        <v>27139.211566906153</v>
      </c>
      <c r="H62" s="2146"/>
      <c r="I62" s="2146">
        <f>I60*E62</f>
        <v>32703.221908777752</v>
      </c>
      <c r="J62" s="2146"/>
      <c r="K62" s="2146">
        <f>K60*E62</f>
        <v>53129.911619035687</v>
      </c>
      <c r="L62" s="95"/>
    </row>
    <row r="63" spans="1:14" ht="27" customHeight="1">
      <c r="A63" s="1537">
        <v>36</v>
      </c>
      <c r="B63" s="2263" t="s">
        <v>2671</v>
      </c>
      <c r="C63" s="2393"/>
      <c r="D63" s="1561"/>
      <c r="E63" s="1561"/>
      <c r="F63" s="1561"/>
      <c r="G63" s="2155">
        <f>G60+G61+G62</f>
        <v>355825.21832165844</v>
      </c>
      <c r="H63" s="2155"/>
      <c r="I63" s="2155">
        <f>I60+I61+I62</f>
        <v>428775.57613730838</v>
      </c>
      <c r="J63" s="2155"/>
      <c r="K63" s="2155">
        <f>K60+K61+K62</f>
        <v>696592.17456069007</v>
      </c>
    </row>
    <row r="64" spans="1:14" ht="28.5" customHeight="1">
      <c r="A64" s="1933">
        <v>37</v>
      </c>
      <c r="B64" s="1574" t="s">
        <v>59</v>
      </c>
      <c r="C64" s="2393"/>
      <c r="D64" s="1561"/>
      <c r="E64" s="1561"/>
      <c r="F64" s="1561"/>
      <c r="G64" s="2398">
        <f>ROUND(G63,0)</f>
        <v>355825</v>
      </c>
      <c r="H64" s="2398"/>
      <c r="I64" s="2398">
        <f>ROUND(I63,0)</f>
        <v>428776</v>
      </c>
      <c r="J64" s="2398"/>
      <c r="K64" s="2398">
        <f>ROUND(K63,0)</f>
        <v>696592</v>
      </c>
    </row>
    <row r="65" spans="1:5">
      <c r="B65" s="112"/>
      <c r="C65" s="112"/>
    </row>
    <row r="66" spans="1:5">
      <c r="A66" s="596" t="s">
        <v>62</v>
      </c>
      <c r="B66" s="1937" t="s">
        <v>2180</v>
      </c>
    </row>
    <row r="67" spans="1:5">
      <c r="E67" s="579"/>
    </row>
  </sheetData>
  <mergeCells count="19">
    <mergeCell ref="A40:A43"/>
    <mergeCell ref="A44:A47"/>
    <mergeCell ref="A48:A49"/>
    <mergeCell ref="J5:K5"/>
    <mergeCell ref="A10:A13"/>
    <mergeCell ref="A15:A16"/>
    <mergeCell ref="A22:A25"/>
    <mergeCell ref="A28:A30"/>
    <mergeCell ref="A35:A39"/>
    <mergeCell ref="C1:G1"/>
    <mergeCell ref="J2:K2"/>
    <mergeCell ref="C3:I3"/>
    <mergeCell ref="A5:A6"/>
    <mergeCell ref="B5:B6"/>
    <mergeCell ref="C5:C6"/>
    <mergeCell ref="D5:D6"/>
    <mergeCell ref="E5:E6"/>
    <mergeCell ref="F5:G5"/>
    <mergeCell ref="H5:I5"/>
  </mergeCells>
  <conditionalFormatting sqref="B52">
    <cfRule type="cellIs" dxfId="62" priority="2" stopIfTrue="1" operator="equal">
      <formula>"?"</formula>
    </cfRule>
  </conditionalFormatting>
  <conditionalFormatting sqref="B53">
    <cfRule type="cellIs" dxfId="61" priority="1" stopIfTrue="1" operator="equal">
      <formula>"?"</formula>
    </cfRule>
  </conditionalFormatting>
  <printOptions horizontalCentered="1"/>
  <pageMargins left="0.91" right="0.16" top="0.65" bottom="0.3" header="0.37" footer="0.16"/>
  <pageSetup paperSize="9" scale="109" fitToHeight="2" orientation="landscape" r:id="rId1"/>
  <headerFooter alignWithMargins="0"/>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6"/>
  <sheetViews>
    <sheetView zoomScaleNormal="100" workbookViewId="0">
      <pane xSplit="2" ySplit="9" topLeftCell="C36" activePane="bottomRight" state="frozen"/>
      <selection pane="topRight" activeCell="C1" sqref="C1"/>
      <selection pane="bottomLeft" activeCell="A10" sqref="A10"/>
      <selection pane="bottomRight" activeCell="B66" sqref="B66"/>
    </sheetView>
  </sheetViews>
  <sheetFormatPr defaultRowHeight="15"/>
  <cols>
    <col min="1" max="1" width="4.85546875" style="2130" customWidth="1"/>
    <col min="2" max="2" width="76.140625" style="2130" customWidth="1"/>
    <col min="3" max="3" width="13.42578125" style="2130" customWidth="1"/>
    <col min="4" max="4" width="6.7109375" style="2130" customWidth="1"/>
    <col min="5" max="5" width="10.7109375" style="2130" customWidth="1"/>
    <col min="6" max="6" width="7.5703125" style="2130" customWidth="1"/>
    <col min="7" max="8" width="12.7109375" style="2130" customWidth="1"/>
    <col min="9" max="9" width="21.5703125" style="2130" customWidth="1"/>
    <col min="10" max="10" width="16" style="2130" customWidth="1"/>
    <col min="11" max="11" width="14.5703125" style="2130" customWidth="1"/>
    <col min="12" max="256" width="9.140625" style="2130"/>
    <col min="257" max="257" width="4.85546875" style="2130" customWidth="1"/>
    <col min="258" max="258" width="76.140625" style="2130" customWidth="1"/>
    <col min="259" max="259" width="13.42578125" style="2130" customWidth="1"/>
    <col min="260" max="260" width="6.7109375" style="2130" customWidth="1"/>
    <col min="261" max="261" width="10.7109375" style="2130" customWidth="1"/>
    <col min="262" max="262" width="7.5703125" style="2130" customWidth="1"/>
    <col min="263" max="264" width="12.7109375" style="2130" customWidth="1"/>
    <col min="265" max="265" width="21.5703125" style="2130" customWidth="1"/>
    <col min="266" max="266" width="16" style="2130" customWidth="1"/>
    <col min="267" max="267" width="14.5703125" style="2130" customWidth="1"/>
    <col min="268" max="512" width="9.140625" style="2130"/>
    <col min="513" max="513" width="4.85546875" style="2130" customWidth="1"/>
    <col min="514" max="514" width="76.140625" style="2130" customWidth="1"/>
    <col min="515" max="515" width="13.42578125" style="2130" customWidth="1"/>
    <col min="516" max="516" width="6.7109375" style="2130" customWidth="1"/>
    <col min="517" max="517" width="10.7109375" style="2130" customWidth="1"/>
    <col min="518" max="518" width="7.5703125" style="2130" customWidth="1"/>
    <col min="519" max="520" width="12.7109375" style="2130" customWidth="1"/>
    <col min="521" max="521" width="21.5703125" style="2130" customWidth="1"/>
    <col min="522" max="522" width="16" style="2130" customWidth="1"/>
    <col min="523" max="523" width="14.5703125" style="2130" customWidth="1"/>
    <col min="524" max="768" width="9.140625" style="2130"/>
    <col min="769" max="769" width="4.85546875" style="2130" customWidth="1"/>
    <col min="770" max="770" width="76.140625" style="2130" customWidth="1"/>
    <col min="771" max="771" width="13.42578125" style="2130" customWidth="1"/>
    <col min="772" max="772" width="6.7109375" style="2130" customWidth="1"/>
    <col min="773" max="773" width="10.7109375" style="2130" customWidth="1"/>
    <col min="774" max="774" width="7.5703125" style="2130" customWidth="1"/>
    <col min="775" max="776" width="12.7109375" style="2130" customWidth="1"/>
    <col min="777" max="777" width="21.5703125" style="2130" customWidth="1"/>
    <col min="778" max="778" width="16" style="2130" customWidth="1"/>
    <col min="779" max="779" width="14.5703125" style="2130" customWidth="1"/>
    <col min="780" max="1024" width="9.140625" style="2130"/>
    <col min="1025" max="1025" width="4.85546875" style="2130" customWidth="1"/>
    <col min="1026" max="1026" width="76.140625" style="2130" customWidth="1"/>
    <col min="1027" max="1027" width="13.42578125" style="2130" customWidth="1"/>
    <col min="1028" max="1028" width="6.7109375" style="2130" customWidth="1"/>
    <col min="1029" max="1029" width="10.7109375" style="2130" customWidth="1"/>
    <col min="1030" max="1030" width="7.5703125" style="2130" customWidth="1"/>
    <col min="1031" max="1032" width="12.7109375" style="2130" customWidth="1"/>
    <col min="1033" max="1033" width="21.5703125" style="2130" customWidth="1"/>
    <col min="1034" max="1034" width="16" style="2130" customWidth="1"/>
    <col min="1035" max="1035" width="14.5703125" style="2130" customWidth="1"/>
    <col min="1036" max="1280" width="9.140625" style="2130"/>
    <col min="1281" max="1281" width="4.85546875" style="2130" customWidth="1"/>
    <col min="1282" max="1282" width="76.140625" style="2130" customWidth="1"/>
    <col min="1283" max="1283" width="13.42578125" style="2130" customWidth="1"/>
    <col min="1284" max="1284" width="6.7109375" style="2130" customWidth="1"/>
    <col min="1285" max="1285" width="10.7109375" style="2130" customWidth="1"/>
    <col min="1286" max="1286" width="7.5703125" style="2130" customWidth="1"/>
    <col min="1287" max="1288" width="12.7109375" style="2130" customWidth="1"/>
    <col min="1289" max="1289" width="21.5703125" style="2130" customWidth="1"/>
    <col min="1290" max="1290" width="16" style="2130" customWidth="1"/>
    <col min="1291" max="1291" width="14.5703125" style="2130" customWidth="1"/>
    <col min="1292" max="1536" width="9.140625" style="2130"/>
    <col min="1537" max="1537" width="4.85546875" style="2130" customWidth="1"/>
    <col min="1538" max="1538" width="76.140625" style="2130" customWidth="1"/>
    <col min="1539" max="1539" width="13.42578125" style="2130" customWidth="1"/>
    <col min="1540" max="1540" width="6.7109375" style="2130" customWidth="1"/>
    <col min="1541" max="1541" width="10.7109375" style="2130" customWidth="1"/>
    <col min="1542" max="1542" width="7.5703125" style="2130" customWidth="1"/>
    <col min="1543" max="1544" width="12.7109375" style="2130" customWidth="1"/>
    <col min="1545" max="1545" width="21.5703125" style="2130" customWidth="1"/>
    <col min="1546" max="1546" width="16" style="2130" customWidth="1"/>
    <col min="1547" max="1547" width="14.5703125" style="2130" customWidth="1"/>
    <col min="1548" max="1792" width="9.140625" style="2130"/>
    <col min="1793" max="1793" width="4.85546875" style="2130" customWidth="1"/>
    <col min="1794" max="1794" width="76.140625" style="2130" customWidth="1"/>
    <col min="1795" max="1795" width="13.42578125" style="2130" customWidth="1"/>
    <col min="1796" max="1796" width="6.7109375" style="2130" customWidth="1"/>
    <col min="1797" max="1797" width="10.7109375" style="2130" customWidth="1"/>
    <col min="1798" max="1798" width="7.5703125" style="2130" customWidth="1"/>
    <col min="1799" max="1800" width="12.7109375" style="2130" customWidth="1"/>
    <col min="1801" max="1801" width="21.5703125" style="2130" customWidth="1"/>
    <col min="1802" max="1802" width="16" style="2130" customWidth="1"/>
    <col min="1803" max="1803" width="14.5703125" style="2130" customWidth="1"/>
    <col min="1804" max="2048" width="9.140625" style="2130"/>
    <col min="2049" max="2049" width="4.85546875" style="2130" customWidth="1"/>
    <col min="2050" max="2050" width="76.140625" style="2130" customWidth="1"/>
    <col min="2051" max="2051" width="13.42578125" style="2130" customWidth="1"/>
    <col min="2052" max="2052" width="6.7109375" style="2130" customWidth="1"/>
    <col min="2053" max="2053" width="10.7109375" style="2130" customWidth="1"/>
    <col min="2054" max="2054" width="7.5703125" style="2130" customWidth="1"/>
    <col min="2055" max="2056" width="12.7109375" style="2130" customWidth="1"/>
    <col min="2057" max="2057" width="21.5703125" style="2130" customWidth="1"/>
    <col min="2058" max="2058" width="16" style="2130" customWidth="1"/>
    <col min="2059" max="2059" width="14.5703125" style="2130" customWidth="1"/>
    <col min="2060" max="2304" width="9.140625" style="2130"/>
    <col min="2305" max="2305" width="4.85546875" style="2130" customWidth="1"/>
    <col min="2306" max="2306" width="76.140625" style="2130" customWidth="1"/>
    <col min="2307" max="2307" width="13.42578125" style="2130" customWidth="1"/>
    <col min="2308" max="2308" width="6.7109375" style="2130" customWidth="1"/>
    <col min="2309" max="2309" width="10.7109375" style="2130" customWidth="1"/>
    <col min="2310" max="2310" width="7.5703125" style="2130" customWidth="1"/>
    <col min="2311" max="2312" width="12.7109375" style="2130" customWidth="1"/>
    <col min="2313" max="2313" width="21.5703125" style="2130" customWidth="1"/>
    <col min="2314" max="2314" width="16" style="2130" customWidth="1"/>
    <col min="2315" max="2315" width="14.5703125" style="2130" customWidth="1"/>
    <col min="2316" max="2560" width="9.140625" style="2130"/>
    <col min="2561" max="2561" width="4.85546875" style="2130" customWidth="1"/>
    <col min="2562" max="2562" width="76.140625" style="2130" customWidth="1"/>
    <col min="2563" max="2563" width="13.42578125" style="2130" customWidth="1"/>
    <col min="2564" max="2564" width="6.7109375" style="2130" customWidth="1"/>
    <col min="2565" max="2565" width="10.7109375" style="2130" customWidth="1"/>
    <col min="2566" max="2566" width="7.5703125" style="2130" customWidth="1"/>
    <col min="2567" max="2568" width="12.7109375" style="2130" customWidth="1"/>
    <col min="2569" max="2569" width="21.5703125" style="2130" customWidth="1"/>
    <col min="2570" max="2570" width="16" style="2130" customWidth="1"/>
    <col min="2571" max="2571" width="14.5703125" style="2130" customWidth="1"/>
    <col min="2572" max="2816" width="9.140625" style="2130"/>
    <col min="2817" max="2817" width="4.85546875" style="2130" customWidth="1"/>
    <col min="2818" max="2818" width="76.140625" style="2130" customWidth="1"/>
    <col min="2819" max="2819" width="13.42578125" style="2130" customWidth="1"/>
    <col min="2820" max="2820" width="6.7109375" style="2130" customWidth="1"/>
    <col min="2821" max="2821" width="10.7109375" style="2130" customWidth="1"/>
    <col min="2822" max="2822" width="7.5703125" style="2130" customWidth="1"/>
    <col min="2823" max="2824" width="12.7109375" style="2130" customWidth="1"/>
    <col min="2825" max="2825" width="21.5703125" style="2130" customWidth="1"/>
    <col min="2826" max="2826" width="16" style="2130" customWidth="1"/>
    <col min="2827" max="2827" width="14.5703125" style="2130" customWidth="1"/>
    <col min="2828" max="3072" width="9.140625" style="2130"/>
    <col min="3073" max="3073" width="4.85546875" style="2130" customWidth="1"/>
    <col min="3074" max="3074" width="76.140625" style="2130" customWidth="1"/>
    <col min="3075" max="3075" width="13.42578125" style="2130" customWidth="1"/>
    <col min="3076" max="3076" width="6.7109375" style="2130" customWidth="1"/>
    <col min="3077" max="3077" width="10.7109375" style="2130" customWidth="1"/>
    <col min="3078" max="3078" width="7.5703125" style="2130" customWidth="1"/>
    <col min="3079" max="3080" width="12.7109375" style="2130" customWidth="1"/>
    <col min="3081" max="3081" width="21.5703125" style="2130" customWidth="1"/>
    <col min="3082" max="3082" width="16" style="2130" customWidth="1"/>
    <col min="3083" max="3083" width="14.5703125" style="2130" customWidth="1"/>
    <col min="3084" max="3328" width="9.140625" style="2130"/>
    <col min="3329" max="3329" width="4.85546875" style="2130" customWidth="1"/>
    <col min="3330" max="3330" width="76.140625" style="2130" customWidth="1"/>
    <col min="3331" max="3331" width="13.42578125" style="2130" customWidth="1"/>
    <col min="3332" max="3332" width="6.7109375" style="2130" customWidth="1"/>
    <col min="3333" max="3333" width="10.7109375" style="2130" customWidth="1"/>
    <col min="3334" max="3334" width="7.5703125" style="2130" customWidth="1"/>
    <col min="3335" max="3336" width="12.7109375" style="2130" customWidth="1"/>
    <col min="3337" max="3337" width="21.5703125" style="2130" customWidth="1"/>
    <col min="3338" max="3338" width="16" style="2130" customWidth="1"/>
    <col min="3339" max="3339" width="14.5703125" style="2130" customWidth="1"/>
    <col min="3340" max="3584" width="9.140625" style="2130"/>
    <col min="3585" max="3585" width="4.85546875" style="2130" customWidth="1"/>
    <col min="3586" max="3586" width="76.140625" style="2130" customWidth="1"/>
    <col min="3587" max="3587" width="13.42578125" style="2130" customWidth="1"/>
    <col min="3588" max="3588" width="6.7109375" style="2130" customWidth="1"/>
    <col min="3589" max="3589" width="10.7109375" style="2130" customWidth="1"/>
    <col min="3590" max="3590" width="7.5703125" style="2130" customWidth="1"/>
    <col min="3591" max="3592" width="12.7109375" style="2130" customWidth="1"/>
    <col min="3593" max="3593" width="21.5703125" style="2130" customWidth="1"/>
    <col min="3594" max="3594" width="16" style="2130" customWidth="1"/>
    <col min="3595" max="3595" width="14.5703125" style="2130" customWidth="1"/>
    <col min="3596" max="3840" width="9.140625" style="2130"/>
    <col min="3841" max="3841" width="4.85546875" style="2130" customWidth="1"/>
    <col min="3842" max="3842" width="76.140625" style="2130" customWidth="1"/>
    <col min="3843" max="3843" width="13.42578125" style="2130" customWidth="1"/>
    <col min="3844" max="3844" width="6.7109375" style="2130" customWidth="1"/>
    <col min="3845" max="3845" width="10.7109375" style="2130" customWidth="1"/>
    <col min="3846" max="3846" width="7.5703125" style="2130" customWidth="1"/>
    <col min="3847" max="3848" width="12.7109375" style="2130" customWidth="1"/>
    <col min="3849" max="3849" width="21.5703125" style="2130" customWidth="1"/>
    <col min="3850" max="3850" width="16" style="2130" customWidth="1"/>
    <col min="3851" max="3851" width="14.5703125" style="2130" customWidth="1"/>
    <col min="3852" max="4096" width="9.140625" style="2130"/>
    <col min="4097" max="4097" width="4.85546875" style="2130" customWidth="1"/>
    <col min="4098" max="4098" width="76.140625" style="2130" customWidth="1"/>
    <col min="4099" max="4099" width="13.42578125" style="2130" customWidth="1"/>
    <col min="4100" max="4100" width="6.7109375" style="2130" customWidth="1"/>
    <col min="4101" max="4101" width="10.7109375" style="2130" customWidth="1"/>
    <col min="4102" max="4102" width="7.5703125" style="2130" customWidth="1"/>
    <col min="4103" max="4104" width="12.7109375" style="2130" customWidth="1"/>
    <col min="4105" max="4105" width="21.5703125" style="2130" customWidth="1"/>
    <col min="4106" max="4106" width="16" style="2130" customWidth="1"/>
    <col min="4107" max="4107" width="14.5703125" style="2130" customWidth="1"/>
    <col min="4108" max="4352" width="9.140625" style="2130"/>
    <col min="4353" max="4353" width="4.85546875" style="2130" customWidth="1"/>
    <col min="4354" max="4354" width="76.140625" style="2130" customWidth="1"/>
    <col min="4355" max="4355" width="13.42578125" style="2130" customWidth="1"/>
    <col min="4356" max="4356" width="6.7109375" style="2130" customWidth="1"/>
    <col min="4357" max="4357" width="10.7109375" style="2130" customWidth="1"/>
    <col min="4358" max="4358" width="7.5703125" style="2130" customWidth="1"/>
    <col min="4359" max="4360" width="12.7109375" style="2130" customWidth="1"/>
    <col min="4361" max="4361" width="21.5703125" style="2130" customWidth="1"/>
    <col min="4362" max="4362" width="16" style="2130" customWidth="1"/>
    <col min="4363" max="4363" width="14.5703125" style="2130" customWidth="1"/>
    <col min="4364" max="4608" width="9.140625" style="2130"/>
    <col min="4609" max="4609" width="4.85546875" style="2130" customWidth="1"/>
    <col min="4610" max="4610" width="76.140625" style="2130" customWidth="1"/>
    <col min="4611" max="4611" width="13.42578125" style="2130" customWidth="1"/>
    <col min="4612" max="4612" width="6.7109375" style="2130" customWidth="1"/>
    <col min="4613" max="4613" width="10.7109375" style="2130" customWidth="1"/>
    <col min="4614" max="4614" width="7.5703125" style="2130" customWidth="1"/>
    <col min="4615" max="4616" width="12.7109375" style="2130" customWidth="1"/>
    <col min="4617" max="4617" width="21.5703125" style="2130" customWidth="1"/>
    <col min="4618" max="4618" width="16" style="2130" customWidth="1"/>
    <col min="4619" max="4619" width="14.5703125" style="2130" customWidth="1"/>
    <col min="4620" max="4864" width="9.140625" style="2130"/>
    <col min="4865" max="4865" width="4.85546875" style="2130" customWidth="1"/>
    <col min="4866" max="4866" width="76.140625" style="2130" customWidth="1"/>
    <col min="4867" max="4867" width="13.42578125" style="2130" customWidth="1"/>
    <col min="4868" max="4868" width="6.7109375" style="2130" customWidth="1"/>
    <col min="4869" max="4869" width="10.7109375" style="2130" customWidth="1"/>
    <col min="4870" max="4870" width="7.5703125" style="2130" customWidth="1"/>
    <col min="4871" max="4872" width="12.7109375" style="2130" customWidth="1"/>
    <col min="4873" max="4873" width="21.5703125" style="2130" customWidth="1"/>
    <col min="4874" max="4874" width="16" style="2130" customWidth="1"/>
    <col min="4875" max="4875" width="14.5703125" style="2130" customWidth="1"/>
    <col min="4876" max="5120" width="9.140625" style="2130"/>
    <col min="5121" max="5121" width="4.85546875" style="2130" customWidth="1"/>
    <col min="5122" max="5122" width="76.140625" style="2130" customWidth="1"/>
    <col min="5123" max="5123" width="13.42578125" style="2130" customWidth="1"/>
    <col min="5124" max="5124" width="6.7109375" style="2130" customWidth="1"/>
    <col min="5125" max="5125" width="10.7109375" style="2130" customWidth="1"/>
    <col min="5126" max="5126" width="7.5703125" style="2130" customWidth="1"/>
    <col min="5127" max="5128" width="12.7109375" style="2130" customWidth="1"/>
    <col min="5129" max="5129" width="21.5703125" style="2130" customWidth="1"/>
    <col min="5130" max="5130" width="16" style="2130" customWidth="1"/>
    <col min="5131" max="5131" width="14.5703125" style="2130" customWidth="1"/>
    <col min="5132" max="5376" width="9.140625" style="2130"/>
    <col min="5377" max="5377" width="4.85546875" style="2130" customWidth="1"/>
    <col min="5378" max="5378" width="76.140625" style="2130" customWidth="1"/>
    <col min="5379" max="5379" width="13.42578125" style="2130" customWidth="1"/>
    <col min="5380" max="5380" width="6.7109375" style="2130" customWidth="1"/>
    <col min="5381" max="5381" width="10.7109375" style="2130" customWidth="1"/>
    <col min="5382" max="5382" width="7.5703125" style="2130" customWidth="1"/>
    <col min="5383" max="5384" width="12.7109375" style="2130" customWidth="1"/>
    <col min="5385" max="5385" width="21.5703125" style="2130" customWidth="1"/>
    <col min="5386" max="5386" width="16" style="2130" customWidth="1"/>
    <col min="5387" max="5387" width="14.5703125" style="2130" customWidth="1"/>
    <col min="5388" max="5632" width="9.140625" style="2130"/>
    <col min="5633" max="5633" width="4.85546875" style="2130" customWidth="1"/>
    <col min="5634" max="5634" width="76.140625" style="2130" customWidth="1"/>
    <col min="5635" max="5635" width="13.42578125" style="2130" customWidth="1"/>
    <col min="5636" max="5636" width="6.7109375" style="2130" customWidth="1"/>
    <col min="5637" max="5637" width="10.7109375" style="2130" customWidth="1"/>
    <col min="5638" max="5638" width="7.5703125" style="2130" customWidth="1"/>
    <col min="5639" max="5640" width="12.7109375" style="2130" customWidth="1"/>
    <col min="5641" max="5641" width="21.5703125" style="2130" customWidth="1"/>
    <col min="5642" max="5642" width="16" style="2130" customWidth="1"/>
    <col min="5643" max="5643" width="14.5703125" style="2130" customWidth="1"/>
    <col min="5644" max="5888" width="9.140625" style="2130"/>
    <col min="5889" max="5889" width="4.85546875" style="2130" customWidth="1"/>
    <col min="5890" max="5890" width="76.140625" style="2130" customWidth="1"/>
    <col min="5891" max="5891" width="13.42578125" style="2130" customWidth="1"/>
    <col min="5892" max="5892" width="6.7109375" style="2130" customWidth="1"/>
    <col min="5893" max="5893" width="10.7109375" style="2130" customWidth="1"/>
    <col min="5894" max="5894" width="7.5703125" style="2130" customWidth="1"/>
    <col min="5895" max="5896" width="12.7109375" style="2130" customWidth="1"/>
    <col min="5897" max="5897" width="21.5703125" style="2130" customWidth="1"/>
    <col min="5898" max="5898" width="16" style="2130" customWidth="1"/>
    <col min="5899" max="5899" width="14.5703125" style="2130" customWidth="1"/>
    <col min="5900" max="6144" width="9.140625" style="2130"/>
    <col min="6145" max="6145" width="4.85546875" style="2130" customWidth="1"/>
    <col min="6146" max="6146" width="76.140625" style="2130" customWidth="1"/>
    <col min="6147" max="6147" width="13.42578125" style="2130" customWidth="1"/>
    <col min="6148" max="6148" width="6.7109375" style="2130" customWidth="1"/>
    <col min="6149" max="6149" width="10.7109375" style="2130" customWidth="1"/>
    <col min="6150" max="6150" width="7.5703125" style="2130" customWidth="1"/>
    <col min="6151" max="6152" width="12.7109375" style="2130" customWidth="1"/>
    <col min="6153" max="6153" width="21.5703125" style="2130" customWidth="1"/>
    <col min="6154" max="6154" width="16" style="2130" customWidth="1"/>
    <col min="6155" max="6155" width="14.5703125" style="2130" customWidth="1"/>
    <col min="6156" max="6400" width="9.140625" style="2130"/>
    <col min="6401" max="6401" width="4.85546875" style="2130" customWidth="1"/>
    <col min="6402" max="6402" width="76.140625" style="2130" customWidth="1"/>
    <col min="6403" max="6403" width="13.42578125" style="2130" customWidth="1"/>
    <col min="6404" max="6404" width="6.7109375" style="2130" customWidth="1"/>
    <col min="6405" max="6405" width="10.7109375" style="2130" customWidth="1"/>
    <col min="6406" max="6406" width="7.5703125" style="2130" customWidth="1"/>
    <col min="6407" max="6408" width="12.7109375" style="2130" customWidth="1"/>
    <col min="6409" max="6409" width="21.5703125" style="2130" customWidth="1"/>
    <col min="6410" max="6410" width="16" style="2130" customWidth="1"/>
    <col min="6411" max="6411" width="14.5703125" style="2130" customWidth="1"/>
    <col min="6412" max="6656" width="9.140625" style="2130"/>
    <col min="6657" max="6657" width="4.85546875" style="2130" customWidth="1"/>
    <col min="6658" max="6658" width="76.140625" style="2130" customWidth="1"/>
    <col min="6659" max="6659" width="13.42578125" style="2130" customWidth="1"/>
    <col min="6660" max="6660" width="6.7109375" style="2130" customWidth="1"/>
    <col min="6661" max="6661" width="10.7109375" style="2130" customWidth="1"/>
    <col min="6662" max="6662" width="7.5703125" style="2130" customWidth="1"/>
    <col min="6663" max="6664" width="12.7109375" style="2130" customWidth="1"/>
    <col min="6665" max="6665" width="21.5703125" style="2130" customWidth="1"/>
    <col min="6666" max="6666" width="16" style="2130" customWidth="1"/>
    <col min="6667" max="6667" width="14.5703125" style="2130" customWidth="1"/>
    <col min="6668" max="6912" width="9.140625" style="2130"/>
    <col min="6913" max="6913" width="4.85546875" style="2130" customWidth="1"/>
    <col min="6914" max="6914" width="76.140625" style="2130" customWidth="1"/>
    <col min="6915" max="6915" width="13.42578125" style="2130" customWidth="1"/>
    <col min="6916" max="6916" width="6.7109375" style="2130" customWidth="1"/>
    <col min="6917" max="6917" width="10.7109375" style="2130" customWidth="1"/>
    <col min="6918" max="6918" width="7.5703125" style="2130" customWidth="1"/>
    <col min="6919" max="6920" width="12.7109375" style="2130" customWidth="1"/>
    <col min="6921" max="6921" width="21.5703125" style="2130" customWidth="1"/>
    <col min="6922" max="6922" width="16" style="2130" customWidth="1"/>
    <col min="6923" max="6923" width="14.5703125" style="2130" customWidth="1"/>
    <col min="6924" max="7168" width="9.140625" style="2130"/>
    <col min="7169" max="7169" width="4.85546875" style="2130" customWidth="1"/>
    <col min="7170" max="7170" width="76.140625" style="2130" customWidth="1"/>
    <col min="7171" max="7171" width="13.42578125" style="2130" customWidth="1"/>
    <col min="7172" max="7172" width="6.7109375" style="2130" customWidth="1"/>
    <col min="7173" max="7173" width="10.7109375" style="2130" customWidth="1"/>
    <col min="7174" max="7174" width="7.5703125" style="2130" customWidth="1"/>
    <col min="7175" max="7176" width="12.7109375" style="2130" customWidth="1"/>
    <col min="7177" max="7177" width="21.5703125" style="2130" customWidth="1"/>
    <col min="7178" max="7178" width="16" style="2130" customWidth="1"/>
    <col min="7179" max="7179" width="14.5703125" style="2130" customWidth="1"/>
    <col min="7180" max="7424" width="9.140625" style="2130"/>
    <col min="7425" max="7425" width="4.85546875" style="2130" customWidth="1"/>
    <col min="7426" max="7426" width="76.140625" style="2130" customWidth="1"/>
    <col min="7427" max="7427" width="13.42578125" style="2130" customWidth="1"/>
    <col min="7428" max="7428" width="6.7109375" style="2130" customWidth="1"/>
    <col min="7429" max="7429" width="10.7109375" style="2130" customWidth="1"/>
    <col min="7430" max="7430" width="7.5703125" style="2130" customWidth="1"/>
    <col min="7431" max="7432" width="12.7109375" style="2130" customWidth="1"/>
    <col min="7433" max="7433" width="21.5703125" style="2130" customWidth="1"/>
    <col min="7434" max="7434" width="16" style="2130" customWidth="1"/>
    <col min="7435" max="7435" width="14.5703125" style="2130" customWidth="1"/>
    <col min="7436" max="7680" width="9.140625" style="2130"/>
    <col min="7681" max="7681" width="4.85546875" style="2130" customWidth="1"/>
    <col min="7682" max="7682" width="76.140625" style="2130" customWidth="1"/>
    <col min="7683" max="7683" width="13.42578125" style="2130" customWidth="1"/>
    <col min="7684" max="7684" width="6.7109375" style="2130" customWidth="1"/>
    <col min="7685" max="7685" width="10.7109375" style="2130" customWidth="1"/>
    <col min="7686" max="7686" width="7.5703125" style="2130" customWidth="1"/>
    <col min="7687" max="7688" width="12.7109375" style="2130" customWidth="1"/>
    <col min="7689" max="7689" width="21.5703125" style="2130" customWidth="1"/>
    <col min="7690" max="7690" width="16" style="2130" customWidth="1"/>
    <col min="7691" max="7691" width="14.5703125" style="2130" customWidth="1"/>
    <col min="7692" max="7936" width="9.140625" style="2130"/>
    <col min="7937" max="7937" width="4.85546875" style="2130" customWidth="1"/>
    <col min="7938" max="7938" width="76.140625" style="2130" customWidth="1"/>
    <col min="7939" max="7939" width="13.42578125" style="2130" customWidth="1"/>
    <col min="7940" max="7940" width="6.7109375" style="2130" customWidth="1"/>
    <col min="7941" max="7941" width="10.7109375" style="2130" customWidth="1"/>
    <col min="7942" max="7942" width="7.5703125" style="2130" customWidth="1"/>
    <col min="7943" max="7944" width="12.7109375" style="2130" customWidth="1"/>
    <col min="7945" max="7945" width="21.5703125" style="2130" customWidth="1"/>
    <col min="7946" max="7946" width="16" style="2130" customWidth="1"/>
    <col min="7947" max="7947" width="14.5703125" style="2130" customWidth="1"/>
    <col min="7948" max="8192" width="9.140625" style="2130"/>
    <col min="8193" max="8193" width="4.85546875" style="2130" customWidth="1"/>
    <col min="8194" max="8194" width="76.140625" style="2130" customWidth="1"/>
    <col min="8195" max="8195" width="13.42578125" style="2130" customWidth="1"/>
    <col min="8196" max="8196" width="6.7109375" style="2130" customWidth="1"/>
    <col min="8197" max="8197" width="10.7109375" style="2130" customWidth="1"/>
    <col min="8198" max="8198" width="7.5703125" style="2130" customWidth="1"/>
    <col min="8199" max="8200" width="12.7109375" style="2130" customWidth="1"/>
    <col min="8201" max="8201" width="21.5703125" style="2130" customWidth="1"/>
    <col min="8202" max="8202" width="16" style="2130" customWidth="1"/>
    <col min="8203" max="8203" width="14.5703125" style="2130" customWidth="1"/>
    <col min="8204" max="8448" width="9.140625" style="2130"/>
    <col min="8449" max="8449" width="4.85546875" style="2130" customWidth="1"/>
    <col min="8450" max="8450" width="76.140625" style="2130" customWidth="1"/>
    <col min="8451" max="8451" width="13.42578125" style="2130" customWidth="1"/>
    <col min="8452" max="8452" width="6.7109375" style="2130" customWidth="1"/>
    <col min="8453" max="8453" width="10.7109375" style="2130" customWidth="1"/>
    <col min="8454" max="8454" width="7.5703125" style="2130" customWidth="1"/>
    <col min="8455" max="8456" width="12.7109375" style="2130" customWidth="1"/>
    <col min="8457" max="8457" width="21.5703125" style="2130" customWidth="1"/>
    <col min="8458" max="8458" width="16" style="2130" customWidth="1"/>
    <col min="8459" max="8459" width="14.5703125" style="2130" customWidth="1"/>
    <col min="8460" max="8704" width="9.140625" style="2130"/>
    <col min="8705" max="8705" width="4.85546875" style="2130" customWidth="1"/>
    <col min="8706" max="8706" width="76.140625" style="2130" customWidth="1"/>
    <col min="8707" max="8707" width="13.42578125" style="2130" customWidth="1"/>
    <col min="8708" max="8708" width="6.7109375" style="2130" customWidth="1"/>
    <col min="8709" max="8709" width="10.7109375" style="2130" customWidth="1"/>
    <col min="8710" max="8710" width="7.5703125" style="2130" customWidth="1"/>
    <col min="8711" max="8712" width="12.7109375" style="2130" customWidth="1"/>
    <col min="8713" max="8713" width="21.5703125" style="2130" customWidth="1"/>
    <col min="8714" max="8714" width="16" style="2130" customWidth="1"/>
    <col min="8715" max="8715" width="14.5703125" style="2130" customWidth="1"/>
    <col min="8716" max="8960" width="9.140625" style="2130"/>
    <col min="8961" max="8961" width="4.85546875" style="2130" customWidth="1"/>
    <col min="8962" max="8962" width="76.140625" style="2130" customWidth="1"/>
    <col min="8963" max="8963" width="13.42578125" style="2130" customWidth="1"/>
    <col min="8964" max="8964" width="6.7109375" style="2130" customWidth="1"/>
    <col min="8965" max="8965" width="10.7109375" style="2130" customWidth="1"/>
    <col min="8966" max="8966" width="7.5703125" style="2130" customWidth="1"/>
    <col min="8967" max="8968" width="12.7109375" style="2130" customWidth="1"/>
    <col min="8969" max="8969" width="21.5703125" style="2130" customWidth="1"/>
    <col min="8970" max="8970" width="16" style="2130" customWidth="1"/>
    <col min="8971" max="8971" width="14.5703125" style="2130" customWidth="1"/>
    <col min="8972" max="9216" width="9.140625" style="2130"/>
    <col min="9217" max="9217" width="4.85546875" style="2130" customWidth="1"/>
    <col min="9218" max="9218" width="76.140625" style="2130" customWidth="1"/>
    <col min="9219" max="9219" width="13.42578125" style="2130" customWidth="1"/>
    <col min="9220" max="9220" width="6.7109375" style="2130" customWidth="1"/>
    <col min="9221" max="9221" width="10.7109375" style="2130" customWidth="1"/>
    <col min="9222" max="9222" width="7.5703125" style="2130" customWidth="1"/>
    <col min="9223" max="9224" width="12.7109375" style="2130" customWidth="1"/>
    <col min="9225" max="9225" width="21.5703125" style="2130" customWidth="1"/>
    <col min="9226" max="9226" width="16" style="2130" customWidth="1"/>
    <col min="9227" max="9227" width="14.5703125" style="2130" customWidth="1"/>
    <col min="9228" max="9472" width="9.140625" style="2130"/>
    <col min="9473" max="9473" width="4.85546875" style="2130" customWidth="1"/>
    <col min="9474" max="9474" width="76.140625" style="2130" customWidth="1"/>
    <col min="9475" max="9475" width="13.42578125" style="2130" customWidth="1"/>
    <col min="9476" max="9476" width="6.7109375" style="2130" customWidth="1"/>
    <col min="9477" max="9477" width="10.7109375" style="2130" customWidth="1"/>
    <col min="9478" max="9478" width="7.5703125" style="2130" customWidth="1"/>
    <col min="9479" max="9480" width="12.7109375" style="2130" customWidth="1"/>
    <col min="9481" max="9481" width="21.5703125" style="2130" customWidth="1"/>
    <col min="9482" max="9482" width="16" style="2130" customWidth="1"/>
    <col min="9483" max="9483" width="14.5703125" style="2130" customWidth="1"/>
    <col min="9484" max="9728" width="9.140625" style="2130"/>
    <col min="9729" max="9729" width="4.85546875" style="2130" customWidth="1"/>
    <col min="9730" max="9730" width="76.140625" style="2130" customWidth="1"/>
    <col min="9731" max="9731" width="13.42578125" style="2130" customWidth="1"/>
    <col min="9732" max="9732" width="6.7109375" style="2130" customWidth="1"/>
    <col min="9733" max="9733" width="10.7109375" style="2130" customWidth="1"/>
    <col min="9734" max="9734" width="7.5703125" style="2130" customWidth="1"/>
    <col min="9735" max="9736" width="12.7109375" style="2130" customWidth="1"/>
    <col min="9737" max="9737" width="21.5703125" style="2130" customWidth="1"/>
    <col min="9738" max="9738" width="16" style="2130" customWidth="1"/>
    <col min="9739" max="9739" width="14.5703125" style="2130" customWidth="1"/>
    <col min="9740" max="9984" width="9.140625" style="2130"/>
    <col min="9985" max="9985" width="4.85546875" style="2130" customWidth="1"/>
    <col min="9986" max="9986" width="76.140625" style="2130" customWidth="1"/>
    <col min="9987" max="9987" width="13.42578125" style="2130" customWidth="1"/>
    <col min="9988" max="9988" width="6.7109375" style="2130" customWidth="1"/>
    <col min="9989" max="9989" width="10.7109375" style="2130" customWidth="1"/>
    <col min="9990" max="9990" width="7.5703125" style="2130" customWidth="1"/>
    <col min="9991" max="9992" width="12.7109375" style="2130" customWidth="1"/>
    <col min="9993" max="9993" width="21.5703125" style="2130" customWidth="1"/>
    <col min="9994" max="9994" width="16" style="2130" customWidth="1"/>
    <col min="9995" max="9995" width="14.5703125" style="2130" customWidth="1"/>
    <col min="9996" max="10240" width="9.140625" style="2130"/>
    <col min="10241" max="10241" width="4.85546875" style="2130" customWidth="1"/>
    <col min="10242" max="10242" width="76.140625" style="2130" customWidth="1"/>
    <col min="10243" max="10243" width="13.42578125" style="2130" customWidth="1"/>
    <col min="10244" max="10244" width="6.7109375" style="2130" customWidth="1"/>
    <col min="10245" max="10245" width="10.7109375" style="2130" customWidth="1"/>
    <col min="10246" max="10246" width="7.5703125" style="2130" customWidth="1"/>
    <col min="10247" max="10248" width="12.7109375" style="2130" customWidth="1"/>
    <col min="10249" max="10249" width="21.5703125" style="2130" customWidth="1"/>
    <col min="10250" max="10250" width="16" style="2130" customWidth="1"/>
    <col min="10251" max="10251" width="14.5703125" style="2130" customWidth="1"/>
    <col min="10252" max="10496" width="9.140625" style="2130"/>
    <col min="10497" max="10497" width="4.85546875" style="2130" customWidth="1"/>
    <col min="10498" max="10498" width="76.140625" style="2130" customWidth="1"/>
    <col min="10499" max="10499" width="13.42578125" style="2130" customWidth="1"/>
    <col min="10500" max="10500" width="6.7109375" style="2130" customWidth="1"/>
    <col min="10501" max="10501" width="10.7109375" style="2130" customWidth="1"/>
    <col min="10502" max="10502" width="7.5703125" style="2130" customWidth="1"/>
    <col min="10503" max="10504" width="12.7109375" style="2130" customWidth="1"/>
    <col min="10505" max="10505" width="21.5703125" style="2130" customWidth="1"/>
    <col min="10506" max="10506" width="16" style="2130" customWidth="1"/>
    <col min="10507" max="10507" width="14.5703125" style="2130" customWidth="1"/>
    <col min="10508" max="10752" width="9.140625" style="2130"/>
    <col min="10753" max="10753" width="4.85546875" style="2130" customWidth="1"/>
    <col min="10754" max="10754" width="76.140625" style="2130" customWidth="1"/>
    <col min="10755" max="10755" width="13.42578125" style="2130" customWidth="1"/>
    <col min="10756" max="10756" width="6.7109375" style="2130" customWidth="1"/>
    <col min="10757" max="10757" width="10.7109375" style="2130" customWidth="1"/>
    <col min="10758" max="10758" width="7.5703125" style="2130" customWidth="1"/>
    <col min="10759" max="10760" width="12.7109375" style="2130" customWidth="1"/>
    <col min="10761" max="10761" width="21.5703125" style="2130" customWidth="1"/>
    <col min="10762" max="10762" width="16" style="2130" customWidth="1"/>
    <col min="10763" max="10763" width="14.5703125" style="2130" customWidth="1"/>
    <col min="10764" max="11008" width="9.140625" style="2130"/>
    <col min="11009" max="11009" width="4.85546875" style="2130" customWidth="1"/>
    <col min="11010" max="11010" width="76.140625" style="2130" customWidth="1"/>
    <col min="11011" max="11011" width="13.42578125" style="2130" customWidth="1"/>
    <col min="11012" max="11012" width="6.7109375" style="2130" customWidth="1"/>
    <col min="11013" max="11013" width="10.7109375" style="2130" customWidth="1"/>
    <col min="11014" max="11014" width="7.5703125" style="2130" customWidth="1"/>
    <col min="11015" max="11016" width="12.7109375" style="2130" customWidth="1"/>
    <col min="11017" max="11017" width="21.5703125" style="2130" customWidth="1"/>
    <col min="11018" max="11018" width="16" style="2130" customWidth="1"/>
    <col min="11019" max="11019" width="14.5703125" style="2130" customWidth="1"/>
    <col min="11020" max="11264" width="9.140625" style="2130"/>
    <col min="11265" max="11265" width="4.85546875" style="2130" customWidth="1"/>
    <col min="11266" max="11266" width="76.140625" style="2130" customWidth="1"/>
    <col min="11267" max="11267" width="13.42578125" style="2130" customWidth="1"/>
    <col min="11268" max="11268" width="6.7109375" style="2130" customWidth="1"/>
    <col min="11269" max="11269" width="10.7109375" style="2130" customWidth="1"/>
    <col min="11270" max="11270" width="7.5703125" style="2130" customWidth="1"/>
    <col min="11271" max="11272" width="12.7109375" style="2130" customWidth="1"/>
    <col min="11273" max="11273" width="21.5703125" style="2130" customWidth="1"/>
    <col min="11274" max="11274" width="16" style="2130" customWidth="1"/>
    <col min="11275" max="11275" width="14.5703125" style="2130" customWidth="1"/>
    <col min="11276" max="11520" width="9.140625" style="2130"/>
    <col min="11521" max="11521" width="4.85546875" style="2130" customWidth="1"/>
    <col min="11522" max="11522" width="76.140625" style="2130" customWidth="1"/>
    <col min="11523" max="11523" width="13.42578125" style="2130" customWidth="1"/>
    <col min="11524" max="11524" width="6.7109375" style="2130" customWidth="1"/>
    <col min="11525" max="11525" width="10.7109375" style="2130" customWidth="1"/>
    <col min="11526" max="11526" width="7.5703125" style="2130" customWidth="1"/>
    <col min="11527" max="11528" width="12.7109375" style="2130" customWidth="1"/>
    <col min="11529" max="11529" width="21.5703125" style="2130" customWidth="1"/>
    <col min="11530" max="11530" width="16" style="2130" customWidth="1"/>
    <col min="11531" max="11531" width="14.5703125" style="2130" customWidth="1"/>
    <col min="11532" max="11776" width="9.140625" style="2130"/>
    <col min="11777" max="11777" width="4.85546875" style="2130" customWidth="1"/>
    <col min="11778" max="11778" width="76.140625" style="2130" customWidth="1"/>
    <col min="11779" max="11779" width="13.42578125" style="2130" customWidth="1"/>
    <col min="11780" max="11780" width="6.7109375" style="2130" customWidth="1"/>
    <col min="11781" max="11781" width="10.7109375" style="2130" customWidth="1"/>
    <col min="11782" max="11782" width="7.5703125" style="2130" customWidth="1"/>
    <col min="11783" max="11784" width="12.7109375" style="2130" customWidth="1"/>
    <col min="11785" max="11785" width="21.5703125" style="2130" customWidth="1"/>
    <col min="11786" max="11786" width="16" style="2130" customWidth="1"/>
    <col min="11787" max="11787" width="14.5703125" style="2130" customWidth="1"/>
    <col min="11788" max="12032" width="9.140625" style="2130"/>
    <col min="12033" max="12033" width="4.85546875" style="2130" customWidth="1"/>
    <col min="12034" max="12034" width="76.140625" style="2130" customWidth="1"/>
    <col min="12035" max="12035" width="13.42578125" style="2130" customWidth="1"/>
    <col min="12036" max="12036" width="6.7109375" style="2130" customWidth="1"/>
    <col min="12037" max="12037" width="10.7109375" style="2130" customWidth="1"/>
    <col min="12038" max="12038" width="7.5703125" style="2130" customWidth="1"/>
    <col min="12039" max="12040" width="12.7109375" style="2130" customWidth="1"/>
    <col min="12041" max="12041" width="21.5703125" style="2130" customWidth="1"/>
    <col min="12042" max="12042" width="16" style="2130" customWidth="1"/>
    <col min="12043" max="12043" width="14.5703125" style="2130" customWidth="1"/>
    <col min="12044" max="12288" width="9.140625" style="2130"/>
    <col min="12289" max="12289" width="4.85546875" style="2130" customWidth="1"/>
    <col min="12290" max="12290" width="76.140625" style="2130" customWidth="1"/>
    <col min="12291" max="12291" width="13.42578125" style="2130" customWidth="1"/>
    <col min="12292" max="12292" width="6.7109375" style="2130" customWidth="1"/>
    <col min="12293" max="12293" width="10.7109375" style="2130" customWidth="1"/>
    <col min="12294" max="12294" width="7.5703125" style="2130" customWidth="1"/>
    <col min="12295" max="12296" width="12.7109375" style="2130" customWidth="1"/>
    <col min="12297" max="12297" width="21.5703125" style="2130" customWidth="1"/>
    <col min="12298" max="12298" width="16" style="2130" customWidth="1"/>
    <col min="12299" max="12299" width="14.5703125" style="2130" customWidth="1"/>
    <col min="12300" max="12544" width="9.140625" style="2130"/>
    <col min="12545" max="12545" width="4.85546875" style="2130" customWidth="1"/>
    <col min="12546" max="12546" width="76.140625" style="2130" customWidth="1"/>
    <col min="12547" max="12547" width="13.42578125" style="2130" customWidth="1"/>
    <col min="12548" max="12548" width="6.7109375" style="2130" customWidth="1"/>
    <col min="12549" max="12549" width="10.7109375" style="2130" customWidth="1"/>
    <col min="12550" max="12550" width="7.5703125" style="2130" customWidth="1"/>
    <col min="12551" max="12552" width="12.7109375" style="2130" customWidth="1"/>
    <col min="12553" max="12553" width="21.5703125" style="2130" customWidth="1"/>
    <col min="12554" max="12554" width="16" style="2130" customWidth="1"/>
    <col min="12555" max="12555" width="14.5703125" style="2130" customWidth="1"/>
    <col min="12556" max="12800" width="9.140625" style="2130"/>
    <col min="12801" max="12801" width="4.85546875" style="2130" customWidth="1"/>
    <col min="12802" max="12802" width="76.140625" style="2130" customWidth="1"/>
    <col min="12803" max="12803" width="13.42578125" style="2130" customWidth="1"/>
    <col min="12804" max="12804" width="6.7109375" style="2130" customWidth="1"/>
    <col min="12805" max="12805" width="10.7109375" style="2130" customWidth="1"/>
    <col min="12806" max="12806" width="7.5703125" style="2130" customWidth="1"/>
    <col min="12807" max="12808" width="12.7109375" style="2130" customWidth="1"/>
    <col min="12809" max="12809" width="21.5703125" style="2130" customWidth="1"/>
    <col min="12810" max="12810" width="16" style="2130" customWidth="1"/>
    <col min="12811" max="12811" width="14.5703125" style="2130" customWidth="1"/>
    <col min="12812" max="13056" width="9.140625" style="2130"/>
    <col min="13057" max="13057" width="4.85546875" style="2130" customWidth="1"/>
    <col min="13058" max="13058" width="76.140625" style="2130" customWidth="1"/>
    <col min="13059" max="13059" width="13.42578125" style="2130" customWidth="1"/>
    <col min="13060" max="13060" width="6.7109375" style="2130" customWidth="1"/>
    <col min="13061" max="13061" width="10.7109375" style="2130" customWidth="1"/>
    <col min="13062" max="13062" width="7.5703125" style="2130" customWidth="1"/>
    <col min="13063" max="13064" width="12.7109375" style="2130" customWidth="1"/>
    <col min="13065" max="13065" width="21.5703125" style="2130" customWidth="1"/>
    <col min="13066" max="13066" width="16" style="2130" customWidth="1"/>
    <col min="13067" max="13067" width="14.5703125" style="2130" customWidth="1"/>
    <col min="13068" max="13312" width="9.140625" style="2130"/>
    <col min="13313" max="13313" width="4.85546875" style="2130" customWidth="1"/>
    <col min="13314" max="13314" width="76.140625" style="2130" customWidth="1"/>
    <col min="13315" max="13315" width="13.42578125" style="2130" customWidth="1"/>
    <col min="13316" max="13316" width="6.7109375" style="2130" customWidth="1"/>
    <col min="13317" max="13317" width="10.7109375" style="2130" customWidth="1"/>
    <col min="13318" max="13318" width="7.5703125" style="2130" customWidth="1"/>
    <col min="13319" max="13320" width="12.7109375" style="2130" customWidth="1"/>
    <col min="13321" max="13321" width="21.5703125" style="2130" customWidth="1"/>
    <col min="13322" max="13322" width="16" style="2130" customWidth="1"/>
    <col min="13323" max="13323" width="14.5703125" style="2130" customWidth="1"/>
    <col min="13324" max="13568" width="9.140625" style="2130"/>
    <col min="13569" max="13569" width="4.85546875" style="2130" customWidth="1"/>
    <col min="13570" max="13570" width="76.140625" style="2130" customWidth="1"/>
    <col min="13571" max="13571" width="13.42578125" style="2130" customWidth="1"/>
    <col min="13572" max="13572" width="6.7109375" style="2130" customWidth="1"/>
    <col min="13573" max="13573" width="10.7109375" style="2130" customWidth="1"/>
    <col min="13574" max="13574" width="7.5703125" style="2130" customWidth="1"/>
    <col min="13575" max="13576" width="12.7109375" style="2130" customWidth="1"/>
    <col min="13577" max="13577" width="21.5703125" style="2130" customWidth="1"/>
    <col min="13578" max="13578" width="16" style="2130" customWidth="1"/>
    <col min="13579" max="13579" width="14.5703125" style="2130" customWidth="1"/>
    <col min="13580" max="13824" width="9.140625" style="2130"/>
    <col min="13825" max="13825" width="4.85546875" style="2130" customWidth="1"/>
    <col min="13826" max="13826" width="76.140625" style="2130" customWidth="1"/>
    <col min="13827" max="13827" width="13.42578125" style="2130" customWidth="1"/>
    <col min="13828" max="13828" width="6.7109375" style="2130" customWidth="1"/>
    <col min="13829" max="13829" width="10.7109375" style="2130" customWidth="1"/>
    <col min="13830" max="13830" width="7.5703125" style="2130" customWidth="1"/>
    <col min="13831" max="13832" width="12.7109375" style="2130" customWidth="1"/>
    <col min="13833" max="13833" width="21.5703125" style="2130" customWidth="1"/>
    <col min="13834" max="13834" width="16" style="2130" customWidth="1"/>
    <col min="13835" max="13835" width="14.5703125" style="2130" customWidth="1"/>
    <col min="13836" max="14080" width="9.140625" style="2130"/>
    <col min="14081" max="14081" width="4.85546875" style="2130" customWidth="1"/>
    <col min="14082" max="14082" width="76.140625" style="2130" customWidth="1"/>
    <col min="14083" max="14083" width="13.42578125" style="2130" customWidth="1"/>
    <col min="14084" max="14084" width="6.7109375" style="2130" customWidth="1"/>
    <col min="14085" max="14085" width="10.7109375" style="2130" customWidth="1"/>
    <col min="14086" max="14086" width="7.5703125" style="2130" customWidth="1"/>
    <col min="14087" max="14088" width="12.7109375" style="2130" customWidth="1"/>
    <col min="14089" max="14089" width="21.5703125" style="2130" customWidth="1"/>
    <col min="14090" max="14090" width="16" style="2130" customWidth="1"/>
    <col min="14091" max="14091" width="14.5703125" style="2130" customWidth="1"/>
    <col min="14092" max="14336" width="9.140625" style="2130"/>
    <col min="14337" max="14337" width="4.85546875" style="2130" customWidth="1"/>
    <col min="14338" max="14338" width="76.140625" style="2130" customWidth="1"/>
    <col min="14339" max="14339" width="13.42578125" style="2130" customWidth="1"/>
    <col min="14340" max="14340" width="6.7109375" style="2130" customWidth="1"/>
    <col min="14341" max="14341" width="10.7109375" style="2130" customWidth="1"/>
    <col min="14342" max="14342" width="7.5703125" style="2130" customWidth="1"/>
    <col min="14343" max="14344" width="12.7109375" style="2130" customWidth="1"/>
    <col min="14345" max="14345" width="21.5703125" style="2130" customWidth="1"/>
    <col min="14346" max="14346" width="16" style="2130" customWidth="1"/>
    <col min="14347" max="14347" width="14.5703125" style="2130" customWidth="1"/>
    <col min="14348" max="14592" width="9.140625" style="2130"/>
    <col min="14593" max="14593" width="4.85546875" style="2130" customWidth="1"/>
    <col min="14594" max="14594" width="76.140625" style="2130" customWidth="1"/>
    <col min="14595" max="14595" width="13.42578125" style="2130" customWidth="1"/>
    <col min="14596" max="14596" width="6.7109375" style="2130" customWidth="1"/>
    <col min="14597" max="14597" width="10.7109375" style="2130" customWidth="1"/>
    <col min="14598" max="14598" width="7.5703125" style="2130" customWidth="1"/>
    <col min="14599" max="14600" width="12.7109375" style="2130" customWidth="1"/>
    <col min="14601" max="14601" width="21.5703125" style="2130" customWidth="1"/>
    <col min="14602" max="14602" width="16" style="2130" customWidth="1"/>
    <col min="14603" max="14603" width="14.5703125" style="2130" customWidth="1"/>
    <col min="14604" max="14848" width="9.140625" style="2130"/>
    <col min="14849" max="14849" width="4.85546875" style="2130" customWidth="1"/>
    <col min="14850" max="14850" width="76.140625" style="2130" customWidth="1"/>
    <col min="14851" max="14851" width="13.42578125" style="2130" customWidth="1"/>
    <col min="14852" max="14852" width="6.7109375" style="2130" customWidth="1"/>
    <col min="14853" max="14853" width="10.7109375" style="2130" customWidth="1"/>
    <col min="14854" max="14854" width="7.5703125" style="2130" customWidth="1"/>
    <col min="14855" max="14856" width="12.7109375" style="2130" customWidth="1"/>
    <col min="14857" max="14857" width="21.5703125" style="2130" customWidth="1"/>
    <col min="14858" max="14858" width="16" style="2130" customWidth="1"/>
    <col min="14859" max="14859" width="14.5703125" style="2130" customWidth="1"/>
    <col min="14860" max="15104" width="9.140625" style="2130"/>
    <col min="15105" max="15105" width="4.85546875" style="2130" customWidth="1"/>
    <col min="15106" max="15106" width="76.140625" style="2130" customWidth="1"/>
    <col min="15107" max="15107" width="13.42578125" style="2130" customWidth="1"/>
    <col min="15108" max="15108" width="6.7109375" style="2130" customWidth="1"/>
    <col min="15109" max="15109" width="10.7109375" style="2130" customWidth="1"/>
    <col min="15110" max="15110" width="7.5703125" style="2130" customWidth="1"/>
    <col min="15111" max="15112" width="12.7109375" style="2130" customWidth="1"/>
    <col min="15113" max="15113" width="21.5703125" style="2130" customWidth="1"/>
    <col min="15114" max="15114" width="16" style="2130" customWidth="1"/>
    <col min="15115" max="15115" width="14.5703125" style="2130" customWidth="1"/>
    <col min="15116" max="15360" width="9.140625" style="2130"/>
    <col min="15361" max="15361" width="4.85546875" style="2130" customWidth="1"/>
    <col min="15362" max="15362" width="76.140625" style="2130" customWidth="1"/>
    <col min="15363" max="15363" width="13.42578125" style="2130" customWidth="1"/>
    <col min="15364" max="15364" width="6.7109375" style="2130" customWidth="1"/>
    <col min="15365" max="15365" width="10.7109375" style="2130" customWidth="1"/>
    <col min="15366" max="15366" width="7.5703125" style="2130" customWidth="1"/>
    <col min="15367" max="15368" width="12.7109375" style="2130" customWidth="1"/>
    <col min="15369" max="15369" width="21.5703125" style="2130" customWidth="1"/>
    <col min="15370" max="15370" width="16" style="2130" customWidth="1"/>
    <col min="15371" max="15371" width="14.5703125" style="2130" customWidth="1"/>
    <col min="15372" max="15616" width="9.140625" style="2130"/>
    <col min="15617" max="15617" width="4.85546875" style="2130" customWidth="1"/>
    <col min="15618" max="15618" width="76.140625" style="2130" customWidth="1"/>
    <col min="15619" max="15619" width="13.42578125" style="2130" customWidth="1"/>
    <col min="15620" max="15620" width="6.7109375" style="2130" customWidth="1"/>
    <col min="15621" max="15621" width="10.7109375" style="2130" customWidth="1"/>
    <col min="15622" max="15622" width="7.5703125" style="2130" customWidth="1"/>
    <col min="15623" max="15624" width="12.7109375" style="2130" customWidth="1"/>
    <col min="15625" max="15625" width="21.5703125" style="2130" customWidth="1"/>
    <col min="15626" max="15626" width="16" style="2130" customWidth="1"/>
    <col min="15627" max="15627" width="14.5703125" style="2130" customWidth="1"/>
    <col min="15628" max="15872" width="9.140625" style="2130"/>
    <col min="15873" max="15873" width="4.85546875" style="2130" customWidth="1"/>
    <col min="15874" max="15874" width="76.140625" style="2130" customWidth="1"/>
    <col min="15875" max="15875" width="13.42578125" style="2130" customWidth="1"/>
    <col min="15876" max="15876" width="6.7109375" style="2130" customWidth="1"/>
    <col min="15877" max="15877" width="10.7109375" style="2130" customWidth="1"/>
    <col min="15878" max="15878" width="7.5703125" style="2130" customWidth="1"/>
    <col min="15879" max="15880" width="12.7109375" style="2130" customWidth="1"/>
    <col min="15881" max="15881" width="21.5703125" style="2130" customWidth="1"/>
    <col min="15882" max="15882" width="16" style="2130" customWidth="1"/>
    <col min="15883" max="15883" width="14.5703125" style="2130" customWidth="1"/>
    <col min="15884" max="16128" width="9.140625" style="2130"/>
    <col min="16129" max="16129" width="4.85546875" style="2130" customWidth="1"/>
    <col min="16130" max="16130" width="76.140625" style="2130" customWidth="1"/>
    <col min="16131" max="16131" width="13.42578125" style="2130" customWidth="1"/>
    <col min="16132" max="16132" width="6.7109375" style="2130" customWidth="1"/>
    <col min="16133" max="16133" width="10.7109375" style="2130" customWidth="1"/>
    <col min="16134" max="16134" width="7.5703125" style="2130" customWidth="1"/>
    <col min="16135" max="16136" width="12.7109375" style="2130" customWidth="1"/>
    <col min="16137" max="16137" width="21.5703125" style="2130" customWidth="1"/>
    <col min="16138" max="16138" width="16" style="2130" customWidth="1"/>
    <col min="16139" max="16139" width="14.5703125" style="2130" customWidth="1"/>
    <col min="16140" max="16384" width="9.140625" style="2130"/>
  </cols>
  <sheetData>
    <row r="1" spans="1:9" ht="18">
      <c r="A1" s="2074"/>
      <c r="B1" s="3135" t="s">
        <v>2688</v>
      </c>
      <c r="C1" s="3135"/>
      <c r="D1" s="3135"/>
      <c r="E1" s="3135"/>
      <c r="F1" s="2075"/>
      <c r="G1" s="2076"/>
      <c r="H1" s="2076"/>
    </row>
    <row r="2" spans="1:9" ht="9" customHeight="1">
      <c r="A2" s="2078"/>
      <c r="B2" s="2078"/>
      <c r="C2" s="2078"/>
      <c r="D2" s="2078"/>
      <c r="E2" s="2078"/>
      <c r="F2" s="2078"/>
      <c r="G2" s="2078"/>
      <c r="H2" s="2078"/>
    </row>
    <row r="3" spans="1:9" ht="36" customHeight="1">
      <c r="A3" s="2079"/>
      <c r="B3" s="3136" t="s">
        <v>2689</v>
      </c>
      <c r="C3" s="3136"/>
      <c r="D3" s="3136"/>
      <c r="E3" s="3136"/>
      <c r="F3" s="3136"/>
      <c r="G3" s="3136"/>
      <c r="H3" s="2079"/>
    </row>
    <row r="4" spans="1:9" ht="10.5" customHeight="1">
      <c r="A4" s="2080"/>
      <c r="B4" s="2080"/>
      <c r="C4" s="2080"/>
      <c r="D4" s="2080"/>
      <c r="E4" s="2080"/>
      <c r="F4" s="2080"/>
      <c r="G4" s="2080"/>
      <c r="H4" s="2080"/>
    </row>
    <row r="5" spans="1:9" ht="15.75">
      <c r="A5" s="2081"/>
      <c r="B5" s="2081"/>
      <c r="C5" s="2081"/>
      <c r="D5" s="2081"/>
      <c r="E5" s="2077"/>
      <c r="F5" s="2081"/>
      <c r="G5" s="2399" t="s">
        <v>89</v>
      </c>
      <c r="H5" s="2082"/>
    </row>
    <row r="6" spans="1:9" ht="9" customHeight="1">
      <c r="A6" s="2081"/>
      <c r="B6" s="2081"/>
      <c r="C6" s="2081"/>
      <c r="D6" s="2081"/>
      <c r="E6" s="2081"/>
      <c r="F6" s="2081"/>
      <c r="G6" s="2083"/>
      <c r="H6" s="2083"/>
    </row>
    <row r="7" spans="1:9" ht="48.75" customHeight="1">
      <c r="A7" s="3126" t="s">
        <v>2</v>
      </c>
      <c r="B7" s="3128" t="s">
        <v>3</v>
      </c>
      <c r="C7" s="3130" t="s">
        <v>1421</v>
      </c>
      <c r="D7" s="3128" t="s">
        <v>5</v>
      </c>
      <c r="E7" s="3128" t="s">
        <v>9</v>
      </c>
      <c r="F7" s="3128" t="s">
        <v>143</v>
      </c>
      <c r="G7" s="2084" t="s">
        <v>2690</v>
      </c>
      <c r="H7" s="2084" t="s">
        <v>2549</v>
      </c>
    </row>
    <row r="8" spans="1:9">
      <c r="A8" s="3127"/>
      <c r="B8" s="3129"/>
      <c r="C8" s="3131"/>
      <c r="D8" s="3129"/>
      <c r="E8" s="3129"/>
      <c r="F8" s="3129"/>
      <c r="G8" s="2085" t="s">
        <v>1668</v>
      </c>
      <c r="H8" s="2085" t="s">
        <v>1668</v>
      </c>
    </row>
    <row r="9" spans="1:9">
      <c r="A9" s="2086">
        <v>1</v>
      </c>
      <c r="B9" s="2086">
        <v>2</v>
      </c>
      <c r="C9" s="2086">
        <v>3</v>
      </c>
      <c r="D9" s="2086">
        <v>4</v>
      </c>
      <c r="E9" s="2086">
        <v>5</v>
      </c>
      <c r="F9" s="2086">
        <v>6</v>
      </c>
      <c r="G9" s="2086">
        <v>7</v>
      </c>
      <c r="H9" s="2086">
        <v>8</v>
      </c>
    </row>
    <row r="10" spans="1:9" ht="17.25" customHeight="1">
      <c r="A10" s="2200">
        <v>1</v>
      </c>
      <c r="B10" s="2188" t="s">
        <v>2691</v>
      </c>
      <c r="C10" s="2189">
        <v>7130310077</v>
      </c>
      <c r="D10" s="2134" t="s">
        <v>21</v>
      </c>
      <c r="E10" s="2190">
        <f>VLOOKUP(C10,'[25]SOR RATE'!A:D,4,0)/1000</f>
        <v>691.23381999999992</v>
      </c>
      <c r="F10" s="2134">
        <v>1040</v>
      </c>
      <c r="G10" s="2190">
        <f>E10*F10</f>
        <v>718883.17279999994</v>
      </c>
      <c r="H10" s="2190"/>
    </row>
    <row r="11" spans="1:9" ht="17.25" customHeight="1">
      <c r="A11" s="2200">
        <v>2</v>
      </c>
      <c r="B11" s="2188" t="s">
        <v>2676</v>
      </c>
      <c r="C11" s="2189">
        <v>7130310079</v>
      </c>
      <c r="D11" s="2134" t="s">
        <v>21</v>
      </c>
      <c r="E11" s="2190">
        <f>VLOOKUP(C11,'[25]SOR RATE'!A:D,4,0)/1000</f>
        <v>1248.8896000000002</v>
      </c>
      <c r="F11" s="2134">
        <v>1040</v>
      </c>
      <c r="G11" s="2190"/>
      <c r="H11" s="2190">
        <f>E11*F11</f>
        <v>1298845.1840000001</v>
      </c>
    </row>
    <row r="12" spans="1:9" ht="30.75" customHeight="1">
      <c r="A12" s="2200">
        <v>3</v>
      </c>
      <c r="B12" s="2191" t="s">
        <v>2692</v>
      </c>
      <c r="C12" s="2189">
        <v>7130352039</v>
      </c>
      <c r="D12" s="2134" t="s">
        <v>40</v>
      </c>
      <c r="E12" s="2190">
        <f>VLOOKUP(C12,'[25]SOR RATE'!A:D,4,0)</f>
        <v>17648.72</v>
      </c>
      <c r="F12" s="2134">
        <v>2</v>
      </c>
      <c r="G12" s="2190">
        <f>E12*F12</f>
        <v>35297.440000000002</v>
      </c>
      <c r="H12" s="2190"/>
      <c r="I12" s="2131"/>
    </row>
    <row r="13" spans="1:9" ht="30.75" customHeight="1">
      <c r="A13" s="2200">
        <v>4</v>
      </c>
      <c r="B13" s="2191" t="s">
        <v>2693</v>
      </c>
      <c r="C13" s="2189">
        <v>7130352041</v>
      </c>
      <c r="D13" s="2134" t="s">
        <v>40</v>
      </c>
      <c r="E13" s="2190">
        <f>VLOOKUP(C13,'[25]SOR RATE'!A:D,4,0)</f>
        <v>25556.400000000001</v>
      </c>
      <c r="F13" s="2134">
        <v>2</v>
      </c>
      <c r="G13" s="2190"/>
      <c r="H13" s="2190">
        <f>E13*F13</f>
        <v>51112.800000000003</v>
      </c>
    </row>
    <row r="14" spans="1:9" ht="17.25" customHeight="1">
      <c r="A14" s="2134">
        <v>5</v>
      </c>
      <c r="B14" s="2135" t="s">
        <v>2694</v>
      </c>
      <c r="C14" s="2193">
        <v>7130352043</v>
      </c>
      <c r="D14" s="2134" t="s">
        <v>40</v>
      </c>
      <c r="E14" s="2190">
        <f>VLOOKUP(C14,'[25]SOR RATE'!A:D,4,0)</f>
        <v>9174.14</v>
      </c>
      <c r="F14" s="2134">
        <v>2</v>
      </c>
      <c r="G14" s="2190">
        <f>E14*F14</f>
        <v>18348.28</v>
      </c>
      <c r="H14" s="2190"/>
    </row>
    <row r="15" spans="1:9" ht="17.25" customHeight="1">
      <c r="A15" s="2134">
        <v>6</v>
      </c>
      <c r="B15" s="2135" t="s">
        <v>2677</v>
      </c>
      <c r="C15" s="2193">
        <v>7130352044</v>
      </c>
      <c r="D15" s="2134" t="s">
        <v>40</v>
      </c>
      <c r="E15" s="2190">
        <f>VLOOKUP(C15,'[25]SOR RATE'!A:D,4,0)</f>
        <v>11074.74</v>
      </c>
      <c r="F15" s="2134">
        <v>2</v>
      </c>
      <c r="G15" s="2190"/>
      <c r="H15" s="2190">
        <f>E15*F15</f>
        <v>22149.48</v>
      </c>
    </row>
    <row r="16" spans="1:9" ht="17.25" customHeight="1">
      <c r="A16" s="2134">
        <v>7</v>
      </c>
      <c r="B16" s="2135" t="s">
        <v>535</v>
      </c>
      <c r="C16" s="2193">
        <v>7130640027</v>
      </c>
      <c r="D16" s="2134" t="s">
        <v>536</v>
      </c>
      <c r="E16" s="2190">
        <f>VLOOKUP(C16,'[25]SOR RATE'!A:D,4,0)</f>
        <v>1269.1500000000001</v>
      </c>
      <c r="F16" s="2134">
        <v>10</v>
      </c>
      <c r="G16" s="2190">
        <f t="shared" ref="G16:G27" si="0">E16*F16</f>
        <v>12691.5</v>
      </c>
      <c r="H16" s="2190">
        <f t="shared" ref="H16:H27" si="1">E16*F16</f>
        <v>12691.5</v>
      </c>
    </row>
    <row r="17" spans="1:11" ht="17.25" customHeight="1">
      <c r="A17" s="2134">
        <v>8</v>
      </c>
      <c r="B17" s="2135" t="s">
        <v>2695</v>
      </c>
      <c r="C17" s="2194">
        <v>7130870043</v>
      </c>
      <c r="D17" s="2134" t="s">
        <v>26</v>
      </c>
      <c r="E17" s="2190">
        <f>VLOOKUP(C17,'[25]SOR RATE'!A:D,4,0)/1000</f>
        <v>80.521839999999997</v>
      </c>
      <c r="F17" s="2134">
        <v>5</v>
      </c>
      <c r="G17" s="2190">
        <f t="shared" si="0"/>
        <v>402.60919999999999</v>
      </c>
      <c r="H17" s="2190">
        <f t="shared" si="1"/>
        <v>402.60919999999999</v>
      </c>
    </row>
    <row r="18" spans="1:11" ht="32.25" customHeight="1">
      <c r="A18" s="2134">
        <v>9</v>
      </c>
      <c r="B18" s="2135" t="s">
        <v>2524</v>
      </c>
      <c r="C18" s="2193"/>
      <c r="D18" s="2134" t="s">
        <v>12</v>
      </c>
      <c r="E18" s="2190">
        <v>556</v>
      </c>
      <c r="F18" s="2134">
        <v>20</v>
      </c>
      <c r="G18" s="2190">
        <f t="shared" si="0"/>
        <v>11120</v>
      </c>
      <c r="H18" s="2190">
        <f t="shared" si="1"/>
        <v>11120</v>
      </c>
    </row>
    <row r="19" spans="1:11" ht="17.25" customHeight="1">
      <c r="A19" s="2200">
        <v>10</v>
      </c>
      <c r="B19" s="2196" t="s">
        <v>2525</v>
      </c>
      <c r="C19" s="2134">
        <v>7130201343</v>
      </c>
      <c r="D19" s="2134" t="s">
        <v>12</v>
      </c>
      <c r="E19" s="2190">
        <f>VLOOKUP(C19,'[25]SOR RATE'!A:D,4,0)</f>
        <v>33</v>
      </c>
      <c r="F19" s="2134">
        <v>4000</v>
      </c>
      <c r="G19" s="2190">
        <f t="shared" si="0"/>
        <v>132000</v>
      </c>
      <c r="H19" s="2190">
        <f t="shared" si="1"/>
        <v>132000</v>
      </c>
    </row>
    <row r="20" spans="1:11" ht="32.25" customHeight="1">
      <c r="A20" s="2134">
        <v>11</v>
      </c>
      <c r="B20" s="2196" t="s">
        <v>2565</v>
      </c>
      <c r="C20" s="2134">
        <v>7132498006</v>
      </c>
      <c r="D20" s="2134" t="s">
        <v>76</v>
      </c>
      <c r="E20" s="2190">
        <f>VLOOKUP(C20,'[25]SOR RATE'!A:D,4,0)</f>
        <v>714</v>
      </c>
      <c r="F20" s="2134">
        <v>150</v>
      </c>
      <c r="G20" s="2190">
        <f t="shared" si="0"/>
        <v>107100</v>
      </c>
      <c r="H20" s="2190">
        <f t="shared" si="1"/>
        <v>107100</v>
      </c>
    </row>
    <row r="21" spans="1:11" ht="17.25" customHeight="1">
      <c r="A21" s="2134">
        <v>12</v>
      </c>
      <c r="B21" s="2195" t="s">
        <v>1677</v>
      </c>
      <c r="C21" s="2197">
        <v>7130840029</v>
      </c>
      <c r="D21" s="2198" t="s">
        <v>33</v>
      </c>
      <c r="E21" s="2190">
        <f>VLOOKUP(C21,'[25]SOR RATE'!A:D,4,0)</f>
        <v>368.52</v>
      </c>
      <c r="F21" s="2134">
        <v>6</v>
      </c>
      <c r="G21" s="2190">
        <f t="shared" si="0"/>
        <v>2211.12</v>
      </c>
      <c r="H21" s="2190">
        <f t="shared" si="1"/>
        <v>2211.12</v>
      </c>
    </row>
    <row r="22" spans="1:11" ht="17.25" customHeight="1">
      <c r="A22" s="2134">
        <v>13</v>
      </c>
      <c r="B22" s="2195" t="s">
        <v>2527</v>
      </c>
      <c r="C22" s="2197">
        <v>7130830060</v>
      </c>
      <c r="D22" s="2198" t="s">
        <v>21</v>
      </c>
      <c r="E22" s="2190">
        <f>VLOOKUP(C22,'[25]SOR RATE'!A:D,4,0)/1000</f>
        <v>70.920659999999998</v>
      </c>
      <c r="F22" s="2134">
        <v>18</v>
      </c>
      <c r="G22" s="2190">
        <f t="shared" si="0"/>
        <v>1276.57188</v>
      </c>
      <c r="H22" s="2190">
        <f t="shared" si="1"/>
        <v>1276.57188</v>
      </c>
    </row>
    <row r="23" spans="1:11" ht="18" customHeight="1">
      <c r="A23" s="2134">
        <v>14</v>
      </c>
      <c r="B23" s="2195" t="s">
        <v>2567</v>
      </c>
      <c r="C23" s="2197">
        <v>7130830585</v>
      </c>
      <c r="D23" s="2198" t="s">
        <v>68</v>
      </c>
      <c r="E23" s="2190">
        <f>VLOOKUP(C23,'[25]SOR RATE'!A:D,4,0)</f>
        <v>346.08</v>
      </c>
      <c r="F23" s="2134">
        <v>6</v>
      </c>
      <c r="G23" s="2190">
        <f t="shared" si="0"/>
        <v>2076.48</v>
      </c>
      <c r="H23" s="2190">
        <f t="shared" si="1"/>
        <v>2076.48</v>
      </c>
    </row>
    <row r="24" spans="1:11" ht="32.25" customHeight="1">
      <c r="A24" s="2134">
        <v>15</v>
      </c>
      <c r="B24" s="2135" t="s">
        <v>2696</v>
      </c>
      <c r="C24" s="2134">
        <v>7130642039</v>
      </c>
      <c r="D24" s="2134" t="s">
        <v>12</v>
      </c>
      <c r="E24" s="2190">
        <f>VLOOKUP(C24,'[25]SOR RATE'!A:D,4,0)</f>
        <v>998.57</v>
      </c>
      <c r="F24" s="2134">
        <v>10</v>
      </c>
      <c r="G24" s="2190">
        <f>E24*F24</f>
        <v>9985.7000000000007</v>
      </c>
      <c r="H24" s="2190">
        <f>E24*F24</f>
        <v>9985.7000000000007</v>
      </c>
    </row>
    <row r="25" spans="1:11" ht="15.75" customHeight="1">
      <c r="A25" s="2134">
        <v>16</v>
      </c>
      <c r="B25" s="1615" t="s">
        <v>2531</v>
      </c>
      <c r="C25" s="1913">
        <v>7130830603</v>
      </c>
      <c r="D25" s="1914" t="s">
        <v>68</v>
      </c>
      <c r="E25" s="2190">
        <f>VLOOKUP(C25,'[25]SOR RATE'!A:D,4,0)</f>
        <v>386.39</v>
      </c>
      <c r="F25" s="2134">
        <v>4</v>
      </c>
      <c r="G25" s="2190">
        <f>F25*E25</f>
        <v>1545.56</v>
      </c>
      <c r="H25" s="2190">
        <f>F25*E25</f>
        <v>1545.56</v>
      </c>
      <c r="I25" s="1939" t="s">
        <v>119</v>
      </c>
    </row>
    <row r="26" spans="1:11" ht="25.5" customHeight="1">
      <c r="A26" s="2134">
        <v>17</v>
      </c>
      <c r="B26" s="2135" t="s">
        <v>2569</v>
      </c>
      <c r="C26" s="2199" t="s">
        <v>2570</v>
      </c>
      <c r="D26" s="2134" t="s">
        <v>26</v>
      </c>
      <c r="E26" s="2190">
        <v>84.32</v>
      </c>
      <c r="F26" s="2134">
        <v>3</v>
      </c>
      <c r="G26" s="2190">
        <f t="shared" si="0"/>
        <v>252.95999999999998</v>
      </c>
      <c r="H26" s="2190">
        <f t="shared" si="1"/>
        <v>252.95999999999998</v>
      </c>
      <c r="K26" s="2077"/>
    </row>
    <row r="27" spans="1:11" ht="18" customHeight="1">
      <c r="A27" s="2134">
        <v>18</v>
      </c>
      <c r="B27" s="2135" t="s">
        <v>1340</v>
      </c>
      <c r="C27" s="2134">
        <v>7132498054</v>
      </c>
      <c r="D27" s="2134" t="s">
        <v>12</v>
      </c>
      <c r="E27" s="2190">
        <f>VLOOKUP(C27,'[25]SOR RATE'!A:D,4,0)</f>
        <v>6</v>
      </c>
      <c r="F27" s="2134">
        <v>4400</v>
      </c>
      <c r="G27" s="2190">
        <f t="shared" si="0"/>
        <v>26400</v>
      </c>
      <c r="H27" s="2190">
        <f t="shared" si="1"/>
        <v>26400</v>
      </c>
      <c r="K27" s="2077"/>
    </row>
    <row r="28" spans="1:11" ht="60.75" customHeight="1">
      <c r="A28" s="2200">
        <v>19</v>
      </c>
      <c r="B28" s="2191" t="s">
        <v>2571</v>
      </c>
      <c r="C28" s="2201"/>
      <c r="D28" s="2200" t="s">
        <v>114</v>
      </c>
      <c r="E28" s="2202" t="s">
        <v>114</v>
      </c>
      <c r="F28" s="2200" t="s">
        <v>114</v>
      </c>
      <c r="G28" s="2202">
        <v>25000</v>
      </c>
      <c r="H28" s="2202">
        <v>25000</v>
      </c>
    </row>
    <row r="29" spans="1:11" ht="17.25" customHeight="1">
      <c r="A29" s="2084">
        <v>20</v>
      </c>
      <c r="B29" s="1639" t="s">
        <v>48</v>
      </c>
      <c r="C29" s="2203"/>
      <c r="D29" s="2204"/>
      <c r="E29" s="2205"/>
      <c r="F29" s="2205"/>
      <c r="G29" s="2206">
        <f>SUM(G10:G28)</f>
        <v>1104591.3938799999</v>
      </c>
      <c r="H29" s="2206">
        <f>SUM(H10:H28)</f>
        <v>1704169.9650800002</v>
      </c>
    </row>
    <row r="30" spans="1:11" ht="17.25" customHeight="1">
      <c r="A30" s="2084">
        <v>21</v>
      </c>
      <c r="B30" s="1639" t="s">
        <v>49</v>
      </c>
      <c r="C30" s="2203"/>
      <c r="D30" s="2207"/>
      <c r="E30" s="2205"/>
      <c r="F30" s="2208"/>
      <c r="G30" s="2206">
        <f>G29/1.18</f>
        <v>936094.4015932203</v>
      </c>
      <c r="H30" s="2206">
        <f>H29/1.18</f>
        <v>1444211.8348135597</v>
      </c>
      <c r="I30" s="85"/>
      <c r="J30" s="2058"/>
    </row>
    <row r="31" spans="1:11" ht="17.25" customHeight="1">
      <c r="A31" s="2134">
        <v>22</v>
      </c>
      <c r="B31" s="1619" t="s">
        <v>50</v>
      </c>
      <c r="C31" s="2209"/>
      <c r="D31" s="2210"/>
      <c r="E31" s="2198">
        <v>7.4999999999999997E-2</v>
      </c>
      <c r="F31" s="2211"/>
      <c r="G31" s="2180">
        <f>G29*E31</f>
        <v>82844.354540999993</v>
      </c>
      <c r="H31" s="2180">
        <f>H29*E31</f>
        <v>127812.74738100001</v>
      </c>
      <c r="I31" s="803"/>
      <c r="J31" s="2074"/>
    </row>
    <row r="32" spans="1:11" ht="17.25" customHeight="1">
      <c r="A32" s="2134">
        <v>23</v>
      </c>
      <c r="B32" s="2135" t="s">
        <v>2534</v>
      </c>
      <c r="C32" s="2212"/>
      <c r="D32" s="2134" t="s">
        <v>12</v>
      </c>
      <c r="E32" s="2180">
        <f>3020.13589298559*1.043</f>
        <v>3150.0017363839702</v>
      </c>
      <c r="F32" s="2198">
        <v>10</v>
      </c>
      <c r="G32" s="2190">
        <f>E32*F32</f>
        <v>31500.017363839703</v>
      </c>
      <c r="H32" s="2190">
        <f>E32*F32</f>
        <v>31500.017363839703</v>
      </c>
      <c r="I32" s="2132"/>
      <c r="J32" s="2058"/>
    </row>
    <row r="33" spans="1:10" ht="17.25" customHeight="1">
      <c r="A33" s="2134">
        <v>24</v>
      </c>
      <c r="B33" s="1290" t="s">
        <v>2697</v>
      </c>
      <c r="C33" s="2135"/>
      <c r="D33" s="2198" t="s">
        <v>266</v>
      </c>
      <c r="E33" s="2190"/>
      <c r="F33" s="2134"/>
      <c r="G33" s="2180">
        <v>539837.67000000004</v>
      </c>
      <c r="H33" s="2180">
        <v>539837.67000000004</v>
      </c>
    </row>
    <row r="34" spans="1:10" ht="16.5" customHeight="1">
      <c r="A34" s="2134">
        <v>25</v>
      </c>
      <c r="B34" s="1290" t="s">
        <v>1604</v>
      </c>
      <c r="C34" s="2214"/>
      <c r="D34" s="2214"/>
      <c r="E34" s="2215">
        <v>0.04</v>
      </c>
      <c r="F34" s="2215"/>
      <c r="G34" s="1132">
        <f>G30*E34</f>
        <v>37443.776063728816</v>
      </c>
      <c r="H34" s="1132">
        <f>H30*E34</f>
        <v>57768.473392542386</v>
      </c>
      <c r="I34" s="2060" t="s">
        <v>1827</v>
      </c>
    </row>
    <row r="35" spans="1:10" ht="30" customHeight="1">
      <c r="A35" s="2134">
        <v>26</v>
      </c>
      <c r="B35" s="1626" t="s">
        <v>2573</v>
      </c>
      <c r="C35" s="2214"/>
      <c r="D35" s="2214"/>
      <c r="E35" s="2215"/>
      <c r="F35" s="2215"/>
      <c r="G35" s="1676">
        <f>(G29+G31+G32+G33+G34)*0.125</f>
        <v>224527.15148107105</v>
      </c>
      <c r="H35" s="1676">
        <f>(H29+H31+H32+H33+H34)*0.125</f>
        <v>307636.10915217281</v>
      </c>
    </row>
    <row r="36" spans="1:10" ht="17.25" customHeight="1">
      <c r="A36" s="2084">
        <v>27</v>
      </c>
      <c r="B36" s="1647" t="s">
        <v>2574</v>
      </c>
      <c r="C36" s="2214"/>
      <c r="D36" s="2214"/>
      <c r="E36" s="2215"/>
      <c r="F36" s="2215"/>
      <c r="G36" s="2213">
        <f>G30+G31+G32+G33+G34+G35</f>
        <v>1852247.37104286</v>
      </c>
      <c r="H36" s="2213">
        <f>H30+H31+H32+H33+H34+H35</f>
        <v>2508766.8521031146</v>
      </c>
      <c r="I36" s="2132"/>
      <c r="J36" s="2132"/>
    </row>
    <row r="37" spans="1:10" ht="17.25" customHeight="1">
      <c r="A37" s="2134">
        <v>28</v>
      </c>
      <c r="B37" s="1619" t="s">
        <v>2208</v>
      </c>
      <c r="C37" s="2214"/>
      <c r="D37" s="2214"/>
      <c r="E37" s="2215">
        <v>0.09</v>
      </c>
      <c r="F37" s="2215"/>
      <c r="G37" s="2180">
        <f>G36*E37</f>
        <v>166702.2633938574</v>
      </c>
      <c r="H37" s="2180">
        <f>H36*E37</f>
        <v>225789.01668928031</v>
      </c>
      <c r="I37" s="2133"/>
      <c r="J37" s="2133"/>
    </row>
    <row r="38" spans="1:10" ht="17.25" customHeight="1">
      <c r="A38" s="2134">
        <v>29</v>
      </c>
      <c r="B38" s="1619" t="s">
        <v>2209</v>
      </c>
      <c r="C38" s="2214"/>
      <c r="D38" s="2214"/>
      <c r="E38" s="2134">
        <v>0.09</v>
      </c>
      <c r="F38" s="2215"/>
      <c r="G38" s="2180">
        <f>G36*E38</f>
        <v>166702.2633938574</v>
      </c>
      <c r="H38" s="2180">
        <f>H36*E38</f>
        <v>225789.01668928031</v>
      </c>
    </row>
    <row r="39" spans="1:10" ht="31.5" customHeight="1">
      <c r="A39" s="2134">
        <v>30</v>
      </c>
      <c r="B39" s="2191" t="s">
        <v>2575</v>
      </c>
      <c r="C39" s="2216"/>
      <c r="D39" s="2135"/>
      <c r="E39" s="2134"/>
      <c r="F39" s="2134"/>
      <c r="G39" s="2180"/>
      <c r="H39" s="2180"/>
    </row>
    <row r="40" spans="1:10" ht="17.25" customHeight="1">
      <c r="A40" s="2134">
        <v>31</v>
      </c>
      <c r="B40" s="1626" t="s">
        <v>2576</v>
      </c>
      <c r="C40" s="2214"/>
      <c r="D40" s="2214"/>
      <c r="E40" s="2215"/>
      <c r="F40" s="2215"/>
      <c r="G40" s="2180">
        <f>G36+G37+G38+G39</f>
        <v>2185651.8978305748</v>
      </c>
      <c r="H40" s="2180">
        <f>H36+H37+H38+H39</f>
        <v>2960344.8854816756</v>
      </c>
    </row>
    <row r="41" spans="1:10" ht="17.25" customHeight="1">
      <c r="A41" s="2084">
        <v>32</v>
      </c>
      <c r="B41" s="1647" t="s">
        <v>59</v>
      </c>
      <c r="C41" s="2214"/>
      <c r="D41" s="2214"/>
      <c r="E41" s="2215"/>
      <c r="F41" s="2215"/>
      <c r="G41" s="2213">
        <f>ROUND(G40,0)</f>
        <v>2185652</v>
      </c>
      <c r="H41" s="2213">
        <f>ROUND(H40,0)</f>
        <v>2960345</v>
      </c>
    </row>
    <row r="42" spans="1:10">
      <c r="A42" s="2092"/>
      <c r="B42" s="2092"/>
      <c r="C42" s="2092"/>
      <c r="D42" s="2092"/>
      <c r="E42" s="2092"/>
      <c r="F42" s="2092"/>
      <c r="G42" s="2092"/>
      <c r="H42" s="2092"/>
    </row>
    <row r="43" spans="1:10" ht="17.25" customHeight="1">
      <c r="A43" s="2095" t="s">
        <v>2577</v>
      </c>
      <c r="B43" s="3132" t="s">
        <v>2578</v>
      </c>
      <c r="C43" s="3132"/>
      <c r="D43" s="2094"/>
      <c r="E43" s="2094"/>
      <c r="F43" s="2094"/>
      <c r="G43" s="2094"/>
      <c r="H43" s="2094"/>
    </row>
    <row r="44" spans="1:10" ht="47.25" customHeight="1">
      <c r="A44" s="2095" t="s">
        <v>2579</v>
      </c>
      <c r="B44" s="3132" t="s">
        <v>2698</v>
      </c>
      <c r="C44" s="3132"/>
      <c r="D44" s="2094"/>
      <c r="E44" s="2094"/>
      <c r="F44" s="2094"/>
      <c r="G44" s="2096"/>
      <c r="H44" s="2096"/>
    </row>
    <row r="45" spans="1:10">
      <c r="A45" s="2095" t="s">
        <v>2581</v>
      </c>
      <c r="B45" s="3398" t="s">
        <v>2582</v>
      </c>
      <c r="C45" s="3398"/>
      <c r="D45" s="2077"/>
      <c r="E45" s="2077"/>
      <c r="F45" s="2077"/>
      <c r="G45" s="2097"/>
      <c r="H45" s="2097"/>
    </row>
    <row r="46" spans="1:10" ht="18" customHeight="1">
      <c r="A46" s="2095" t="s">
        <v>2583</v>
      </c>
      <c r="B46" s="3132" t="s">
        <v>2584</v>
      </c>
      <c r="C46" s="3132"/>
    </row>
  </sheetData>
  <mergeCells count="12">
    <mergeCell ref="B43:C43"/>
    <mergeCell ref="B44:C44"/>
    <mergeCell ref="B45:C45"/>
    <mergeCell ref="B46:C46"/>
    <mergeCell ref="B1:E1"/>
    <mergeCell ref="B3:G3"/>
    <mergeCell ref="F7:F8"/>
    <mergeCell ref="A7:A8"/>
    <mergeCell ref="B7:B8"/>
    <mergeCell ref="C7:C8"/>
    <mergeCell ref="D7:D8"/>
    <mergeCell ref="E7:E8"/>
  </mergeCells>
  <conditionalFormatting sqref="B29">
    <cfRule type="cellIs" dxfId="60" priority="2" stopIfTrue="1" operator="equal">
      <formula>"?"</formula>
    </cfRule>
  </conditionalFormatting>
  <conditionalFormatting sqref="B30">
    <cfRule type="cellIs" dxfId="59" priority="1" stopIfTrue="1" operator="equal">
      <formula>"?"</formula>
    </cfRule>
  </conditionalFormatting>
  <pageMargins left="0.7" right="0.18" top="0.75" bottom="0.27" header="0.3" footer="0.17"/>
  <pageSetup paperSize="9" scale="94" orientation="landscape"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V65"/>
  <sheetViews>
    <sheetView zoomScale="85" zoomScaleNormal="85" zoomScaleSheetLayoutView="75" workbookViewId="0">
      <pane xSplit="3" ySplit="9" topLeftCell="D58" activePane="bottomRight" state="frozen"/>
      <selection pane="topRight" activeCell="D1" sqref="D1"/>
      <selection pane="bottomLeft" activeCell="A10" sqref="A10"/>
      <selection pane="bottomRight" activeCell="N55" sqref="N55"/>
    </sheetView>
  </sheetViews>
  <sheetFormatPr defaultRowHeight="12.75"/>
  <cols>
    <col min="1" max="1" width="4.42578125" style="431" customWidth="1"/>
    <col min="2" max="2" width="43.42578125" style="434" customWidth="1"/>
    <col min="3" max="3" width="14.42578125" style="456" customWidth="1"/>
    <col min="4" max="4" width="5.7109375" style="431" customWidth="1"/>
    <col min="5" max="5" width="6.7109375" style="457" customWidth="1"/>
    <col min="6" max="6" width="14.140625" style="457" bestFit="1" customWidth="1"/>
    <col min="7" max="7" width="12.28515625" style="457" customWidth="1"/>
    <col min="8" max="8" width="6.7109375" style="457" customWidth="1"/>
    <col min="9" max="9" width="11.28515625" style="457" bestFit="1" customWidth="1"/>
    <col min="10" max="10" width="13" style="457" customWidth="1"/>
    <col min="11" max="11" width="6.5703125" style="434" bestFit="1" customWidth="1"/>
    <col min="12" max="12" width="11.28515625" style="434" bestFit="1" customWidth="1"/>
    <col min="13" max="13" width="12.28515625" style="434" customWidth="1"/>
    <col min="14" max="14" width="22.28515625" style="434" customWidth="1"/>
    <col min="15" max="15" width="16.7109375" style="434" customWidth="1"/>
    <col min="16" max="256" width="9.140625" style="434"/>
    <col min="257" max="257" width="4.42578125" style="434" customWidth="1"/>
    <col min="258" max="258" width="43.42578125" style="434" customWidth="1"/>
    <col min="259" max="259" width="14.42578125" style="434" customWidth="1"/>
    <col min="260" max="260" width="5.7109375" style="434" customWidth="1"/>
    <col min="261" max="261" width="6.7109375" style="434" customWidth="1"/>
    <col min="262" max="262" width="14.140625" style="434" bestFit="1" customWidth="1"/>
    <col min="263" max="263" width="12.28515625" style="434" customWidth="1"/>
    <col min="264" max="264" width="6.7109375" style="434" customWidth="1"/>
    <col min="265" max="265" width="11.28515625" style="434" bestFit="1" customWidth="1"/>
    <col min="266" max="266" width="12.28515625" style="434" customWidth="1"/>
    <col min="267" max="267" width="6.5703125" style="434" bestFit="1" customWidth="1"/>
    <col min="268" max="268" width="11.28515625" style="434" bestFit="1" customWidth="1"/>
    <col min="269" max="269" width="12.28515625" style="434" customWidth="1"/>
    <col min="270" max="270" width="22.28515625" style="434" customWidth="1"/>
    <col min="271" max="271" width="16.7109375" style="434" customWidth="1"/>
    <col min="272" max="512" width="9.140625" style="434"/>
    <col min="513" max="513" width="4.42578125" style="434" customWidth="1"/>
    <col min="514" max="514" width="43.42578125" style="434" customWidth="1"/>
    <col min="515" max="515" width="14.42578125" style="434" customWidth="1"/>
    <col min="516" max="516" width="5.7109375" style="434" customWidth="1"/>
    <col min="517" max="517" width="6.7109375" style="434" customWidth="1"/>
    <col min="518" max="518" width="14.140625" style="434" bestFit="1" customWidth="1"/>
    <col min="519" max="519" width="12.28515625" style="434" customWidth="1"/>
    <col min="520" max="520" width="6.7109375" style="434" customWidth="1"/>
    <col min="521" max="521" width="11.28515625" style="434" bestFit="1" customWidth="1"/>
    <col min="522" max="522" width="12.28515625" style="434" customWidth="1"/>
    <col min="523" max="523" width="6.5703125" style="434" bestFit="1" customWidth="1"/>
    <col min="524" max="524" width="11.28515625" style="434" bestFit="1" customWidth="1"/>
    <col min="525" max="525" width="12.28515625" style="434" customWidth="1"/>
    <col min="526" max="526" width="22.28515625" style="434" customWidth="1"/>
    <col min="527" max="527" width="16.7109375" style="434" customWidth="1"/>
    <col min="528" max="768" width="9.140625" style="434"/>
    <col min="769" max="769" width="4.42578125" style="434" customWidth="1"/>
    <col min="770" max="770" width="43.42578125" style="434" customWidth="1"/>
    <col min="771" max="771" width="14.42578125" style="434" customWidth="1"/>
    <col min="772" max="772" width="5.7109375" style="434" customWidth="1"/>
    <col min="773" max="773" width="6.7109375" style="434" customWidth="1"/>
    <col min="774" max="774" width="14.140625" style="434" bestFit="1" customWidth="1"/>
    <col min="775" max="775" width="12.28515625" style="434" customWidth="1"/>
    <col min="776" max="776" width="6.7109375" style="434" customWidth="1"/>
    <col min="777" max="777" width="11.28515625" style="434" bestFit="1" customWidth="1"/>
    <col min="778" max="778" width="12.28515625" style="434" customWidth="1"/>
    <col min="779" max="779" width="6.5703125" style="434" bestFit="1" customWidth="1"/>
    <col min="780" max="780" width="11.28515625" style="434" bestFit="1" customWidth="1"/>
    <col min="781" max="781" width="12.28515625" style="434" customWidth="1"/>
    <col min="782" max="782" width="22.28515625" style="434" customWidth="1"/>
    <col min="783" max="783" width="16.7109375" style="434" customWidth="1"/>
    <col min="784" max="1024" width="9.140625" style="434"/>
    <col min="1025" max="1025" width="4.42578125" style="434" customWidth="1"/>
    <col min="1026" max="1026" width="43.42578125" style="434" customWidth="1"/>
    <col min="1027" max="1027" width="14.42578125" style="434" customWidth="1"/>
    <col min="1028" max="1028" width="5.7109375" style="434" customWidth="1"/>
    <col min="1029" max="1029" width="6.7109375" style="434" customWidth="1"/>
    <col min="1030" max="1030" width="14.140625" style="434" bestFit="1" customWidth="1"/>
    <col min="1031" max="1031" width="12.28515625" style="434" customWidth="1"/>
    <col min="1032" max="1032" width="6.7109375" style="434" customWidth="1"/>
    <col min="1033" max="1033" width="11.28515625" style="434" bestFit="1" customWidth="1"/>
    <col min="1034" max="1034" width="12.28515625" style="434" customWidth="1"/>
    <col min="1035" max="1035" width="6.5703125" style="434" bestFit="1" customWidth="1"/>
    <col min="1036" max="1036" width="11.28515625" style="434" bestFit="1" customWidth="1"/>
    <col min="1037" max="1037" width="12.28515625" style="434" customWidth="1"/>
    <col min="1038" max="1038" width="22.28515625" style="434" customWidth="1"/>
    <col min="1039" max="1039" width="16.7109375" style="434" customWidth="1"/>
    <col min="1040" max="1280" width="9.140625" style="434"/>
    <col min="1281" max="1281" width="4.42578125" style="434" customWidth="1"/>
    <col min="1282" max="1282" width="43.42578125" style="434" customWidth="1"/>
    <col min="1283" max="1283" width="14.42578125" style="434" customWidth="1"/>
    <col min="1284" max="1284" width="5.7109375" style="434" customWidth="1"/>
    <col min="1285" max="1285" width="6.7109375" style="434" customWidth="1"/>
    <col min="1286" max="1286" width="14.140625" style="434" bestFit="1" customWidth="1"/>
    <col min="1287" max="1287" width="12.28515625" style="434" customWidth="1"/>
    <col min="1288" max="1288" width="6.7109375" style="434" customWidth="1"/>
    <col min="1289" max="1289" width="11.28515625" style="434" bestFit="1" customWidth="1"/>
    <col min="1290" max="1290" width="12.28515625" style="434" customWidth="1"/>
    <col min="1291" max="1291" width="6.5703125" style="434" bestFit="1" customWidth="1"/>
    <col min="1292" max="1292" width="11.28515625" style="434" bestFit="1" customWidth="1"/>
    <col min="1293" max="1293" width="12.28515625" style="434" customWidth="1"/>
    <col min="1294" max="1294" width="22.28515625" style="434" customWidth="1"/>
    <col min="1295" max="1295" width="16.7109375" style="434" customWidth="1"/>
    <col min="1296" max="1536" width="9.140625" style="434"/>
    <col min="1537" max="1537" width="4.42578125" style="434" customWidth="1"/>
    <col min="1538" max="1538" width="43.42578125" style="434" customWidth="1"/>
    <col min="1539" max="1539" width="14.42578125" style="434" customWidth="1"/>
    <col min="1540" max="1540" width="5.7109375" style="434" customWidth="1"/>
    <col min="1541" max="1541" width="6.7109375" style="434" customWidth="1"/>
    <col min="1542" max="1542" width="14.140625" style="434" bestFit="1" customWidth="1"/>
    <col min="1543" max="1543" width="12.28515625" style="434" customWidth="1"/>
    <col min="1544" max="1544" width="6.7109375" style="434" customWidth="1"/>
    <col min="1545" max="1545" width="11.28515625" style="434" bestFit="1" customWidth="1"/>
    <col min="1546" max="1546" width="12.28515625" style="434" customWidth="1"/>
    <col min="1547" max="1547" width="6.5703125" style="434" bestFit="1" customWidth="1"/>
    <col min="1548" max="1548" width="11.28515625" style="434" bestFit="1" customWidth="1"/>
    <col min="1549" max="1549" width="12.28515625" style="434" customWidth="1"/>
    <col min="1550" max="1550" width="22.28515625" style="434" customWidth="1"/>
    <col min="1551" max="1551" width="16.7109375" style="434" customWidth="1"/>
    <col min="1552" max="1792" width="9.140625" style="434"/>
    <col min="1793" max="1793" width="4.42578125" style="434" customWidth="1"/>
    <col min="1794" max="1794" width="43.42578125" style="434" customWidth="1"/>
    <col min="1795" max="1795" width="14.42578125" style="434" customWidth="1"/>
    <col min="1796" max="1796" width="5.7109375" style="434" customWidth="1"/>
    <col min="1797" max="1797" width="6.7109375" style="434" customWidth="1"/>
    <col min="1798" max="1798" width="14.140625" style="434" bestFit="1" customWidth="1"/>
    <col min="1799" max="1799" width="12.28515625" style="434" customWidth="1"/>
    <col min="1800" max="1800" width="6.7109375" style="434" customWidth="1"/>
    <col min="1801" max="1801" width="11.28515625" style="434" bestFit="1" customWidth="1"/>
    <col min="1802" max="1802" width="12.28515625" style="434" customWidth="1"/>
    <col min="1803" max="1803" width="6.5703125" style="434" bestFit="1" customWidth="1"/>
    <col min="1804" max="1804" width="11.28515625" style="434" bestFit="1" customWidth="1"/>
    <col min="1805" max="1805" width="12.28515625" style="434" customWidth="1"/>
    <col min="1806" max="1806" width="22.28515625" style="434" customWidth="1"/>
    <col min="1807" max="1807" width="16.7109375" style="434" customWidth="1"/>
    <col min="1808" max="2048" width="9.140625" style="434"/>
    <col min="2049" max="2049" width="4.42578125" style="434" customWidth="1"/>
    <col min="2050" max="2050" width="43.42578125" style="434" customWidth="1"/>
    <col min="2051" max="2051" width="14.42578125" style="434" customWidth="1"/>
    <col min="2052" max="2052" width="5.7109375" style="434" customWidth="1"/>
    <col min="2053" max="2053" width="6.7109375" style="434" customWidth="1"/>
    <col min="2054" max="2054" width="14.140625" style="434" bestFit="1" customWidth="1"/>
    <col min="2055" max="2055" width="12.28515625" style="434" customWidth="1"/>
    <col min="2056" max="2056" width="6.7109375" style="434" customWidth="1"/>
    <col min="2057" max="2057" width="11.28515625" style="434" bestFit="1" customWidth="1"/>
    <col min="2058" max="2058" width="12.28515625" style="434" customWidth="1"/>
    <col min="2059" max="2059" width="6.5703125" style="434" bestFit="1" customWidth="1"/>
    <col min="2060" max="2060" width="11.28515625" style="434" bestFit="1" customWidth="1"/>
    <col min="2061" max="2061" width="12.28515625" style="434" customWidth="1"/>
    <col min="2062" max="2062" width="22.28515625" style="434" customWidth="1"/>
    <col min="2063" max="2063" width="16.7109375" style="434" customWidth="1"/>
    <col min="2064" max="2304" width="9.140625" style="434"/>
    <col min="2305" max="2305" width="4.42578125" style="434" customWidth="1"/>
    <col min="2306" max="2306" width="43.42578125" style="434" customWidth="1"/>
    <col min="2307" max="2307" width="14.42578125" style="434" customWidth="1"/>
    <col min="2308" max="2308" width="5.7109375" style="434" customWidth="1"/>
    <col min="2309" max="2309" width="6.7109375" style="434" customWidth="1"/>
    <col min="2310" max="2310" width="14.140625" style="434" bestFit="1" customWidth="1"/>
    <col min="2311" max="2311" width="12.28515625" style="434" customWidth="1"/>
    <col min="2312" max="2312" width="6.7109375" style="434" customWidth="1"/>
    <col min="2313" max="2313" width="11.28515625" style="434" bestFit="1" customWidth="1"/>
    <col min="2314" max="2314" width="12.28515625" style="434" customWidth="1"/>
    <col min="2315" max="2315" width="6.5703125" style="434" bestFit="1" customWidth="1"/>
    <col min="2316" max="2316" width="11.28515625" style="434" bestFit="1" customWidth="1"/>
    <col min="2317" max="2317" width="12.28515625" style="434" customWidth="1"/>
    <col min="2318" max="2318" width="22.28515625" style="434" customWidth="1"/>
    <col min="2319" max="2319" width="16.7109375" style="434" customWidth="1"/>
    <col min="2320" max="2560" width="9.140625" style="434"/>
    <col min="2561" max="2561" width="4.42578125" style="434" customWidth="1"/>
    <col min="2562" max="2562" width="43.42578125" style="434" customWidth="1"/>
    <col min="2563" max="2563" width="14.42578125" style="434" customWidth="1"/>
    <col min="2564" max="2564" width="5.7109375" style="434" customWidth="1"/>
    <col min="2565" max="2565" width="6.7109375" style="434" customWidth="1"/>
    <col min="2566" max="2566" width="14.140625" style="434" bestFit="1" customWidth="1"/>
    <col min="2567" max="2567" width="12.28515625" style="434" customWidth="1"/>
    <col min="2568" max="2568" width="6.7109375" style="434" customWidth="1"/>
    <col min="2569" max="2569" width="11.28515625" style="434" bestFit="1" customWidth="1"/>
    <col min="2570" max="2570" width="12.28515625" style="434" customWidth="1"/>
    <col min="2571" max="2571" width="6.5703125" style="434" bestFit="1" customWidth="1"/>
    <col min="2572" max="2572" width="11.28515625" style="434" bestFit="1" customWidth="1"/>
    <col min="2573" max="2573" width="12.28515625" style="434" customWidth="1"/>
    <col min="2574" max="2574" width="22.28515625" style="434" customWidth="1"/>
    <col min="2575" max="2575" width="16.7109375" style="434" customWidth="1"/>
    <col min="2576" max="2816" width="9.140625" style="434"/>
    <col min="2817" max="2817" width="4.42578125" style="434" customWidth="1"/>
    <col min="2818" max="2818" width="43.42578125" style="434" customWidth="1"/>
    <col min="2819" max="2819" width="14.42578125" style="434" customWidth="1"/>
    <col min="2820" max="2820" width="5.7109375" style="434" customWidth="1"/>
    <col min="2821" max="2821" width="6.7109375" style="434" customWidth="1"/>
    <col min="2822" max="2822" width="14.140625" style="434" bestFit="1" customWidth="1"/>
    <col min="2823" max="2823" width="12.28515625" style="434" customWidth="1"/>
    <col min="2824" max="2824" width="6.7109375" style="434" customWidth="1"/>
    <col min="2825" max="2825" width="11.28515625" style="434" bestFit="1" customWidth="1"/>
    <col min="2826" max="2826" width="12.28515625" style="434" customWidth="1"/>
    <col min="2827" max="2827" width="6.5703125" style="434" bestFit="1" customWidth="1"/>
    <col min="2828" max="2828" width="11.28515625" style="434" bestFit="1" customWidth="1"/>
    <col min="2829" max="2829" width="12.28515625" style="434" customWidth="1"/>
    <col min="2830" max="2830" width="22.28515625" style="434" customWidth="1"/>
    <col min="2831" max="2831" width="16.7109375" style="434" customWidth="1"/>
    <col min="2832" max="3072" width="9.140625" style="434"/>
    <col min="3073" max="3073" width="4.42578125" style="434" customWidth="1"/>
    <col min="3074" max="3074" width="43.42578125" style="434" customWidth="1"/>
    <col min="3075" max="3075" width="14.42578125" style="434" customWidth="1"/>
    <col min="3076" max="3076" width="5.7109375" style="434" customWidth="1"/>
    <col min="3077" max="3077" width="6.7109375" style="434" customWidth="1"/>
    <col min="3078" max="3078" width="14.140625" style="434" bestFit="1" customWidth="1"/>
    <col min="3079" max="3079" width="12.28515625" style="434" customWidth="1"/>
    <col min="3080" max="3080" width="6.7109375" style="434" customWidth="1"/>
    <col min="3081" max="3081" width="11.28515625" style="434" bestFit="1" customWidth="1"/>
    <col min="3082" max="3082" width="12.28515625" style="434" customWidth="1"/>
    <col min="3083" max="3083" width="6.5703125" style="434" bestFit="1" customWidth="1"/>
    <col min="3084" max="3084" width="11.28515625" style="434" bestFit="1" customWidth="1"/>
    <col min="3085" max="3085" width="12.28515625" style="434" customWidth="1"/>
    <col min="3086" max="3086" width="22.28515625" style="434" customWidth="1"/>
    <col min="3087" max="3087" width="16.7109375" style="434" customWidth="1"/>
    <col min="3088" max="3328" width="9.140625" style="434"/>
    <col min="3329" max="3329" width="4.42578125" style="434" customWidth="1"/>
    <col min="3330" max="3330" width="43.42578125" style="434" customWidth="1"/>
    <col min="3331" max="3331" width="14.42578125" style="434" customWidth="1"/>
    <col min="3332" max="3332" width="5.7109375" style="434" customWidth="1"/>
    <col min="3333" max="3333" width="6.7109375" style="434" customWidth="1"/>
    <col min="3334" max="3334" width="14.140625" style="434" bestFit="1" customWidth="1"/>
    <col min="3335" max="3335" width="12.28515625" style="434" customWidth="1"/>
    <col min="3336" max="3336" width="6.7109375" style="434" customWidth="1"/>
    <col min="3337" max="3337" width="11.28515625" style="434" bestFit="1" customWidth="1"/>
    <col min="3338" max="3338" width="12.28515625" style="434" customWidth="1"/>
    <col min="3339" max="3339" width="6.5703125" style="434" bestFit="1" customWidth="1"/>
    <col min="3340" max="3340" width="11.28515625" style="434" bestFit="1" customWidth="1"/>
    <col min="3341" max="3341" width="12.28515625" style="434" customWidth="1"/>
    <col min="3342" max="3342" width="22.28515625" style="434" customWidth="1"/>
    <col min="3343" max="3343" width="16.7109375" style="434" customWidth="1"/>
    <col min="3344" max="3584" width="9.140625" style="434"/>
    <col min="3585" max="3585" width="4.42578125" style="434" customWidth="1"/>
    <col min="3586" max="3586" width="43.42578125" style="434" customWidth="1"/>
    <col min="3587" max="3587" width="14.42578125" style="434" customWidth="1"/>
    <col min="3588" max="3588" width="5.7109375" style="434" customWidth="1"/>
    <col min="3589" max="3589" width="6.7109375" style="434" customWidth="1"/>
    <col min="3590" max="3590" width="14.140625" style="434" bestFit="1" customWidth="1"/>
    <col min="3591" max="3591" width="12.28515625" style="434" customWidth="1"/>
    <col min="3592" max="3592" width="6.7109375" style="434" customWidth="1"/>
    <col min="3593" max="3593" width="11.28515625" style="434" bestFit="1" customWidth="1"/>
    <col min="3594" max="3594" width="12.28515625" style="434" customWidth="1"/>
    <col min="3595" max="3595" width="6.5703125" style="434" bestFit="1" customWidth="1"/>
    <col min="3596" max="3596" width="11.28515625" style="434" bestFit="1" customWidth="1"/>
    <col min="3597" max="3597" width="12.28515625" style="434" customWidth="1"/>
    <col min="3598" max="3598" width="22.28515625" style="434" customWidth="1"/>
    <col min="3599" max="3599" width="16.7109375" style="434" customWidth="1"/>
    <col min="3600" max="3840" width="9.140625" style="434"/>
    <col min="3841" max="3841" width="4.42578125" style="434" customWidth="1"/>
    <col min="3842" max="3842" width="43.42578125" style="434" customWidth="1"/>
    <col min="3843" max="3843" width="14.42578125" style="434" customWidth="1"/>
    <col min="3844" max="3844" width="5.7109375" style="434" customWidth="1"/>
    <col min="3845" max="3845" width="6.7109375" style="434" customWidth="1"/>
    <col min="3846" max="3846" width="14.140625" style="434" bestFit="1" customWidth="1"/>
    <col min="3847" max="3847" width="12.28515625" style="434" customWidth="1"/>
    <col min="3848" max="3848" width="6.7109375" style="434" customWidth="1"/>
    <col min="3849" max="3849" width="11.28515625" style="434" bestFit="1" customWidth="1"/>
    <col min="3850" max="3850" width="12.28515625" style="434" customWidth="1"/>
    <col min="3851" max="3851" width="6.5703125" style="434" bestFit="1" customWidth="1"/>
    <col min="3852" max="3852" width="11.28515625" style="434" bestFit="1" customWidth="1"/>
    <col min="3853" max="3853" width="12.28515625" style="434" customWidth="1"/>
    <col min="3854" max="3854" width="22.28515625" style="434" customWidth="1"/>
    <col min="3855" max="3855" width="16.7109375" style="434" customWidth="1"/>
    <col min="3856" max="4096" width="9.140625" style="434"/>
    <col min="4097" max="4097" width="4.42578125" style="434" customWidth="1"/>
    <col min="4098" max="4098" width="43.42578125" style="434" customWidth="1"/>
    <col min="4099" max="4099" width="14.42578125" style="434" customWidth="1"/>
    <col min="4100" max="4100" width="5.7109375" style="434" customWidth="1"/>
    <col min="4101" max="4101" width="6.7109375" style="434" customWidth="1"/>
    <col min="4102" max="4102" width="14.140625" style="434" bestFit="1" customWidth="1"/>
    <col min="4103" max="4103" width="12.28515625" style="434" customWidth="1"/>
    <col min="4104" max="4104" width="6.7109375" style="434" customWidth="1"/>
    <col min="4105" max="4105" width="11.28515625" style="434" bestFit="1" customWidth="1"/>
    <col min="4106" max="4106" width="12.28515625" style="434" customWidth="1"/>
    <col min="4107" max="4107" width="6.5703125" style="434" bestFit="1" customWidth="1"/>
    <col min="4108" max="4108" width="11.28515625" style="434" bestFit="1" customWidth="1"/>
    <col min="4109" max="4109" width="12.28515625" style="434" customWidth="1"/>
    <col min="4110" max="4110" width="22.28515625" style="434" customWidth="1"/>
    <col min="4111" max="4111" width="16.7109375" style="434" customWidth="1"/>
    <col min="4112" max="4352" width="9.140625" style="434"/>
    <col min="4353" max="4353" width="4.42578125" style="434" customWidth="1"/>
    <col min="4354" max="4354" width="43.42578125" style="434" customWidth="1"/>
    <col min="4355" max="4355" width="14.42578125" style="434" customWidth="1"/>
    <col min="4356" max="4356" width="5.7109375" style="434" customWidth="1"/>
    <col min="4357" max="4357" width="6.7109375" style="434" customWidth="1"/>
    <col min="4358" max="4358" width="14.140625" style="434" bestFit="1" customWidth="1"/>
    <col min="4359" max="4359" width="12.28515625" style="434" customWidth="1"/>
    <col min="4360" max="4360" width="6.7109375" style="434" customWidth="1"/>
    <col min="4361" max="4361" width="11.28515625" style="434" bestFit="1" customWidth="1"/>
    <col min="4362" max="4362" width="12.28515625" style="434" customWidth="1"/>
    <col min="4363" max="4363" width="6.5703125" style="434" bestFit="1" customWidth="1"/>
    <col min="4364" max="4364" width="11.28515625" style="434" bestFit="1" customWidth="1"/>
    <col min="4365" max="4365" width="12.28515625" style="434" customWidth="1"/>
    <col min="4366" max="4366" width="22.28515625" style="434" customWidth="1"/>
    <col min="4367" max="4367" width="16.7109375" style="434" customWidth="1"/>
    <col min="4368" max="4608" width="9.140625" style="434"/>
    <col min="4609" max="4609" width="4.42578125" style="434" customWidth="1"/>
    <col min="4610" max="4610" width="43.42578125" style="434" customWidth="1"/>
    <col min="4611" max="4611" width="14.42578125" style="434" customWidth="1"/>
    <col min="4612" max="4612" width="5.7109375" style="434" customWidth="1"/>
    <col min="4613" max="4613" width="6.7109375" style="434" customWidth="1"/>
    <col min="4614" max="4614" width="14.140625" style="434" bestFit="1" customWidth="1"/>
    <col min="4615" max="4615" width="12.28515625" style="434" customWidth="1"/>
    <col min="4616" max="4616" width="6.7109375" style="434" customWidth="1"/>
    <col min="4617" max="4617" width="11.28515625" style="434" bestFit="1" customWidth="1"/>
    <col min="4618" max="4618" width="12.28515625" style="434" customWidth="1"/>
    <col min="4619" max="4619" width="6.5703125" style="434" bestFit="1" customWidth="1"/>
    <col min="4620" max="4620" width="11.28515625" style="434" bestFit="1" customWidth="1"/>
    <col min="4621" max="4621" width="12.28515625" style="434" customWidth="1"/>
    <col min="4622" max="4622" width="22.28515625" style="434" customWidth="1"/>
    <col min="4623" max="4623" width="16.7109375" style="434" customWidth="1"/>
    <col min="4624" max="4864" width="9.140625" style="434"/>
    <col min="4865" max="4865" width="4.42578125" style="434" customWidth="1"/>
    <col min="4866" max="4866" width="43.42578125" style="434" customWidth="1"/>
    <col min="4867" max="4867" width="14.42578125" style="434" customWidth="1"/>
    <col min="4868" max="4868" width="5.7109375" style="434" customWidth="1"/>
    <col min="4869" max="4869" width="6.7109375" style="434" customWidth="1"/>
    <col min="4870" max="4870" width="14.140625" style="434" bestFit="1" customWidth="1"/>
    <col min="4871" max="4871" width="12.28515625" style="434" customWidth="1"/>
    <col min="4872" max="4872" width="6.7109375" style="434" customWidth="1"/>
    <col min="4873" max="4873" width="11.28515625" style="434" bestFit="1" customWidth="1"/>
    <col min="4874" max="4874" width="12.28515625" style="434" customWidth="1"/>
    <col min="4875" max="4875" width="6.5703125" style="434" bestFit="1" customWidth="1"/>
    <col min="4876" max="4876" width="11.28515625" style="434" bestFit="1" customWidth="1"/>
    <col min="4877" max="4877" width="12.28515625" style="434" customWidth="1"/>
    <col min="4878" max="4878" width="22.28515625" style="434" customWidth="1"/>
    <col min="4879" max="4879" width="16.7109375" style="434" customWidth="1"/>
    <col min="4880" max="5120" width="9.140625" style="434"/>
    <col min="5121" max="5121" width="4.42578125" style="434" customWidth="1"/>
    <col min="5122" max="5122" width="43.42578125" style="434" customWidth="1"/>
    <col min="5123" max="5123" width="14.42578125" style="434" customWidth="1"/>
    <col min="5124" max="5124" width="5.7109375" style="434" customWidth="1"/>
    <col min="5125" max="5125" width="6.7109375" style="434" customWidth="1"/>
    <col min="5126" max="5126" width="14.140625" style="434" bestFit="1" customWidth="1"/>
    <col min="5127" max="5127" width="12.28515625" style="434" customWidth="1"/>
    <col min="5128" max="5128" width="6.7109375" style="434" customWidth="1"/>
    <col min="5129" max="5129" width="11.28515625" style="434" bestFit="1" customWidth="1"/>
    <col min="5130" max="5130" width="12.28515625" style="434" customWidth="1"/>
    <col min="5131" max="5131" width="6.5703125" style="434" bestFit="1" customWidth="1"/>
    <col min="5132" max="5132" width="11.28515625" style="434" bestFit="1" customWidth="1"/>
    <col min="5133" max="5133" width="12.28515625" style="434" customWidth="1"/>
    <col min="5134" max="5134" width="22.28515625" style="434" customWidth="1"/>
    <col min="5135" max="5135" width="16.7109375" style="434" customWidth="1"/>
    <col min="5136" max="5376" width="9.140625" style="434"/>
    <col min="5377" max="5377" width="4.42578125" style="434" customWidth="1"/>
    <col min="5378" max="5378" width="43.42578125" style="434" customWidth="1"/>
    <col min="5379" max="5379" width="14.42578125" style="434" customWidth="1"/>
    <col min="5380" max="5380" width="5.7109375" style="434" customWidth="1"/>
    <col min="5381" max="5381" width="6.7109375" style="434" customWidth="1"/>
    <col min="5382" max="5382" width="14.140625" style="434" bestFit="1" customWidth="1"/>
    <col min="5383" max="5383" width="12.28515625" style="434" customWidth="1"/>
    <col min="5384" max="5384" width="6.7109375" style="434" customWidth="1"/>
    <col min="5385" max="5385" width="11.28515625" style="434" bestFit="1" customWidth="1"/>
    <col min="5386" max="5386" width="12.28515625" style="434" customWidth="1"/>
    <col min="5387" max="5387" width="6.5703125" style="434" bestFit="1" customWidth="1"/>
    <col min="5388" max="5388" width="11.28515625" style="434" bestFit="1" customWidth="1"/>
    <col min="5389" max="5389" width="12.28515625" style="434" customWidth="1"/>
    <col min="5390" max="5390" width="22.28515625" style="434" customWidth="1"/>
    <col min="5391" max="5391" width="16.7109375" style="434" customWidth="1"/>
    <col min="5392" max="5632" width="9.140625" style="434"/>
    <col min="5633" max="5633" width="4.42578125" style="434" customWidth="1"/>
    <col min="5634" max="5634" width="43.42578125" style="434" customWidth="1"/>
    <col min="5635" max="5635" width="14.42578125" style="434" customWidth="1"/>
    <col min="5636" max="5636" width="5.7109375" style="434" customWidth="1"/>
    <col min="5637" max="5637" width="6.7109375" style="434" customWidth="1"/>
    <col min="5638" max="5638" width="14.140625" style="434" bestFit="1" customWidth="1"/>
    <col min="5639" max="5639" width="12.28515625" style="434" customWidth="1"/>
    <col min="5640" max="5640" width="6.7109375" style="434" customWidth="1"/>
    <col min="5641" max="5641" width="11.28515625" style="434" bestFit="1" customWidth="1"/>
    <col min="5642" max="5642" width="12.28515625" style="434" customWidth="1"/>
    <col min="5643" max="5643" width="6.5703125" style="434" bestFit="1" customWidth="1"/>
    <col min="5644" max="5644" width="11.28515625" style="434" bestFit="1" customWidth="1"/>
    <col min="5645" max="5645" width="12.28515625" style="434" customWidth="1"/>
    <col min="5646" max="5646" width="22.28515625" style="434" customWidth="1"/>
    <col min="5647" max="5647" width="16.7109375" style="434" customWidth="1"/>
    <col min="5648" max="5888" width="9.140625" style="434"/>
    <col min="5889" max="5889" width="4.42578125" style="434" customWidth="1"/>
    <col min="5890" max="5890" width="43.42578125" style="434" customWidth="1"/>
    <col min="5891" max="5891" width="14.42578125" style="434" customWidth="1"/>
    <col min="5892" max="5892" width="5.7109375" style="434" customWidth="1"/>
    <col min="5893" max="5893" width="6.7109375" style="434" customWidth="1"/>
    <col min="5894" max="5894" width="14.140625" style="434" bestFit="1" customWidth="1"/>
    <col min="5895" max="5895" width="12.28515625" style="434" customWidth="1"/>
    <col min="5896" max="5896" width="6.7109375" style="434" customWidth="1"/>
    <col min="5897" max="5897" width="11.28515625" style="434" bestFit="1" customWidth="1"/>
    <col min="5898" max="5898" width="12.28515625" style="434" customWidth="1"/>
    <col min="5899" max="5899" width="6.5703125" style="434" bestFit="1" customWidth="1"/>
    <col min="5900" max="5900" width="11.28515625" style="434" bestFit="1" customWidth="1"/>
    <col min="5901" max="5901" width="12.28515625" style="434" customWidth="1"/>
    <col min="5902" max="5902" width="22.28515625" style="434" customWidth="1"/>
    <col min="5903" max="5903" width="16.7109375" style="434" customWidth="1"/>
    <col min="5904" max="6144" width="9.140625" style="434"/>
    <col min="6145" max="6145" width="4.42578125" style="434" customWidth="1"/>
    <col min="6146" max="6146" width="43.42578125" style="434" customWidth="1"/>
    <col min="6147" max="6147" width="14.42578125" style="434" customWidth="1"/>
    <col min="6148" max="6148" width="5.7109375" style="434" customWidth="1"/>
    <col min="6149" max="6149" width="6.7109375" style="434" customWidth="1"/>
    <col min="6150" max="6150" width="14.140625" style="434" bestFit="1" customWidth="1"/>
    <col min="6151" max="6151" width="12.28515625" style="434" customWidth="1"/>
    <col min="6152" max="6152" width="6.7109375" style="434" customWidth="1"/>
    <col min="6153" max="6153" width="11.28515625" style="434" bestFit="1" customWidth="1"/>
    <col min="6154" max="6154" width="12.28515625" style="434" customWidth="1"/>
    <col min="6155" max="6155" width="6.5703125" style="434" bestFit="1" customWidth="1"/>
    <col min="6156" max="6156" width="11.28515625" style="434" bestFit="1" customWidth="1"/>
    <col min="6157" max="6157" width="12.28515625" style="434" customWidth="1"/>
    <col min="6158" max="6158" width="22.28515625" style="434" customWidth="1"/>
    <col min="6159" max="6159" width="16.7109375" style="434" customWidth="1"/>
    <col min="6160" max="6400" width="9.140625" style="434"/>
    <col min="6401" max="6401" width="4.42578125" style="434" customWidth="1"/>
    <col min="6402" max="6402" width="43.42578125" style="434" customWidth="1"/>
    <col min="6403" max="6403" width="14.42578125" style="434" customWidth="1"/>
    <col min="6404" max="6404" width="5.7109375" style="434" customWidth="1"/>
    <col min="6405" max="6405" width="6.7109375" style="434" customWidth="1"/>
    <col min="6406" max="6406" width="14.140625" style="434" bestFit="1" customWidth="1"/>
    <col min="6407" max="6407" width="12.28515625" style="434" customWidth="1"/>
    <col min="6408" max="6408" width="6.7109375" style="434" customWidth="1"/>
    <col min="6409" max="6409" width="11.28515625" style="434" bestFit="1" customWidth="1"/>
    <col min="6410" max="6410" width="12.28515625" style="434" customWidth="1"/>
    <col min="6411" max="6411" width="6.5703125" style="434" bestFit="1" customWidth="1"/>
    <col min="6412" max="6412" width="11.28515625" style="434" bestFit="1" customWidth="1"/>
    <col min="6413" max="6413" width="12.28515625" style="434" customWidth="1"/>
    <col min="6414" max="6414" width="22.28515625" style="434" customWidth="1"/>
    <col min="6415" max="6415" width="16.7109375" style="434" customWidth="1"/>
    <col min="6416" max="6656" width="9.140625" style="434"/>
    <col min="6657" max="6657" width="4.42578125" style="434" customWidth="1"/>
    <col min="6658" max="6658" width="43.42578125" style="434" customWidth="1"/>
    <col min="6659" max="6659" width="14.42578125" style="434" customWidth="1"/>
    <col min="6660" max="6660" width="5.7109375" style="434" customWidth="1"/>
    <col min="6661" max="6661" width="6.7109375" style="434" customWidth="1"/>
    <col min="6662" max="6662" width="14.140625" style="434" bestFit="1" customWidth="1"/>
    <col min="6663" max="6663" width="12.28515625" style="434" customWidth="1"/>
    <col min="6664" max="6664" width="6.7109375" style="434" customWidth="1"/>
    <col min="6665" max="6665" width="11.28515625" style="434" bestFit="1" customWidth="1"/>
    <col min="6666" max="6666" width="12.28515625" style="434" customWidth="1"/>
    <col min="6667" max="6667" width="6.5703125" style="434" bestFit="1" customWidth="1"/>
    <col min="6668" max="6668" width="11.28515625" style="434" bestFit="1" customWidth="1"/>
    <col min="6669" max="6669" width="12.28515625" style="434" customWidth="1"/>
    <col min="6670" max="6670" width="22.28515625" style="434" customWidth="1"/>
    <col min="6671" max="6671" width="16.7109375" style="434" customWidth="1"/>
    <col min="6672" max="6912" width="9.140625" style="434"/>
    <col min="6913" max="6913" width="4.42578125" style="434" customWidth="1"/>
    <col min="6914" max="6914" width="43.42578125" style="434" customWidth="1"/>
    <col min="6915" max="6915" width="14.42578125" style="434" customWidth="1"/>
    <col min="6916" max="6916" width="5.7109375" style="434" customWidth="1"/>
    <col min="6917" max="6917" width="6.7109375" style="434" customWidth="1"/>
    <col min="6918" max="6918" width="14.140625" style="434" bestFit="1" customWidth="1"/>
    <col min="6919" max="6919" width="12.28515625" style="434" customWidth="1"/>
    <col min="6920" max="6920" width="6.7109375" style="434" customWidth="1"/>
    <col min="6921" max="6921" width="11.28515625" style="434" bestFit="1" customWidth="1"/>
    <col min="6922" max="6922" width="12.28515625" style="434" customWidth="1"/>
    <col min="6923" max="6923" width="6.5703125" style="434" bestFit="1" customWidth="1"/>
    <col min="6924" max="6924" width="11.28515625" style="434" bestFit="1" customWidth="1"/>
    <col min="6925" max="6925" width="12.28515625" style="434" customWidth="1"/>
    <col min="6926" max="6926" width="22.28515625" style="434" customWidth="1"/>
    <col min="6927" max="6927" width="16.7109375" style="434" customWidth="1"/>
    <col min="6928" max="7168" width="9.140625" style="434"/>
    <col min="7169" max="7169" width="4.42578125" style="434" customWidth="1"/>
    <col min="7170" max="7170" width="43.42578125" style="434" customWidth="1"/>
    <col min="7171" max="7171" width="14.42578125" style="434" customWidth="1"/>
    <col min="7172" max="7172" width="5.7109375" style="434" customWidth="1"/>
    <col min="7173" max="7173" width="6.7109375" style="434" customWidth="1"/>
    <col min="7174" max="7174" width="14.140625" style="434" bestFit="1" customWidth="1"/>
    <col min="7175" max="7175" width="12.28515625" style="434" customWidth="1"/>
    <col min="7176" max="7176" width="6.7109375" style="434" customWidth="1"/>
    <col min="7177" max="7177" width="11.28515625" style="434" bestFit="1" customWidth="1"/>
    <col min="7178" max="7178" width="12.28515625" style="434" customWidth="1"/>
    <col min="7179" max="7179" width="6.5703125" style="434" bestFit="1" customWidth="1"/>
    <col min="7180" max="7180" width="11.28515625" style="434" bestFit="1" customWidth="1"/>
    <col min="7181" max="7181" width="12.28515625" style="434" customWidth="1"/>
    <col min="7182" max="7182" width="22.28515625" style="434" customWidth="1"/>
    <col min="7183" max="7183" width="16.7109375" style="434" customWidth="1"/>
    <col min="7184" max="7424" width="9.140625" style="434"/>
    <col min="7425" max="7425" width="4.42578125" style="434" customWidth="1"/>
    <col min="7426" max="7426" width="43.42578125" style="434" customWidth="1"/>
    <col min="7427" max="7427" width="14.42578125" style="434" customWidth="1"/>
    <col min="7428" max="7428" width="5.7109375" style="434" customWidth="1"/>
    <col min="7429" max="7429" width="6.7109375" style="434" customWidth="1"/>
    <col min="7430" max="7430" width="14.140625" style="434" bestFit="1" customWidth="1"/>
    <col min="7431" max="7431" width="12.28515625" style="434" customWidth="1"/>
    <col min="7432" max="7432" width="6.7109375" style="434" customWidth="1"/>
    <col min="7433" max="7433" width="11.28515625" style="434" bestFit="1" customWidth="1"/>
    <col min="7434" max="7434" width="12.28515625" style="434" customWidth="1"/>
    <col min="7435" max="7435" width="6.5703125" style="434" bestFit="1" customWidth="1"/>
    <col min="7436" max="7436" width="11.28515625" style="434" bestFit="1" customWidth="1"/>
    <col min="7437" max="7437" width="12.28515625" style="434" customWidth="1"/>
    <col min="7438" max="7438" width="22.28515625" style="434" customWidth="1"/>
    <col min="7439" max="7439" width="16.7109375" style="434" customWidth="1"/>
    <col min="7440" max="7680" width="9.140625" style="434"/>
    <col min="7681" max="7681" width="4.42578125" style="434" customWidth="1"/>
    <col min="7682" max="7682" width="43.42578125" style="434" customWidth="1"/>
    <col min="7683" max="7683" width="14.42578125" style="434" customWidth="1"/>
    <col min="7684" max="7684" width="5.7109375" style="434" customWidth="1"/>
    <col min="7685" max="7685" width="6.7109375" style="434" customWidth="1"/>
    <col min="7686" max="7686" width="14.140625" style="434" bestFit="1" customWidth="1"/>
    <col min="7687" max="7687" width="12.28515625" style="434" customWidth="1"/>
    <col min="7688" max="7688" width="6.7109375" style="434" customWidth="1"/>
    <col min="7689" max="7689" width="11.28515625" style="434" bestFit="1" customWidth="1"/>
    <col min="7690" max="7690" width="12.28515625" style="434" customWidth="1"/>
    <col min="7691" max="7691" width="6.5703125" style="434" bestFit="1" customWidth="1"/>
    <col min="7692" max="7692" width="11.28515625" style="434" bestFit="1" customWidth="1"/>
    <col min="7693" max="7693" width="12.28515625" style="434" customWidth="1"/>
    <col min="7694" max="7694" width="22.28515625" style="434" customWidth="1"/>
    <col min="7695" max="7695" width="16.7109375" style="434" customWidth="1"/>
    <col min="7696" max="7936" width="9.140625" style="434"/>
    <col min="7937" max="7937" width="4.42578125" style="434" customWidth="1"/>
    <col min="7938" max="7938" width="43.42578125" style="434" customWidth="1"/>
    <col min="7939" max="7939" width="14.42578125" style="434" customWidth="1"/>
    <col min="7940" max="7940" width="5.7109375" style="434" customWidth="1"/>
    <col min="7941" max="7941" width="6.7109375" style="434" customWidth="1"/>
    <col min="7942" max="7942" width="14.140625" style="434" bestFit="1" customWidth="1"/>
    <col min="7943" max="7943" width="12.28515625" style="434" customWidth="1"/>
    <col min="7944" max="7944" width="6.7109375" style="434" customWidth="1"/>
    <col min="7945" max="7945" width="11.28515625" style="434" bestFit="1" customWidth="1"/>
    <col min="7946" max="7946" width="12.28515625" style="434" customWidth="1"/>
    <col min="7947" max="7947" width="6.5703125" style="434" bestFit="1" customWidth="1"/>
    <col min="7948" max="7948" width="11.28515625" style="434" bestFit="1" customWidth="1"/>
    <col min="7949" max="7949" width="12.28515625" style="434" customWidth="1"/>
    <col min="7950" max="7950" width="22.28515625" style="434" customWidth="1"/>
    <col min="7951" max="7951" width="16.7109375" style="434" customWidth="1"/>
    <col min="7952" max="8192" width="9.140625" style="434"/>
    <col min="8193" max="8193" width="4.42578125" style="434" customWidth="1"/>
    <col min="8194" max="8194" width="43.42578125" style="434" customWidth="1"/>
    <col min="8195" max="8195" width="14.42578125" style="434" customWidth="1"/>
    <col min="8196" max="8196" width="5.7109375" style="434" customWidth="1"/>
    <col min="8197" max="8197" width="6.7109375" style="434" customWidth="1"/>
    <col min="8198" max="8198" width="14.140625" style="434" bestFit="1" customWidth="1"/>
    <col min="8199" max="8199" width="12.28515625" style="434" customWidth="1"/>
    <col min="8200" max="8200" width="6.7109375" style="434" customWidth="1"/>
    <col min="8201" max="8201" width="11.28515625" style="434" bestFit="1" customWidth="1"/>
    <col min="8202" max="8202" width="12.28515625" style="434" customWidth="1"/>
    <col min="8203" max="8203" width="6.5703125" style="434" bestFit="1" customWidth="1"/>
    <col min="8204" max="8204" width="11.28515625" style="434" bestFit="1" customWidth="1"/>
    <col min="8205" max="8205" width="12.28515625" style="434" customWidth="1"/>
    <col min="8206" max="8206" width="22.28515625" style="434" customWidth="1"/>
    <col min="8207" max="8207" width="16.7109375" style="434" customWidth="1"/>
    <col min="8208" max="8448" width="9.140625" style="434"/>
    <col min="8449" max="8449" width="4.42578125" style="434" customWidth="1"/>
    <col min="8450" max="8450" width="43.42578125" style="434" customWidth="1"/>
    <col min="8451" max="8451" width="14.42578125" style="434" customWidth="1"/>
    <col min="8452" max="8452" width="5.7109375" style="434" customWidth="1"/>
    <col min="8453" max="8453" width="6.7109375" style="434" customWidth="1"/>
    <col min="8454" max="8454" width="14.140625" style="434" bestFit="1" customWidth="1"/>
    <col min="8455" max="8455" width="12.28515625" style="434" customWidth="1"/>
    <col min="8456" max="8456" width="6.7109375" style="434" customWidth="1"/>
    <col min="8457" max="8457" width="11.28515625" style="434" bestFit="1" customWidth="1"/>
    <col min="8458" max="8458" width="12.28515625" style="434" customWidth="1"/>
    <col min="8459" max="8459" width="6.5703125" style="434" bestFit="1" customWidth="1"/>
    <col min="8460" max="8460" width="11.28515625" style="434" bestFit="1" customWidth="1"/>
    <col min="8461" max="8461" width="12.28515625" style="434" customWidth="1"/>
    <col min="8462" max="8462" width="22.28515625" style="434" customWidth="1"/>
    <col min="8463" max="8463" width="16.7109375" style="434" customWidth="1"/>
    <col min="8464" max="8704" width="9.140625" style="434"/>
    <col min="8705" max="8705" width="4.42578125" style="434" customWidth="1"/>
    <col min="8706" max="8706" width="43.42578125" style="434" customWidth="1"/>
    <col min="8707" max="8707" width="14.42578125" style="434" customWidth="1"/>
    <col min="8708" max="8708" width="5.7109375" style="434" customWidth="1"/>
    <col min="8709" max="8709" width="6.7109375" style="434" customWidth="1"/>
    <col min="8710" max="8710" width="14.140625" style="434" bestFit="1" customWidth="1"/>
    <col min="8711" max="8711" width="12.28515625" style="434" customWidth="1"/>
    <col min="8712" max="8712" width="6.7109375" style="434" customWidth="1"/>
    <col min="8713" max="8713" width="11.28515625" style="434" bestFit="1" customWidth="1"/>
    <col min="8714" max="8714" width="12.28515625" style="434" customWidth="1"/>
    <col min="8715" max="8715" width="6.5703125" style="434" bestFit="1" customWidth="1"/>
    <col min="8716" max="8716" width="11.28515625" style="434" bestFit="1" customWidth="1"/>
    <col min="8717" max="8717" width="12.28515625" style="434" customWidth="1"/>
    <col min="8718" max="8718" width="22.28515625" style="434" customWidth="1"/>
    <col min="8719" max="8719" width="16.7109375" style="434" customWidth="1"/>
    <col min="8720" max="8960" width="9.140625" style="434"/>
    <col min="8961" max="8961" width="4.42578125" style="434" customWidth="1"/>
    <col min="8962" max="8962" width="43.42578125" style="434" customWidth="1"/>
    <col min="8963" max="8963" width="14.42578125" style="434" customWidth="1"/>
    <col min="8964" max="8964" width="5.7109375" style="434" customWidth="1"/>
    <col min="8965" max="8965" width="6.7109375" style="434" customWidth="1"/>
    <col min="8966" max="8966" width="14.140625" style="434" bestFit="1" customWidth="1"/>
    <col min="8967" max="8967" width="12.28515625" style="434" customWidth="1"/>
    <col min="8968" max="8968" width="6.7109375" style="434" customWidth="1"/>
    <col min="8969" max="8969" width="11.28515625" style="434" bestFit="1" customWidth="1"/>
    <col min="8970" max="8970" width="12.28515625" style="434" customWidth="1"/>
    <col min="8971" max="8971" width="6.5703125" style="434" bestFit="1" customWidth="1"/>
    <col min="8972" max="8972" width="11.28515625" style="434" bestFit="1" customWidth="1"/>
    <col min="8973" max="8973" width="12.28515625" style="434" customWidth="1"/>
    <col min="8974" max="8974" width="22.28515625" style="434" customWidth="1"/>
    <col min="8975" max="8975" width="16.7109375" style="434" customWidth="1"/>
    <col min="8976" max="9216" width="9.140625" style="434"/>
    <col min="9217" max="9217" width="4.42578125" style="434" customWidth="1"/>
    <col min="9218" max="9218" width="43.42578125" style="434" customWidth="1"/>
    <col min="9219" max="9219" width="14.42578125" style="434" customWidth="1"/>
    <col min="9220" max="9220" width="5.7109375" style="434" customWidth="1"/>
    <col min="9221" max="9221" width="6.7109375" style="434" customWidth="1"/>
    <col min="9222" max="9222" width="14.140625" style="434" bestFit="1" customWidth="1"/>
    <col min="9223" max="9223" width="12.28515625" style="434" customWidth="1"/>
    <col min="9224" max="9224" width="6.7109375" style="434" customWidth="1"/>
    <col min="9225" max="9225" width="11.28515625" style="434" bestFit="1" customWidth="1"/>
    <col min="9226" max="9226" width="12.28515625" style="434" customWidth="1"/>
    <col min="9227" max="9227" width="6.5703125" style="434" bestFit="1" customWidth="1"/>
    <col min="9228" max="9228" width="11.28515625" style="434" bestFit="1" customWidth="1"/>
    <col min="9229" max="9229" width="12.28515625" style="434" customWidth="1"/>
    <col min="9230" max="9230" width="22.28515625" style="434" customWidth="1"/>
    <col min="9231" max="9231" width="16.7109375" style="434" customWidth="1"/>
    <col min="9232" max="9472" width="9.140625" style="434"/>
    <col min="9473" max="9473" width="4.42578125" style="434" customWidth="1"/>
    <col min="9474" max="9474" width="43.42578125" style="434" customWidth="1"/>
    <col min="9475" max="9475" width="14.42578125" style="434" customWidth="1"/>
    <col min="9476" max="9476" width="5.7109375" style="434" customWidth="1"/>
    <col min="9477" max="9477" width="6.7109375" style="434" customWidth="1"/>
    <col min="9478" max="9478" width="14.140625" style="434" bestFit="1" customWidth="1"/>
    <col min="9479" max="9479" width="12.28515625" style="434" customWidth="1"/>
    <col min="9480" max="9480" width="6.7109375" style="434" customWidth="1"/>
    <col min="9481" max="9481" width="11.28515625" style="434" bestFit="1" customWidth="1"/>
    <col min="9482" max="9482" width="12.28515625" style="434" customWidth="1"/>
    <col min="9483" max="9483" width="6.5703125" style="434" bestFit="1" customWidth="1"/>
    <col min="9484" max="9484" width="11.28515625" style="434" bestFit="1" customWidth="1"/>
    <col min="9485" max="9485" width="12.28515625" style="434" customWidth="1"/>
    <col min="9486" max="9486" width="22.28515625" style="434" customWidth="1"/>
    <col min="9487" max="9487" width="16.7109375" style="434" customWidth="1"/>
    <col min="9488" max="9728" width="9.140625" style="434"/>
    <col min="9729" max="9729" width="4.42578125" style="434" customWidth="1"/>
    <col min="9730" max="9730" width="43.42578125" style="434" customWidth="1"/>
    <col min="9731" max="9731" width="14.42578125" style="434" customWidth="1"/>
    <col min="9732" max="9732" width="5.7109375" style="434" customWidth="1"/>
    <col min="9733" max="9733" width="6.7109375" style="434" customWidth="1"/>
    <col min="9734" max="9734" width="14.140625" style="434" bestFit="1" customWidth="1"/>
    <col min="9735" max="9735" width="12.28515625" style="434" customWidth="1"/>
    <col min="9736" max="9736" width="6.7109375" style="434" customWidth="1"/>
    <col min="9737" max="9737" width="11.28515625" style="434" bestFit="1" customWidth="1"/>
    <col min="9738" max="9738" width="12.28515625" style="434" customWidth="1"/>
    <col min="9739" max="9739" width="6.5703125" style="434" bestFit="1" customWidth="1"/>
    <col min="9740" max="9740" width="11.28515625" style="434" bestFit="1" customWidth="1"/>
    <col min="9741" max="9741" width="12.28515625" style="434" customWidth="1"/>
    <col min="9742" max="9742" width="22.28515625" style="434" customWidth="1"/>
    <col min="9743" max="9743" width="16.7109375" style="434" customWidth="1"/>
    <col min="9744" max="9984" width="9.140625" style="434"/>
    <col min="9985" max="9985" width="4.42578125" style="434" customWidth="1"/>
    <col min="9986" max="9986" width="43.42578125" style="434" customWidth="1"/>
    <col min="9987" max="9987" width="14.42578125" style="434" customWidth="1"/>
    <col min="9988" max="9988" width="5.7109375" style="434" customWidth="1"/>
    <col min="9989" max="9989" width="6.7109375" style="434" customWidth="1"/>
    <col min="9990" max="9990" width="14.140625" style="434" bestFit="1" customWidth="1"/>
    <col min="9991" max="9991" width="12.28515625" style="434" customWidth="1"/>
    <col min="9992" max="9992" width="6.7109375" style="434" customWidth="1"/>
    <col min="9993" max="9993" width="11.28515625" style="434" bestFit="1" customWidth="1"/>
    <col min="9994" max="9994" width="12.28515625" style="434" customWidth="1"/>
    <col min="9995" max="9995" width="6.5703125" style="434" bestFit="1" customWidth="1"/>
    <col min="9996" max="9996" width="11.28515625" style="434" bestFit="1" customWidth="1"/>
    <col min="9997" max="9997" width="12.28515625" style="434" customWidth="1"/>
    <col min="9998" max="9998" width="22.28515625" style="434" customWidth="1"/>
    <col min="9999" max="9999" width="16.7109375" style="434" customWidth="1"/>
    <col min="10000" max="10240" width="9.140625" style="434"/>
    <col min="10241" max="10241" width="4.42578125" style="434" customWidth="1"/>
    <col min="10242" max="10242" width="43.42578125" style="434" customWidth="1"/>
    <col min="10243" max="10243" width="14.42578125" style="434" customWidth="1"/>
    <col min="10244" max="10244" width="5.7109375" style="434" customWidth="1"/>
    <col min="10245" max="10245" width="6.7109375" style="434" customWidth="1"/>
    <col min="10246" max="10246" width="14.140625" style="434" bestFit="1" customWidth="1"/>
    <col min="10247" max="10247" width="12.28515625" style="434" customWidth="1"/>
    <col min="10248" max="10248" width="6.7109375" style="434" customWidth="1"/>
    <col min="10249" max="10249" width="11.28515625" style="434" bestFit="1" customWidth="1"/>
    <col min="10250" max="10250" width="12.28515625" style="434" customWidth="1"/>
    <col min="10251" max="10251" width="6.5703125" style="434" bestFit="1" customWidth="1"/>
    <col min="10252" max="10252" width="11.28515625" style="434" bestFit="1" customWidth="1"/>
    <col min="10253" max="10253" width="12.28515625" style="434" customWidth="1"/>
    <col min="10254" max="10254" width="22.28515625" style="434" customWidth="1"/>
    <col min="10255" max="10255" width="16.7109375" style="434" customWidth="1"/>
    <col min="10256" max="10496" width="9.140625" style="434"/>
    <col min="10497" max="10497" width="4.42578125" style="434" customWidth="1"/>
    <col min="10498" max="10498" width="43.42578125" style="434" customWidth="1"/>
    <col min="10499" max="10499" width="14.42578125" style="434" customWidth="1"/>
    <col min="10500" max="10500" width="5.7109375" style="434" customWidth="1"/>
    <col min="10501" max="10501" width="6.7109375" style="434" customWidth="1"/>
    <col min="10502" max="10502" width="14.140625" style="434" bestFit="1" customWidth="1"/>
    <col min="10503" max="10503" width="12.28515625" style="434" customWidth="1"/>
    <col min="10504" max="10504" width="6.7109375" style="434" customWidth="1"/>
    <col min="10505" max="10505" width="11.28515625" style="434" bestFit="1" customWidth="1"/>
    <col min="10506" max="10506" width="12.28515625" style="434" customWidth="1"/>
    <col min="10507" max="10507" width="6.5703125" style="434" bestFit="1" customWidth="1"/>
    <col min="10508" max="10508" width="11.28515625" style="434" bestFit="1" customWidth="1"/>
    <col min="10509" max="10509" width="12.28515625" style="434" customWidth="1"/>
    <col min="10510" max="10510" width="22.28515625" style="434" customWidth="1"/>
    <col min="10511" max="10511" width="16.7109375" style="434" customWidth="1"/>
    <col min="10512" max="10752" width="9.140625" style="434"/>
    <col min="10753" max="10753" width="4.42578125" style="434" customWidth="1"/>
    <col min="10754" max="10754" width="43.42578125" style="434" customWidth="1"/>
    <col min="10755" max="10755" width="14.42578125" style="434" customWidth="1"/>
    <col min="10756" max="10756" width="5.7109375" style="434" customWidth="1"/>
    <col min="10757" max="10757" width="6.7109375" style="434" customWidth="1"/>
    <col min="10758" max="10758" width="14.140625" style="434" bestFit="1" customWidth="1"/>
    <col min="10759" max="10759" width="12.28515625" style="434" customWidth="1"/>
    <col min="10760" max="10760" width="6.7109375" style="434" customWidth="1"/>
    <col min="10761" max="10761" width="11.28515625" style="434" bestFit="1" customWidth="1"/>
    <col min="10762" max="10762" width="12.28515625" style="434" customWidth="1"/>
    <col min="10763" max="10763" width="6.5703125" style="434" bestFit="1" customWidth="1"/>
    <col min="10764" max="10764" width="11.28515625" style="434" bestFit="1" customWidth="1"/>
    <col min="10765" max="10765" width="12.28515625" style="434" customWidth="1"/>
    <col min="10766" max="10766" width="22.28515625" style="434" customWidth="1"/>
    <col min="10767" max="10767" width="16.7109375" style="434" customWidth="1"/>
    <col min="10768" max="11008" width="9.140625" style="434"/>
    <col min="11009" max="11009" width="4.42578125" style="434" customWidth="1"/>
    <col min="11010" max="11010" width="43.42578125" style="434" customWidth="1"/>
    <col min="11011" max="11011" width="14.42578125" style="434" customWidth="1"/>
    <col min="11012" max="11012" width="5.7109375" style="434" customWidth="1"/>
    <col min="11013" max="11013" width="6.7109375" style="434" customWidth="1"/>
    <col min="11014" max="11014" width="14.140625" style="434" bestFit="1" customWidth="1"/>
    <col min="11015" max="11015" width="12.28515625" style="434" customWidth="1"/>
    <col min="11016" max="11016" width="6.7109375" style="434" customWidth="1"/>
    <col min="11017" max="11017" width="11.28515625" style="434" bestFit="1" customWidth="1"/>
    <col min="11018" max="11018" width="12.28515625" style="434" customWidth="1"/>
    <col min="11019" max="11019" width="6.5703125" style="434" bestFit="1" customWidth="1"/>
    <col min="11020" max="11020" width="11.28515625" style="434" bestFit="1" customWidth="1"/>
    <col min="11021" max="11021" width="12.28515625" style="434" customWidth="1"/>
    <col min="11022" max="11022" width="22.28515625" style="434" customWidth="1"/>
    <col min="11023" max="11023" width="16.7109375" style="434" customWidth="1"/>
    <col min="11024" max="11264" width="9.140625" style="434"/>
    <col min="11265" max="11265" width="4.42578125" style="434" customWidth="1"/>
    <col min="11266" max="11266" width="43.42578125" style="434" customWidth="1"/>
    <col min="11267" max="11267" width="14.42578125" style="434" customWidth="1"/>
    <col min="11268" max="11268" width="5.7109375" style="434" customWidth="1"/>
    <col min="11269" max="11269" width="6.7109375" style="434" customWidth="1"/>
    <col min="11270" max="11270" width="14.140625" style="434" bestFit="1" customWidth="1"/>
    <col min="11271" max="11271" width="12.28515625" style="434" customWidth="1"/>
    <col min="11272" max="11272" width="6.7109375" style="434" customWidth="1"/>
    <col min="11273" max="11273" width="11.28515625" style="434" bestFit="1" customWidth="1"/>
    <col min="11274" max="11274" width="12.28515625" style="434" customWidth="1"/>
    <col min="11275" max="11275" width="6.5703125" style="434" bestFit="1" customWidth="1"/>
    <col min="11276" max="11276" width="11.28515625" style="434" bestFit="1" customWidth="1"/>
    <col min="11277" max="11277" width="12.28515625" style="434" customWidth="1"/>
    <col min="11278" max="11278" width="22.28515625" style="434" customWidth="1"/>
    <col min="11279" max="11279" width="16.7109375" style="434" customWidth="1"/>
    <col min="11280" max="11520" width="9.140625" style="434"/>
    <col min="11521" max="11521" width="4.42578125" style="434" customWidth="1"/>
    <col min="11522" max="11522" width="43.42578125" style="434" customWidth="1"/>
    <col min="11523" max="11523" width="14.42578125" style="434" customWidth="1"/>
    <col min="11524" max="11524" width="5.7109375" style="434" customWidth="1"/>
    <col min="11525" max="11525" width="6.7109375" style="434" customWidth="1"/>
    <col min="11526" max="11526" width="14.140625" style="434" bestFit="1" customWidth="1"/>
    <col min="11527" max="11527" width="12.28515625" style="434" customWidth="1"/>
    <col min="11528" max="11528" width="6.7109375" style="434" customWidth="1"/>
    <col min="11529" max="11529" width="11.28515625" style="434" bestFit="1" customWidth="1"/>
    <col min="11530" max="11530" width="12.28515625" style="434" customWidth="1"/>
    <col min="11531" max="11531" width="6.5703125" style="434" bestFit="1" customWidth="1"/>
    <col min="11532" max="11532" width="11.28515625" style="434" bestFit="1" customWidth="1"/>
    <col min="11533" max="11533" width="12.28515625" style="434" customWidth="1"/>
    <col min="11534" max="11534" width="22.28515625" style="434" customWidth="1"/>
    <col min="11535" max="11535" width="16.7109375" style="434" customWidth="1"/>
    <col min="11536" max="11776" width="9.140625" style="434"/>
    <col min="11777" max="11777" width="4.42578125" style="434" customWidth="1"/>
    <col min="11778" max="11778" width="43.42578125" style="434" customWidth="1"/>
    <col min="11779" max="11779" width="14.42578125" style="434" customWidth="1"/>
    <col min="11780" max="11780" width="5.7109375" style="434" customWidth="1"/>
    <col min="11781" max="11781" width="6.7109375" style="434" customWidth="1"/>
    <col min="11782" max="11782" width="14.140625" style="434" bestFit="1" customWidth="1"/>
    <col min="11783" max="11783" width="12.28515625" style="434" customWidth="1"/>
    <col min="11784" max="11784" width="6.7109375" style="434" customWidth="1"/>
    <col min="11785" max="11785" width="11.28515625" style="434" bestFit="1" customWidth="1"/>
    <col min="11786" max="11786" width="12.28515625" style="434" customWidth="1"/>
    <col min="11787" max="11787" width="6.5703125" style="434" bestFit="1" customWidth="1"/>
    <col min="11788" max="11788" width="11.28515625" style="434" bestFit="1" customWidth="1"/>
    <col min="11789" max="11789" width="12.28515625" style="434" customWidth="1"/>
    <col min="11790" max="11790" width="22.28515625" style="434" customWidth="1"/>
    <col min="11791" max="11791" width="16.7109375" style="434" customWidth="1"/>
    <col min="11792" max="12032" width="9.140625" style="434"/>
    <col min="12033" max="12033" width="4.42578125" style="434" customWidth="1"/>
    <col min="12034" max="12034" width="43.42578125" style="434" customWidth="1"/>
    <col min="12035" max="12035" width="14.42578125" style="434" customWidth="1"/>
    <col min="12036" max="12036" width="5.7109375" style="434" customWidth="1"/>
    <col min="12037" max="12037" width="6.7109375" style="434" customWidth="1"/>
    <col min="12038" max="12038" width="14.140625" style="434" bestFit="1" customWidth="1"/>
    <col min="12039" max="12039" width="12.28515625" style="434" customWidth="1"/>
    <col min="12040" max="12040" width="6.7109375" style="434" customWidth="1"/>
    <col min="12041" max="12041" width="11.28515625" style="434" bestFit="1" customWidth="1"/>
    <col min="12042" max="12042" width="12.28515625" style="434" customWidth="1"/>
    <col min="12043" max="12043" width="6.5703125" style="434" bestFit="1" customWidth="1"/>
    <col min="12044" max="12044" width="11.28515625" style="434" bestFit="1" customWidth="1"/>
    <col min="12045" max="12045" width="12.28515625" style="434" customWidth="1"/>
    <col min="12046" max="12046" width="22.28515625" style="434" customWidth="1"/>
    <col min="12047" max="12047" width="16.7109375" style="434" customWidth="1"/>
    <col min="12048" max="12288" width="9.140625" style="434"/>
    <col min="12289" max="12289" width="4.42578125" style="434" customWidth="1"/>
    <col min="12290" max="12290" width="43.42578125" style="434" customWidth="1"/>
    <col min="12291" max="12291" width="14.42578125" style="434" customWidth="1"/>
    <col min="12292" max="12292" width="5.7109375" style="434" customWidth="1"/>
    <col min="12293" max="12293" width="6.7109375" style="434" customWidth="1"/>
    <col min="12294" max="12294" width="14.140625" style="434" bestFit="1" customWidth="1"/>
    <col min="12295" max="12295" width="12.28515625" style="434" customWidth="1"/>
    <col min="12296" max="12296" width="6.7109375" style="434" customWidth="1"/>
    <col min="12297" max="12297" width="11.28515625" style="434" bestFit="1" customWidth="1"/>
    <col min="12298" max="12298" width="12.28515625" style="434" customWidth="1"/>
    <col min="12299" max="12299" width="6.5703125" style="434" bestFit="1" customWidth="1"/>
    <col min="12300" max="12300" width="11.28515625" style="434" bestFit="1" customWidth="1"/>
    <col min="12301" max="12301" width="12.28515625" style="434" customWidth="1"/>
    <col min="12302" max="12302" width="22.28515625" style="434" customWidth="1"/>
    <col min="12303" max="12303" width="16.7109375" style="434" customWidth="1"/>
    <col min="12304" max="12544" width="9.140625" style="434"/>
    <col min="12545" max="12545" width="4.42578125" style="434" customWidth="1"/>
    <col min="12546" max="12546" width="43.42578125" style="434" customWidth="1"/>
    <col min="12547" max="12547" width="14.42578125" style="434" customWidth="1"/>
    <col min="12548" max="12548" width="5.7109375" style="434" customWidth="1"/>
    <col min="12549" max="12549" width="6.7109375" style="434" customWidth="1"/>
    <col min="12550" max="12550" width="14.140625" style="434" bestFit="1" customWidth="1"/>
    <col min="12551" max="12551" width="12.28515625" style="434" customWidth="1"/>
    <col min="12552" max="12552" width="6.7109375" style="434" customWidth="1"/>
    <col min="12553" max="12553" width="11.28515625" style="434" bestFit="1" customWidth="1"/>
    <col min="12554" max="12554" width="12.28515625" style="434" customWidth="1"/>
    <col min="12555" max="12555" width="6.5703125" style="434" bestFit="1" customWidth="1"/>
    <col min="12556" max="12556" width="11.28515625" style="434" bestFit="1" customWidth="1"/>
    <col min="12557" max="12557" width="12.28515625" style="434" customWidth="1"/>
    <col min="12558" max="12558" width="22.28515625" style="434" customWidth="1"/>
    <col min="12559" max="12559" width="16.7109375" style="434" customWidth="1"/>
    <col min="12560" max="12800" width="9.140625" style="434"/>
    <col min="12801" max="12801" width="4.42578125" style="434" customWidth="1"/>
    <col min="12802" max="12802" width="43.42578125" style="434" customWidth="1"/>
    <col min="12803" max="12803" width="14.42578125" style="434" customWidth="1"/>
    <col min="12804" max="12804" width="5.7109375" style="434" customWidth="1"/>
    <col min="12805" max="12805" width="6.7109375" style="434" customWidth="1"/>
    <col min="12806" max="12806" width="14.140625" style="434" bestFit="1" customWidth="1"/>
    <col min="12807" max="12807" width="12.28515625" style="434" customWidth="1"/>
    <col min="12808" max="12808" width="6.7109375" style="434" customWidth="1"/>
    <col min="12809" max="12809" width="11.28515625" style="434" bestFit="1" customWidth="1"/>
    <col min="12810" max="12810" width="12.28515625" style="434" customWidth="1"/>
    <col min="12811" max="12811" width="6.5703125" style="434" bestFit="1" customWidth="1"/>
    <col min="12812" max="12812" width="11.28515625" style="434" bestFit="1" customWidth="1"/>
    <col min="12813" max="12813" width="12.28515625" style="434" customWidth="1"/>
    <col min="12814" max="12814" width="22.28515625" style="434" customWidth="1"/>
    <col min="12815" max="12815" width="16.7109375" style="434" customWidth="1"/>
    <col min="12816" max="13056" width="9.140625" style="434"/>
    <col min="13057" max="13057" width="4.42578125" style="434" customWidth="1"/>
    <col min="13058" max="13058" width="43.42578125" style="434" customWidth="1"/>
    <col min="13059" max="13059" width="14.42578125" style="434" customWidth="1"/>
    <col min="13060" max="13060" width="5.7109375" style="434" customWidth="1"/>
    <col min="13061" max="13061" width="6.7109375" style="434" customWidth="1"/>
    <col min="13062" max="13062" width="14.140625" style="434" bestFit="1" customWidth="1"/>
    <col min="13063" max="13063" width="12.28515625" style="434" customWidth="1"/>
    <col min="13064" max="13064" width="6.7109375" style="434" customWidth="1"/>
    <col min="13065" max="13065" width="11.28515625" style="434" bestFit="1" customWidth="1"/>
    <col min="13066" max="13066" width="12.28515625" style="434" customWidth="1"/>
    <col min="13067" max="13067" width="6.5703125" style="434" bestFit="1" customWidth="1"/>
    <col min="13068" max="13068" width="11.28515625" style="434" bestFit="1" customWidth="1"/>
    <col min="13069" max="13069" width="12.28515625" style="434" customWidth="1"/>
    <col min="13070" max="13070" width="22.28515625" style="434" customWidth="1"/>
    <col min="13071" max="13071" width="16.7109375" style="434" customWidth="1"/>
    <col min="13072" max="13312" width="9.140625" style="434"/>
    <col min="13313" max="13313" width="4.42578125" style="434" customWidth="1"/>
    <col min="13314" max="13314" width="43.42578125" style="434" customWidth="1"/>
    <col min="13315" max="13315" width="14.42578125" style="434" customWidth="1"/>
    <col min="13316" max="13316" width="5.7109375" style="434" customWidth="1"/>
    <col min="13317" max="13317" width="6.7109375" style="434" customWidth="1"/>
    <col min="13318" max="13318" width="14.140625" style="434" bestFit="1" customWidth="1"/>
    <col min="13319" max="13319" width="12.28515625" style="434" customWidth="1"/>
    <col min="13320" max="13320" width="6.7109375" style="434" customWidth="1"/>
    <col min="13321" max="13321" width="11.28515625" style="434" bestFit="1" customWidth="1"/>
    <col min="13322" max="13322" width="12.28515625" style="434" customWidth="1"/>
    <col min="13323" max="13323" width="6.5703125" style="434" bestFit="1" customWidth="1"/>
    <col min="13324" max="13324" width="11.28515625" style="434" bestFit="1" customWidth="1"/>
    <col min="13325" max="13325" width="12.28515625" style="434" customWidth="1"/>
    <col min="13326" max="13326" width="22.28515625" style="434" customWidth="1"/>
    <col min="13327" max="13327" width="16.7109375" style="434" customWidth="1"/>
    <col min="13328" max="13568" width="9.140625" style="434"/>
    <col min="13569" max="13569" width="4.42578125" style="434" customWidth="1"/>
    <col min="13570" max="13570" width="43.42578125" style="434" customWidth="1"/>
    <col min="13571" max="13571" width="14.42578125" style="434" customWidth="1"/>
    <col min="13572" max="13572" width="5.7109375" style="434" customWidth="1"/>
    <col min="13573" max="13573" width="6.7109375" style="434" customWidth="1"/>
    <col min="13574" max="13574" width="14.140625" style="434" bestFit="1" customWidth="1"/>
    <col min="13575" max="13575" width="12.28515625" style="434" customWidth="1"/>
    <col min="13576" max="13576" width="6.7109375" style="434" customWidth="1"/>
    <col min="13577" max="13577" width="11.28515625" style="434" bestFit="1" customWidth="1"/>
    <col min="13578" max="13578" width="12.28515625" style="434" customWidth="1"/>
    <col min="13579" max="13579" width="6.5703125" style="434" bestFit="1" customWidth="1"/>
    <col min="13580" max="13580" width="11.28515625" style="434" bestFit="1" customWidth="1"/>
    <col min="13581" max="13581" width="12.28515625" style="434" customWidth="1"/>
    <col min="13582" max="13582" width="22.28515625" style="434" customWidth="1"/>
    <col min="13583" max="13583" width="16.7109375" style="434" customWidth="1"/>
    <col min="13584" max="13824" width="9.140625" style="434"/>
    <col min="13825" max="13825" width="4.42578125" style="434" customWidth="1"/>
    <col min="13826" max="13826" width="43.42578125" style="434" customWidth="1"/>
    <col min="13827" max="13827" width="14.42578125" style="434" customWidth="1"/>
    <col min="13828" max="13828" width="5.7109375" style="434" customWidth="1"/>
    <col min="13829" max="13829" width="6.7109375" style="434" customWidth="1"/>
    <col min="13830" max="13830" width="14.140625" style="434" bestFit="1" customWidth="1"/>
    <col min="13831" max="13831" width="12.28515625" style="434" customWidth="1"/>
    <col min="13832" max="13832" width="6.7109375" style="434" customWidth="1"/>
    <col min="13833" max="13833" width="11.28515625" style="434" bestFit="1" customWidth="1"/>
    <col min="13834" max="13834" width="12.28515625" style="434" customWidth="1"/>
    <col min="13835" max="13835" width="6.5703125" style="434" bestFit="1" customWidth="1"/>
    <col min="13836" max="13836" width="11.28515625" style="434" bestFit="1" customWidth="1"/>
    <col min="13837" max="13837" width="12.28515625" style="434" customWidth="1"/>
    <col min="13838" max="13838" width="22.28515625" style="434" customWidth="1"/>
    <col min="13839" max="13839" width="16.7109375" style="434" customWidth="1"/>
    <col min="13840" max="14080" width="9.140625" style="434"/>
    <col min="14081" max="14081" width="4.42578125" style="434" customWidth="1"/>
    <col min="14082" max="14082" width="43.42578125" style="434" customWidth="1"/>
    <col min="14083" max="14083" width="14.42578125" style="434" customWidth="1"/>
    <col min="14084" max="14084" width="5.7109375" style="434" customWidth="1"/>
    <col min="14085" max="14085" width="6.7109375" style="434" customWidth="1"/>
    <col min="14086" max="14086" width="14.140625" style="434" bestFit="1" customWidth="1"/>
    <col min="14087" max="14087" width="12.28515625" style="434" customWidth="1"/>
    <col min="14088" max="14088" width="6.7109375" style="434" customWidth="1"/>
    <col min="14089" max="14089" width="11.28515625" style="434" bestFit="1" customWidth="1"/>
    <col min="14090" max="14090" width="12.28515625" style="434" customWidth="1"/>
    <col min="14091" max="14091" width="6.5703125" style="434" bestFit="1" customWidth="1"/>
    <col min="14092" max="14092" width="11.28515625" style="434" bestFit="1" customWidth="1"/>
    <col min="14093" max="14093" width="12.28515625" style="434" customWidth="1"/>
    <col min="14094" max="14094" width="22.28515625" style="434" customWidth="1"/>
    <col min="14095" max="14095" width="16.7109375" style="434" customWidth="1"/>
    <col min="14096" max="14336" width="9.140625" style="434"/>
    <col min="14337" max="14337" width="4.42578125" style="434" customWidth="1"/>
    <col min="14338" max="14338" width="43.42578125" style="434" customWidth="1"/>
    <col min="14339" max="14339" width="14.42578125" style="434" customWidth="1"/>
    <col min="14340" max="14340" width="5.7109375" style="434" customWidth="1"/>
    <col min="14341" max="14341" width="6.7109375" style="434" customWidth="1"/>
    <col min="14342" max="14342" width="14.140625" style="434" bestFit="1" customWidth="1"/>
    <col min="14343" max="14343" width="12.28515625" style="434" customWidth="1"/>
    <col min="14344" max="14344" width="6.7109375" style="434" customWidth="1"/>
    <col min="14345" max="14345" width="11.28515625" style="434" bestFit="1" customWidth="1"/>
    <col min="14346" max="14346" width="12.28515625" style="434" customWidth="1"/>
    <col min="14347" max="14347" width="6.5703125" style="434" bestFit="1" customWidth="1"/>
    <col min="14348" max="14348" width="11.28515625" style="434" bestFit="1" customWidth="1"/>
    <col min="14349" max="14349" width="12.28515625" style="434" customWidth="1"/>
    <col min="14350" max="14350" width="22.28515625" style="434" customWidth="1"/>
    <col min="14351" max="14351" width="16.7109375" style="434" customWidth="1"/>
    <col min="14352" max="14592" width="9.140625" style="434"/>
    <col min="14593" max="14593" width="4.42578125" style="434" customWidth="1"/>
    <col min="14594" max="14594" width="43.42578125" style="434" customWidth="1"/>
    <col min="14595" max="14595" width="14.42578125" style="434" customWidth="1"/>
    <col min="14596" max="14596" width="5.7109375" style="434" customWidth="1"/>
    <col min="14597" max="14597" width="6.7109375" style="434" customWidth="1"/>
    <col min="14598" max="14598" width="14.140625" style="434" bestFit="1" customWidth="1"/>
    <col min="14599" max="14599" width="12.28515625" style="434" customWidth="1"/>
    <col min="14600" max="14600" width="6.7109375" style="434" customWidth="1"/>
    <col min="14601" max="14601" width="11.28515625" style="434" bestFit="1" customWidth="1"/>
    <col min="14602" max="14602" width="12.28515625" style="434" customWidth="1"/>
    <col min="14603" max="14603" width="6.5703125" style="434" bestFit="1" customWidth="1"/>
    <col min="14604" max="14604" width="11.28515625" style="434" bestFit="1" customWidth="1"/>
    <col min="14605" max="14605" width="12.28515625" style="434" customWidth="1"/>
    <col min="14606" max="14606" width="22.28515625" style="434" customWidth="1"/>
    <col min="14607" max="14607" width="16.7109375" style="434" customWidth="1"/>
    <col min="14608" max="14848" width="9.140625" style="434"/>
    <col min="14849" max="14849" width="4.42578125" style="434" customWidth="1"/>
    <col min="14850" max="14850" width="43.42578125" style="434" customWidth="1"/>
    <col min="14851" max="14851" width="14.42578125" style="434" customWidth="1"/>
    <col min="14852" max="14852" width="5.7109375" style="434" customWidth="1"/>
    <col min="14853" max="14853" width="6.7109375" style="434" customWidth="1"/>
    <col min="14854" max="14854" width="14.140625" style="434" bestFit="1" customWidth="1"/>
    <col min="14855" max="14855" width="12.28515625" style="434" customWidth="1"/>
    <col min="14856" max="14856" width="6.7109375" style="434" customWidth="1"/>
    <col min="14857" max="14857" width="11.28515625" style="434" bestFit="1" customWidth="1"/>
    <col min="14858" max="14858" width="12.28515625" style="434" customWidth="1"/>
    <col min="14859" max="14859" width="6.5703125" style="434" bestFit="1" customWidth="1"/>
    <col min="14860" max="14860" width="11.28515625" style="434" bestFit="1" customWidth="1"/>
    <col min="14861" max="14861" width="12.28515625" style="434" customWidth="1"/>
    <col min="14862" max="14862" width="22.28515625" style="434" customWidth="1"/>
    <col min="14863" max="14863" width="16.7109375" style="434" customWidth="1"/>
    <col min="14864" max="15104" width="9.140625" style="434"/>
    <col min="15105" max="15105" width="4.42578125" style="434" customWidth="1"/>
    <col min="15106" max="15106" width="43.42578125" style="434" customWidth="1"/>
    <col min="15107" max="15107" width="14.42578125" style="434" customWidth="1"/>
    <col min="15108" max="15108" width="5.7109375" style="434" customWidth="1"/>
    <col min="15109" max="15109" width="6.7109375" style="434" customWidth="1"/>
    <col min="15110" max="15110" width="14.140625" style="434" bestFit="1" customWidth="1"/>
    <col min="15111" max="15111" width="12.28515625" style="434" customWidth="1"/>
    <col min="15112" max="15112" width="6.7109375" style="434" customWidth="1"/>
    <col min="15113" max="15113" width="11.28515625" style="434" bestFit="1" customWidth="1"/>
    <col min="15114" max="15114" width="12.28515625" style="434" customWidth="1"/>
    <col min="15115" max="15115" width="6.5703125" style="434" bestFit="1" customWidth="1"/>
    <col min="15116" max="15116" width="11.28515625" style="434" bestFit="1" customWidth="1"/>
    <col min="15117" max="15117" width="12.28515625" style="434" customWidth="1"/>
    <col min="15118" max="15118" width="22.28515625" style="434" customWidth="1"/>
    <col min="15119" max="15119" width="16.7109375" style="434" customWidth="1"/>
    <col min="15120" max="15360" width="9.140625" style="434"/>
    <col min="15361" max="15361" width="4.42578125" style="434" customWidth="1"/>
    <col min="15362" max="15362" width="43.42578125" style="434" customWidth="1"/>
    <col min="15363" max="15363" width="14.42578125" style="434" customWidth="1"/>
    <col min="15364" max="15364" width="5.7109375" style="434" customWidth="1"/>
    <col min="15365" max="15365" width="6.7109375" style="434" customWidth="1"/>
    <col min="15366" max="15366" width="14.140625" style="434" bestFit="1" customWidth="1"/>
    <col min="15367" max="15367" width="12.28515625" style="434" customWidth="1"/>
    <col min="15368" max="15368" width="6.7109375" style="434" customWidth="1"/>
    <col min="15369" max="15369" width="11.28515625" style="434" bestFit="1" customWidth="1"/>
    <col min="15370" max="15370" width="12.28515625" style="434" customWidth="1"/>
    <col min="15371" max="15371" width="6.5703125" style="434" bestFit="1" customWidth="1"/>
    <col min="15372" max="15372" width="11.28515625" style="434" bestFit="1" customWidth="1"/>
    <col min="15373" max="15373" width="12.28515625" style="434" customWidth="1"/>
    <col min="15374" max="15374" width="22.28515625" style="434" customWidth="1"/>
    <col min="15375" max="15375" width="16.7109375" style="434" customWidth="1"/>
    <col min="15376" max="15616" width="9.140625" style="434"/>
    <col min="15617" max="15617" width="4.42578125" style="434" customWidth="1"/>
    <col min="15618" max="15618" width="43.42578125" style="434" customWidth="1"/>
    <col min="15619" max="15619" width="14.42578125" style="434" customWidth="1"/>
    <col min="15620" max="15620" width="5.7109375" style="434" customWidth="1"/>
    <col min="15621" max="15621" width="6.7109375" style="434" customWidth="1"/>
    <col min="15622" max="15622" width="14.140625" style="434" bestFit="1" customWidth="1"/>
    <col min="15623" max="15623" width="12.28515625" style="434" customWidth="1"/>
    <col min="15624" max="15624" width="6.7109375" style="434" customWidth="1"/>
    <col min="15625" max="15625" width="11.28515625" style="434" bestFit="1" customWidth="1"/>
    <col min="15626" max="15626" width="12.28515625" style="434" customWidth="1"/>
    <col min="15627" max="15627" width="6.5703125" style="434" bestFit="1" customWidth="1"/>
    <col min="15628" max="15628" width="11.28515625" style="434" bestFit="1" customWidth="1"/>
    <col min="15629" max="15629" width="12.28515625" style="434" customWidth="1"/>
    <col min="15630" max="15630" width="22.28515625" style="434" customWidth="1"/>
    <col min="15631" max="15631" width="16.7109375" style="434" customWidth="1"/>
    <col min="15632" max="15872" width="9.140625" style="434"/>
    <col min="15873" max="15873" width="4.42578125" style="434" customWidth="1"/>
    <col min="15874" max="15874" width="43.42578125" style="434" customWidth="1"/>
    <col min="15875" max="15875" width="14.42578125" style="434" customWidth="1"/>
    <col min="15876" max="15876" width="5.7109375" style="434" customWidth="1"/>
    <col min="15877" max="15877" width="6.7109375" style="434" customWidth="1"/>
    <col min="15878" max="15878" width="14.140625" style="434" bestFit="1" customWidth="1"/>
    <col min="15879" max="15879" width="12.28515625" style="434" customWidth="1"/>
    <col min="15880" max="15880" width="6.7109375" style="434" customWidth="1"/>
    <col min="15881" max="15881" width="11.28515625" style="434" bestFit="1" customWidth="1"/>
    <col min="15882" max="15882" width="12.28515625" style="434" customWidth="1"/>
    <col min="15883" max="15883" width="6.5703125" style="434" bestFit="1" customWidth="1"/>
    <col min="15884" max="15884" width="11.28515625" style="434" bestFit="1" customWidth="1"/>
    <col min="15885" max="15885" width="12.28515625" style="434" customWidth="1"/>
    <col min="15886" max="15886" width="22.28515625" style="434" customWidth="1"/>
    <col min="15887" max="15887" width="16.7109375" style="434" customWidth="1"/>
    <col min="15888" max="16128" width="9.140625" style="434"/>
    <col min="16129" max="16129" width="4.42578125" style="434" customWidth="1"/>
    <col min="16130" max="16130" width="43.42578125" style="434" customWidth="1"/>
    <col min="16131" max="16131" width="14.42578125" style="434" customWidth="1"/>
    <col min="16132" max="16132" width="5.7109375" style="434" customWidth="1"/>
    <col min="16133" max="16133" width="6.7109375" style="434" customWidth="1"/>
    <col min="16134" max="16134" width="14.140625" style="434" bestFit="1" customWidth="1"/>
    <col min="16135" max="16135" width="12.28515625" style="434" customWidth="1"/>
    <col min="16136" max="16136" width="6.7109375" style="434" customWidth="1"/>
    <col min="16137" max="16137" width="11.28515625" style="434" bestFit="1" customWidth="1"/>
    <col min="16138" max="16138" width="12.28515625" style="434" customWidth="1"/>
    <col min="16139" max="16139" width="6.5703125" style="434" bestFit="1" customWidth="1"/>
    <col min="16140" max="16140" width="11.28515625" style="434" bestFit="1" customWidth="1"/>
    <col min="16141" max="16141" width="12.28515625" style="434" customWidth="1"/>
    <col min="16142" max="16142" width="22.28515625" style="434" customWidth="1"/>
    <col min="16143" max="16143" width="16.7109375" style="434" customWidth="1"/>
    <col min="16144" max="16384" width="9.140625" style="434"/>
  </cols>
  <sheetData>
    <row r="1" spans="1:14" ht="22.5" customHeight="1">
      <c r="B1" s="432"/>
      <c r="C1" s="3072" t="s">
        <v>1516</v>
      </c>
      <c r="D1" s="3072"/>
      <c r="E1" s="3072"/>
      <c r="F1" s="3072"/>
      <c r="G1" s="433"/>
      <c r="H1" s="432"/>
      <c r="I1" s="432"/>
      <c r="J1" s="432"/>
    </row>
    <row r="2" spans="1:14" ht="10.5" customHeight="1">
      <c r="B2" s="432"/>
      <c r="C2" s="435"/>
      <c r="D2" s="432"/>
      <c r="E2" s="436"/>
      <c r="F2" s="436"/>
      <c r="G2" s="436"/>
      <c r="H2" s="432"/>
      <c r="I2" s="432"/>
      <c r="J2" s="432"/>
    </row>
    <row r="3" spans="1:14" ht="30.75" customHeight="1">
      <c r="B3" s="3073" t="s">
        <v>1517</v>
      </c>
      <c r="C3" s="3073"/>
      <c r="D3" s="3073"/>
      <c r="E3" s="3073"/>
      <c r="F3" s="3073"/>
      <c r="G3" s="3073"/>
      <c r="H3" s="3073"/>
      <c r="I3" s="3073"/>
      <c r="J3" s="3073"/>
    </row>
    <row r="4" spans="1:14" ht="12.75" customHeight="1">
      <c r="A4" s="23"/>
      <c r="B4" s="23"/>
      <c r="C4" s="23"/>
      <c r="D4" s="23"/>
      <c r="E4" s="23"/>
      <c r="F4" s="23"/>
      <c r="G4" s="23"/>
      <c r="H4" s="23"/>
      <c r="I4" s="23"/>
      <c r="J4" s="23"/>
    </row>
    <row r="5" spans="1:14" ht="19.5" customHeight="1">
      <c r="A5" s="437"/>
      <c r="B5" s="438"/>
      <c r="C5" s="439"/>
      <c r="D5" s="438"/>
      <c r="E5" s="438"/>
      <c r="F5" s="438"/>
      <c r="G5" s="438"/>
      <c r="H5" s="440"/>
      <c r="I5" s="3073" t="s">
        <v>89</v>
      </c>
      <c r="J5" s="3073"/>
      <c r="K5" s="406"/>
      <c r="L5" s="406"/>
      <c r="M5" s="406"/>
    </row>
    <row r="6" spans="1:14" ht="9.75" customHeight="1">
      <c r="A6" s="437"/>
      <c r="B6" s="438"/>
      <c r="C6" s="437"/>
      <c r="D6" s="438"/>
      <c r="E6" s="438"/>
      <c r="F6" s="438"/>
      <c r="G6" s="438"/>
      <c r="H6" s="440"/>
      <c r="I6" s="441"/>
      <c r="J6" s="441"/>
    </row>
    <row r="7" spans="1:14" ht="33" customHeight="1">
      <c r="A7" s="3051" t="s">
        <v>1420</v>
      </c>
      <c r="B7" s="3051" t="s">
        <v>3</v>
      </c>
      <c r="C7" s="3052" t="s">
        <v>1421</v>
      </c>
      <c r="D7" s="3051" t="s">
        <v>5</v>
      </c>
      <c r="E7" s="3066" t="s">
        <v>1422</v>
      </c>
      <c r="F7" s="3066"/>
      <c r="G7" s="3066"/>
      <c r="H7" s="3066" t="s">
        <v>1518</v>
      </c>
      <c r="I7" s="3066"/>
      <c r="J7" s="3066"/>
      <c r="K7" s="3066" t="s">
        <v>94</v>
      </c>
      <c r="L7" s="3066"/>
      <c r="M7" s="3066"/>
    </row>
    <row r="8" spans="1:14" s="442" customFormat="1" ht="17.25" customHeight="1">
      <c r="A8" s="3051"/>
      <c r="B8" s="3051"/>
      <c r="C8" s="3053"/>
      <c r="D8" s="3051"/>
      <c r="E8" s="411" t="s">
        <v>95</v>
      </c>
      <c r="F8" s="411" t="s">
        <v>96</v>
      </c>
      <c r="G8" s="392" t="s">
        <v>10</v>
      </c>
      <c r="H8" s="411" t="s">
        <v>95</v>
      </c>
      <c r="I8" s="411" t="s">
        <v>96</v>
      </c>
      <c r="J8" s="392" t="s">
        <v>10</v>
      </c>
      <c r="K8" s="344" t="s">
        <v>95</v>
      </c>
      <c r="L8" s="344" t="s">
        <v>96</v>
      </c>
      <c r="M8" s="344" t="s">
        <v>10</v>
      </c>
    </row>
    <row r="9" spans="1:14" s="442" customFormat="1" ht="15.75">
      <c r="A9" s="443">
        <v>1</v>
      </c>
      <c r="B9" s="443">
        <v>2</v>
      </c>
      <c r="C9" s="411">
        <v>3</v>
      </c>
      <c r="D9" s="443">
        <v>4</v>
      </c>
      <c r="E9" s="444">
        <v>5</v>
      </c>
      <c r="F9" s="444">
        <v>6</v>
      </c>
      <c r="G9" s="444">
        <v>7</v>
      </c>
      <c r="H9" s="444">
        <v>8</v>
      </c>
      <c r="I9" s="444">
        <v>9</v>
      </c>
      <c r="J9" s="444">
        <v>10</v>
      </c>
      <c r="K9" s="444">
        <v>11</v>
      </c>
      <c r="L9" s="444">
        <v>12</v>
      </c>
      <c r="M9" s="444">
        <v>13</v>
      </c>
    </row>
    <row r="10" spans="1:14" ht="18.75" customHeight="1">
      <c r="A10" s="1098">
        <v>1</v>
      </c>
      <c r="B10" s="1097" t="s">
        <v>1424</v>
      </c>
      <c r="C10" s="1088">
        <v>7130800033</v>
      </c>
      <c r="D10" s="1098" t="s">
        <v>12</v>
      </c>
      <c r="E10" s="1136">
        <v>10</v>
      </c>
      <c r="F10" s="1090">
        <f>VLOOKUP(C10,'SOR RATE'!A196:D196,4,0)</f>
        <v>4451.53</v>
      </c>
      <c r="G10" s="1090">
        <f>F10*E10</f>
        <v>44515.299999999996</v>
      </c>
      <c r="H10" s="1090"/>
      <c r="I10" s="1090"/>
      <c r="J10" s="1090"/>
      <c r="K10" s="1157"/>
      <c r="L10" s="1157"/>
      <c r="M10" s="1157"/>
    </row>
    <row r="11" spans="1:14" ht="36" customHeight="1">
      <c r="A11" s="1088">
        <v>2</v>
      </c>
      <c r="B11" s="1097" t="s">
        <v>1519</v>
      </c>
      <c r="C11" s="1088">
        <v>7130601958</v>
      </c>
      <c r="D11" s="1098" t="s">
        <v>26</v>
      </c>
      <c r="E11" s="1136"/>
      <c r="F11" s="1090"/>
      <c r="G11" s="1090"/>
      <c r="H11" s="1136">
        <v>4823</v>
      </c>
      <c r="I11" s="1135">
        <f>VLOOKUP(C11,'SOR RATE'!A:D,4,0)/1000</f>
        <v>64.326520000000002</v>
      </c>
      <c r="J11" s="1090">
        <f>I11*H11</f>
        <v>310246.80596000003</v>
      </c>
      <c r="K11" s="1157"/>
      <c r="L11" s="1157"/>
      <c r="M11" s="1157"/>
    </row>
    <row r="12" spans="1:14" ht="20.25" customHeight="1">
      <c r="A12" s="1088">
        <v>3</v>
      </c>
      <c r="B12" s="1097" t="s">
        <v>98</v>
      </c>
      <c r="C12" s="1088">
        <v>7130800002</v>
      </c>
      <c r="D12" s="1098" t="s">
        <v>12</v>
      </c>
      <c r="E12" s="1136"/>
      <c r="F12" s="1090"/>
      <c r="G12" s="1090"/>
      <c r="H12" s="1136"/>
      <c r="I12" s="1135"/>
      <c r="J12" s="1090"/>
      <c r="K12" s="1158">
        <v>10</v>
      </c>
      <c r="L12" s="1135">
        <f>VLOOKUP(C12,'SOR RATE'!A:D,4,0)</f>
        <v>7656.89</v>
      </c>
      <c r="M12" s="1135">
        <f>K12*L12</f>
        <v>76568.900000000009</v>
      </c>
      <c r="N12" s="445"/>
    </row>
    <row r="13" spans="1:14" ht="18.75" customHeight="1">
      <c r="A13" s="1088">
        <v>4</v>
      </c>
      <c r="B13" s="1097" t="s">
        <v>1427</v>
      </c>
      <c r="C13" s="1088">
        <v>7130810595</v>
      </c>
      <c r="D13" s="1098" t="s">
        <v>12</v>
      </c>
      <c r="E13" s="1136">
        <v>10</v>
      </c>
      <c r="F13" s="1090">
        <f>VLOOKUP(C13,'SOR RATE'!A:D,4,0)</f>
        <v>3070.95</v>
      </c>
      <c r="G13" s="1090">
        <f>F13*E13</f>
        <v>30709.5</v>
      </c>
      <c r="H13" s="1136">
        <v>10</v>
      </c>
      <c r="I13" s="1135">
        <f>VLOOKUP(C13,'SOR RATE'!A:D,4,0)</f>
        <v>3070.95</v>
      </c>
      <c r="J13" s="1090">
        <f>I13*H13</f>
        <v>30709.5</v>
      </c>
      <c r="K13" s="1158">
        <v>10</v>
      </c>
      <c r="L13" s="1135">
        <f>VLOOKUP(C13,'SOR RATE'!A:D,4,0)</f>
        <v>3070.95</v>
      </c>
      <c r="M13" s="1135">
        <f>K13*L13</f>
        <v>30709.5</v>
      </c>
    </row>
    <row r="14" spans="1:14" ht="18.75" customHeight="1">
      <c r="A14" s="3067">
        <v>5</v>
      </c>
      <c r="B14" s="1097" t="s">
        <v>99</v>
      </c>
      <c r="C14" s="1159"/>
      <c r="D14" s="1159"/>
      <c r="E14" s="1160"/>
      <c r="F14" s="1160"/>
      <c r="G14" s="1160"/>
      <c r="H14" s="1160"/>
      <c r="I14" s="1160"/>
      <c r="J14" s="1161"/>
      <c r="K14" s="1158"/>
      <c r="L14" s="1135"/>
      <c r="M14" s="1135"/>
    </row>
    <row r="15" spans="1:14" ht="18.75" customHeight="1">
      <c r="A15" s="3068"/>
      <c r="B15" s="1100" t="s">
        <v>1479</v>
      </c>
      <c r="C15" s="1101">
        <v>7130810193</v>
      </c>
      <c r="D15" s="454" t="s">
        <v>15</v>
      </c>
      <c r="E15" s="1162">
        <v>10</v>
      </c>
      <c r="F15" s="1103">
        <f>VLOOKUP(C15,'SOR RATE'!A:D,4,0)</f>
        <v>369.79</v>
      </c>
      <c r="G15" s="1103">
        <f>F15*E15</f>
        <v>3697.9</v>
      </c>
      <c r="H15" s="1162"/>
      <c r="I15" s="1103"/>
      <c r="J15" s="1103"/>
      <c r="K15" s="1163">
        <v>10</v>
      </c>
      <c r="L15" s="1164">
        <f>VLOOKUP(C15,'SOR RATE'!A:D,4,0)</f>
        <v>369.79</v>
      </c>
      <c r="M15" s="1164">
        <f>K15*L15</f>
        <v>3697.9</v>
      </c>
    </row>
    <row r="16" spans="1:14" ht="18.75" customHeight="1">
      <c r="A16" s="3068"/>
      <c r="B16" s="1097" t="s">
        <v>1520</v>
      </c>
      <c r="C16" s="1088">
        <v>7130810692</v>
      </c>
      <c r="D16" s="1098" t="s">
        <v>15</v>
      </c>
      <c r="E16" s="1136"/>
      <c r="F16" s="1090"/>
      <c r="G16" s="1090"/>
      <c r="H16" s="1136">
        <v>10</v>
      </c>
      <c r="I16" s="1135">
        <f>VLOOKUP(C16,'SOR RATE'!A:D,4,0)</f>
        <v>410.25</v>
      </c>
      <c r="J16" s="1090">
        <f t="shared" ref="J16:J22" si="0">I16*H16</f>
        <v>4102.5</v>
      </c>
      <c r="K16" s="1135"/>
      <c r="L16" s="1135"/>
      <c r="M16" s="1135"/>
    </row>
    <row r="17" spans="1:17" ht="18.75" customHeight="1">
      <c r="A17" s="1088">
        <v>6</v>
      </c>
      <c r="B17" s="1097" t="s">
        <v>1430</v>
      </c>
      <c r="C17" s="1088">
        <v>7130810676</v>
      </c>
      <c r="D17" s="1098" t="s">
        <v>12</v>
      </c>
      <c r="E17" s="1136">
        <v>10</v>
      </c>
      <c r="F17" s="1090">
        <f>VLOOKUP(C17,'SOR RATE'!A:D,4,0)</f>
        <v>510.95</v>
      </c>
      <c r="G17" s="1090">
        <f>F17*E17</f>
        <v>5109.5</v>
      </c>
      <c r="H17" s="1136">
        <v>10</v>
      </c>
      <c r="I17" s="1135">
        <f>VLOOKUP(C17,'SOR RATE'!A:D,4,0)</f>
        <v>510.95</v>
      </c>
      <c r="J17" s="1090">
        <f t="shared" si="0"/>
        <v>5109.5</v>
      </c>
      <c r="K17" s="1158">
        <v>10</v>
      </c>
      <c r="L17" s="1135">
        <f>VLOOKUP(C17,'SOR RATE'!A:D,4,0)</f>
        <v>510.95</v>
      </c>
      <c r="M17" s="1135">
        <f t="shared" ref="M17:M22" si="1">K17*L17</f>
        <v>5109.5</v>
      </c>
    </row>
    <row r="18" spans="1:17" ht="34.5" customHeight="1">
      <c r="A18" s="1088">
        <v>7</v>
      </c>
      <c r="B18" s="1097" t="s">
        <v>1431</v>
      </c>
      <c r="C18" s="1088">
        <v>7130870013</v>
      </c>
      <c r="D18" s="1098" t="s">
        <v>12</v>
      </c>
      <c r="E18" s="1136">
        <v>10</v>
      </c>
      <c r="F18" s="1090">
        <f>VLOOKUP(C18,'SOR RATE'!A:D,4,0)</f>
        <v>152.88999999999999</v>
      </c>
      <c r="G18" s="1090">
        <f>F18*E18</f>
        <v>1528.8999999999999</v>
      </c>
      <c r="H18" s="1136">
        <v>10</v>
      </c>
      <c r="I18" s="1135">
        <f>VLOOKUP(C18,'SOR RATE'!A:D,4,0)</f>
        <v>152.88999999999999</v>
      </c>
      <c r="J18" s="1090">
        <f t="shared" si="0"/>
        <v>1528.8999999999999</v>
      </c>
      <c r="K18" s="1158">
        <v>10</v>
      </c>
      <c r="L18" s="1135">
        <f>VLOOKUP(C18,'SOR RATE'!A:D,4,0)</f>
        <v>152.88999999999999</v>
      </c>
      <c r="M18" s="1135">
        <f t="shared" si="1"/>
        <v>1528.8999999999999</v>
      </c>
    </row>
    <row r="19" spans="1:17" ht="20.25" customHeight="1">
      <c r="A19" s="1088">
        <v>8</v>
      </c>
      <c r="B19" s="1097" t="s">
        <v>1432</v>
      </c>
      <c r="C19" s="1088">
        <v>7130820009</v>
      </c>
      <c r="D19" s="1098" t="s">
        <v>12</v>
      </c>
      <c r="E19" s="1136">
        <v>30</v>
      </c>
      <c r="F19" s="1090">
        <f>VLOOKUP(C19,'SOR RATE'!A:D,4,0)</f>
        <v>288.23</v>
      </c>
      <c r="G19" s="1090">
        <f>F19*E19</f>
        <v>8646.9000000000015</v>
      </c>
      <c r="H19" s="1136">
        <v>30</v>
      </c>
      <c r="I19" s="1135">
        <f>VLOOKUP(C19,'SOR RATE'!A:D,4,0)</f>
        <v>288.23</v>
      </c>
      <c r="J19" s="1090">
        <f t="shared" si="0"/>
        <v>8646.9000000000015</v>
      </c>
      <c r="K19" s="1158">
        <v>30</v>
      </c>
      <c r="L19" s="1135">
        <f>VLOOKUP(C19,'SOR RATE'!A:D,4,0)</f>
        <v>288.23</v>
      </c>
      <c r="M19" s="1135">
        <f t="shared" si="1"/>
        <v>8646.9000000000015</v>
      </c>
      <c r="N19" s="174"/>
      <c r="O19" s="193"/>
    </row>
    <row r="20" spans="1:17" ht="34.5" customHeight="1">
      <c r="A20" s="1088">
        <v>9</v>
      </c>
      <c r="B20" s="1097" t="s">
        <v>1477</v>
      </c>
      <c r="C20" s="1088">
        <v>7130830063</v>
      </c>
      <c r="D20" s="1098" t="s">
        <v>21</v>
      </c>
      <c r="E20" s="1136">
        <v>3100</v>
      </c>
      <c r="F20" s="1090">
        <f>VLOOKUP(C20,'SOR RATE'!A:D,4,0)/1000</f>
        <v>92.285690000000002</v>
      </c>
      <c r="G20" s="1090">
        <f>E20*F20</f>
        <v>286085.63900000002</v>
      </c>
      <c r="H20" s="1136">
        <v>3100</v>
      </c>
      <c r="I20" s="1135">
        <f>VLOOKUP(C20,'SOR RATE'!A:D,4,0)/1000</f>
        <v>92.285690000000002</v>
      </c>
      <c r="J20" s="1090">
        <f t="shared" si="0"/>
        <v>286085.63900000002</v>
      </c>
      <c r="K20" s="1158">
        <v>3100</v>
      </c>
      <c r="L20" s="1135">
        <f>VLOOKUP(C20,'SOR RATE'!A:D,4,0)/1000</f>
        <v>92.285690000000002</v>
      </c>
      <c r="M20" s="1135">
        <f t="shared" si="1"/>
        <v>286085.63900000002</v>
      </c>
    </row>
    <row r="21" spans="1:17" ht="33.75" customHeight="1">
      <c r="A21" s="1088">
        <v>10</v>
      </c>
      <c r="B21" s="1097" t="s">
        <v>1521</v>
      </c>
      <c r="C21" s="1088">
        <v>7130830051</v>
      </c>
      <c r="D21" s="1098" t="s">
        <v>12</v>
      </c>
      <c r="E21" s="1136">
        <v>6</v>
      </c>
      <c r="F21" s="1090">
        <f>VLOOKUP(C21,'SOR RATE'!A:D,4,0)</f>
        <v>182.86</v>
      </c>
      <c r="G21" s="1090">
        <f>F21*E21</f>
        <v>1097.1600000000001</v>
      </c>
      <c r="H21" s="1136">
        <v>6</v>
      </c>
      <c r="I21" s="1135">
        <f>VLOOKUP(C21,'SOR RATE'!A:D,4,0)</f>
        <v>182.86</v>
      </c>
      <c r="J21" s="1090">
        <f t="shared" si="0"/>
        <v>1097.1600000000001</v>
      </c>
      <c r="K21" s="1158">
        <v>6</v>
      </c>
      <c r="L21" s="1135">
        <f>VLOOKUP(C21,'SOR RATE'!A:D,4,0)</f>
        <v>182.86</v>
      </c>
      <c r="M21" s="1135">
        <f t="shared" si="1"/>
        <v>1097.1600000000001</v>
      </c>
    </row>
    <row r="22" spans="1:17" ht="18.75" customHeight="1">
      <c r="A22" s="1088">
        <v>11</v>
      </c>
      <c r="B22" s="1097" t="s">
        <v>1522</v>
      </c>
      <c r="C22" s="1088">
        <v>7130860033</v>
      </c>
      <c r="D22" s="1098" t="s">
        <v>12</v>
      </c>
      <c r="E22" s="1136">
        <v>3</v>
      </c>
      <c r="F22" s="1090">
        <f>VLOOKUP(C22,'SOR RATE'!A:D,4,0)</f>
        <v>1031.6600000000001</v>
      </c>
      <c r="G22" s="1090">
        <f>F22*E22</f>
        <v>3094.9800000000005</v>
      </c>
      <c r="H22" s="1136">
        <v>3</v>
      </c>
      <c r="I22" s="1135">
        <f>VLOOKUP(C22,'SOR RATE'!A:D,4,0)</f>
        <v>1031.6600000000001</v>
      </c>
      <c r="J22" s="1090">
        <f t="shared" si="0"/>
        <v>3094.9800000000005</v>
      </c>
      <c r="K22" s="1158">
        <v>3</v>
      </c>
      <c r="L22" s="1135">
        <f>VLOOKUP(C22,'SOR RATE'!A:D,4,0)</f>
        <v>1031.6600000000001</v>
      </c>
      <c r="M22" s="1135">
        <f t="shared" si="1"/>
        <v>3094.9800000000005</v>
      </c>
    </row>
    <row r="23" spans="1:17" ht="18.75" customHeight="1">
      <c r="A23" s="3067">
        <v>12</v>
      </c>
      <c r="B23" s="1097" t="s">
        <v>178</v>
      </c>
      <c r="C23" s="1159"/>
      <c r="D23" s="1159"/>
      <c r="E23" s="1160"/>
      <c r="F23" s="1160"/>
      <c r="G23" s="1160"/>
      <c r="H23" s="1160"/>
      <c r="I23" s="1160"/>
      <c r="J23" s="1161"/>
      <c r="K23" s="1135"/>
      <c r="L23" s="1135"/>
      <c r="M23" s="1135"/>
    </row>
    <row r="24" spans="1:17" ht="18.75" customHeight="1">
      <c r="A24" s="3068"/>
      <c r="B24" s="1100" t="s">
        <v>1428</v>
      </c>
      <c r="C24" s="1101">
        <v>7130810193</v>
      </c>
      <c r="D24" s="454" t="s">
        <v>15</v>
      </c>
      <c r="E24" s="1162">
        <v>3</v>
      </c>
      <c r="F24" s="1103">
        <f>VLOOKUP(C24,'SOR RATE'!A:D,4,0)</f>
        <v>369.79</v>
      </c>
      <c r="G24" s="1103">
        <f>F24*E24</f>
        <v>1109.3700000000001</v>
      </c>
      <c r="H24" s="1162"/>
      <c r="I24" s="1103"/>
      <c r="J24" s="1103"/>
      <c r="K24" s="1163">
        <v>3</v>
      </c>
      <c r="L24" s="1164">
        <f>VLOOKUP(C24,'SOR RATE'!A:D,4,0)</f>
        <v>369.79</v>
      </c>
      <c r="M24" s="1164">
        <f>K24*L24</f>
        <v>1109.3700000000001</v>
      </c>
    </row>
    <row r="25" spans="1:17" ht="18.75" customHeight="1">
      <c r="A25" s="3068"/>
      <c r="B25" s="1097" t="s">
        <v>1429</v>
      </c>
      <c r="C25" s="1088">
        <v>7130810692</v>
      </c>
      <c r="D25" s="1098" t="s">
        <v>15</v>
      </c>
      <c r="E25" s="1090"/>
      <c r="F25" s="1090"/>
      <c r="G25" s="1090"/>
      <c r="H25" s="1136">
        <v>3</v>
      </c>
      <c r="I25" s="1135">
        <f>VLOOKUP(C25,'SOR RATE'!A:D,4,0)</f>
        <v>410.25</v>
      </c>
      <c r="J25" s="1090">
        <f>I25*H25</f>
        <v>1230.75</v>
      </c>
      <c r="K25" s="1135"/>
      <c r="L25" s="1135"/>
      <c r="M25" s="1135"/>
    </row>
    <row r="26" spans="1:17" ht="21.75" customHeight="1">
      <c r="A26" s="1088">
        <v>13</v>
      </c>
      <c r="B26" s="1097" t="s">
        <v>1523</v>
      </c>
      <c r="C26" s="1088">
        <v>7130860076</v>
      </c>
      <c r="D26" s="1098" t="s">
        <v>26</v>
      </c>
      <c r="E26" s="1093">
        <v>25.5</v>
      </c>
      <c r="F26" s="1090">
        <f>VLOOKUP(C26,'SOR RATE'!A:D,4,0)/1000</f>
        <v>92.856940000000009</v>
      </c>
      <c r="G26" s="1090">
        <f>F26*E26</f>
        <v>2367.8519700000002</v>
      </c>
      <c r="H26" s="1093">
        <v>25.5</v>
      </c>
      <c r="I26" s="1135">
        <f>VLOOKUP(C26,'SOR RATE'!A:D,4,0)/1000</f>
        <v>92.856940000000009</v>
      </c>
      <c r="J26" s="1090">
        <f>I26*H26</f>
        <v>2367.8519700000002</v>
      </c>
      <c r="K26" s="1165">
        <v>25.5</v>
      </c>
      <c r="L26" s="1135">
        <f>VLOOKUP(C26,'SOR RATE'!A:D,4,0)/1000</f>
        <v>92.856940000000009</v>
      </c>
      <c r="M26" s="1135">
        <f t="shared" ref="M26:M32" si="2">K26*L26</f>
        <v>2367.8519700000002</v>
      </c>
    </row>
    <row r="27" spans="1:17" ht="69.75" customHeight="1">
      <c r="A27" s="1088">
        <v>14</v>
      </c>
      <c r="B27" s="1097" t="s">
        <v>1524</v>
      </c>
      <c r="C27" s="1088">
        <v>7130200202</v>
      </c>
      <c r="D27" s="1098" t="s">
        <v>76</v>
      </c>
      <c r="E27" s="1093">
        <f>(0.05*10)+(5*0.3)</f>
        <v>2</v>
      </c>
      <c r="F27" s="1090">
        <f>VLOOKUP(C27,'SOR RATE'!A:D,4,0)</f>
        <v>2970</v>
      </c>
      <c r="G27" s="1090">
        <f>E27*F27</f>
        <v>5940</v>
      </c>
      <c r="H27" s="1093">
        <f>(0.65*10)+(5*0.3)</f>
        <v>8</v>
      </c>
      <c r="I27" s="1135">
        <f>VLOOKUP(C27,'SOR RATE'!A:D,4,0)</f>
        <v>2970</v>
      </c>
      <c r="J27" s="1090">
        <f>H27*I27</f>
        <v>23760</v>
      </c>
      <c r="K27" s="1093">
        <f>(0.55*10)+(5*0.3)</f>
        <v>7</v>
      </c>
      <c r="L27" s="1135">
        <f>VLOOKUP(C27,'SOR RATE'!A:D,4,0)</f>
        <v>2970</v>
      </c>
      <c r="M27" s="1135">
        <f t="shared" si="2"/>
        <v>20790</v>
      </c>
      <c r="N27" s="397" t="s">
        <v>47</v>
      </c>
    </row>
    <row r="28" spans="1:17" ht="18.75" customHeight="1">
      <c r="A28" s="1088">
        <v>15</v>
      </c>
      <c r="B28" s="1097" t="s">
        <v>28</v>
      </c>
      <c r="C28" s="1088">
        <v>7130211158</v>
      </c>
      <c r="D28" s="1098" t="s">
        <v>29</v>
      </c>
      <c r="E28" s="1093">
        <v>1.4</v>
      </c>
      <c r="F28" s="1090">
        <f>VLOOKUP(C28,'SOR RATE'!A:D,4,0)</f>
        <v>193.62</v>
      </c>
      <c r="G28" s="1090">
        <f>F28*E28</f>
        <v>271.06799999999998</v>
      </c>
      <c r="H28" s="1136">
        <v>6</v>
      </c>
      <c r="I28" s="1135">
        <f>VLOOKUP(C28,'SOR RATE'!A:D,4,0)</f>
        <v>193.62</v>
      </c>
      <c r="J28" s="1090">
        <f>I28*H28</f>
        <v>1161.72</v>
      </c>
      <c r="K28" s="1165">
        <v>1.4</v>
      </c>
      <c r="L28" s="1135">
        <f>VLOOKUP(C28,'SOR RATE'!A:D,4,0)</f>
        <v>193.62</v>
      </c>
      <c r="M28" s="1135">
        <f t="shared" si="2"/>
        <v>271.06799999999998</v>
      </c>
    </row>
    <row r="29" spans="1:17" ht="18.75" customHeight="1">
      <c r="A29" s="1088">
        <v>16</v>
      </c>
      <c r="B29" s="1097" t="s">
        <v>30</v>
      </c>
      <c r="C29" s="1088">
        <v>7130210809</v>
      </c>
      <c r="D29" s="1098" t="s">
        <v>29</v>
      </c>
      <c r="E29" s="1093">
        <v>1.5</v>
      </c>
      <c r="F29" s="1090">
        <f>VLOOKUP(C29,'SOR RATE'!A:D,4,0)</f>
        <v>432.63</v>
      </c>
      <c r="G29" s="1090">
        <f>F29*E29</f>
        <v>648.94499999999994</v>
      </c>
      <c r="H29" s="1136">
        <v>6</v>
      </c>
      <c r="I29" s="1135">
        <f>VLOOKUP(C29,'SOR RATE'!A:D,4,0)</f>
        <v>432.63</v>
      </c>
      <c r="J29" s="1090">
        <f>I29*H29</f>
        <v>2595.7799999999997</v>
      </c>
      <c r="K29" s="1165">
        <v>1.5</v>
      </c>
      <c r="L29" s="1135">
        <f>VLOOKUP(C29,'SOR RATE'!A:D,4,0)</f>
        <v>432.63</v>
      </c>
      <c r="M29" s="1135">
        <f t="shared" si="2"/>
        <v>648.94499999999994</v>
      </c>
    </row>
    <row r="30" spans="1:17" ht="18.75" customHeight="1">
      <c r="A30" s="1088">
        <v>17</v>
      </c>
      <c r="B30" s="1097" t="s">
        <v>1441</v>
      </c>
      <c r="C30" s="1088">
        <v>7130610206</v>
      </c>
      <c r="D30" s="1098" t="s">
        <v>26</v>
      </c>
      <c r="E30" s="1136">
        <v>20</v>
      </c>
      <c r="F30" s="1090">
        <f>VLOOKUP(C30,'SOR RATE'!A:D,4,0)/1000</f>
        <v>97.233429999999998</v>
      </c>
      <c r="G30" s="1090">
        <f>F30*E30</f>
        <v>1944.6686</v>
      </c>
      <c r="H30" s="1136">
        <v>20</v>
      </c>
      <c r="I30" s="1135">
        <f>VLOOKUP(C30,'SOR RATE'!A:D,4,0)/1000</f>
        <v>97.233429999999998</v>
      </c>
      <c r="J30" s="1090">
        <f>I30*H30</f>
        <v>1944.6686</v>
      </c>
      <c r="K30" s="1158">
        <v>20</v>
      </c>
      <c r="L30" s="1135">
        <f>VLOOKUP(C30,'SOR RATE'!A:D,4,0)/1000</f>
        <v>97.233429999999998</v>
      </c>
      <c r="M30" s="1135">
        <f t="shared" si="2"/>
        <v>1944.6686</v>
      </c>
      <c r="N30" s="60"/>
      <c r="O30" s="174"/>
      <c r="P30" s="174"/>
      <c r="Q30" s="174"/>
    </row>
    <row r="31" spans="1:17" ht="18.75" customHeight="1">
      <c r="A31" s="1088">
        <v>18</v>
      </c>
      <c r="B31" s="1097" t="s">
        <v>1525</v>
      </c>
      <c r="C31" s="1088">
        <v>7130880041</v>
      </c>
      <c r="D31" s="1098" t="s">
        <v>12</v>
      </c>
      <c r="E31" s="1136">
        <v>10</v>
      </c>
      <c r="F31" s="1090">
        <f>VLOOKUP(C31,'SOR RATE'!A:D,4,0)</f>
        <v>113.77</v>
      </c>
      <c r="G31" s="1090">
        <f>F31*E31</f>
        <v>1137.7</v>
      </c>
      <c r="H31" s="1136">
        <v>10</v>
      </c>
      <c r="I31" s="1135">
        <f>VLOOKUP(C31,'SOR RATE'!A:D,4,0)</f>
        <v>113.77</v>
      </c>
      <c r="J31" s="1090">
        <f>I31*H31</f>
        <v>1137.7</v>
      </c>
      <c r="K31" s="1158">
        <v>10</v>
      </c>
      <c r="L31" s="1135">
        <f>VLOOKUP(C31,'SOR RATE'!A:D,4,0)</f>
        <v>113.77</v>
      </c>
      <c r="M31" s="1135">
        <f t="shared" si="2"/>
        <v>1137.7</v>
      </c>
    </row>
    <row r="32" spans="1:17" ht="18.75" customHeight="1">
      <c r="A32" s="1088">
        <v>19</v>
      </c>
      <c r="B32" s="1097" t="s">
        <v>1526</v>
      </c>
      <c r="C32" s="1088">
        <v>7130830006</v>
      </c>
      <c r="D32" s="1098" t="s">
        <v>26</v>
      </c>
      <c r="E32" s="1093">
        <v>3.5</v>
      </c>
      <c r="F32" s="1090">
        <f>VLOOKUP(C32,'SOR RATE'!A:D,4,0)</f>
        <v>201.5</v>
      </c>
      <c r="G32" s="1090">
        <f>F32*E32</f>
        <v>705.25</v>
      </c>
      <c r="H32" s="1093">
        <v>3.5</v>
      </c>
      <c r="I32" s="1135">
        <f>VLOOKUP(C32,'SOR RATE'!A:D,4,0)</f>
        <v>201.5</v>
      </c>
      <c r="J32" s="1090">
        <f>I32*H32</f>
        <v>705.25</v>
      </c>
      <c r="K32" s="1165">
        <v>3.5</v>
      </c>
      <c r="L32" s="1135">
        <f>VLOOKUP(C32,'SOR RATE'!A:D,4,0)</f>
        <v>201.5</v>
      </c>
      <c r="M32" s="1135">
        <f t="shared" si="2"/>
        <v>705.25</v>
      </c>
    </row>
    <row r="33" spans="1:13" ht="18.75" customHeight="1">
      <c r="A33" s="3067">
        <v>20</v>
      </c>
      <c r="B33" s="1128" t="s">
        <v>1443</v>
      </c>
      <c r="C33" s="1088"/>
      <c r="D33" s="1098" t="s">
        <v>26</v>
      </c>
      <c r="E33" s="1136">
        <v>18</v>
      </c>
      <c r="F33" s="1090"/>
      <c r="G33" s="1090"/>
      <c r="H33" s="1136">
        <v>18</v>
      </c>
      <c r="I33" s="1090"/>
      <c r="J33" s="1090"/>
      <c r="K33" s="1158">
        <v>18</v>
      </c>
      <c r="L33" s="1135"/>
      <c r="M33" s="1135"/>
    </row>
    <row r="34" spans="1:13" ht="18.75" customHeight="1">
      <c r="A34" s="3069"/>
      <c r="B34" s="1097" t="s">
        <v>79</v>
      </c>
      <c r="C34" s="1088">
        <v>7130620609</v>
      </c>
      <c r="D34" s="1098" t="s">
        <v>26</v>
      </c>
      <c r="E34" s="1090"/>
      <c r="F34" s="1090">
        <f>VLOOKUP(C34,'SOR RATE'!A:D,4,0)</f>
        <v>87.23</v>
      </c>
      <c r="G34" s="1090"/>
      <c r="H34" s="1093">
        <v>0.5</v>
      </c>
      <c r="I34" s="1135">
        <f>VLOOKUP(C34,'SOR RATE'!A:D,4,0)</f>
        <v>87.23</v>
      </c>
      <c r="J34" s="1090">
        <f>I34*H34</f>
        <v>43.615000000000002</v>
      </c>
      <c r="K34" s="1135"/>
      <c r="L34" s="1135">
        <f>VLOOKUP(C34,'SOR RATE'!A:D,4,0)</f>
        <v>87.23</v>
      </c>
      <c r="M34" s="1135"/>
    </row>
    <row r="35" spans="1:13" ht="18.75" customHeight="1">
      <c r="A35" s="3069"/>
      <c r="B35" s="1097" t="s">
        <v>111</v>
      </c>
      <c r="C35" s="1088">
        <v>7130620614</v>
      </c>
      <c r="D35" s="1098" t="s">
        <v>26</v>
      </c>
      <c r="E35" s="1090"/>
      <c r="F35" s="1090">
        <f>VLOOKUP(C35,'SOR RATE'!A:D,4,0)</f>
        <v>85.77</v>
      </c>
      <c r="G35" s="1090"/>
      <c r="H35" s="1093">
        <v>7.5</v>
      </c>
      <c r="I35" s="1135">
        <f>VLOOKUP(C35,'SOR RATE'!A:D,4,0)</f>
        <v>85.77</v>
      </c>
      <c r="J35" s="1090">
        <f>I35*H35</f>
        <v>643.27499999999998</v>
      </c>
      <c r="K35" s="1135"/>
      <c r="L35" s="1135">
        <f>VLOOKUP(C35,'SOR RATE'!A:D,4,0)</f>
        <v>85.77</v>
      </c>
      <c r="M35" s="1135"/>
    </row>
    <row r="36" spans="1:13" ht="18.75" customHeight="1">
      <c r="A36" s="3069"/>
      <c r="B36" s="1097" t="s">
        <v>36</v>
      </c>
      <c r="C36" s="1088">
        <v>7130620619</v>
      </c>
      <c r="D36" s="1098" t="s">
        <v>26</v>
      </c>
      <c r="E36" s="1093">
        <v>3.5</v>
      </c>
      <c r="F36" s="1090">
        <f>VLOOKUP(C36,'SOR RATE'!A:D,4,0)</f>
        <v>85.77</v>
      </c>
      <c r="G36" s="1090">
        <f>F36*E36</f>
        <v>300.19499999999999</v>
      </c>
      <c r="H36" s="1090"/>
      <c r="I36" s="1135">
        <f>VLOOKUP(C36,'SOR RATE'!A:D,4,0)</f>
        <v>85.77</v>
      </c>
      <c r="J36" s="1090"/>
      <c r="K36" s="1165">
        <v>3.5</v>
      </c>
      <c r="L36" s="1135">
        <f>VLOOKUP(C36,'SOR RATE'!A:D,4,0)</f>
        <v>85.77</v>
      </c>
      <c r="M36" s="1135">
        <f>K36*L36</f>
        <v>300.19499999999999</v>
      </c>
    </row>
    <row r="37" spans="1:13" ht="18.75" customHeight="1">
      <c r="A37" s="3069"/>
      <c r="B37" s="1097" t="s">
        <v>112</v>
      </c>
      <c r="C37" s="1088">
        <v>7130620625</v>
      </c>
      <c r="D37" s="1098" t="s">
        <v>26</v>
      </c>
      <c r="E37" s="1090"/>
      <c r="F37" s="1090">
        <f>VLOOKUP(C37,'SOR RATE'!A:D,4,0)</f>
        <v>84.32</v>
      </c>
      <c r="G37" s="1090"/>
      <c r="H37" s="1136">
        <v>10</v>
      </c>
      <c r="I37" s="1135">
        <f>VLOOKUP(C37,'SOR RATE'!A:D,4,0)</f>
        <v>84.32</v>
      </c>
      <c r="J37" s="1090">
        <f>I37*H37</f>
        <v>843.19999999999993</v>
      </c>
      <c r="K37" s="1165"/>
      <c r="L37" s="1135">
        <f>VLOOKUP(C37,'SOR RATE'!A:D,4,0)</f>
        <v>84.32</v>
      </c>
      <c r="M37" s="1135"/>
    </row>
    <row r="38" spans="1:13" ht="18.75" customHeight="1">
      <c r="A38" s="3070"/>
      <c r="B38" s="1097" t="s">
        <v>37</v>
      </c>
      <c r="C38" s="1088">
        <v>7130620627</v>
      </c>
      <c r="D38" s="1098" t="s">
        <v>26</v>
      </c>
      <c r="E38" s="1093">
        <v>14.5</v>
      </c>
      <c r="F38" s="1090">
        <f>VLOOKUP(C38,'SOR RATE'!A:D,4,0)</f>
        <v>84.32</v>
      </c>
      <c r="G38" s="1090">
        <f>F38*E38</f>
        <v>1222.6399999999999</v>
      </c>
      <c r="H38" s="1090"/>
      <c r="I38" s="1135">
        <f>VLOOKUP(C38,'SOR RATE'!A:D,4,0)</f>
        <v>84.32</v>
      </c>
      <c r="J38" s="1154"/>
      <c r="K38" s="1165">
        <v>14.5</v>
      </c>
      <c r="L38" s="1135">
        <f>VLOOKUP(C38,'SOR RATE'!A:D,4,0)</f>
        <v>84.32</v>
      </c>
      <c r="M38" s="1135">
        <f>K38*L38</f>
        <v>1222.6399999999999</v>
      </c>
    </row>
    <row r="39" spans="1:13" ht="18.75" customHeight="1">
      <c r="A39" s="3067">
        <v>21</v>
      </c>
      <c r="B39" s="1128" t="s">
        <v>1527</v>
      </c>
      <c r="C39" s="1088"/>
      <c r="D39" s="1098"/>
      <c r="E39" s="1098"/>
      <c r="F39" s="924">
        <f>G40+G41+G42+G43+G44+G45+G46+G47+G48</f>
        <v>15648.123939999999</v>
      </c>
      <c r="G39" s="1166"/>
      <c r="H39" s="1166"/>
      <c r="I39" s="924">
        <f>J40+J41+J42+J43+J44+J45+J46+J47+J48</f>
        <v>15648.123939999999</v>
      </c>
      <c r="J39" s="1167"/>
      <c r="K39" s="1168"/>
      <c r="L39" s="924">
        <f>M40+M41+M42+M43+M44+M45+M46+M47+M48</f>
        <v>15648.123939999999</v>
      </c>
      <c r="M39" s="1135"/>
    </row>
    <row r="40" spans="1:13" ht="18.75" customHeight="1">
      <c r="A40" s="3069"/>
      <c r="B40" s="1169" t="s">
        <v>1528</v>
      </c>
      <c r="C40" s="1088">
        <v>7130870045</v>
      </c>
      <c r="D40" s="1098" t="s">
        <v>26</v>
      </c>
      <c r="E40" s="1088">
        <v>49</v>
      </c>
      <c r="F40" s="1090">
        <f>VLOOKUP(C40,'SOR RATE'!A:D,4,0)/1000</f>
        <v>80.521839999999997</v>
      </c>
      <c r="G40" s="1090">
        <f t="shared" ref="G40:G48" si="3">F40*E40</f>
        <v>3945.5701599999998</v>
      </c>
      <c r="H40" s="1088">
        <v>49</v>
      </c>
      <c r="I40" s="1135">
        <f>VLOOKUP(C40,'SOR RATE'!A:D,4,0)/1000</f>
        <v>80.521839999999997</v>
      </c>
      <c r="J40" s="1090">
        <f>I40*H40</f>
        <v>3945.5701599999998</v>
      </c>
      <c r="K40" s="1088">
        <v>49</v>
      </c>
      <c r="L40" s="1135">
        <f>VLOOKUP(C40,'SOR RATE'!A:D,4,0)/1000</f>
        <v>80.521839999999997</v>
      </c>
      <c r="M40" s="1135">
        <f t="shared" ref="M40:M48" si="4">K40*L40</f>
        <v>3945.5701599999998</v>
      </c>
    </row>
    <row r="41" spans="1:13" ht="18.75" customHeight="1">
      <c r="A41" s="3069"/>
      <c r="B41" s="1169" t="s">
        <v>1529</v>
      </c>
      <c r="C41" s="1088">
        <v>7130870043</v>
      </c>
      <c r="D41" s="1098" t="s">
        <v>26</v>
      </c>
      <c r="E41" s="1088">
        <v>20</v>
      </c>
      <c r="F41" s="1090">
        <f>VLOOKUP(C41,'SOR RATE'!A:D,4,0)/1000</f>
        <v>80.521839999999997</v>
      </c>
      <c r="G41" s="1090">
        <f t="shared" si="3"/>
        <v>1610.4367999999999</v>
      </c>
      <c r="H41" s="1088">
        <v>20</v>
      </c>
      <c r="I41" s="1135">
        <f>VLOOKUP(C41,'SOR RATE'!A:D,4,0)/1000</f>
        <v>80.521839999999997</v>
      </c>
      <c r="J41" s="1090">
        <f>I41*H41</f>
        <v>1610.4367999999999</v>
      </c>
      <c r="K41" s="1088">
        <v>20</v>
      </c>
      <c r="L41" s="1135">
        <f>VLOOKUP(C41,'SOR RATE'!A:D,4,0)/1000</f>
        <v>80.521839999999997</v>
      </c>
      <c r="M41" s="1135">
        <f t="shared" si="4"/>
        <v>1610.4367999999999</v>
      </c>
    </row>
    <row r="42" spans="1:13" ht="18.75" customHeight="1">
      <c r="A42" s="3069"/>
      <c r="B42" s="1169" t="s">
        <v>1530</v>
      </c>
      <c r="C42" s="1088">
        <v>7130897759</v>
      </c>
      <c r="D42" s="1098" t="s">
        <v>40</v>
      </c>
      <c r="E42" s="1088">
        <v>1</v>
      </c>
      <c r="F42" s="1090">
        <f>VLOOKUP(C42,'SOR RATE'!A:D,4,0)</f>
        <v>4365.4399999999996</v>
      </c>
      <c r="G42" s="1090">
        <f t="shared" si="3"/>
        <v>4365.4399999999996</v>
      </c>
      <c r="H42" s="1088">
        <v>1</v>
      </c>
      <c r="I42" s="1135">
        <f>VLOOKUP(C42,'SOR RATE'!A:D,4,0)</f>
        <v>4365.4399999999996</v>
      </c>
      <c r="J42" s="1090">
        <f t="shared" ref="J42" si="5">I42*H42</f>
        <v>4365.4399999999996</v>
      </c>
      <c r="K42" s="1088">
        <v>1</v>
      </c>
      <c r="L42" s="1135">
        <f>VLOOKUP(C42,'SOR RATE'!A:D,4,0)</f>
        <v>4365.4399999999996</v>
      </c>
      <c r="M42" s="1135">
        <f t="shared" si="4"/>
        <v>4365.4399999999996</v>
      </c>
    </row>
    <row r="43" spans="1:13" ht="18.75" customHeight="1">
      <c r="A43" s="3069"/>
      <c r="B43" s="1169" t="s">
        <v>1449</v>
      </c>
      <c r="C43" s="1088">
        <v>7130810692</v>
      </c>
      <c r="D43" s="1098" t="s">
        <v>15</v>
      </c>
      <c r="E43" s="1088">
        <v>3</v>
      </c>
      <c r="F43" s="1090">
        <f>VLOOKUP(C43,'SOR RATE'!A:D,4,0)</f>
        <v>410.25</v>
      </c>
      <c r="G43" s="1090">
        <f t="shared" si="3"/>
        <v>1230.75</v>
      </c>
      <c r="H43" s="1088">
        <v>3</v>
      </c>
      <c r="I43" s="1135">
        <f>VLOOKUP(C43,'SOR RATE'!A:D,4,0)</f>
        <v>410.25</v>
      </c>
      <c r="J43" s="1090">
        <f t="shared" ref="J43:J48" si="6">I43*H43</f>
        <v>1230.75</v>
      </c>
      <c r="K43" s="1088">
        <v>3</v>
      </c>
      <c r="L43" s="1135">
        <f>VLOOKUP(C43,'SOR RATE'!A:D,4,0)</f>
        <v>410.25</v>
      </c>
      <c r="M43" s="1135">
        <f t="shared" si="4"/>
        <v>1230.75</v>
      </c>
    </row>
    <row r="44" spans="1:13" ht="18.75" customHeight="1">
      <c r="A44" s="3069"/>
      <c r="B44" s="1169" t="s">
        <v>1450</v>
      </c>
      <c r="C44" s="1088">
        <v>7130620625</v>
      </c>
      <c r="D44" s="1098" t="s">
        <v>1451</v>
      </c>
      <c r="E44" s="1093">
        <v>1.2</v>
      </c>
      <c r="F44" s="1090">
        <f>VLOOKUP(C44,'SOR RATE'!A:D,4,0)</f>
        <v>84.32</v>
      </c>
      <c r="G44" s="1090">
        <f t="shared" si="3"/>
        <v>101.18399999999998</v>
      </c>
      <c r="H44" s="1093">
        <v>1.2</v>
      </c>
      <c r="I44" s="1135">
        <f>VLOOKUP(C44,'SOR RATE'!A:D,4,0)</f>
        <v>84.32</v>
      </c>
      <c r="J44" s="1090">
        <f t="shared" si="6"/>
        <v>101.18399999999998</v>
      </c>
      <c r="K44" s="1093">
        <v>1.2</v>
      </c>
      <c r="L44" s="1135">
        <f>VLOOKUP(C44,'SOR RATE'!A:D,4,0)</f>
        <v>84.32</v>
      </c>
      <c r="M44" s="1135">
        <f t="shared" si="4"/>
        <v>101.18399999999998</v>
      </c>
    </row>
    <row r="45" spans="1:13" ht="18.75" customHeight="1">
      <c r="A45" s="3069"/>
      <c r="B45" s="1169" t="s">
        <v>1531</v>
      </c>
      <c r="C45" s="1088">
        <v>7130620013</v>
      </c>
      <c r="D45" s="1098" t="s">
        <v>12</v>
      </c>
      <c r="E45" s="1088">
        <v>4</v>
      </c>
      <c r="F45" s="1090">
        <f>VLOOKUP(C45,'SOR RATE'!A:D,4,0)</f>
        <v>156.05000000000001</v>
      </c>
      <c r="G45" s="1090">
        <f t="shared" si="3"/>
        <v>624.20000000000005</v>
      </c>
      <c r="H45" s="1088">
        <v>4</v>
      </c>
      <c r="I45" s="1135">
        <f>VLOOKUP(C45,'SOR RATE'!A:D,4,0)</f>
        <v>156.05000000000001</v>
      </c>
      <c r="J45" s="1090">
        <f t="shared" si="6"/>
        <v>624.20000000000005</v>
      </c>
      <c r="K45" s="1088">
        <v>4</v>
      </c>
      <c r="L45" s="1135">
        <f>VLOOKUP(C45,'SOR RATE'!A:D,4,0)</f>
        <v>156.05000000000001</v>
      </c>
      <c r="M45" s="1135">
        <f t="shared" si="4"/>
        <v>624.20000000000005</v>
      </c>
    </row>
    <row r="46" spans="1:13" ht="18.75" customHeight="1">
      <c r="A46" s="3069"/>
      <c r="B46" s="1169" t="s">
        <v>1453</v>
      </c>
      <c r="C46" s="1088">
        <v>7130860033</v>
      </c>
      <c r="D46" s="1098" t="s">
        <v>12</v>
      </c>
      <c r="E46" s="1088">
        <v>2</v>
      </c>
      <c r="F46" s="1090">
        <f>VLOOKUP(C46,'SOR RATE'!A:D,4,0)</f>
        <v>1031.6600000000001</v>
      </c>
      <c r="G46" s="1090">
        <f t="shared" si="3"/>
        <v>2063.3200000000002</v>
      </c>
      <c r="H46" s="1088">
        <v>2</v>
      </c>
      <c r="I46" s="1135">
        <f>VLOOKUP(C46,'SOR RATE'!A:D,4,0)</f>
        <v>1031.6600000000001</v>
      </c>
      <c r="J46" s="1090">
        <f t="shared" si="6"/>
        <v>2063.3200000000002</v>
      </c>
      <c r="K46" s="1088">
        <v>2</v>
      </c>
      <c r="L46" s="1135">
        <f>VLOOKUP(C46,'SOR RATE'!A:D,4,0)</f>
        <v>1031.6600000000001</v>
      </c>
      <c r="M46" s="1135">
        <f t="shared" si="4"/>
        <v>2063.3200000000002</v>
      </c>
    </row>
    <row r="47" spans="1:13" ht="18.75" customHeight="1">
      <c r="A47" s="3069"/>
      <c r="B47" s="1169" t="s">
        <v>1532</v>
      </c>
      <c r="C47" s="1088">
        <v>7130860076</v>
      </c>
      <c r="D47" s="1098" t="s">
        <v>26</v>
      </c>
      <c r="E47" s="1088">
        <v>17</v>
      </c>
      <c r="F47" s="1090">
        <f>VLOOKUP(C47,'SOR RATE'!A:D,4,0)/1000</f>
        <v>92.856940000000009</v>
      </c>
      <c r="G47" s="1090">
        <f t="shared" si="3"/>
        <v>1578.5679800000003</v>
      </c>
      <c r="H47" s="1088">
        <v>17</v>
      </c>
      <c r="I47" s="1135">
        <f>VLOOKUP(C47,'SOR RATE'!A:D,4,0)/1000</f>
        <v>92.856940000000009</v>
      </c>
      <c r="J47" s="1090">
        <f t="shared" si="6"/>
        <v>1578.5679800000003</v>
      </c>
      <c r="K47" s="1088">
        <v>17</v>
      </c>
      <c r="L47" s="1135">
        <f>VLOOKUP(C47,'SOR RATE'!A:D,4,0)/1000</f>
        <v>92.856940000000009</v>
      </c>
      <c r="M47" s="1135">
        <f t="shared" si="4"/>
        <v>1578.5679800000003</v>
      </c>
    </row>
    <row r="48" spans="1:13" ht="18.75" customHeight="1">
      <c r="A48" s="3070"/>
      <c r="B48" s="1169" t="s">
        <v>1455</v>
      </c>
      <c r="C48" s="1088">
        <v>7130620619</v>
      </c>
      <c r="D48" s="1098" t="s">
        <v>26</v>
      </c>
      <c r="E48" s="1088">
        <v>1.5</v>
      </c>
      <c r="F48" s="1090">
        <f>VLOOKUP(C48,'SOR RATE'!A:D,4,0)</f>
        <v>85.77</v>
      </c>
      <c r="G48" s="1090">
        <f t="shared" si="3"/>
        <v>128.655</v>
      </c>
      <c r="H48" s="1088">
        <v>1.5</v>
      </c>
      <c r="I48" s="1135">
        <f>VLOOKUP(C48,'SOR RATE'!A:D,4,0)</f>
        <v>85.77</v>
      </c>
      <c r="J48" s="1090">
        <f t="shared" si="6"/>
        <v>128.655</v>
      </c>
      <c r="K48" s="1088">
        <v>1.5</v>
      </c>
      <c r="L48" s="1135">
        <f>VLOOKUP(C48,'SOR RATE'!A:D,4,0)</f>
        <v>85.77</v>
      </c>
      <c r="M48" s="1135">
        <f t="shared" si="4"/>
        <v>128.655</v>
      </c>
    </row>
    <row r="49" spans="1:256" s="446" customFormat="1" ht="36" customHeight="1">
      <c r="A49" s="919">
        <v>22</v>
      </c>
      <c r="B49" s="1116" t="s">
        <v>48</v>
      </c>
      <c r="C49" s="1170"/>
      <c r="D49" s="1170"/>
      <c r="E49" s="924"/>
      <c r="F49" s="924"/>
      <c r="G49" s="924">
        <f>SUM(G10:G48)</f>
        <v>415781.59151000006</v>
      </c>
      <c r="H49" s="1088"/>
      <c r="I49" s="1090"/>
      <c r="J49" s="924">
        <f>SUM(J10:J48)</f>
        <v>702703.81946999987</v>
      </c>
      <c r="K49" s="924"/>
      <c r="L49" s="924"/>
      <c r="M49" s="924">
        <f>SUM(M10:M48)</f>
        <v>462685.19151000015</v>
      </c>
      <c r="R49" s="434"/>
      <c r="S49" s="434"/>
      <c r="T49" s="434"/>
      <c r="U49" s="434"/>
      <c r="V49" s="434"/>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434"/>
      <c r="DC49" s="434"/>
      <c r="DD49" s="434"/>
      <c r="DE49" s="434"/>
      <c r="DF49" s="434"/>
      <c r="DG49" s="434"/>
      <c r="DH49" s="434"/>
      <c r="DI49" s="434"/>
      <c r="DJ49" s="434"/>
      <c r="DK49" s="434"/>
      <c r="DL49" s="434"/>
      <c r="DM49" s="434"/>
      <c r="DN49" s="434"/>
      <c r="DO49" s="434"/>
      <c r="DP49" s="434"/>
      <c r="DQ49" s="434"/>
      <c r="DR49" s="434"/>
      <c r="DS49" s="434"/>
      <c r="DT49" s="434"/>
      <c r="DU49" s="434"/>
      <c r="DV49" s="434"/>
      <c r="DW49" s="434"/>
      <c r="DX49" s="434"/>
      <c r="DY49" s="434"/>
      <c r="DZ49" s="434"/>
      <c r="EA49" s="434"/>
      <c r="EB49" s="434"/>
      <c r="EC49" s="434"/>
      <c r="ED49" s="434"/>
      <c r="EE49" s="434"/>
      <c r="EF49" s="434"/>
      <c r="EG49" s="434"/>
      <c r="EH49" s="434"/>
      <c r="EI49" s="434"/>
      <c r="EJ49" s="434"/>
      <c r="EK49" s="434"/>
      <c r="EL49" s="434"/>
      <c r="EM49" s="434"/>
      <c r="EN49" s="434"/>
      <c r="EO49" s="434"/>
      <c r="EP49" s="434"/>
      <c r="EQ49" s="434"/>
      <c r="ER49" s="434"/>
      <c r="ES49" s="434"/>
      <c r="ET49" s="434"/>
      <c r="EU49" s="434"/>
      <c r="EV49" s="434"/>
      <c r="EW49" s="434"/>
      <c r="EX49" s="434"/>
      <c r="EY49" s="434"/>
      <c r="EZ49" s="434"/>
      <c r="FA49" s="434"/>
      <c r="FB49" s="434"/>
      <c r="FC49" s="434"/>
      <c r="FD49" s="434"/>
      <c r="FE49" s="434"/>
      <c r="FF49" s="434"/>
      <c r="FG49" s="434"/>
      <c r="FH49" s="434"/>
      <c r="FI49" s="434"/>
      <c r="FJ49" s="434"/>
      <c r="FK49" s="434"/>
      <c r="FL49" s="434"/>
      <c r="FM49" s="434"/>
      <c r="FN49" s="434"/>
      <c r="FO49" s="434"/>
      <c r="FP49" s="434"/>
      <c r="FQ49" s="434"/>
      <c r="FR49" s="434"/>
      <c r="FS49" s="434"/>
      <c r="FT49" s="434"/>
      <c r="FU49" s="434"/>
      <c r="FV49" s="434"/>
      <c r="FW49" s="434"/>
      <c r="FX49" s="434"/>
      <c r="FY49" s="434"/>
      <c r="FZ49" s="434"/>
      <c r="GA49" s="434"/>
      <c r="GB49" s="434"/>
      <c r="GC49" s="434"/>
      <c r="GD49" s="434"/>
      <c r="GE49" s="434"/>
      <c r="GF49" s="434"/>
      <c r="GG49" s="434"/>
      <c r="GH49" s="434"/>
      <c r="GI49" s="434"/>
      <c r="GJ49" s="434"/>
      <c r="GK49" s="434"/>
      <c r="GL49" s="434"/>
      <c r="GM49" s="434"/>
      <c r="GN49" s="434"/>
      <c r="GO49" s="434"/>
      <c r="GP49" s="434"/>
      <c r="GQ49" s="434"/>
      <c r="GR49" s="434"/>
      <c r="GS49" s="434"/>
      <c r="GT49" s="434"/>
      <c r="GU49" s="434"/>
      <c r="GV49" s="434"/>
      <c r="GW49" s="434"/>
      <c r="GX49" s="434"/>
      <c r="GY49" s="434"/>
      <c r="GZ49" s="434"/>
      <c r="HA49" s="434"/>
      <c r="HB49" s="434"/>
      <c r="HC49" s="434"/>
      <c r="HD49" s="434"/>
      <c r="HE49" s="434"/>
      <c r="HF49" s="434"/>
      <c r="HG49" s="434"/>
      <c r="HH49" s="434"/>
      <c r="HI49" s="434"/>
      <c r="HJ49" s="434"/>
      <c r="HK49" s="434"/>
      <c r="HL49" s="434"/>
      <c r="HM49" s="434"/>
      <c r="HN49" s="434"/>
      <c r="HO49" s="434"/>
      <c r="HP49" s="434"/>
      <c r="HQ49" s="434"/>
      <c r="HR49" s="434"/>
      <c r="HS49" s="434"/>
      <c r="HT49" s="434"/>
      <c r="HU49" s="434"/>
      <c r="HV49" s="434"/>
      <c r="HW49" s="434"/>
      <c r="HX49" s="434"/>
      <c r="HY49" s="434"/>
      <c r="HZ49" s="434"/>
      <c r="IA49" s="434"/>
      <c r="IB49" s="434"/>
      <c r="IC49" s="434"/>
      <c r="ID49" s="434"/>
      <c r="IE49" s="434"/>
      <c r="IF49" s="434"/>
      <c r="IG49" s="434"/>
      <c r="IH49" s="434"/>
      <c r="II49" s="434"/>
      <c r="IJ49" s="434"/>
      <c r="IK49" s="434"/>
      <c r="IL49" s="434"/>
      <c r="IM49" s="434"/>
      <c r="IN49" s="434"/>
      <c r="IO49" s="434"/>
      <c r="IP49" s="434"/>
      <c r="IQ49" s="434"/>
      <c r="IR49" s="434"/>
      <c r="IS49" s="434"/>
      <c r="IT49" s="434"/>
      <c r="IU49" s="434"/>
      <c r="IV49" s="434"/>
    </row>
    <row r="50" spans="1:256" s="446" customFormat="1" ht="34.5" customHeight="1">
      <c r="A50" s="919">
        <v>23</v>
      </c>
      <c r="B50" s="1116" t="s">
        <v>49</v>
      </c>
      <c r="C50" s="1171"/>
      <c r="D50" s="1170"/>
      <c r="E50" s="924"/>
      <c r="F50" s="924"/>
      <c r="G50" s="924">
        <f>G49/1.18</f>
        <v>352357.28094067803</v>
      </c>
      <c r="H50" s="1172"/>
      <c r="I50" s="1090"/>
      <c r="J50" s="924">
        <f>J49/1.18</f>
        <v>595511.71141525416</v>
      </c>
      <c r="K50" s="924"/>
      <c r="L50" s="924"/>
      <c r="M50" s="924">
        <f>M49/1.18</f>
        <v>392106.09450000012</v>
      </c>
      <c r="N50" s="193"/>
      <c r="R50" s="434"/>
      <c r="S50" s="434"/>
      <c r="T50" s="434"/>
      <c r="U50" s="434"/>
      <c r="V50" s="434"/>
      <c r="W50" s="434"/>
      <c r="X50" s="434"/>
      <c r="Y50" s="434"/>
      <c r="Z50" s="434"/>
      <c r="AA50" s="434"/>
      <c r="AB50" s="434"/>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c r="CU50" s="434"/>
      <c r="CV50" s="434"/>
      <c r="CW50" s="434"/>
      <c r="CX50" s="434"/>
      <c r="CY50" s="434"/>
      <c r="CZ50" s="434"/>
      <c r="DA50" s="434"/>
      <c r="DB50" s="434"/>
      <c r="DC50" s="434"/>
      <c r="DD50" s="434"/>
      <c r="DE50" s="434"/>
      <c r="DF50" s="434"/>
      <c r="DG50" s="434"/>
      <c r="DH50" s="434"/>
      <c r="DI50" s="434"/>
      <c r="DJ50" s="434"/>
      <c r="DK50" s="434"/>
      <c r="DL50" s="434"/>
      <c r="DM50" s="434"/>
      <c r="DN50" s="434"/>
      <c r="DO50" s="434"/>
      <c r="DP50" s="434"/>
      <c r="DQ50" s="434"/>
      <c r="DR50" s="434"/>
      <c r="DS50" s="434"/>
      <c r="DT50" s="434"/>
      <c r="DU50" s="434"/>
      <c r="DV50" s="434"/>
      <c r="DW50" s="434"/>
      <c r="DX50" s="434"/>
      <c r="DY50" s="434"/>
      <c r="DZ50" s="434"/>
      <c r="EA50" s="434"/>
      <c r="EB50" s="434"/>
      <c r="EC50" s="434"/>
      <c r="ED50" s="434"/>
      <c r="EE50" s="434"/>
      <c r="EF50" s="434"/>
      <c r="EG50" s="434"/>
      <c r="EH50" s="434"/>
      <c r="EI50" s="434"/>
      <c r="EJ50" s="434"/>
      <c r="EK50" s="434"/>
      <c r="EL50" s="434"/>
      <c r="EM50" s="434"/>
      <c r="EN50" s="434"/>
      <c r="EO50" s="434"/>
      <c r="EP50" s="434"/>
      <c r="EQ50" s="434"/>
      <c r="ER50" s="434"/>
      <c r="ES50" s="434"/>
      <c r="ET50" s="434"/>
      <c r="EU50" s="434"/>
      <c r="EV50" s="434"/>
      <c r="EW50" s="434"/>
      <c r="EX50" s="434"/>
      <c r="EY50" s="434"/>
      <c r="EZ50" s="434"/>
      <c r="FA50" s="434"/>
      <c r="FB50" s="434"/>
      <c r="FC50" s="434"/>
      <c r="FD50" s="434"/>
      <c r="FE50" s="434"/>
      <c r="FF50" s="434"/>
      <c r="FG50" s="434"/>
      <c r="FH50" s="434"/>
      <c r="FI50" s="434"/>
      <c r="FJ50" s="434"/>
      <c r="FK50" s="434"/>
      <c r="FL50" s="434"/>
      <c r="FM50" s="434"/>
      <c r="FN50" s="434"/>
      <c r="FO50" s="434"/>
      <c r="FP50" s="434"/>
      <c r="FQ50" s="434"/>
      <c r="FR50" s="434"/>
      <c r="FS50" s="434"/>
      <c r="FT50" s="434"/>
      <c r="FU50" s="434"/>
      <c r="FV50" s="434"/>
      <c r="FW50" s="434"/>
      <c r="FX50" s="434"/>
      <c r="FY50" s="434"/>
      <c r="FZ50" s="434"/>
      <c r="GA50" s="434"/>
      <c r="GB50" s="434"/>
      <c r="GC50" s="434"/>
      <c r="GD50" s="434"/>
      <c r="GE50" s="434"/>
      <c r="GF50" s="434"/>
      <c r="GG50" s="434"/>
      <c r="GH50" s="434"/>
      <c r="GI50" s="434"/>
      <c r="GJ50" s="434"/>
      <c r="GK50" s="434"/>
      <c r="GL50" s="434"/>
      <c r="GM50" s="434"/>
      <c r="GN50" s="434"/>
      <c r="GO50" s="434"/>
      <c r="GP50" s="434"/>
      <c r="GQ50" s="434"/>
      <c r="GR50" s="434"/>
      <c r="GS50" s="434"/>
      <c r="GT50" s="434"/>
      <c r="GU50" s="434"/>
      <c r="GV50" s="434"/>
      <c r="GW50" s="434"/>
      <c r="GX50" s="434"/>
      <c r="GY50" s="434"/>
      <c r="GZ50" s="434"/>
      <c r="HA50" s="434"/>
      <c r="HB50" s="434"/>
      <c r="HC50" s="434"/>
      <c r="HD50" s="434"/>
      <c r="HE50" s="434"/>
      <c r="HF50" s="434"/>
      <c r="HG50" s="434"/>
      <c r="HH50" s="434"/>
      <c r="HI50" s="434"/>
      <c r="HJ50" s="434"/>
      <c r="HK50" s="434"/>
      <c r="HL50" s="434"/>
      <c r="HM50" s="434"/>
      <c r="HN50" s="434"/>
      <c r="HO50" s="434"/>
      <c r="HP50" s="434"/>
      <c r="HQ50" s="434"/>
      <c r="HR50" s="434"/>
      <c r="HS50" s="434"/>
      <c r="HT50" s="434"/>
      <c r="HU50" s="434"/>
      <c r="HV50" s="434"/>
      <c r="HW50" s="434"/>
      <c r="HX50" s="434"/>
      <c r="HY50" s="434"/>
      <c r="HZ50" s="434"/>
      <c r="IA50" s="434"/>
      <c r="IB50" s="434"/>
      <c r="IC50" s="434"/>
      <c r="ID50" s="434"/>
      <c r="IE50" s="434"/>
      <c r="IF50" s="434"/>
      <c r="IG50" s="434"/>
      <c r="IH50" s="434"/>
      <c r="II50" s="434"/>
      <c r="IJ50" s="434"/>
      <c r="IK50" s="434"/>
      <c r="IL50" s="434"/>
      <c r="IM50" s="434"/>
      <c r="IN50" s="434"/>
      <c r="IO50" s="434"/>
      <c r="IP50" s="434"/>
      <c r="IQ50" s="434"/>
      <c r="IR50" s="434"/>
      <c r="IS50" s="434"/>
      <c r="IT50" s="434"/>
      <c r="IU50" s="434"/>
      <c r="IV50" s="434"/>
    </row>
    <row r="51" spans="1:256" ht="33" customHeight="1">
      <c r="A51" s="1088">
        <v>24</v>
      </c>
      <c r="B51" s="1097" t="s">
        <v>50</v>
      </c>
      <c r="C51" s="1173"/>
      <c r="D51" s="1174"/>
      <c r="E51" s="1174"/>
      <c r="F51" s="1101">
        <v>7.4999999999999997E-2</v>
      </c>
      <c r="G51" s="1103">
        <f>G49*F51</f>
        <v>31183.619363250004</v>
      </c>
      <c r="H51" s="1175"/>
      <c r="I51" s="1176">
        <v>7.4999999999999997E-2</v>
      </c>
      <c r="J51" s="1103">
        <f>J49*I51</f>
        <v>52702.78646024999</v>
      </c>
      <c r="K51" s="1103"/>
      <c r="L51" s="1176">
        <v>7.4999999999999997E-2</v>
      </c>
      <c r="M51" s="1103">
        <f>M49*L51</f>
        <v>34701.389363250011</v>
      </c>
      <c r="N51" s="17"/>
    </row>
    <row r="52" spans="1:256" s="447" customFormat="1" ht="21.75" customHeight="1">
      <c r="A52" s="1088">
        <v>25</v>
      </c>
      <c r="B52" s="1125" t="s">
        <v>82</v>
      </c>
      <c r="C52" s="1101"/>
      <c r="D52" s="1098" t="s">
        <v>76</v>
      </c>
      <c r="E52" s="1093">
        <f>(0.05*10)+(5*0.3)</f>
        <v>2</v>
      </c>
      <c r="F52" s="1054">
        <f>665.173187113158*1.043</f>
        <v>693.77563415902364</v>
      </c>
      <c r="G52" s="1090">
        <f>F52*E52</f>
        <v>1387.5512683180473</v>
      </c>
      <c r="H52" s="1093">
        <f>(0.65*10)+(5*0.3)</f>
        <v>8</v>
      </c>
      <c r="I52" s="1054">
        <f>665.173187113158*1.043</f>
        <v>693.77563415902364</v>
      </c>
      <c r="J52" s="1134">
        <f>I52*H52</f>
        <v>5550.2050732721891</v>
      </c>
      <c r="K52" s="1093">
        <f>(0.55*10)+(5*0.3)</f>
        <v>7</v>
      </c>
      <c r="L52" s="1054">
        <f>665.173187113158*1.043</f>
        <v>693.77563415902364</v>
      </c>
      <c r="M52" s="1090">
        <f>K52*L52</f>
        <v>4856.4294391131652</v>
      </c>
      <c r="N52" s="417"/>
      <c r="O52" s="434"/>
      <c r="P52" s="434"/>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4"/>
      <c r="AS52" s="434"/>
      <c r="AT52" s="434"/>
      <c r="AU52" s="434"/>
      <c r="AV52" s="434"/>
      <c r="AW52" s="434"/>
      <c r="AX52" s="434"/>
      <c r="AY52" s="434"/>
      <c r="AZ52" s="434"/>
      <c r="BA52" s="434"/>
      <c r="BB52" s="434"/>
      <c r="BC52" s="434"/>
      <c r="BD52" s="434"/>
      <c r="BE52" s="434"/>
      <c r="BF52" s="434"/>
      <c r="BG52" s="434"/>
      <c r="BH52" s="434"/>
      <c r="BI52" s="434"/>
      <c r="BJ52" s="434"/>
      <c r="BK52" s="434"/>
      <c r="BL52" s="434"/>
      <c r="BM52" s="434"/>
      <c r="BN52" s="434"/>
      <c r="BO52" s="434"/>
      <c r="BP52" s="434"/>
      <c r="BQ52" s="434"/>
      <c r="BR52" s="434"/>
      <c r="BS52" s="434"/>
      <c r="BT52" s="434"/>
      <c r="BU52" s="434"/>
      <c r="BV52" s="434"/>
      <c r="BW52" s="434"/>
      <c r="BX52" s="434"/>
      <c r="BY52" s="434"/>
      <c r="BZ52" s="434"/>
      <c r="CA52" s="434"/>
      <c r="CB52" s="434"/>
      <c r="CC52" s="434"/>
      <c r="CD52" s="434"/>
      <c r="CE52" s="434"/>
      <c r="CF52" s="434"/>
      <c r="CG52" s="434"/>
      <c r="CH52" s="434"/>
      <c r="CI52" s="434"/>
      <c r="CJ52" s="434"/>
      <c r="CK52" s="434"/>
      <c r="CL52" s="434"/>
      <c r="CM52" s="434"/>
      <c r="CN52" s="434"/>
      <c r="CO52" s="434"/>
      <c r="CP52" s="434"/>
      <c r="CQ52" s="434"/>
      <c r="CR52" s="434"/>
      <c r="CS52" s="434"/>
      <c r="CT52" s="434"/>
      <c r="CU52" s="434"/>
      <c r="CV52" s="434"/>
      <c r="CW52" s="434"/>
      <c r="CX52" s="434"/>
      <c r="CY52" s="434"/>
      <c r="CZ52" s="434"/>
      <c r="DA52" s="434"/>
      <c r="DB52" s="434"/>
      <c r="DC52" s="434"/>
      <c r="DD52" s="434"/>
      <c r="DE52" s="434"/>
      <c r="DF52" s="434"/>
      <c r="DG52" s="434"/>
      <c r="DH52" s="434"/>
      <c r="DI52" s="434"/>
      <c r="DJ52" s="434"/>
      <c r="DK52" s="434"/>
      <c r="DL52" s="434"/>
      <c r="DM52" s="434"/>
      <c r="DN52" s="434"/>
      <c r="DO52" s="434"/>
      <c r="DP52" s="434"/>
      <c r="DQ52" s="434"/>
      <c r="DR52" s="434"/>
      <c r="DS52" s="434"/>
      <c r="DT52" s="434"/>
      <c r="DU52" s="434"/>
      <c r="DV52" s="434"/>
      <c r="DW52" s="434"/>
      <c r="DX52" s="434"/>
      <c r="DY52" s="434"/>
      <c r="DZ52" s="434"/>
      <c r="EA52" s="434"/>
      <c r="EB52" s="434"/>
      <c r="EC52" s="434"/>
      <c r="ED52" s="434"/>
      <c r="EE52" s="434"/>
      <c r="EF52" s="434"/>
      <c r="EG52" s="434"/>
      <c r="EH52" s="434"/>
      <c r="EI52" s="434"/>
      <c r="EJ52" s="434"/>
      <c r="EK52" s="434"/>
      <c r="EL52" s="434"/>
      <c r="EM52" s="434"/>
      <c r="EN52" s="434"/>
      <c r="EO52" s="434"/>
      <c r="EP52" s="434"/>
      <c r="EQ52" s="434"/>
      <c r="ER52" s="434"/>
      <c r="ES52" s="434"/>
      <c r="ET52" s="434"/>
      <c r="EU52" s="434"/>
      <c r="EV52" s="434"/>
      <c r="EW52" s="434"/>
      <c r="EX52" s="434"/>
      <c r="EY52" s="434"/>
      <c r="EZ52" s="434"/>
      <c r="FA52" s="434"/>
      <c r="FB52" s="434"/>
      <c r="FC52" s="434"/>
      <c r="FD52" s="434"/>
      <c r="FE52" s="434"/>
      <c r="FF52" s="434"/>
      <c r="FG52" s="434"/>
      <c r="FH52" s="434"/>
      <c r="FI52" s="434"/>
      <c r="FJ52" s="434"/>
      <c r="FK52" s="434"/>
      <c r="FL52" s="434"/>
      <c r="FM52" s="434"/>
      <c r="FN52" s="434"/>
      <c r="FO52" s="434"/>
      <c r="FP52" s="434"/>
      <c r="FQ52" s="434"/>
      <c r="FR52" s="434"/>
      <c r="FS52" s="434"/>
      <c r="FT52" s="434"/>
      <c r="FU52" s="434"/>
      <c r="FV52" s="434"/>
      <c r="FW52" s="434"/>
      <c r="FX52" s="434"/>
      <c r="FY52" s="434"/>
      <c r="FZ52" s="434"/>
      <c r="GA52" s="434"/>
      <c r="GB52" s="434"/>
      <c r="GC52" s="434"/>
      <c r="GD52" s="434"/>
      <c r="GE52" s="434"/>
      <c r="GF52" s="434"/>
      <c r="GG52" s="434"/>
      <c r="GH52" s="434"/>
      <c r="GI52" s="434"/>
      <c r="GJ52" s="434"/>
      <c r="GK52" s="434"/>
      <c r="GL52" s="434"/>
      <c r="GM52" s="434"/>
      <c r="GN52" s="434"/>
      <c r="GO52" s="434"/>
      <c r="GP52" s="434"/>
      <c r="GQ52" s="434"/>
      <c r="GR52" s="434"/>
      <c r="GS52" s="434"/>
      <c r="GT52" s="434"/>
      <c r="GU52" s="434"/>
      <c r="GV52" s="434"/>
      <c r="GW52" s="434"/>
      <c r="GX52" s="434"/>
      <c r="GY52" s="434"/>
      <c r="GZ52" s="434"/>
      <c r="HA52" s="434"/>
      <c r="HB52" s="434"/>
      <c r="HC52" s="434"/>
      <c r="HD52" s="434"/>
      <c r="HE52" s="434"/>
      <c r="HF52" s="434"/>
      <c r="HG52" s="434"/>
      <c r="HH52" s="434"/>
      <c r="HI52" s="434"/>
      <c r="HJ52" s="434"/>
      <c r="HK52" s="434"/>
      <c r="HL52" s="434"/>
      <c r="HM52" s="434"/>
      <c r="HN52" s="434"/>
      <c r="HO52" s="434"/>
      <c r="HP52" s="434"/>
      <c r="HQ52" s="434"/>
      <c r="HR52" s="434"/>
      <c r="HS52" s="434"/>
      <c r="HT52" s="434"/>
      <c r="HU52" s="434"/>
      <c r="HV52" s="434"/>
      <c r="HW52" s="434"/>
      <c r="HX52" s="434"/>
      <c r="HY52" s="434"/>
      <c r="HZ52" s="434"/>
      <c r="IA52" s="434"/>
      <c r="IB52" s="434"/>
      <c r="IC52" s="434"/>
      <c r="ID52" s="434"/>
      <c r="IE52" s="434"/>
      <c r="IF52" s="434"/>
      <c r="IG52" s="434"/>
      <c r="IH52" s="434"/>
      <c r="II52" s="434"/>
      <c r="IJ52" s="434"/>
      <c r="IK52" s="434"/>
      <c r="IL52" s="434"/>
      <c r="IM52" s="434"/>
      <c r="IN52" s="434"/>
      <c r="IO52" s="434"/>
      <c r="IP52" s="434"/>
      <c r="IQ52" s="434"/>
      <c r="IR52" s="434"/>
      <c r="IS52" s="434"/>
      <c r="IT52" s="434"/>
      <c r="IU52" s="434"/>
      <c r="IV52" s="434"/>
    </row>
    <row r="53" spans="1:256" ht="36" customHeight="1">
      <c r="A53" s="1088">
        <v>26</v>
      </c>
      <c r="B53" s="1097" t="s">
        <v>1456</v>
      </c>
      <c r="C53" s="1101"/>
      <c r="D53" s="1098" t="s">
        <v>12</v>
      </c>
      <c r="E53" s="1136">
        <v>10</v>
      </c>
      <c r="F53" s="1054">
        <f>424.920563407448*1.043</f>
        <v>443.19214763396826</v>
      </c>
      <c r="G53" s="1090">
        <f>F53*E53</f>
        <v>4431.9214763396831</v>
      </c>
      <c r="H53" s="1177"/>
      <c r="I53" s="1090"/>
      <c r="J53" s="1134"/>
      <c r="K53" s="1136"/>
      <c r="L53" s="1090"/>
      <c r="M53" s="1090"/>
      <c r="N53" s="398"/>
      <c r="O53" s="212"/>
    </row>
    <row r="54" spans="1:256" ht="33" customHeight="1">
      <c r="A54" s="1088">
        <v>27</v>
      </c>
      <c r="B54" s="1097" t="s">
        <v>1533</v>
      </c>
      <c r="C54" s="1101"/>
      <c r="D54" s="1178"/>
      <c r="E54" s="1090"/>
      <c r="F54" s="1090"/>
      <c r="G54" s="1090">
        <v>54539.81</v>
      </c>
      <c r="H54" s="1090" t="s">
        <v>1534</v>
      </c>
      <c r="I54" s="1179" t="s">
        <v>1534</v>
      </c>
      <c r="J54" s="1179">
        <v>58954.98</v>
      </c>
      <c r="K54" s="1157"/>
      <c r="L54" s="1157"/>
      <c r="M54" s="1179">
        <v>58243.14</v>
      </c>
      <c r="O54" s="448"/>
    </row>
    <row r="55" spans="1:256" ht="38.25" customHeight="1">
      <c r="A55" s="1088">
        <v>28</v>
      </c>
      <c r="B55" s="1097" t="s">
        <v>1648</v>
      </c>
      <c r="C55" s="1101"/>
      <c r="D55" s="454"/>
      <c r="E55" s="1090"/>
      <c r="F55" s="1090"/>
      <c r="G55" s="426">
        <f>G50*0.04</f>
        <v>14094.291237627122</v>
      </c>
      <c r="H55" s="1090"/>
      <c r="I55" s="1090"/>
      <c r="J55" s="1090">
        <f>J50*0.04</f>
        <v>23820.468456610168</v>
      </c>
      <c r="K55" s="1157"/>
      <c r="L55" s="1157"/>
      <c r="M55" s="426">
        <f>M50*0.04</f>
        <v>15684.243780000004</v>
      </c>
      <c r="N55" s="814" t="s">
        <v>1827</v>
      </c>
      <c r="O55" s="402"/>
    </row>
    <row r="56" spans="1:256" ht="66" customHeight="1">
      <c r="A56" s="1088">
        <v>29</v>
      </c>
      <c r="B56" s="1097" t="s">
        <v>202</v>
      </c>
      <c r="C56" s="1101"/>
      <c r="D56" s="454"/>
      <c r="E56" s="1090"/>
      <c r="F56" s="1090"/>
      <c r="G56" s="426">
        <f>(G49+G51+G52+G53+G54+G55)*0.125</f>
        <v>65177.348106941856</v>
      </c>
      <c r="H56" s="426"/>
      <c r="I56" s="426"/>
      <c r="J56" s="1126">
        <f>(J49+J51+J52+J53+J54+J55)*0.125</f>
        <v>105466.53243251654</v>
      </c>
      <c r="K56" s="426"/>
      <c r="L56" s="426"/>
      <c r="M56" s="1126">
        <f>(M49+M51+M52+M53+M54+M55)*0.125</f>
        <v>72021.299261545413</v>
      </c>
      <c r="N56" s="445"/>
      <c r="O56" s="402"/>
    </row>
    <row r="57" spans="1:256" ht="35.25" customHeight="1">
      <c r="A57" s="919">
        <v>30</v>
      </c>
      <c r="B57" s="1128" t="s">
        <v>203</v>
      </c>
      <c r="C57" s="1101"/>
      <c r="D57" s="454"/>
      <c r="E57" s="1090"/>
      <c r="F57" s="1090"/>
      <c r="G57" s="924">
        <f>G50+G51+G52+G53+G54+G55+G56</f>
        <v>523171.82239315467</v>
      </c>
      <c r="H57" s="924"/>
      <c r="I57" s="924"/>
      <c r="J57" s="924">
        <f>J50+J51+J52+J53+J54+J55+J56</f>
        <v>842006.6838379032</v>
      </c>
      <c r="K57" s="924"/>
      <c r="L57" s="924"/>
      <c r="M57" s="924">
        <f>M50+M51+M52+M53+M54+M55+M56</f>
        <v>577612.59634390869</v>
      </c>
    </row>
    <row r="58" spans="1:256" ht="21.75" customHeight="1">
      <c r="A58" s="1088">
        <v>31</v>
      </c>
      <c r="B58" s="1097" t="s">
        <v>204</v>
      </c>
      <c r="C58" s="1101"/>
      <c r="D58" s="454"/>
      <c r="E58" s="1090"/>
      <c r="F58" s="1090">
        <v>0.09</v>
      </c>
      <c r="G58" s="1090">
        <f>G57*F58</f>
        <v>47085.464015383921</v>
      </c>
      <c r="H58" s="1090"/>
      <c r="I58" s="1090">
        <v>0.09</v>
      </c>
      <c r="J58" s="1090">
        <f>J57*I58</f>
        <v>75780.601545411278</v>
      </c>
      <c r="K58" s="1090"/>
      <c r="L58" s="1090">
        <v>0.09</v>
      </c>
      <c r="M58" s="1090">
        <f>M57*L58</f>
        <v>51985.133670951778</v>
      </c>
    </row>
    <row r="59" spans="1:256" ht="21.75" customHeight="1">
      <c r="A59" s="1088">
        <v>32</v>
      </c>
      <c r="B59" s="1097" t="s">
        <v>205</v>
      </c>
      <c r="C59" s="1101"/>
      <c r="D59" s="454"/>
      <c r="E59" s="1090"/>
      <c r="F59" s="1090">
        <v>0.09</v>
      </c>
      <c r="G59" s="1090">
        <f>G57*F59</f>
        <v>47085.464015383921</v>
      </c>
      <c r="H59" s="1090"/>
      <c r="I59" s="1090">
        <v>0.09</v>
      </c>
      <c r="J59" s="1090">
        <f>J57*I59</f>
        <v>75780.601545411278</v>
      </c>
      <c r="K59" s="1090"/>
      <c r="L59" s="1090">
        <v>0.09</v>
      </c>
      <c r="M59" s="1090">
        <f>M57*L59</f>
        <v>51985.133670951778</v>
      </c>
      <c r="N59" s="404"/>
    </row>
    <row r="60" spans="1:256" ht="34.5" customHeight="1">
      <c r="A60" s="1088">
        <v>33</v>
      </c>
      <c r="B60" s="1097" t="s">
        <v>1496</v>
      </c>
      <c r="C60" s="1101"/>
      <c r="D60" s="454"/>
      <c r="E60" s="1090"/>
      <c r="F60" s="1090"/>
      <c r="G60" s="1090">
        <f>G57+G58+G59</f>
        <v>617342.75042392255</v>
      </c>
      <c r="H60" s="1090"/>
      <c r="I60" s="1090"/>
      <c r="J60" s="1090">
        <f>J57+J58+J59</f>
        <v>993567.88692872575</v>
      </c>
      <c r="K60" s="1090"/>
      <c r="L60" s="1090"/>
      <c r="M60" s="1090">
        <f>M57+M58+M59</f>
        <v>681582.86368581234</v>
      </c>
    </row>
    <row r="61" spans="1:256" s="442" customFormat="1" ht="36.75" customHeight="1">
      <c r="A61" s="919">
        <v>34</v>
      </c>
      <c r="B61" s="1128" t="s">
        <v>59</v>
      </c>
      <c r="C61" s="1170"/>
      <c r="D61" s="1180"/>
      <c r="E61" s="924"/>
      <c r="F61" s="924"/>
      <c r="G61" s="924">
        <f>ROUND(G60,0)</f>
        <v>617343</v>
      </c>
      <c r="H61" s="1090"/>
      <c r="I61" s="1090"/>
      <c r="J61" s="924">
        <f>ROUND(J60,0)</f>
        <v>993568</v>
      </c>
      <c r="K61" s="924"/>
      <c r="L61" s="924"/>
      <c r="M61" s="924">
        <f>ROUND(M60,0)</f>
        <v>681583</v>
      </c>
    </row>
    <row r="62" spans="1:256" ht="15.75">
      <c r="A62" s="449"/>
      <c r="B62" s="450"/>
      <c r="C62" s="451"/>
      <c r="D62" s="449"/>
      <c r="E62" s="452"/>
      <c r="F62" s="452"/>
      <c r="G62" s="453"/>
      <c r="H62" s="197"/>
      <c r="I62" s="197"/>
      <c r="J62" s="197"/>
    </row>
    <row r="63" spans="1:256" ht="15" customHeight="1">
      <c r="A63" s="3071" t="s">
        <v>88</v>
      </c>
      <c r="B63" s="3071"/>
      <c r="C63" s="3071"/>
      <c r="D63" s="3071"/>
      <c r="E63" s="3071"/>
      <c r="F63" s="3071"/>
      <c r="G63" s="3071"/>
      <c r="H63" s="422"/>
      <c r="I63" s="422"/>
      <c r="J63" s="422"/>
    </row>
    <row r="64" spans="1:256" ht="19.5" customHeight="1">
      <c r="A64" s="454">
        <v>1</v>
      </c>
      <c r="B64" s="3065" t="s">
        <v>1464</v>
      </c>
      <c r="C64" s="3065"/>
      <c r="D64" s="3065"/>
      <c r="E64" s="3065"/>
      <c r="F64" s="3065"/>
      <c r="G64" s="3065"/>
      <c r="H64" s="197"/>
      <c r="I64" s="197"/>
      <c r="J64" s="197"/>
      <c r="N64" s="448"/>
    </row>
    <row r="65" spans="1:10" ht="17.25" customHeight="1">
      <c r="A65" s="454">
        <v>2</v>
      </c>
      <c r="B65" s="3065" t="s">
        <v>61</v>
      </c>
      <c r="C65" s="3065"/>
      <c r="D65" s="3065"/>
      <c r="E65" s="3065"/>
      <c r="F65" s="3065"/>
      <c r="G65" s="3065"/>
      <c r="H65" s="455"/>
      <c r="I65" s="455"/>
      <c r="J65" s="455"/>
    </row>
  </sheetData>
  <mergeCells count="17">
    <mergeCell ref="C1:F1"/>
    <mergeCell ref="B3:J3"/>
    <mergeCell ref="I5:J5"/>
    <mergeCell ref="A7:A8"/>
    <mergeCell ref="B7:B8"/>
    <mergeCell ref="C7:C8"/>
    <mergeCell ref="D7:D8"/>
    <mergeCell ref="E7:G7"/>
    <mergeCell ref="H7:J7"/>
    <mergeCell ref="B64:G64"/>
    <mergeCell ref="B65:G65"/>
    <mergeCell ref="K7:M7"/>
    <mergeCell ref="A14:A16"/>
    <mergeCell ref="A23:A25"/>
    <mergeCell ref="A33:A38"/>
    <mergeCell ref="A39:A48"/>
    <mergeCell ref="A63:G63"/>
  </mergeCells>
  <conditionalFormatting sqref="B49">
    <cfRule type="cellIs" dxfId="146" priority="2" stopIfTrue="1" operator="equal">
      <formula>"?"</formula>
    </cfRule>
  </conditionalFormatting>
  <conditionalFormatting sqref="B50">
    <cfRule type="cellIs" dxfId="145" priority="1" stopIfTrue="1" operator="equal">
      <formula>"?"</formula>
    </cfRule>
  </conditionalFormatting>
  <printOptions horizontalCentered="1" gridLines="1"/>
  <pageMargins left="0.84" right="0.16" top="0.69" bottom="0.28000000000000003" header="0.51" footer="0.19"/>
  <pageSetup paperSize="9" scale="85" fitToHeight="3" orientation="landscape" horizontalDpi="4294967295" r:id="rId1"/>
  <headerFooter alignWithMargins="0"/>
  <rowBreaks count="1" manualBreakCount="1">
    <brk id="53" max="13"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4"/>
  <sheetViews>
    <sheetView workbookViewId="0">
      <pane xSplit="2" ySplit="9" topLeftCell="C10" activePane="bottomRight" state="frozen"/>
      <selection pane="topRight" activeCell="C1" sqref="C1"/>
      <selection pane="bottomLeft" activeCell="A10" sqref="A10"/>
      <selection pane="bottomRight" activeCell="J14" sqref="J14"/>
    </sheetView>
  </sheetViews>
  <sheetFormatPr defaultRowHeight="12.75"/>
  <cols>
    <col min="1" max="1" width="7.5703125" style="70" customWidth="1"/>
    <col min="2" max="2" width="29.7109375" style="70" customWidth="1"/>
    <col min="3" max="3" width="14.5703125" style="70" customWidth="1"/>
    <col min="4" max="4" width="10.7109375" style="70" bestFit="1" customWidth="1"/>
    <col min="5" max="5" width="11.7109375" style="70" customWidth="1"/>
    <col min="6" max="6" width="12.140625" style="70" customWidth="1"/>
    <col min="7" max="7" width="12.7109375" style="70" customWidth="1"/>
    <col min="8" max="8" width="11.28515625" style="70" customWidth="1"/>
    <col min="9" max="9" width="13.5703125" style="832" bestFit="1" customWidth="1"/>
    <col min="10" max="10" width="22.42578125" style="70" customWidth="1"/>
    <col min="11" max="256" width="9.140625" style="70"/>
    <col min="257" max="257" width="7.5703125" style="70" customWidth="1"/>
    <col min="258" max="258" width="29.7109375" style="70" customWidth="1"/>
    <col min="259" max="259" width="14.5703125" style="70" customWidth="1"/>
    <col min="260" max="260" width="10.7109375" style="70" bestFit="1" customWidth="1"/>
    <col min="261" max="261" width="11.7109375" style="70" customWidth="1"/>
    <col min="262" max="262" width="12.140625" style="70" customWidth="1"/>
    <col min="263" max="263" width="12.7109375" style="70" customWidth="1"/>
    <col min="264" max="264" width="11.28515625" style="70" customWidth="1"/>
    <col min="265" max="265" width="13.5703125" style="70" bestFit="1" customWidth="1"/>
    <col min="266" max="266" width="22.42578125" style="70" customWidth="1"/>
    <col min="267" max="512" width="9.140625" style="70"/>
    <col min="513" max="513" width="7.5703125" style="70" customWidth="1"/>
    <col min="514" max="514" width="29.7109375" style="70" customWidth="1"/>
    <col min="515" max="515" width="14.5703125" style="70" customWidth="1"/>
    <col min="516" max="516" width="10.7109375" style="70" bestFit="1" customWidth="1"/>
    <col min="517" max="517" width="11.7109375" style="70" customWidth="1"/>
    <col min="518" max="518" width="12.140625" style="70" customWidth="1"/>
    <col min="519" max="519" width="12.7109375" style="70" customWidth="1"/>
    <col min="520" max="520" width="11.28515625" style="70" customWidth="1"/>
    <col min="521" max="521" width="13.5703125" style="70" bestFit="1" customWidth="1"/>
    <col min="522" max="522" width="22.42578125" style="70" customWidth="1"/>
    <col min="523" max="768" width="9.140625" style="70"/>
    <col min="769" max="769" width="7.5703125" style="70" customWidth="1"/>
    <col min="770" max="770" width="29.7109375" style="70" customWidth="1"/>
    <col min="771" max="771" width="14.5703125" style="70" customWidth="1"/>
    <col min="772" max="772" width="10.7109375" style="70" bestFit="1" customWidth="1"/>
    <col min="773" max="773" width="11.7109375" style="70" customWidth="1"/>
    <col min="774" max="774" width="12.140625" style="70" customWidth="1"/>
    <col min="775" max="775" width="12.7109375" style="70" customWidth="1"/>
    <col min="776" max="776" width="11.28515625" style="70" customWidth="1"/>
    <col min="777" max="777" width="13.5703125" style="70" bestFit="1" customWidth="1"/>
    <col min="778" max="778" width="22.42578125" style="70" customWidth="1"/>
    <col min="779" max="1024" width="9.140625" style="70"/>
    <col min="1025" max="1025" width="7.5703125" style="70" customWidth="1"/>
    <col min="1026" max="1026" width="29.7109375" style="70" customWidth="1"/>
    <col min="1027" max="1027" width="14.5703125" style="70" customWidth="1"/>
    <col min="1028" max="1028" width="10.7109375" style="70" bestFit="1" customWidth="1"/>
    <col min="1029" max="1029" width="11.7109375" style="70" customWidth="1"/>
    <col min="1030" max="1030" width="12.140625" style="70" customWidth="1"/>
    <col min="1031" max="1031" width="12.7109375" style="70" customWidth="1"/>
    <col min="1032" max="1032" width="11.28515625" style="70" customWidth="1"/>
    <col min="1033" max="1033" width="13.5703125" style="70" bestFit="1" customWidth="1"/>
    <col min="1034" max="1034" width="22.42578125" style="70" customWidth="1"/>
    <col min="1035" max="1280" width="9.140625" style="70"/>
    <col min="1281" max="1281" width="7.5703125" style="70" customWidth="1"/>
    <col min="1282" max="1282" width="29.7109375" style="70" customWidth="1"/>
    <col min="1283" max="1283" width="14.5703125" style="70" customWidth="1"/>
    <col min="1284" max="1284" width="10.7109375" style="70" bestFit="1" customWidth="1"/>
    <col min="1285" max="1285" width="11.7109375" style="70" customWidth="1"/>
    <col min="1286" max="1286" width="12.140625" style="70" customWidth="1"/>
    <col min="1287" max="1287" width="12.7109375" style="70" customWidth="1"/>
    <col min="1288" max="1288" width="11.28515625" style="70" customWidth="1"/>
    <col min="1289" max="1289" width="13.5703125" style="70" bestFit="1" customWidth="1"/>
    <col min="1290" max="1290" width="22.42578125" style="70" customWidth="1"/>
    <col min="1291" max="1536" width="9.140625" style="70"/>
    <col min="1537" max="1537" width="7.5703125" style="70" customWidth="1"/>
    <col min="1538" max="1538" width="29.7109375" style="70" customWidth="1"/>
    <col min="1539" max="1539" width="14.5703125" style="70" customWidth="1"/>
    <col min="1540" max="1540" width="10.7109375" style="70" bestFit="1" customWidth="1"/>
    <col min="1541" max="1541" width="11.7109375" style="70" customWidth="1"/>
    <col min="1542" max="1542" width="12.140625" style="70" customWidth="1"/>
    <col min="1543" max="1543" width="12.7109375" style="70" customWidth="1"/>
    <col min="1544" max="1544" width="11.28515625" style="70" customWidth="1"/>
    <col min="1545" max="1545" width="13.5703125" style="70" bestFit="1" customWidth="1"/>
    <col min="1546" max="1546" width="22.42578125" style="70" customWidth="1"/>
    <col min="1547" max="1792" width="9.140625" style="70"/>
    <col min="1793" max="1793" width="7.5703125" style="70" customWidth="1"/>
    <col min="1794" max="1794" width="29.7109375" style="70" customWidth="1"/>
    <col min="1795" max="1795" width="14.5703125" style="70" customWidth="1"/>
    <col min="1796" max="1796" width="10.7109375" style="70" bestFit="1" customWidth="1"/>
    <col min="1797" max="1797" width="11.7109375" style="70" customWidth="1"/>
    <col min="1798" max="1798" width="12.140625" style="70" customWidth="1"/>
    <col min="1799" max="1799" width="12.7109375" style="70" customWidth="1"/>
    <col min="1800" max="1800" width="11.28515625" style="70" customWidth="1"/>
    <col min="1801" max="1801" width="13.5703125" style="70" bestFit="1" customWidth="1"/>
    <col min="1802" max="1802" width="22.42578125" style="70" customWidth="1"/>
    <col min="1803" max="2048" width="9.140625" style="70"/>
    <col min="2049" max="2049" width="7.5703125" style="70" customWidth="1"/>
    <col min="2050" max="2050" width="29.7109375" style="70" customWidth="1"/>
    <col min="2051" max="2051" width="14.5703125" style="70" customWidth="1"/>
    <col min="2052" max="2052" width="10.7109375" style="70" bestFit="1" customWidth="1"/>
    <col min="2053" max="2053" width="11.7109375" style="70" customWidth="1"/>
    <col min="2054" max="2054" width="12.140625" style="70" customWidth="1"/>
    <col min="2055" max="2055" width="12.7109375" style="70" customWidth="1"/>
    <col min="2056" max="2056" width="11.28515625" style="70" customWidth="1"/>
    <col min="2057" max="2057" width="13.5703125" style="70" bestFit="1" customWidth="1"/>
    <col min="2058" max="2058" width="22.42578125" style="70" customWidth="1"/>
    <col min="2059" max="2304" width="9.140625" style="70"/>
    <col min="2305" max="2305" width="7.5703125" style="70" customWidth="1"/>
    <col min="2306" max="2306" width="29.7109375" style="70" customWidth="1"/>
    <col min="2307" max="2307" width="14.5703125" style="70" customWidth="1"/>
    <col min="2308" max="2308" width="10.7109375" style="70" bestFit="1" customWidth="1"/>
    <col min="2309" max="2309" width="11.7109375" style="70" customWidth="1"/>
    <col min="2310" max="2310" width="12.140625" style="70" customWidth="1"/>
    <col min="2311" max="2311" width="12.7109375" style="70" customWidth="1"/>
    <col min="2312" max="2312" width="11.28515625" style="70" customWidth="1"/>
    <col min="2313" max="2313" width="13.5703125" style="70" bestFit="1" customWidth="1"/>
    <col min="2314" max="2314" width="22.42578125" style="70" customWidth="1"/>
    <col min="2315" max="2560" width="9.140625" style="70"/>
    <col min="2561" max="2561" width="7.5703125" style="70" customWidth="1"/>
    <col min="2562" max="2562" width="29.7109375" style="70" customWidth="1"/>
    <col min="2563" max="2563" width="14.5703125" style="70" customWidth="1"/>
    <col min="2564" max="2564" width="10.7109375" style="70" bestFit="1" customWidth="1"/>
    <col min="2565" max="2565" width="11.7109375" style="70" customWidth="1"/>
    <col min="2566" max="2566" width="12.140625" style="70" customWidth="1"/>
    <col min="2567" max="2567" width="12.7109375" style="70" customWidth="1"/>
    <col min="2568" max="2568" width="11.28515625" style="70" customWidth="1"/>
    <col min="2569" max="2569" width="13.5703125" style="70" bestFit="1" customWidth="1"/>
    <col min="2570" max="2570" width="22.42578125" style="70" customWidth="1"/>
    <col min="2571" max="2816" width="9.140625" style="70"/>
    <col min="2817" max="2817" width="7.5703125" style="70" customWidth="1"/>
    <col min="2818" max="2818" width="29.7109375" style="70" customWidth="1"/>
    <col min="2819" max="2819" width="14.5703125" style="70" customWidth="1"/>
    <col min="2820" max="2820" width="10.7109375" style="70" bestFit="1" customWidth="1"/>
    <col min="2821" max="2821" width="11.7109375" style="70" customWidth="1"/>
    <col min="2822" max="2822" width="12.140625" style="70" customWidth="1"/>
    <col min="2823" max="2823" width="12.7109375" style="70" customWidth="1"/>
    <col min="2824" max="2824" width="11.28515625" style="70" customWidth="1"/>
    <col min="2825" max="2825" width="13.5703125" style="70" bestFit="1" customWidth="1"/>
    <col min="2826" max="2826" width="22.42578125" style="70" customWidth="1"/>
    <col min="2827" max="3072" width="9.140625" style="70"/>
    <col min="3073" max="3073" width="7.5703125" style="70" customWidth="1"/>
    <col min="3074" max="3074" width="29.7109375" style="70" customWidth="1"/>
    <col min="3075" max="3075" width="14.5703125" style="70" customWidth="1"/>
    <col min="3076" max="3076" width="10.7109375" style="70" bestFit="1" customWidth="1"/>
    <col min="3077" max="3077" width="11.7109375" style="70" customWidth="1"/>
    <col min="3078" max="3078" width="12.140625" style="70" customWidth="1"/>
    <col min="3079" max="3079" width="12.7109375" style="70" customWidth="1"/>
    <col min="3080" max="3080" width="11.28515625" style="70" customWidth="1"/>
    <col min="3081" max="3081" width="13.5703125" style="70" bestFit="1" customWidth="1"/>
    <col min="3082" max="3082" width="22.42578125" style="70" customWidth="1"/>
    <col min="3083" max="3328" width="9.140625" style="70"/>
    <col min="3329" max="3329" width="7.5703125" style="70" customWidth="1"/>
    <col min="3330" max="3330" width="29.7109375" style="70" customWidth="1"/>
    <col min="3331" max="3331" width="14.5703125" style="70" customWidth="1"/>
    <col min="3332" max="3332" width="10.7109375" style="70" bestFit="1" customWidth="1"/>
    <col min="3333" max="3333" width="11.7109375" style="70" customWidth="1"/>
    <col min="3334" max="3334" width="12.140625" style="70" customWidth="1"/>
    <col min="3335" max="3335" width="12.7109375" style="70" customWidth="1"/>
    <col min="3336" max="3336" width="11.28515625" style="70" customWidth="1"/>
    <col min="3337" max="3337" width="13.5703125" style="70" bestFit="1" customWidth="1"/>
    <col min="3338" max="3338" width="22.42578125" style="70" customWidth="1"/>
    <col min="3339" max="3584" width="9.140625" style="70"/>
    <col min="3585" max="3585" width="7.5703125" style="70" customWidth="1"/>
    <col min="3586" max="3586" width="29.7109375" style="70" customWidth="1"/>
    <col min="3587" max="3587" width="14.5703125" style="70" customWidth="1"/>
    <col min="3588" max="3588" width="10.7109375" style="70" bestFit="1" customWidth="1"/>
    <col min="3589" max="3589" width="11.7109375" style="70" customWidth="1"/>
    <col min="3590" max="3590" width="12.140625" style="70" customWidth="1"/>
    <col min="3591" max="3591" width="12.7109375" style="70" customWidth="1"/>
    <col min="3592" max="3592" width="11.28515625" style="70" customWidth="1"/>
    <col min="3593" max="3593" width="13.5703125" style="70" bestFit="1" customWidth="1"/>
    <col min="3594" max="3594" width="22.42578125" style="70" customWidth="1"/>
    <col min="3595" max="3840" width="9.140625" style="70"/>
    <col min="3841" max="3841" width="7.5703125" style="70" customWidth="1"/>
    <col min="3842" max="3842" width="29.7109375" style="70" customWidth="1"/>
    <col min="3843" max="3843" width="14.5703125" style="70" customWidth="1"/>
    <col min="3844" max="3844" width="10.7109375" style="70" bestFit="1" customWidth="1"/>
    <col min="3845" max="3845" width="11.7109375" style="70" customWidth="1"/>
    <col min="3846" max="3846" width="12.140625" style="70" customWidth="1"/>
    <col min="3847" max="3847" width="12.7109375" style="70" customWidth="1"/>
    <col min="3848" max="3848" width="11.28515625" style="70" customWidth="1"/>
    <col min="3849" max="3849" width="13.5703125" style="70" bestFit="1" customWidth="1"/>
    <col min="3850" max="3850" width="22.42578125" style="70" customWidth="1"/>
    <col min="3851" max="4096" width="9.140625" style="70"/>
    <col min="4097" max="4097" width="7.5703125" style="70" customWidth="1"/>
    <col min="4098" max="4098" width="29.7109375" style="70" customWidth="1"/>
    <col min="4099" max="4099" width="14.5703125" style="70" customWidth="1"/>
    <col min="4100" max="4100" width="10.7109375" style="70" bestFit="1" customWidth="1"/>
    <col min="4101" max="4101" width="11.7109375" style="70" customWidth="1"/>
    <col min="4102" max="4102" width="12.140625" style="70" customWidth="1"/>
    <col min="4103" max="4103" width="12.7109375" style="70" customWidth="1"/>
    <col min="4104" max="4104" width="11.28515625" style="70" customWidth="1"/>
    <col min="4105" max="4105" width="13.5703125" style="70" bestFit="1" customWidth="1"/>
    <col min="4106" max="4106" width="22.42578125" style="70" customWidth="1"/>
    <col min="4107" max="4352" width="9.140625" style="70"/>
    <col min="4353" max="4353" width="7.5703125" style="70" customWidth="1"/>
    <col min="4354" max="4354" width="29.7109375" style="70" customWidth="1"/>
    <col min="4355" max="4355" width="14.5703125" style="70" customWidth="1"/>
    <col min="4356" max="4356" width="10.7109375" style="70" bestFit="1" customWidth="1"/>
    <col min="4357" max="4357" width="11.7109375" style="70" customWidth="1"/>
    <col min="4358" max="4358" width="12.140625" style="70" customWidth="1"/>
    <col min="4359" max="4359" width="12.7109375" style="70" customWidth="1"/>
    <col min="4360" max="4360" width="11.28515625" style="70" customWidth="1"/>
    <col min="4361" max="4361" width="13.5703125" style="70" bestFit="1" customWidth="1"/>
    <col min="4362" max="4362" width="22.42578125" style="70" customWidth="1"/>
    <col min="4363" max="4608" width="9.140625" style="70"/>
    <col min="4609" max="4609" width="7.5703125" style="70" customWidth="1"/>
    <col min="4610" max="4610" width="29.7109375" style="70" customWidth="1"/>
    <col min="4611" max="4611" width="14.5703125" style="70" customWidth="1"/>
    <col min="4612" max="4612" width="10.7109375" style="70" bestFit="1" customWidth="1"/>
    <col min="4613" max="4613" width="11.7109375" style="70" customWidth="1"/>
    <col min="4614" max="4614" width="12.140625" style="70" customWidth="1"/>
    <col min="4615" max="4615" width="12.7109375" style="70" customWidth="1"/>
    <col min="4616" max="4616" width="11.28515625" style="70" customWidth="1"/>
    <col min="4617" max="4617" width="13.5703125" style="70" bestFit="1" customWidth="1"/>
    <col min="4618" max="4618" width="22.42578125" style="70" customWidth="1"/>
    <col min="4619" max="4864" width="9.140625" style="70"/>
    <col min="4865" max="4865" width="7.5703125" style="70" customWidth="1"/>
    <col min="4866" max="4866" width="29.7109375" style="70" customWidth="1"/>
    <col min="4867" max="4867" width="14.5703125" style="70" customWidth="1"/>
    <col min="4868" max="4868" width="10.7109375" style="70" bestFit="1" customWidth="1"/>
    <col min="4869" max="4869" width="11.7109375" style="70" customWidth="1"/>
    <col min="4870" max="4870" width="12.140625" style="70" customWidth="1"/>
    <col min="4871" max="4871" width="12.7109375" style="70" customWidth="1"/>
    <col min="4872" max="4872" width="11.28515625" style="70" customWidth="1"/>
    <col min="4873" max="4873" width="13.5703125" style="70" bestFit="1" customWidth="1"/>
    <col min="4874" max="4874" width="22.42578125" style="70" customWidth="1"/>
    <col min="4875" max="5120" width="9.140625" style="70"/>
    <col min="5121" max="5121" width="7.5703125" style="70" customWidth="1"/>
    <col min="5122" max="5122" width="29.7109375" style="70" customWidth="1"/>
    <col min="5123" max="5123" width="14.5703125" style="70" customWidth="1"/>
    <col min="5124" max="5124" width="10.7109375" style="70" bestFit="1" customWidth="1"/>
    <col min="5125" max="5125" width="11.7109375" style="70" customWidth="1"/>
    <col min="5126" max="5126" width="12.140625" style="70" customWidth="1"/>
    <col min="5127" max="5127" width="12.7109375" style="70" customWidth="1"/>
    <col min="5128" max="5128" width="11.28515625" style="70" customWidth="1"/>
    <col min="5129" max="5129" width="13.5703125" style="70" bestFit="1" customWidth="1"/>
    <col min="5130" max="5130" width="22.42578125" style="70" customWidth="1"/>
    <col min="5131" max="5376" width="9.140625" style="70"/>
    <col min="5377" max="5377" width="7.5703125" style="70" customWidth="1"/>
    <col min="5378" max="5378" width="29.7109375" style="70" customWidth="1"/>
    <col min="5379" max="5379" width="14.5703125" style="70" customWidth="1"/>
    <col min="5380" max="5380" width="10.7109375" style="70" bestFit="1" customWidth="1"/>
    <col min="5381" max="5381" width="11.7109375" style="70" customWidth="1"/>
    <col min="5382" max="5382" width="12.140625" style="70" customWidth="1"/>
    <col min="5383" max="5383" width="12.7109375" style="70" customWidth="1"/>
    <col min="5384" max="5384" width="11.28515625" style="70" customWidth="1"/>
    <col min="5385" max="5385" width="13.5703125" style="70" bestFit="1" customWidth="1"/>
    <col min="5386" max="5386" width="22.42578125" style="70" customWidth="1"/>
    <col min="5387" max="5632" width="9.140625" style="70"/>
    <col min="5633" max="5633" width="7.5703125" style="70" customWidth="1"/>
    <col min="5634" max="5634" width="29.7109375" style="70" customWidth="1"/>
    <col min="5635" max="5635" width="14.5703125" style="70" customWidth="1"/>
    <col min="5636" max="5636" width="10.7109375" style="70" bestFit="1" customWidth="1"/>
    <col min="5637" max="5637" width="11.7109375" style="70" customWidth="1"/>
    <col min="5638" max="5638" width="12.140625" style="70" customWidth="1"/>
    <col min="5639" max="5639" width="12.7109375" style="70" customWidth="1"/>
    <col min="5640" max="5640" width="11.28515625" style="70" customWidth="1"/>
    <col min="5641" max="5641" width="13.5703125" style="70" bestFit="1" customWidth="1"/>
    <col min="5642" max="5642" width="22.42578125" style="70" customWidth="1"/>
    <col min="5643" max="5888" width="9.140625" style="70"/>
    <col min="5889" max="5889" width="7.5703125" style="70" customWidth="1"/>
    <col min="5890" max="5890" width="29.7109375" style="70" customWidth="1"/>
    <col min="5891" max="5891" width="14.5703125" style="70" customWidth="1"/>
    <col min="5892" max="5892" width="10.7109375" style="70" bestFit="1" customWidth="1"/>
    <col min="5893" max="5893" width="11.7109375" style="70" customWidth="1"/>
    <col min="5894" max="5894" width="12.140625" style="70" customWidth="1"/>
    <col min="5895" max="5895" width="12.7109375" style="70" customWidth="1"/>
    <col min="5896" max="5896" width="11.28515625" style="70" customWidth="1"/>
    <col min="5897" max="5897" width="13.5703125" style="70" bestFit="1" customWidth="1"/>
    <col min="5898" max="5898" width="22.42578125" style="70" customWidth="1"/>
    <col min="5899" max="6144" width="9.140625" style="70"/>
    <col min="6145" max="6145" width="7.5703125" style="70" customWidth="1"/>
    <col min="6146" max="6146" width="29.7109375" style="70" customWidth="1"/>
    <col min="6147" max="6147" width="14.5703125" style="70" customWidth="1"/>
    <col min="6148" max="6148" width="10.7109375" style="70" bestFit="1" customWidth="1"/>
    <col min="6149" max="6149" width="11.7109375" style="70" customWidth="1"/>
    <col min="6150" max="6150" width="12.140625" style="70" customWidth="1"/>
    <col min="6151" max="6151" width="12.7109375" style="70" customWidth="1"/>
    <col min="6152" max="6152" width="11.28515625" style="70" customWidth="1"/>
    <col min="6153" max="6153" width="13.5703125" style="70" bestFit="1" customWidth="1"/>
    <col min="6154" max="6154" width="22.42578125" style="70" customWidth="1"/>
    <col min="6155" max="6400" width="9.140625" style="70"/>
    <col min="6401" max="6401" width="7.5703125" style="70" customWidth="1"/>
    <col min="6402" max="6402" width="29.7109375" style="70" customWidth="1"/>
    <col min="6403" max="6403" width="14.5703125" style="70" customWidth="1"/>
    <col min="6404" max="6404" width="10.7109375" style="70" bestFit="1" customWidth="1"/>
    <col min="6405" max="6405" width="11.7109375" style="70" customWidth="1"/>
    <col min="6406" max="6406" width="12.140625" style="70" customWidth="1"/>
    <col min="6407" max="6407" width="12.7109375" style="70" customWidth="1"/>
    <col min="6408" max="6408" width="11.28515625" style="70" customWidth="1"/>
    <col min="6409" max="6409" width="13.5703125" style="70" bestFit="1" customWidth="1"/>
    <col min="6410" max="6410" width="22.42578125" style="70" customWidth="1"/>
    <col min="6411" max="6656" width="9.140625" style="70"/>
    <col min="6657" max="6657" width="7.5703125" style="70" customWidth="1"/>
    <col min="6658" max="6658" width="29.7109375" style="70" customWidth="1"/>
    <col min="6659" max="6659" width="14.5703125" style="70" customWidth="1"/>
    <col min="6660" max="6660" width="10.7109375" style="70" bestFit="1" customWidth="1"/>
    <col min="6661" max="6661" width="11.7109375" style="70" customWidth="1"/>
    <col min="6662" max="6662" width="12.140625" style="70" customWidth="1"/>
    <col min="6663" max="6663" width="12.7109375" style="70" customWidth="1"/>
    <col min="6664" max="6664" width="11.28515625" style="70" customWidth="1"/>
    <col min="6665" max="6665" width="13.5703125" style="70" bestFit="1" customWidth="1"/>
    <col min="6666" max="6666" width="22.42578125" style="70" customWidth="1"/>
    <col min="6667" max="6912" width="9.140625" style="70"/>
    <col min="6913" max="6913" width="7.5703125" style="70" customWidth="1"/>
    <col min="6914" max="6914" width="29.7109375" style="70" customWidth="1"/>
    <col min="6915" max="6915" width="14.5703125" style="70" customWidth="1"/>
    <col min="6916" max="6916" width="10.7109375" style="70" bestFit="1" customWidth="1"/>
    <col min="6917" max="6917" width="11.7109375" style="70" customWidth="1"/>
    <col min="6918" max="6918" width="12.140625" style="70" customWidth="1"/>
    <col min="6919" max="6919" width="12.7109375" style="70" customWidth="1"/>
    <col min="6920" max="6920" width="11.28515625" style="70" customWidth="1"/>
    <col min="6921" max="6921" width="13.5703125" style="70" bestFit="1" customWidth="1"/>
    <col min="6922" max="6922" width="22.42578125" style="70" customWidth="1"/>
    <col min="6923" max="7168" width="9.140625" style="70"/>
    <col min="7169" max="7169" width="7.5703125" style="70" customWidth="1"/>
    <col min="7170" max="7170" width="29.7109375" style="70" customWidth="1"/>
    <col min="7171" max="7171" width="14.5703125" style="70" customWidth="1"/>
    <col min="7172" max="7172" width="10.7109375" style="70" bestFit="1" customWidth="1"/>
    <col min="7173" max="7173" width="11.7109375" style="70" customWidth="1"/>
    <col min="7174" max="7174" width="12.140625" style="70" customWidth="1"/>
    <col min="7175" max="7175" width="12.7109375" style="70" customWidth="1"/>
    <col min="7176" max="7176" width="11.28515625" style="70" customWidth="1"/>
    <col min="7177" max="7177" width="13.5703125" style="70" bestFit="1" customWidth="1"/>
    <col min="7178" max="7178" width="22.42578125" style="70" customWidth="1"/>
    <col min="7179" max="7424" width="9.140625" style="70"/>
    <col min="7425" max="7425" width="7.5703125" style="70" customWidth="1"/>
    <col min="7426" max="7426" width="29.7109375" style="70" customWidth="1"/>
    <col min="7427" max="7427" width="14.5703125" style="70" customWidth="1"/>
    <col min="7428" max="7428" width="10.7109375" style="70" bestFit="1" customWidth="1"/>
    <col min="7429" max="7429" width="11.7109375" style="70" customWidth="1"/>
    <col min="7430" max="7430" width="12.140625" style="70" customWidth="1"/>
    <col min="7431" max="7431" width="12.7109375" style="70" customWidth="1"/>
    <col min="7432" max="7432" width="11.28515625" style="70" customWidth="1"/>
    <col min="7433" max="7433" width="13.5703125" style="70" bestFit="1" customWidth="1"/>
    <col min="7434" max="7434" width="22.42578125" style="70" customWidth="1"/>
    <col min="7435" max="7680" width="9.140625" style="70"/>
    <col min="7681" max="7681" width="7.5703125" style="70" customWidth="1"/>
    <col min="7682" max="7682" width="29.7109375" style="70" customWidth="1"/>
    <col min="7683" max="7683" width="14.5703125" style="70" customWidth="1"/>
    <col min="7684" max="7684" width="10.7109375" style="70" bestFit="1" customWidth="1"/>
    <col min="7685" max="7685" width="11.7109375" style="70" customWidth="1"/>
    <col min="7686" max="7686" width="12.140625" style="70" customWidth="1"/>
    <col min="7687" max="7687" width="12.7109375" style="70" customWidth="1"/>
    <col min="7688" max="7688" width="11.28515625" style="70" customWidth="1"/>
    <col min="7689" max="7689" width="13.5703125" style="70" bestFit="1" customWidth="1"/>
    <col min="7690" max="7690" width="22.42578125" style="70" customWidth="1"/>
    <col min="7691" max="7936" width="9.140625" style="70"/>
    <col min="7937" max="7937" width="7.5703125" style="70" customWidth="1"/>
    <col min="7938" max="7938" width="29.7109375" style="70" customWidth="1"/>
    <col min="7939" max="7939" width="14.5703125" style="70" customWidth="1"/>
    <col min="7940" max="7940" width="10.7109375" style="70" bestFit="1" customWidth="1"/>
    <col min="7941" max="7941" width="11.7109375" style="70" customWidth="1"/>
    <col min="7942" max="7942" width="12.140625" style="70" customWidth="1"/>
    <col min="7943" max="7943" width="12.7109375" style="70" customWidth="1"/>
    <col min="7944" max="7944" width="11.28515625" style="70" customWidth="1"/>
    <col min="7945" max="7945" width="13.5703125" style="70" bestFit="1" customWidth="1"/>
    <col min="7946" max="7946" width="22.42578125" style="70" customWidth="1"/>
    <col min="7947" max="8192" width="9.140625" style="70"/>
    <col min="8193" max="8193" width="7.5703125" style="70" customWidth="1"/>
    <col min="8194" max="8194" width="29.7109375" style="70" customWidth="1"/>
    <col min="8195" max="8195" width="14.5703125" style="70" customWidth="1"/>
    <col min="8196" max="8196" width="10.7109375" style="70" bestFit="1" customWidth="1"/>
    <col min="8197" max="8197" width="11.7109375" style="70" customWidth="1"/>
    <col min="8198" max="8198" width="12.140625" style="70" customWidth="1"/>
    <col min="8199" max="8199" width="12.7109375" style="70" customWidth="1"/>
    <col min="8200" max="8200" width="11.28515625" style="70" customWidth="1"/>
    <col min="8201" max="8201" width="13.5703125" style="70" bestFit="1" customWidth="1"/>
    <col min="8202" max="8202" width="22.42578125" style="70" customWidth="1"/>
    <col min="8203" max="8448" width="9.140625" style="70"/>
    <col min="8449" max="8449" width="7.5703125" style="70" customWidth="1"/>
    <col min="8450" max="8450" width="29.7109375" style="70" customWidth="1"/>
    <col min="8451" max="8451" width="14.5703125" style="70" customWidth="1"/>
    <col min="8452" max="8452" width="10.7109375" style="70" bestFit="1" customWidth="1"/>
    <col min="8453" max="8453" width="11.7109375" style="70" customWidth="1"/>
    <col min="8454" max="8454" width="12.140625" style="70" customWidth="1"/>
    <col min="8455" max="8455" width="12.7109375" style="70" customWidth="1"/>
    <col min="8456" max="8456" width="11.28515625" style="70" customWidth="1"/>
    <col min="8457" max="8457" width="13.5703125" style="70" bestFit="1" customWidth="1"/>
    <col min="8458" max="8458" width="22.42578125" style="70" customWidth="1"/>
    <col min="8459" max="8704" width="9.140625" style="70"/>
    <col min="8705" max="8705" width="7.5703125" style="70" customWidth="1"/>
    <col min="8706" max="8706" width="29.7109375" style="70" customWidth="1"/>
    <col min="8707" max="8707" width="14.5703125" style="70" customWidth="1"/>
    <col min="8708" max="8708" width="10.7109375" style="70" bestFit="1" customWidth="1"/>
    <col min="8709" max="8709" width="11.7109375" style="70" customWidth="1"/>
    <col min="8710" max="8710" width="12.140625" style="70" customWidth="1"/>
    <col min="8711" max="8711" width="12.7109375" style="70" customWidth="1"/>
    <col min="8712" max="8712" width="11.28515625" style="70" customWidth="1"/>
    <col min="8713" max="8713" width="13.5703125" style="70" bestFit="1" customWidth="1"/>
    <col min="8714" max="8714" width="22.42578125" style="70" customWidth="1"/>
    <col min="8715" max="8960" width="9.140625" style="70"/>
    <col min="8961" max="8961" width="7.5703125" style="70" customWidth="1"/>
    <col min="8962" max="8962" width="29.7109375" style="70" customWidth="1"/>
    <col min="8963" max="8963" width="14.5703125" style="70" customWidth="1"/>
    <col min="8964" max="8964" width="10.7109375" style="70" bestFit="1" customWidth="1"/>
    <col min="8965" max="8965" width="11.7109375" style="70" customWidth="1"/>
    <col min="8966" max="8966" width="12.140625" style="70" customWidth="1"/>
    <col min="8967" max="8967" width="12.7109375" style="70" customWidth="1"/>
    <col min="8968" max="8968" width="11.28515625" style="70" customWidth="1"/>
    <col min="8969" max="8969" width="13.5703125" style="70" bestFit="1" customWidth="1"/>
    <col min="8970" max="8970" width="22.42578125" style="70" customWidth="1"/>
    <col min="8971" max="9216" width="9.140625" style="70"/>
    <col min="9217" max="9217" width="7.5703125" style="70" customWidth="1"/>
    <col min="9218" max="9218" width="29.7109375" style="70" customWidth="1"/>
    <col min="9219" max="9219" width="14.5703125" style="70" customWidth="1"/>
    <col min="9220" max="9220" width="10.7109375" style="70" bestFit="1" customWidth="1"/>
    <col min="9221" max="9221" width="11.7109375" style="70" customWidth="1"/>
    <col min="9222" max="9222" width="12.140625" style="70" customWidth="1"/>
    <col min="9223" max="9223" width="12.7109375" style="70" customWidth="1"/>
    <col min="9224" max="9224" width="11.28515625" style="70" customWidth="1"/>
    <col min="9225" max="9225" width="13.5703125" style="70" bestFit="1" customWidth="1"/>
    <col min="9226" max="9226" width="22.42578125" style="70" customWidth="1"/>
    <col min="9227" max="9472" width="9.140625" style="70"/>
    <col min="9473" max="9473" width="7.5703125" style="70" customWidth="1"/>
    <col min="9474" max="9474" width="29.7109375" style="70" customWidth="1"/>
    <col min="9475" max="9475" width="14.5703125" style="70" customWidth="1"/>
    <col min="9476" max="9476" width="10.7109375" style="70" bestFit="1" customWidth="1"/>
    <col min="9477" max="9477" width="11.7109375" style="70" customWidth="1"/>
    <col min="9478" max="9478" width="12.140625" style="70" customWidth="1"/>
    <col min="9479" max="9479" width="12.7109375" style="70" customWidth="1"/>
    <col min="9480" max="9480" width="11.28515625" style="70" customWidth="1"/>
    <col min="9481" max="9481" width="13.5703125" style="70" bestFit="1" customWidth="1"/>
    <col min="9482" max="9482" width="22.42578125" style="70" customWidth="1"/>
    <col min="9483" max="9728" width="9.140625" style="70"/>
    <col min="9729" max="9729" width="7.5703125" style="70" customWidth="1"/>
    <col min="9730" max="9730" width="29.7109375" style="70" customWidth="1"/>
    <col min="9731" max="9731" width="14.5703125" style="70" customWidth="1"/>
    <col min="9732" max="9732" width="10.7109375" style="70" bestFit="1" customWidth="1"/>
    <col min="9733" max="9733" width="11.7109375" style="70" customWidth="1"/>
    <col min="9734" max="9734" width="12.140625" style="70" customWidth="1"/>
    <col min="9735" max="9735" width="12.7109375" style="70" customWidth="1"/>
    <col min="9736" max="9736" width="11.28515625" style="70" customWidth="1"/>
    <col min="9737" max="9737" width="13.5703125" style="70" bestFit="1" customWidth="1"/>
    <col min="9738" max="9738" width="22.42578125" style="70" customWidth="1"/>
    <col min="9739" max="9984" width="9.140625" style="70"/>
    <col min="9985" max="9985" width="7.5703125" style="70" customWidth="1"/>
    <col min="9986" max="9986" width="29.7109375" style="70" customWidth="1"/>
    <col min="9987" max="9987" width="14.5703125" style="70" customWidth="1"/>
    <col min="9988" max="9988" width="10.7109375" style="70" bestFit="1" customWidth="1"/>
    <col min="9989" max="9989" width="11.7109375" style="70" customWidth="1"/>
    <col min="9990" max="9990" width="12.140625" style="70" customWidth="1"/>
    <col min="9991" max="9991" width="12.7109375" style="70" customWidth="1"/>
    <col min="9992" max="9992" width="11.28515625" style="70" customWidth="1"/>
    <col min="9993" max="9993" width="13.5703125" style="70" bestFit="1" customWidth="1"/>
    <col min="9994" max="9994" width="22.42578125" style="70" customWidth="1"/>
    <col min="9995" max="10240" width="9.140625" style="70"/>
    <col min="10241" max="10241" width="7.5703125" style="70" customWidth="1"/>
    <col min="10242" max="10242" width="29.7109375" style="70" customWidth="1"/>
    <col min="10243" max="10243" width="14.5703125" style="70" customWidth="1"/>
    <col min="10244" max="10244" width="10.7109375" style="70" bestFit="1" customWidth="1"/>
    <col min="10245" max="10245" width="11.7109375" style="70" customWidth="1"/>
    <col min="10246" max="10246" width="12.140625" style="70" customWidth="1"/>
    <col min="10247" max="10247" width="12.7109375" style="70" customWidth="1"/>
    <col min="10248" max="10248" width="11.28515625" style="70" customWidth="1"/>
    <col min="10249" max="10249" width="13.5703125" style="70" bestFit="1" customWidth="1"/>
    <col min="10250" max="10250" width="22.42578125" style="70" customWidth="1"/>
    <col min="10251" max="10496" width="9.140625" style="70"/>
    <col min="10497" max="10497" width="7.5703125" style="70" customWidth="1"/>
    <col min="10498" max="10498" width="29.7109375" style="70" customWidth="1"/>
    <col min="10499" max="10499" width="14.5703125" style="70" customWidth="1"/>
    <col min="10500" max="10500" width="10.7109375" style="70" bestFit="1" customWidth="1"/>
    <col min="10501" max="10501" width="11.7109375" style="70" customWidth="1"/>
    <col min="10502" max="10502" width="12.140625" style="70" customWidth="1"/>
    <col min="10503" max="10503" width="12.7109375" style="70" customWidth="1"/>
    <col min="10504" max="10504" width="11.28515625" style="70" customWidth="1"/>
    <col min="10505" max="10505" width="13.5703125" style="70" bestFit="1" customWidth="1"/>
    <col min="10506" max="10506" width="22.42578125" style="70" customWidth="1"/>
    <col min="10507" max="10752" width="9.140625" style="70"/>
    <col min="10753" max="10753" width="7.5703125" style="70" customWidth="1"/>
    <col min="10754" max="10754" width="29.7109375" style="70" customWidth="1"/>
    <col min="10755" max="10755" width="14.5703125" style="70" customWidth="1"/>
    <col min="10756" max="10756" width="10.7109375" style="70" bestFit="1" customWidth="1"/>
    <col min="10757" max="10757" width="11.7109375" style="70" customWidth="1"/>
    <col min="10758" max="10758" width="12.140625" style="70" customWidth="1"/>
    <col min="10759" max="10759" width="12.7109375" style="70" customWidth="1"/>
    <col min="10760" max="10760" width="11.28515625" style="70" customWidth="1"/>
    <col min="10761" max="10761" width="13.5703125" style="70" bestFit="1" customWidth="1"/>
    <col min="10762" max="10762" width="22.42578125" style="70" customWidth="1"/>
    <col min="10763" max="11008" width="9.140625" style="70"/>
    <col min="11009" max="11009" width="7.5703125" style="70" customWidth="1"/>
    <col min="11010" max="11010" width="29.7109375" style="70" customWidth="1"/>
    <col min="11011" max="11011" width="14.5703125" style="70" customWidth="1"/>
    <col min="11012" max="11012" width="10.7109375" style="70" bestFit="1" customWidth="1"/>
    <col min="11013" max="11013" width="11.7109375" style="70" customWidth="1"/>
    <col min="11014" max="11014" width="12.140625" style="70" customWidth="1"/>
    <col min="11015" max="11015" width="12.7109375" style="70" customWidth="1"/>
    <col min="11016" max="11016" width="11.28515625" style="70" customWidth="1"/>
    <col min="11017" max="11017" width="13.5703125" style="70" bestFit="1" customWidth="1"/>
    <col min="11018" max="11018" width="22.42578125" style="70" customWidth="1"/>
    <col min="11019" max="11264" width="9.140625" style="70"/>
    <col min="11265" max="11265" width="7.5703125" style="70" customWidth="1"/>
    <col min="11266" max="11266" width="29.7109375" style="70" customWidth="1"/>
    <col min="11267" max="11267" width="14.5703125" style="70" customWidth="1"/>
    <col min="11268" max="11268" width="10.7109375" style="70" bestFit="1" customWidth="1"/>
    <col min="11269" max="11269" width="11.7109375" style="70" customWidth="1"/>
    <col min="11270" max="11270" width="12.140625" style="70" customWidth="1"/>
    <col min="11271" max="11271" width="12.7109375" style="70" customWidth="1"/>
    <col min="11272" max="11272" width="11.28515625" style="70" customWidth="1"/>
    <col min="11273" max="11273" width="13.5703125" style="70" bestFit="1" customWidth="1"/>
    <col min="11274" max="11274" width="22.42578125" style="70" customWidth="1"/>
    <col min="11275" max="11520" width="9.140625" style="70"/>
    <col min="11521" max="11521" width="7.5703125" style="70" customWidth="1"/>
    <col min="11522" max="11522" width="29.7109375" style="70" customWidth="1"/>
    <col min="11523" max="11523" width="14.5703125" style="70" customWidth="1"/>
    <col min="11524" max="11524" width="10.7109375" style="70" bestFit="1" customWidth="1"/>
    <col min="11525" max="11525" width="11.7109375" style="70" customWidth="1"/>
    <col min="11526" max="11526" width="12.140625" style="70" customWidth="1"/>
    <col min="11527" max="11527" width="12.7109375" style="70" customWidth="1"/>
    <col min="11528" max="11528" width="11.28515625" style="70" customWidth="1"/>
    <col min="11529" max="11529" width="13.5703125" style="70" bestFit="1" customWidth="1"/>
    <col min="11530" max="11530" width="22.42578125" style="70" customWidth="1"/>
    <col min="11531" max="11776" width="9.140625" style="70"/>
    <col min="11777" max="11777" width="7.5703125" style="70" customWidth="1"/>
    <col min="11778" max="11778" width="29.7109375" style="70" customWidth="1"/>
    <col min="11779" max="11779" width="14.5703125" style="70" customWidth="1"/>
    <col min="11780" max="11780" width="10.7109375" style="70" bestFit="1" customWidth="1"/>
    <col min="11781" max="11781" width="11.7109375" style="70" customWidth="1"/>
    <col min="11782" max="11782" width="12.140625" style="70" customWidth="1"/>
    <col min="11783" max="11783" width="12.7109375" style="70" customWidth="1"/>
    <col min="11784" max="11784" width="11.28515625" style="70" customWidth="1"/>
    <col min="11785" max="11785" width="13.5703125" style="70" bestFit="1" customWidth="1"/>
    <col min="11786" max="11786" width="22.42578125" style="70" customWidth="1"/>
    <col min="11787" max="12032" width="9.140625" style="70"/>
    <col min="12033" max="12033" width="7.5703125" style="70" customWidth="1"/>
    <col min="12034" max="12034" width="29.7109375" style="70" customWidth="1"/>
    <col min="12035" max="12035" width="14.5703125" style="70" customWidth="1"/>
    <col min="12036" max="12036" width="10.7109375" style="70" bestFit="1" customWidth="1"/>
    <col min="12037" max="12037" width="11.7109375" style="70" customWidth="1"/>
    <col min="12038" max="12038" width="12.140625" style="70" customWidth="1"/>
    <col min="12039" max="12039" width="12.7109375" style="70" customWidth="1"/>
    <col min="12040" max="12040" width="11.28515625" style="70" customWidth="1"/>
    <col min="12041" max="12041" width="13.5703125" style="70" bestFit="1" customWidth="1"/>
    <col min="12042" max="12042" width="22.42578125" style="70" customWidth="1"/>
    <col min="12043" max="12288" width="9.140625" style="70"/>
    <col min="12289" max="12289" width="7.5703125" style="70" customWidth="1"/>
    <col min="12290" max="12290" width="29.7109375" style="70" customWidth="1"/>
    <col min="12291" max="12291" width="14.5703125" style="70" customWidth="1"/>
    <col min="12292" max="12292" width="10.7109375" style="70" bestFit="1" customWidth="1"/>
    <col min="12293" max="12293" width="11.7109375" style="70" customWidth="1"/>
    <col min="12294" max="12294" width="12.140625" style="70" customWidth="1"/>
    <col min="12295" max="12295" width="12.7109375" style="70" customWidth="1"/>
    <col min="12296" max="12296" width="11.28515625" style="70" customWidth="1"/>
    <col min="12297" max="12297" width="13.5703125" style="70" bestFit="1" customWidth="1"/>
    <col min="12298" max="12298" width="22.42578125" style="70" customWidth="1"/>
    <col min="12299" max="12544" width="9.140625" style="70"/>
    <col min="12545" max="12545" width="7.5703125" style="70" customWidth="1"/>
    <col min="12546" max="12546" width="29.7109375" style="70" customWidth="1"/>
    <col min="12547" max="12547" width="14.5703125" style="70" customWidth="1"/>
    <col min="12548" max="12548" width="10.7109375" style="70" bestFit="1" customWidth="1"/>
    <col min="12549" max="12549" width="11.7109375" style="70" customWidth="1"/>
    <col min="12550" max="12550" width="12.140625" style="70" customWidth="1"/>
    <col min="12551" max="12551" width="12.7109375" style="70" customWidth="1"/>
    <col min="12552" max="12552" width="11.28515625" style="70" customWidth="1"/>
    <col min="12553" max="12553" width="13.5703125" style="70" bestFit="1" customWidth="1"/>
    <col min="12554" max="12554" width="22.42578125" style="70" customWidth="1"/>
    <col min="12555" max="12800" width="9.140625" style="70"/>
    <col min="12801" max="12801" width="7.5703125" style="70" customWidth="1"/>
    <col min="12802" max="12802" width="29.7109375" style="70" customWidth="1"/>
    <col min="12803" max="12803" width="14.5703125" style="70" customWidth="1"/>
    <col min="12804" max="12804" width="10.7109375" style="70" bestFit="1" customWidth="1"/>
    <col min="12805" max="12805" width="11.7109375" style="70" customWidth="1"/>
    <col min="12806" max="12806" width="12.140625" style="70" customWidth="1"/>
    <col min="12807" max="12807" width="12.7109375" style="70" customWidth="1"/>
    <col min="12808" max="12808" width="11.28515625" style="70" customWidth="1"/>
    <col min="12809" max="12809" width="13.5703125" style="70" bestFit="1" customWidth="1"/>
    <col min="12810" max="12810" width="22.42578125" style="70" customWidth="1"/>
    <col min="12811" max="13056" width="9.140625" style="70"/>
    <col min="13057" max="13057" width="7.5703125" style="70" customWidth="1"/>
    <col min="13058" max="13058" width="29.7109375" style="70" customWidth="1"/>
    <col min="13059" max="13059" width="14.5703125" style="70" customWidth="1"/>
    <col min="13060" max="13060" width="10.7109375" style="70" bestFit="1" customWidth="1"/>
    <col min="13061" max="13061" width="11.7109375" style="70" customWidth="1"/>
    <col min="13062" max="13062" width="12.140625" style="70" customWidth="1"/>
    <col min="13063" max="13063" width="12.7109375" style="70" customWidth="1"/>
    <col min="13064" max="13064" width="11.28515625" style="70" customWidth="1"/>
    <col min="13065" max="13065" width="13.5703125" style="70" bestFit="1" customWidth="1"/>
    <col min="13066" max="13066" width="22.42578125" style="70" customWidth="1"/>
    <col min="13067" max="13312" width="9.140625" style="70"/>
    <col min="13313" max="13313" width="7.5703125" style="70" customWidth="1"/>
    <col min="13314" max="13314" width="29.7109375" style="70" customWidth="1"/>
    <col min="13315" max="13315" width="14.5703125" style="70" customWidth="1"/>
    <col min="13316" max="13316" width="10.7109375" style="70" bestFit="1" customWidth="1"/>
    <col min="13317" max="13317" width="11.7109375" style="70" customWidth="1"/>
    <col min="13318" max="13318" width="12.140625" style="70" customWidth="1"/>
    <col min="13319" max="13319" width="12.7109375" style="70" customWidth="1"/>
    <col min="13320" max="13320" width="11.28515625" style="70" customWidth="1"/>
    <col min="13321" max="13321" width="13.5703125" style="70" bestFit="1" customWidth="1"/>
    <col min="13322" max="13322" width="22.42578125" style="70" customWidth="1"/>
    <col min="13323" max="13568" width="9.140625" style="70"/>
    <col min="13569" max="13569" width="7.5703125" style="70" customWidth="1"/>
    <col min="13570" max="13570" width="29.7109375" style="70" customWidth="1"/>
    <col min="13571" max="13571" width="14.5703125" style="70" customWidth="1"/>
    <col min="13572" max="13572" width="10.7109375" style="70" bestFit="1" customWidth="1"/>
    <col min="13573" max="13573" width="11.7109375" style="70" customWidth="1"/>
    <col min="13574" max="13574" width="12.140625" style="70" customWidth="1"/>
    <col min="13575" max="13575" width="12.7109375" style="70" customWidth="1"/>
    <col min="13576" max="13576" width="11.28515625" style="70" customWidth="1"/>
    <col min="13577" max="13577" width="13.5703125" style="70" bestFit="1" customWidth="1"/>
    <col min="13578" max="13578" width="22.42578125" style="70" customWidth="1"/>
    <col min="13579" max="13824" width="9.140625" style="70"/>
    <col min="13825" max="13825" width="7.5703125" style="70" customWidth="1"/>
    <col min="13826" max="13826" width="29.7109375" style="70" customWidth="1"/>
    <col min="13827" max="13827" width="14.5703125" style="70" customWidth="1"/>
    <col min="13828" max="13828" width="10.7109375" style="70" bestFit="1" customWidth="1"/>
    <col min="13829" max="13829" width="11.7109375" style="70" customWidth="1"/>
    <col min="13830" max="13830" width="12.140625" style="70" customWidth="1"/>
    <col min="13831" max="13831" width="12.7109375" style="70" customWidth="1"/>
    <col min="13832" max="13832" width="11.28515625" style="70" customWidth="1"/>
    <col min="13833" max="13833" width="13.5703125" style="70" bestFit="1" customWidth="1"/>
    <col min="13834" max="13834" width="22.42578125" style="70" customWidth="1"/>
    <col min="13835" max="14080" width="9.140625" style="70"/>
    <col min="14081" max="14081" width="7.5703125" style="70" customWidth="1"/>
    <col min="14082" max="14082" width="29.7109375" style="70" customWidth="1"/>
    <col min="14083" max="14083" width="14.5703125" style="70" customWidth="1"/>
    <col min="14084" max="14084" width="10.7109375" style="70" bestFit="1" customWidth="1"/>
    <col min="14085" max="14085" width="11.7109375" style="70" customWidth="1"/>
    <col min="14086" max="14086" width="12.140625" style="70" customWidth="1"/>
    <col min="14087" max="14087" width="12.7109375" style="70" customWidth="1"/>
    <col min="14088" max="14088" width="11.28515625" style="70" customWidth="1"/>
    <col min="14089" max="14089" width="13.5703125" style="70" bestFit="1" customWidth="1"/>
    <col min="14090" max="14090" width="22.42578125" style="70" customWidth="1"/>
    <col min="14091" max="14336" width="9.140625" style="70"/>
    <col min="14337" max="14337" width="7.5703125" style="70" customWidth="1"/>
    <col min="14338" max="14338" width="29.7109375" style="70" customWidth="1"/>
    <col min="14339" max="14339" width="14.5703125" style="70" customWidth="1"/>
    <col min="14340" max="14340" width="10.7109375" style="70" bestFit="1" customWidth="1"/>
    <col min="14341" max="14341" width="11.7109375" style="70" customWidth="1"/>
    <col min="14342" max="14342" width="12.140625" style="70" customWidth="1"/>
    <col min="14343" max="14343" width="12.7109375" style="70" customWidth="1"/>
    <col min="14344" max="14344" width="11.28515625" style="70" customWidth="1"/>
    <col min="14345" max="14345" width="13.5703125" style="70" bestFit="1" customWidth="1"/>
    <col min="14346" max="14346" width="22.42578125" style="70" customWidth="1"/>
    <col min="14347" max="14592" width="9.140625" style="70"/>
    <col min="14593" max="14593" width="7.5703125" style="70" customWidth="1"/>
    <col min="14594" max="14594" width="29.7109375" style="70" customWidth="1"/>
    <col min="14595" max="14595" width="14.5703125" style="70" customWidth="1"/>
    <col min="14596" max="14596" width="10.7109375" style="70" bestFit="1" customWidth="1"/>
    <col min="14597" max="14597" width="11.7109375" style="70" customWidth="1"/>
    <col min="14598" max="14598" width="12.140625" style="70" customWidth="1"/>
    <col min="14599" max="14599" width="12.7109375" style="70" customWidth="1"/>
    <col min="14600" max="14600" width="11.28515625" style="70" customWidth="1"/>
    <col min="14601" max="14601" width="13.5703125" style="70" bestFit="1" customWidth="1"/>
    <col min="14602" max="14602" width="22.42578125" style="70" customWidth="1"/>
    <col min="14603" max="14848" width="9.140625" style="70"/>
    <col min="14849" max="14849" width="7.5703125" style="70" customWidth="1"/>
    <col min="14850" max="14850" width="29.7109375" style="70" customWidth="1"/>
    <col min="14851" max="14851" width="14.5703125" style="70" customWidth="1"/>
    <col min="14852" max="14852" width="10.7109375" style="70" bestFit="1" customWidth="1"/>
    <col min="14853" max="14853" width="11.7109375" style="70" customWidth="1"/>
    <col min="14854" max="14854" width="12.140625" style="70" customWidth="1"/>
    <col min="14855" max="14855" width="12.7109375" style="70" customWidth="1"/>
    <col min="14856" max="14856" width="11.28515625" style="70" customWidth="1"/>
    <col min="14857" max="14857" width="13.5703125" style="70" bestFit="1" customWidth="1"/>
    <col min="14858" max="14858" width="22.42578125" style="70" customWidth="1"/>
    <col min="14859" max="15104" width="9.140625" style="70"/>
    <col min="15105" max="15105" width="7.5703125" style="70" customWidth="1"/>
    <col min="15106" max="15106" width="29.7109375" style="70" customWidth="1"/>
    <col min="15107" max="15107" width="14.5703125" style="70" customWidth="1"/>
    <col min="15108" max="15108" width="10.7109375" style="70" bestFit="1" customWidth="1"/>
    <col min="15109" max="15109" width="11.7109375" style="70" customWidth="1"/>
    <col min="15110" max="15110" width="12.140625" style="70" customWidth="1"/>
    <col min="15111" max="15111" width="12.7109375" style="70" customWidth="1"/>
    <col min="15112" max="15112" width="11.28515625" style="70" customWidth="1"/>
    <col min="15113" max="15113" width="13.5703125" style="70" bestFit="1" customWidth="1"/>
    <col min="15114" max="15114" width="22.42578125" style="70" customWidth="1"/>
    <col min="15115" max="15360" width="9.140625" style="70"/>
    <col min="15361" max="15361" width="7.5703125" style="70" customWidth="1"/>
    <col min="15362" max="15362" width="29.7109375" style="70" customWidth="1"/>
    <col min="15363" max="15363" width="14.5703125" style="70" customWidth="1"/>
    <col min="15364" max="15364" width="10.7109375" style="70" bestFit="1" customWidth="1"/>
    <col min="15365" max="15365" width="11.7109375" style="70" customWidth="1"/>
    <col min="15366" max="15366" width="12.140625" style="70" customWidth="1"/>
    <col min="15367" max="15367" width="12.7109375" style="70" customWidth="1"/>
    <col min="15368" max="15368" width="11.28515625" style="70" customWidth="1"/>
    <col min="15369" max="15369" width="13.5703125" style="70" bestFit="1" customWidth="1"/>
    <col min="15370" max="15370" width="22.42578125" style="70" customWidth="1"/>
    <col min="15371" max="15616" width="9.140625" style="70"/>
    <col min="15617" max="15617" width="7.5703125" style="70" customWidth="1"/>
    <col min="15618" max="15618" width="29.7109375" style="70" customWidth="1"/>
    <col min="15619" max="15619" width="14.5703125" style="70" customWidth="1"/>
    <col min="15620" max="15620" width="10.7109375" style="70" bestFit="1" customWidth="1"/>
    <col min="15621" max="15621" width="11.7109375" style="70" customWidth="1"/>
    <col min="15622" max="15622" width="12.140625" style="70" customWidth="1"/>
    <col min="15623" max="15623" width="12.7109375" style="70" customWidth="1"/>
    <col min="15624" max="15624" width="11.28515625" style="70" customWidth="1"/>
    <col min="15625" max="15625" width="13.5703125" style="70" bestFit="1" customWidth="1"/>
    <col min="15626" max="15626" width="22.42578125" style="70" customWidth="1"/>
    <col min="15627" max="15872" width="9.140625" style="70"/>
    <col min="15873" max="15873" width="7.5703125" style="70" customWidth="1"/>
    <col min="15874" max="15874" width="29.7109375" style="70" customWidth="1"/>
    <col min="15875" max="15875" width="14.5703125" style="70" customWidth="1"/>
    <col min="15876" max="15876" width="10.7109375" style="70" bestFit="1" customWidth="1"/>
    <col min="15877" max="15877" width="11.7109375" style="70" customWidth="1"/>
    <col min="15878" max="15878" width="12.140625" style="70" customWidth="1"/>
    <col min="15879" max="15879" width="12.7109375" style="70" customWidth="1"/>
    <col min="15880" max="15880" width="11.28515625" style="70" customWidth="1"/>
    <col min="15881" max="15881" width="13.5703125" style="70" bestFit="1" customWidth="1"/>
    <col min="15882" max="15882" width="22.42578125" style="70" customWidth="1"/>
    <col min="15883" max="16128" width="9.140625" style="70"/>
    <col min="16129" max="16129" width="7.5703125" style="70" customWidth="1"/>
    <col min="16130" max="16130" width="29.7109375" style="70" customWidth="1"/>
    <col min="16131" max="16131" width="14.5703125" style="70" customWidth="1"/>
    <col min="16132" max="16132" width="10.7109375" style="70" bestFit="1" customWidth="1"/>
    <col min="16133" max="16133" width="11.7109375" style="70" customWidth="1"/>
    <col min="16134" max="16134" width="12.140625" style="70" customWidth="1"/>
    <col min="16135" max="16135" width="12.7109375" style="70" customWidth="1"/>
    <col min="16136" max="16136" width="11.28515625" style="70" customWidth="1"/>
    <col min="16137" max="16137" width="13.5703125" style="70" bestFit="1" customWidth="1"/>
    <col min="16138" max="16138" width="22.42578125" style="70" customWidth="1"/>
    <col min="16139" max="16384" width="9.140625" style="70"/>
  </cols>
  <sheetData>
    <row r="2" spans="1:14" ht="20.25">
      <c r="B2" s="597"/>
      <c r="C2" s="3399" t="s">
        <v>2324</v>
      </c>
      <c r="D2" s="3399"/>
      <c r="E2" s="3399"/>
      <c r="F2" s="3399"/>
      <c r="G2" s="72"/>
      <c r="H2" s="597"/>
      <c r="I2" s="618"/>
      <c r="J2" s="597"/>
      <c r="K2" s="597"/>
      <c r="L2" s="597"/>
    </row>
    <row r="3" spans="1:14" ht="12.75" customHeight="1">
      <c r="A3" s="894"/>
      <c r="B3" s="894"/>
      <c r="C3" s="894"/>
      <c r="D3" s="3400"/>
      <c r="E3" s="3400"/>
      <c r="F3" s="895"/>
      <c r="G3" s="895"/>
      <c r="H3" s="895"/>
    </row>
    <row r="4" spans="1:14" ht="41.25" customHeight="1">
      <c r="B4" s="3401" t="s">
        <v>2325</v>
      </c>
      <c r="C4" s="3401"/>
      <c r="D4" s="3401"/>
      <c r="E4" s="3401"/>
      <c r="F4" s="3401"/>
      <c r="G4" s="3401"/>
      <c r="H4" s="896"/>
    </row>
    <row r="5" spans="1:14" ht="18">
      <c r="A5" s="897"/>
      <c r="B5" s="897"/>
      <c r="C5" s="897"/>
      <c r="D5" s="897"/>
      <c r="E5" s="897"/>
      <c r="F5" s="897"/>
      <c r="G5" s="897"/>
      <c r="H5" s="897"/>
    </row>
    <row r="6" spans="1:14" ht="18">
      <c r="A6" s="897"/>
      <c r="B6" s="897"/>
      <c r="C6" s="897"/>
      <c r="D6" s="897"/>
      <c r="E6" s="897"/>
      <c r="G6" s="1768" t="s">
        <v>89</v>
      </c>
      <c r="H6" s="897"/>
    </row>
    <row r="7" spans="1:14" ht="15">
      <c r="A7" s="895"/>
      <c r="B7" s="895"/>
      <c r="C7" s="895"/>
      <c r="D7" s="895"/>
      <c r="E7" s="895"/>
      <c r="F7" s="895"/>
      <c r="G7" s="895"/>
      <c r="H7" s="895"/>
    </row>
    <row r="8" spans="1:14" ht="60.75" customHeight="1">
      <c r="A8" s="898" t="s">
        <v>2</v>
      </c>
      <c r="B8" s="888" t="s">
        <v>3</v>
      </c>
      <c r="C8" s="888" t="s">
        <v>2216</v>
      </c>
      <c r="D8" s="898" t="s">
        <v>2326</v>
      </c>
      <c r="E8" s="898" t="s">
        <v>2327</v>
      </c>
      <c r="F8" s="898" t="s">
        <v>2328</v>
      </c>
      <c r="G8" s="899" t="s">
        <v>2329</v>
      </c>
      <c r="H8" s="898" t="s">
        <v>2330</v>
      </c>
      <c r="I8" s="898" t="s">
        <v>2331</v>
      </c>
      <c r="L8" s="605"/>
      <c r="M8" s="605"/>
    </row>
    <row r="9" spans="1:14" ht="15">
      <c r="A9" s="898">
        <v>1</v>
      </c>
      <c r="B9" s="888">
        <v>2</v>
      </c>
      <c r="C9" s="888">
        <v>3</v>
      </c>
      <c r="D9" s="898">
        <v>4</v>
      </c>
      <c r="E9" s="898">
        <v>5</v>
      </c>
      <c r="F9" s="898">
        <v>6</v>
      </c>
      <c r="G9" s="898">
        <v>7</v>
      </c>
      <c r="H9" s="898">
        <v>8</v>
      </c>
      <c r="I9" s="898">
        <v>9</v>
      </c>
      <c r="L9" s="605"/>
      <c r="M9" s="605"/>
    </row>
    <row r="10" spans="1:14" ht="15">
      <c r="A10" s="1769">
        <v>1</v>
      </c>
      <c r="B10" s="1770" t="s">
        <v>2189</v>
      </c>
      <c r="C10" s="1769">
        <v>7132200812</v>
      </c>
      <c r="D10" s="1769">
        <v>5</v>
      </c>
      <c r="E10" s="1132">
        <f>VLOOKUP(C10,'SOR RATE'!A:D,4,0)</f>
        <v>1972.04</v>
      </c>
      <c r="F10" s="1771">
        <f>E10*E17</f>
        <v>147.90299999999999</v>
      </c>
      <c r="G10" s="1771">
        <v>269.88</v>
      </c>
      <c r="H10" s="1772">
        <f>E10+F10+G10</f>
        <v>2389.8229999999999</v>
      </c>
      <c r="I10" s="1773">
        <f>ROUND(H10,0)</f>
        <v>2390</v>
      </c>
      <c r="K10" s="579"/>
      <c r="L10" s="605"/>
      <c r="M10" s="605"/>
    </row>
    <row r="11" spans="1:14" ht="15">
      <c r="A11" s="1769">
        <v>2</v>
      </c>
      <c r="B11" s="1770" t="s">
        <v>2190</v>
      </c>
      <c r="C11" s="1769">
        <v>7132200813</v>
      </c>
      <c r="D11" s="1769">
        <v>10</v>
      </c>
      <c r="E11" s="1132">
        <f>VLOOKUP(C11,'SOR RATE'!A:D,4,0)</f>
        <v>3942.84</v>
      </c>
      <c r="F11" s="1771">
        <f>E11*E17</f>
        <v>295.71300000000002</v>
      </c>
      <c r="G11" s="1771">
        <v>269.88</v>
      </c>
      <c r="H11" s="1772">
        <f>E11+F11+G11</f>
        <v>4508.433</v>
      </c>
      <c r="I11" s="1773">
        <f>ROUND(H11,0)</f>
        <v>4508</v>
      </c>
      <c r="L11" s="605"/>
      <c r="M11" s="605"/>
    </row>
    <row r="12" spans="1:14" ht="15">
      <c r="A12" s="1769">
        <v>3</v>
      </c>
      <c r="B12" s="1770" t="s">
        <v>2191</v>
      </c>
      <c r="C12" s="1769">
        <v>7132200814</v>
      </c>
      <c r="D12" s="1769">
        <v>12</v>
      </c>
      <c r="E12" s="1132">
        <f>VLOOKUP(C12,'SOR RATE'!A:D,4,0)</f>
        <v>4737.58</v>
      </c>
      <c r="F12" s="1771">
        <f>E12*E17</f>
        <v>355.31849999999997</v>
      </c>
      <c r="G12" s="1771">
        <v>269.88</v>
      </c>
      <c r="H12" s="1772">
        <f>E12+F12+G12</f>
        <v>5362.7785000000003</v>
      </c>
      <c r="I12" s="1773">
        <f>ROUND(H12,0)</f>
        <v>5363</v>
      </c>
      <c r="L12" s="900"/>
      <c r="M12" s="900"/>
    </row>
    <row r="13" spans="1:14" ht="15">
      <c r="A13" s="1769">
        <v>4</v>
      </c>
      <c r="B13" s="1770" t="s">
        <v>2192</v>
      </c>
      <c r="C13" s="1769">
        <v>7132200814</v>
      </c>
      <c r="D13" s="1769">
        <v>12</v>
      </c>
      <c r="E13" s="1132">
        <f>VLOOKUP(C13,'SOR RATE'!A:D,4,0)</f>
        <v>4737.58</v>
      </c>
      <c r="F13" s="1771">
        <f>E13*E17</f>
        <v>355.31849999999997</v>
      </c>
      <c r="G13" s="1771">
        <v>269.88</v>
      </c>
      <c r="H13" s="1772">
        <f>E13+F13+G13</f>
        <v>5362.7785000000003</v>
      </c>
      <c r="I13" s="1773">
        <f>ROUND(H13,0)</f>
        <v>5363</v>
      </c>
      <c r="L13" s="605"/>
      <c r="M13" s="605"/>
    </row>
    <row r="14" spans="1:14" ht="15">
      <c r="A14" s="1769">
        <v>5</v>
      </c>
      <c r="B14" s="1770" t="s">
        <v>2193</v>
      </c>
      <c r="C14" s="1769">
        <v>7132200814</v>
      </c>
      <c r="D14" s="1769">
        <v>12</v>
      </c>
      <c r="E14" s="1132">
        <f>VLOOKUP(C14,'SOR RATE'!A:D,4,0)</f>
        <v>4737.58</v>
      </c>
      <c r="F14" s="1771">
        <f>E14*E17</f>
        <v>355.31849999999997</v>
      </c>
      <c r="G14" s="1771">
        <v>269.88</v>
      </c>
      <c r="H14" s="1772">
        <f>E14+F14+G14</f>
        <v>5362.7785000000003</v>
      </c>
      <c r="I14" s="1773">
        <f>ROUND(H14,0)</f>
        <v>5363</v>
      </c>
      <c r="L14" s="605"/>
      <c r="M14" s="605"/>
    </row>
    <row r="15" spans="1:14" ht="15">
      <c r="A15" s="901"/>
      <c r="B15" s="605"/>
      <c r="C15" s="605"/>
      <c r="D15" s="901"/>
      <c r="E15" s="902"/>
      <c r="H15" s="903"/>
      <c r="L15" s="605"/>
      <c r="M15" s="810"/>
      <c r="N15" s="904"/>
    </row>
    <row r="16" spans="1:14" ht="14.25">
      <c r="A16" s="102"/>
      <c r="B16" s="102"/>
      <c r="C16" s="102"/>
      <c r="D16" s="102"/>
      <c r="E16" s="102"/>
      <c r="H16" s="102"/>
      <c r="L16" s="605"/>
      <c r="M16" s="102"/>
      <c r="N16" s="102"/>
    </row>
    <row r="17" spans="1:15" ht="15" customHeight="1">
      <c r="A17" s="102"/>
      <c r="B17" s="3402" t="s">
        <v>2332</v>
      </c>
      <c r="C17" s="3402"/>
      <c r="D17" s="3402"/>
      <c r="E17" s="1774">
        <v>7.4999999999999997E-2</v>
      </c>
      <c r="H17" s="102"/>
      <c r="J17" s="803"/>
      <c r="M17" s="87"/>
      <c r="N17" s="87"/>
      <c r="O17" s="87"/>
    </row>
    <row r="18" spans="1:15">
      <c r="J18" s="803"/>
    </row>
    <row r="22" spans="1:15">
      <c r="J22" s="832"/>
    </row>
    <row r="23" spans="1:15">
      <c r="J23" s="832"/>
    </row>
    <row r="24" spans="1:15">
      <c r="J24" s="832"/>
    </row>
  </sheetData>
  <mergeCells count="4">
    <mergeCell ref="C2:F2"/>
    <mergeCell ref="D3:E3"/>
    <mergeCell ref="B4:G4"/>
    <mergeCell ref="B17:D17"/>
  </mergeCells>
  <pageMargins left="0.75" right="0.16" top="1" bottom="0.71" header="0.5" footer="0.5"/>
  <pageSetup orientation="landscape"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6"/>
  <sheetViews>
    <sheetView workbookViewId="0">
      <pane xSplit="2" ySplit="8" topLeftCell="F44" activePane="bottomRight" state="frozen"/>
      <selection pane="topRight" activeCell="C1" sqref="C1"/>
      <selection pane="bottomLeft" activeCell="A9" sqref="A9"/>
      <selection pane="bottomRight" activeCell="H43" sqref="H43"/>
    </sheetView>
  </sheetViews>
  <sheetFormatPr defaultRowHeight="12.75"/>
  <cols>
    <col min="1" max="1" width="4.85546875" style="70" customWidth="1"/>
    <col min="2" max="2" width="65.42578125" style="70" customWidth="1"/>
    <col min="3" max="3" width="13.7109375" style="70" customWidth="1"/>
    <col min="4" max="4" width="6.5703125" style="70" customWidth="1"/>
    <col min="5" max="5" width="6.7109375" style="70" bestFit="1" customWidth="1"/>
    <col min="6" max="6" width="10.85546875" style="70" bestFit="1" customWidth="1"/>
    <col min="7" max="7" width="11.85546875" style="70" bestFit="1" customWidth="1"/>
    <col min="8" max="8" width="24.140625" style="70" customWidth="1"/>
    <col min="9" max="9" width="20" style="70" customWidth="1"/>
    <col min="10" max="10" width="15.5703125" style="70" customWidth="1"/>
    <col min="11" max="256" width="9.140625" style="70"/>
    <col min="257" max="257" width="4.85546875" style="70" customWidth="1"/>
    <col min="258" max="258" width="65.42578125" style="70" customWidth="1"/>
    <col min="259" max="259" width="13.28515625" style="70" customWidth="1"/>
    <col min="260" max="260" width="5.85546875" style="70" bestFit="1" customWidth="1"/>
    <col min="261" max="261" width="6.7109375" style="70" bestFit="1" customWidth="1"/>
    <col min="262" max="262" width="10.85546875" style="70" bestFit="1" customWidth="1"/>
    <col min="263" max="263" width="11.85546875" style="70" bestFit="1" customWidth="1"/>
    <col min="264" max="264" width="24.140625" style="70" customWidth="1"/>
    <col min="265" max="265" width="20" style="70" customWidth="1"/>
    <col min="266" max="266" width="15.5703125" style="70" customWidth="1"/>
    <col min="267" max="512" width="9.140625" style="70"/>
    <col min="513" max="513" width="4.85546875" style="70" customWidth="1"/>
    <col min="514" max="514" width="65.42578125" style="70" customWidth="1"/>
    <col min="515" max="515" width="13.28515625" style="70" customWidth="1"/>
    <col min="516" max="516" width="5.85546875" style="70" bestFit="1" customWidth="1"/>
    <col min="517" max="517" width="6.7109375" style="70" bestFit="1" customWidth="1"/>
    <col min="518" max="518" width="10.85546875" style="70" bestFit="1" customWidth="1"/>
    <col min="519" max="519" width="11.85546875" style="70" bestFit="1" customWidth="1"/>
    <col min="520" max="520" width="24.140625" style="70" customWidth="1"/>
    <col min="521" max="521" width="20" style="70" customWidth="1"/>
    <col min="522" max="522" width="15.5703125" style="70" customWidth="1"/>
    <col min="523" max="768" width="9.140625" style="70"/>
    <col min="769" max="769" width="4.85546875" style="70" customWidth="1"/>
    <col min="770" max="770" width="65.42578125" style="70" customWidth="1"/>
    <col min="771" max="771" width="13.28515625" style="70" customWidth="1"/>
    <col min="772" max="772" width="5.85546875" style="70" bestFit="1" customWidth="1"/>
    <col min="773" max="773" width="6.7109375" style="70" bestFit="1" customWidth="1"/>
    <col min="774" max="774" width="10.85546875" style="70" bestFit="1" customWidth="1"/>
    <col min="775" max="775" width="11.85546875" style="70" bestFit="1" customWidth="1"/>
    <col min="776" max="776" width="24.140625" style="70" customWidth="1"/>
    <col min="777" max="777" width="20" style="70" customWidth="1"/>
    <col min="778" max="778" width="15.5703125" style="70" customWidth="1"/>
    <col min="779" max="1024" width="9.140625" style="70"/>
    <col min="1025" max="1025" width="4.85546875" style="70" customWidth="1"/>
    <col min="1026" max="1026" width="65.42578125" style="70" customWidth="1"/>
    <col min="1027" max="1027" width="13.28515625" style="70" customWidth="1"/>
    <col min="1028" max="1028" width="5.85546875" style="70" bestFit="1" customWidth="1"/>
    <col min="1029" max="1029" width="6.7109375" style="70" bestFit="1" customWidth="1"/>
    <col min="1030" max="1030" width="10.85546875" style="70" bestFit="1" customWidth="1"/>
    <col min="1031" max="1031" width="11.85546875" style="70" bestFit="1" customWidth="1"/>
    <col min="1032" max="1032" width="24.140625" style="70" customWidth="1"/>
    <col min="1033" max="1033" width="20" style="70" customWidth="1"/>
    <col min="1034" max="1034" width="15.5703125" style="70" customWidth="1"/>
    <col min="1035" max="1280" width="9.140625" style="70"/>
    <col min="1281" max="1281" width="4.85546875" style="70" customWidth="1"/>
    <col min="1282" max="1282" width="65.42578125" style="70" customWidth="1"/>
    <col min="1283" max="1283" width="13.28515625" style="70" customWidth="1"/>
    <col min="1284" max="1284" width="5.85546875" style="70" bestFit="1" customWidth="1"/>
    <col min="1285" max="1285" width="6.7109375" style="70" bestFit="1" customWidth="1"/>
    <col min="1286" max="1286" width="10.85546875" style="70" bestFit="1" customWidth="1"/>
    <col min="1287" max="1287" width="11.85546875" style="70" bestFit="1" customWidth="1"/>
    <col min="1288" max="1288" width="24.140625" style="70" customWidth="1"/>
    <col min="1289" max="1289" width="20" style="70" customWidth="1"/>
    <col min="1290" max="1290" width="15.5703125" style="70" customWidth="1"/>
    <col min="1291" max="1536" width="9.140625" style="70"/>
    <col min="1537" max="1537" width="4.85546875" style="70" customWidth="1"/>
    <col min="1538" max="1538" width="65.42578125" style="70" customWidth="1"/>
    <col min="1539" max="1539" width="13.28515625" style="70" customWidth="1"/>
    <col min="1540" max="1540" width="5.85546875" style="70" bestFit="1" customWidth="1"/>
    <col min="1541" max="1541" width="6.7109375" style="70" bestFit="1" customWidth="1"/>
    <col min="1542" max="1542" width="10.85546875" style="70" bestFit="1" customWidth="1"/>
    <col min="1543" max="1543" width="11.85546875" style="70" bestFit="1" customWidth="1"/>
    <col min="1544" max="1544" width="24.140625" style="70" customWidth="1"/>
    <col min="1545" max="1545" width="20" style="70" customWidth="1"/>
    <col min="1546" max="1546" width="15.5703125" style="70" customWidth="1"/>
    <col min="1547" max="1792" width="9.140625" style="70"/>
    <col min="1793" max="1793" width="4.85546875" style="70" customWidth="1"/>
    <col min="1794" max="1794" width="65.42578125" style="70" customWidth="1"/>
    <col min="1795" max="1795" width="13.28515625" style="70" customWidth="1"/>
    <col min="1796" max="1796" width="5.85546875" style="70" bestFit="1" customWidth="1"/>
    <col min="1797" max="1797" width="6.7109375" style="70" bestFit="1" customWidth="1"/>
    <col min="1798" max="1798" width="10.85546875" style="70" bestFit="1" customWidth="1"/>
    <col min="1799" max="1799" width="11.85546875" style="70" bestFit="1" customWidth="1"/>
    <col min="1800" max="1800" width="24.140625" style="70" customWidth="1"/>
    <col min="1801" max="1801" width="20" style="70" customWidth="1"/>
    <col min="1802" max="1802" width="15.5703125" style="70" customWidth="1"/>
    <col min="1803" max="2048" width="9.140625" style="70"/>
    <col min="2049" max="2049" width="4.85546875" style="70" customWidth="1"/>
    <col min="2050" max="2050" width="65.42578125" style="70" customWidth="1"/>
    <col min="2051" max="2051" width="13.28515625" style="70" customWidth="1"/>
    <col min="2052" max="2052" width="5.85546875" style="70" bestFit="1" customWidth="1"/>
    <col min="2053" max="2053" width="6.7109375" style="70" bestFit="1" customWidth="1"/>
    <col min="2054" max="2054" width="10.85546875" style="70" bestFit="1" customWidth="1"/>
    <col min="2055" max="2055" width="11.85546875" style="70" bestFit="1" customWidth="1"/>
    <col min="2056" max="2056" width="24.140625" style="70" customWidth="1"/>
    <col min="2057" max="2057" width="20" style="70" customWidth="1"/>
    <col min="2058" max="2058" width="15.5703125" style="70" customWidth="1"/>
    <col min="2059" max="2304" width="9.140625" style="70"/>
    <col min="2305" max="2305" width="4.85546875" style="70" customWidth="1"/>
    <col min="2306" max="2306" width="65.42578125" style="70" customWidth="1"/>
    <col min="2307" max="2307" width="13.28515625" style="70" customWidth="1"/>
    <col min="2308" max="2308" width="5.85546875" style="70" bestFit="1" customWidth="1"/>
    <col min="2309" max="2309" width="6.7109375" style="70" bestFit="1" customWidth="1"/>
    <col min="2310" max="2310" width="10.85546875" style="70" bestFit="1" customWidth="1"/>
    <col min="2311" max="2311" width="11.85546875" style="70" bestFit="1" customWidth="1"/>
    <col min="2312" max="2312" width="24.140625" style="70" customWidth="1"/>
    <col min="2313" max="2313" width="20" style="70" customWidth="1"/>
    <col min="2314" max="2314" width="15.5703125" style="70" customWidth="1"/>
    <col min="2315" max="2560" width="9.140625" style="70"/>
    <col min="2561" max="2561" width="4.85546875" style="70" customWidth="1"/>
    <col min="2562" max="2562" width="65.42578125" style="70" customWidth="1"/>
    <col min="2563" max="2563" width="13.28515625" style="70" customWidth="1"/>
    <col min="2564" max="2564" width="5.85546875" style="70" bestFit="1" customWidth="1"/>
    <col min="2565" max="2565" width="6.7109375" style="70" bestFit="1" customWidth="1"/>
    <col min="2566" max="2566" width="10.85546875" style="70" bestFit="1" customWidth="1"/>
    <col min="2567" max="2567" width="11.85546875" style="70" bestFit="1" customWidth="1"/>
    <col min="2568" max="2568" width="24.140625" style="70" customWidth="1"/>
    <col min="2569" max="2569" width="20" style="70" customWidth="1"/>
    <col min="2570" max="2570" width="15.5703125" style="70" customWidth="1"/>
    <col min="2571" max="2816" width="9.140625" style="70"/>
    <col min="2817" max="2817" width="4.85546875" style="70" customWidth="1"/>
    <col min="2818" max="2818" width="65.42578125" style="70" customWidth="1"/>
    <col min="2819" max="2819" width="13.28515625" style="70" customWidth="1"/>
    <col min="2820" max="2820" width="5.85546875" style="70" bestFit="1" customWidth="1"/>
    <col min="2821" max="2821" width="6.7109375" style="70" bestFit="1" customWidth="1"/>
    <col min="2822" max="2822" width="10.85546875" style="70" bestFit="1" customWidth="1"/>
    <col min="2823" max="2823" width="11.85546875" style="70" bestFit="1" customWidth="1"/>
    <col min="2824" max="2824" width="24.140625" style="70" customWidth="1"/>
    <col min="2825" max="2825" width="20" style="70" customWidth="1"/>
    <col min="2826" max="2826" width="15.5703125" style="70" customWidth="1"/>
    <col min="2827" max="3072" width="9.140625" style="70"/>
    <col min="3073" max="3073" width="4.85546875" style="70" customWidth="1"/>
    <col min="3074" max="3074" width="65.42578125" style="70" customWidth="1"/>
    <col min="3075" max="3075" width="13.28515625" style="70" customWidth="1"/>
    <col min="3076" max="3076" width="5.85546875" style="70" bestFit="1" customWidth="1"/>
    <col min="3077" max="3077" width="6.7109375" style="70" bestFit="1" customWidth="1"/>
    <col min="3078" max="3078" width="10.85546875" style="70" bestFit="1" customWidth="1"/>
    <col min="3079" max="3079" width="11.85546875" style="70" bestFit="1" customWidth="1"/>
    <col min="3080" max="3080" width="24.140625" style="70" customWidth="1"/>
    <col min="3081" max="3081" width="20" style="70" customWidth="1"/>
    <col min="3082" max="3082" width="15.5703125" style="70" customWidth="1"/>
    <col min="3083" max="3328" width="9.140625" style="70"/>
    <col min="3329" max="3329" width="4.85546875" style="70" customWidth="1"/>
    <col min="3330" max="3330" width="65.42578125" style="70" customWidth="1"/>
    <col min="3331" max="3331" width="13.28515625" style="70" customWidth="1"/>
    <col min="3332" max="3332" width="5.85546875" style="70" bestFit="1" customWidth="1"/>
    <col min="3333" max="3333" width="6.7109375" style="70" bestFit="1" customWidth="1"/>
    <col min="3334" max="3334" width="10.85546875" style="70" bestFit="1" customWidth="1"/>
    <col min="3335" max="3335" width="11.85546875" style="70" bestFit="1" customWidth="1"/>
    <col min="3336" max="3336" width="24.140625" style="70" customWidth="1"/>
    <col min="3337" max="3337" width="20" style="70" customWidth="1"/>
    <col min="3338" max="3338" width="15.5703125" style="70" customWidth="1"/>
    <col min="3339" max="3584" width="9.140625" style="70"/>
    <col min="3585" max="3585" width="4.85546875" style="70" customWidth="1"/>
    <col min="3586" max="3586" width="65.42578125" style="70" customWidth="1"/>
    <col min="3587" max="3587" width="13.28515625" style="70" customWidth="1"/>
    <col min="3588" max="3588" width="5.85546875" style="70" bestFit="1" customWidth="1"/>
    <col min="3589" max="3589" width="6.7109375" style="70" bestFit="1" customWidth="1"/>
    <col min="3590" max="3590" width="10.85546875" style="70" bestFit="1" customWidth="1"/>
    <col min="3591" max="3591" width="11.85546875" style="70" bestFit="1" customWidth="1"/>
    <col min="3592" max="3592" width="24.140625" style="70" customWidth="1"/>
    <col min="3593" max="3593" width="20" style="70" customWidth="1"/>
    <col min="3594" max="3594" width="15.5703125" style="70" customWidth="1"/>
    <col min="3595" max="3840" width="9.140625" style="70"/>
    <col min="3841" max="3841" width="4.85546875" style="70" customWidth="1"/>
    <col min="3842" max="3842" width="65.42578125" style="70" customWidth="1"/>
    <col min="3843" max="3843" width="13.28515625" style="70" customWidth="1"/>
    <col min="3844" max="3844" width="5.85546875" style="70" bestFit="1" customWidth="1"/>
    <col min="3845" max="3845" width="6.7109375" style="70" bestFit="1" customWidth="1"/>
    <col min="3846" max="3846" width="10.85546875" style="70" bestFit="1" customWidth="1"/>
    <col min="3847" max="3847" width="11.85546875" style="70" bestFit="1" customWidth="1"/>
    <col min="3848" max="3848" width="24.140625" style="70" customWidth="1"/>
    <col min="3849" max="3849" width="20" style="70" customWidth="1"/>
    <col min="3850" max="3850" width="15.5703125" style="70" customWidth="1"/>
    <col min="3851" max="4096" width="9.140625" style="70"/>
    <col min="4097" max="4097" width="4.85546875" style="70" customWidth="1"/>
    <col min="4098" max="4098" width="65.42578125" style="70" customWidth="1"/>
    <col min="4099" max="4099" width="13.28515625" style="70" customWidth="1"/>
    <col min="4100" max="4100" width="5.85546875" style="70" bestFit="1" customWidth="1"/>
    <col min="4101" max="4101" width="6.7109375" style="70" bestFit="1" customWidth="1"/>
    <col min="4102" max="4102" width="10.85546875" style="70" bestFit="1" customWidth="1"/>
    <col min="4103" max="4103" width="11.85546875" style="70" bestFit="1" customWidth="1"/>
    <col min="4104" max="4104" width="24.140625" style="70" customWidth="1"/>
    <col min="4105" max="4105" width="20" style="70" customWidth="1"/>
    <col min="4106" max="4106" width="15.5703125" style="70" customWidth="1"/>
    <col min="4107" max="4352" width="9.140625" style="70"/>
    <col min="4353" max="4353" width="4.85546875" style="70" customWidth="1"/>
    <col min="4354" max="4354" width="65.42578125" style="70" customWidth="1"/>
    <col min="4355" max="4355" width="13.28515625" style="70" customWidth="1"/>
    <col min="4356" max="4356" width="5.85546875" style="70" bestFit="1" customWidth="1"/>
    <col min="4357" max="4357" width="6.7109375" style="70" bestFit="1" customWidth="1"/>
    <col min="4358" max="4358" width="10.85546875" style="70" bestFit="1" customWidth="1"/>
    <col min="4359" max="4359" width="11.85546875" style="70" bestFit="1" customWidth="1"/>
    <col min="4360" max="4360" width="24.140625" style="70" customWidth="1"/>
    <col min="4361" max="4361" width="20" style="70" customWidth="1"/>
    <col min="4362" max="4362" width="15.5703125" style="70" customWidth="1"/>
    <col min="4363" max="4608" width="9.140625" style="70"/>
    <col min="4609" max="4609" width="4.85546875" style="70" customWidth="1"/>
    <col min="4610" max="4610" width="65.42578125" style="70" customWidth="1"/>
    <col min="4611" max="4611" width="13.28515625" style="70" customWidth="1"/>
    <col min="4612" max="4612" width="5.85546875" style="70" bestFit="1" customWidth="1"/>
    <col min="4613" max="4613" width="6.7109375" style="70" bestFit="1" customWidth="1"/>
    <col min="4614" max="4614" width="10.85546875" style="70" bestFit="1" customWidth="1"/>
    <col min="4615" max="4615" width="11.85546875" style="70" bestFit="1" customWidth="1"/>
    <col min="4616" max="4616" width="24.140625" style="70" customWidth="1"/>
    <col min="4617" max="4617" width="20" style="70" customWidth="1"/>
    <col min="4618" max="4618" width="15.5703125" style="70" customWidth="1"/>
    <col min="4619" max="4864" width="9.140625" style="70"/>
    <col min="4865" max="4865" width="4.85546875" style="70" customWidth="1"/>
    <col min="4866" max="4866" width="65.42578125" style="70" customWidth="1"/>
    <col min="4867" max="4867" width="13.28515625" style="70" customWidth="1"/>
    <col min="4868" max="4868" width="5.85546875" style="70" bestFit="1" customWidth="1"/>
    <col min="4869" max="4869" width="6.7109375" style="70" bestFit="1" customWidth="1"/>
    <col min="4870" max="4870" width="10.85546875" style="70" bestFit="1" customWidth="1"/>
    <col min="4871" max="4871" width="11.85546875" style="70" bestFit="1" customWidth="1"/>
    <col min="4872" max="4872" width="24.140625" style="70" customWidth="1"/>
    <col min="4873" max="4873" width="20" style="70" customWidth="1"/>
    <col min="4874" max="4874" width="15.5703125" style="70" customWidth="1"/>
    <col min="4875" max="5120" width="9.140625" style="70"/>
    <col min="5121" max="5121" width="4.85546875" style="70" customWidth="1"/>
    <col min="5122" max="5122" width="65.42578125" style="70" customWidth="1"/>
    <col min="5123" max="5123" width="13.28515625" style="70" customWidth="1"/>
    <col min="5124" max="5124" width="5.85546875" style="70" bestFit="1" customWidth="1"/>
    <col min="5125" max="5125" width="6.7109375" style="70" bestFit="1" customWidth="1"/>
    <col min="5126" max="5126" width="10.85546875" style="70" bestFit="1" customWidth="1"/>
    <col min="5127" max="5127" width="11.85546875" style="70" bestFit="1" customWidth="1"/>
    <col min="5128" max="5128" width="24.140625" style="70" customWidth="1"/>
    <col min="5129" max="5129" width="20" style="70" customWidth="1"/>
    <col min="5130" max="5130" width="15.5703125" style="70" customWidth="1"/>
    <col min="5131" max="5376" width="9.140625" style="70"/>
    <col min="5377" max="5377" width="4.85546875" style="70" customWidth="1"/>
    <col min="5378" max="5378" width="65.42578125" style="70" customWidth="1"/>
    <col min="5379" max="5379" width="13.28515625" style="70" customWidth="1"/>
    <col min="5380" max="5380" width="5.85546875" style="70" bestFit="1" customWidth="1"/>
    <col min="5381" max="5381" width="6.7109375" style="70" bestFit="1" customWidth="1"/>
    <col min="5382" max="5382" width="10.85546875" style="70" bestFit="1" customWidth="1"/>
    <col min="5383" max="5383" width="11.85546875" style="70" bestFit="1" customWidth="1"/>
    <col min="5384" max="5384" width="24.140625" style="70" customWidth="1"/>
    <col min="5385" max="5385" width="20" style="70" customWidth="1"/>
    <col min="5386" max="5386" width="15.5703125" style="70" customWidth="1"/>
    <col min="5387" max="5632" width="9.140625" style="70"/>
    <col min="5633" max="5633" width="4.85546875" style="70" customWidth="1"/>
    <col min="5634" max="5634" width="65.42578125" style="70" customWidth="1"/>
    <col min="5635" max="5635" width="13.28515625" style="70" customWidth="1"/>
    <col min="5636" max="5636" width="5.85546875" style="70" bestFit="1" customWidth="1"/>
    <col min="5637" max="5637" width="6.7109375" style="70" bestFit="1" customWidth="1"/>
    <col min="5638" max="5638" width="10.85546875" style="70" bestFit="1" customWidth="1"/>
    <col min="5639" max="5639" width="11.85546875" style="70" bestFit="1" customWidth="1"/>
    <col min="5640" max="5640" width="24.140625" style="70" customWidth="1"/>
    <col min="5641" max="5641" width="20" style="70" customWidth="1"/>
    <col min="5642" max="5642" width="15.5703125" style="70" customWidth="1"/>
    <col min="5643" max="5888" width="9.140625" style="70"/>
    <col min="5889" max="5889" width="4.85546875" style="70" customWidth="1"/>
    <col min="5890" max="5890" width="65.42578125" style="70" customWidth="1"/>
    <col min="5891" max="5891" width="13.28515625" style="70" customWidth="1"/>
    <col min="5892" max="5892" width="5.85546875" style="70" bestFit="1" customWidth="1"/>
    <col min="5893" max="5893" width="6.7109375" style="70" bestFit="1" customWidth="1"/>
    <col min="5894" max="5894" width="10.85546875" style="70" bestFit="1" customWidth="1"/>
    <col min="5895" max="5895" width="11.85546875" style="70" bestFit="1" customWidth="1"/>
    <col min="5896" max="5896" width="24.140625" style="70" customWidth="1"/>
    <col min="5897" max="5897" width="20" style="70" customWidth="1"/>
    <col min="5898" max="5898" width="15.5703125" style="70" customWidth="1"/>
    <col min="5899" max="6144" width="9.140625" style="70"/>
    <col min="6145" max="6145" width="4.85546875" style="70" customWidth="1"/>
    <col min="6146" max="6146" width="65.42578125" style="70" customWidth="1"/>
    <col min="6147" max="6147" width="13.28515625" style="70" customWidth="1"/>
    <col min="6148" max="6148" width="5.85546875" style="70" bestFit="1" customWidth="1"/>
    <col min="6149" max="6149" width="6.7109375" style="70" bestFit="1" customWidth="1"/>
    <col min="6150" max="6150" width="10.85546875" style="70" bestFit="1" customWidth="1"/>
    <col min="6151" max="6151" width="11.85546875" style="70" bestFit="1" customWidth="1"/>
    <col min="6152" max="6152" width="24.140625" style="70" customWidth="1"/>
    <col min="6153" max="6153" width="20" style="70" customWidth="1"/>
    <col min="6154" max="6154" width="15.5703125" style="70" customWidth="1"/>
    <col min="6155" max="6400" width="9.140625" style="70"/>
    <col min="6401" max="6401" width="4.85546875" style="70" customWidth="1"/>
    <col min="6402" max="6402" width="65.42578125" style="70" customWidth="1"/>
    <col min="6403" max="6403" width="13.28515625" style="70" customWidth="1"/>
    <col min="6404" max="6404" width="5.85546875" style="70" bestFit="1" customWidth="1"/>
    <col min="6405" max="6405" width="6.7109375" style="70" bestFit="1" customWidth="1"/>
    <col min="6406" max="6406" width="10.85546875" style="70" bestFit="1" customWidth="1"/>
    <col min="6407" max="6407" width="11.85546875" style="70" bestFit="1" customWidth="1"/>
    <col min="6408" max="6408" width="24.140625" style="70" customWidth="1"/>
    <col min="6409" max="6409" width="20" style="70" customWidth="1"/>
    <col min="6410" max="6410" width="15.5703125" style="70" customWidth="1"/>
    <col min="6411" max="6656" width="9.140625" style="70"/>
    <col min="6657" max="6657" width="4.85546875" style="70" customWidth="1"/>
    <col min="6658" max="6658" width="65.42578125" style="70" customWidth="1"/>
    <col min="6659" max="6659" width="13.28515625" style="70" customWidth="1"/>
    <col min="6660" max="6660" width="5.85546875" style="70" bestFit="1" customWidth="1"/>
    <col min="6661" max="6661" width="6.7109375" style="70" bestFit="1" customWidth="1"/>
    <col min="6662" max="6662" width="10.85546875" style="70" bestFit="1" customWidth="1"/>
    <col min="6663" max="6663" width="11.85546875" style="70" bestFit="1" customWidth="1"/>
    <col min="6664" max="6664" width="24.140625" style="70" customWidth="1"/>
    <col min="6665" max="6665" width="20" style="70" customWidth="1"/>
    <col min="6666" max="6666" width="15.5703125" style="70" customWidth="1"/>
    <col min="6667" max="6912" width="9.140625" style="70"/>
    <col min="6913" max="6913" width="4.85546875" style="70" customWidth="1"/>
    <col min="6914" max="6914" width="65.42578125" style="70" customWidth="1"/>
    <col min="6915" max="6915" width="13.28515625" style="70" customWidth="1"/>
    <col min="6916" max="6916" width="5.85546875" style="70" bestFit="1" customWidth="1"/>
    <col min="6917" max="6917" width="6.7109375" style="70" bestFit="1" customWidth="1"/>
    <col min="6918" max="6918" width="10.85546875" style="70" bestFit="1" customWidth="1"/>
    <col min="6919" max="6919" width="11.85546875" style="70" bestFit="1" customWidth="1"/>
    <col min="6920" max="6920" width="24.140625" style="70" customWidth="1"/>
    <col min="6921" max="6921" width="20" style="70" customWidth="1"/>
    <col min="6922" max="6922" width="15.5703125" style="70" customWidth="1"/>
    <col min="6923" max="7168" width="9.140625" style="70"/>
    <col min="7169" max="7169" width="4.85546875" style="70" customWidth="1"/>
    <col min="7170" max="7170" width="65.42578125" style="70" customWidth="1"/>
    <col min="7171" max="7171" width="13.28515625" style="70" customWidth="1"/>
    <col min="7172" max="7172" width="5.85546875" style="70" bestFit="1" customWidth="1"/>
    <col min="7173" max="7173" width="6.7109375" style="70" bestFit="1" customWidth="1"/>
    <col min="7174" max="7174" width="10.85546875" style="70" bestFit="1" customWidth="1"/>
    <col min="7175" max="7175" width="11.85546875" style="70" bestFit="1" customWidth="1"/>
    <col min="7176" max="7176" width="24.140625" style="70" customWidth="1"/>
    <col min="7177" max="7177" width="20" style="70" customWidth="1"/>
    <col min="7178" max="7178" width="15.5703125" style="70" customWidth="1"/>
    <col min="7179" max="7424" width="9.140625" style="70"/>
    <col min="7425" max="7425" width="4.85546875" style="70" customWidth="1"/>
    <col min="7426" max="7426" width="65.42578125" style="70" customWidth="1"/>
    <col min="7427" max="7427" width="13.28515625" style="70" customWidth="1"/>
    <col min="7428" max="7428" width="5.85546875" style="70" bestFit="1" customWidth="1"/>
    <col min="7429" max="7429" width="6.7109375" style="70" bestFit="1" customWidth="1"/>
    <col min="7430" max="7430" width="10.85546875" style="70" bestFit="1" customWidth="1"/>
    <col min="7431" max="7431" width="11.85546875" style="70" bestFit="1" customWidth="1"/>
    <col min="7432" max="7432" width="24.140625" style="70" customWidth="1"/>
    <col min="7433" max="7433" width="20" style="70" customWidth="1"/>
    <col min="7434" max="7434" width="15.5703125" style="70" customWidth="1"/>
    <col min="7435" max="7680" width="9.140625" style="70"/>
    <col min="7681" max="7681" width="4.85546875" style="70" customWidth="1"/>
    <col min="7682" max="7682" width="65.42578125" style="70" customWidth="1"/>
    <col min="7683" max="7683" width="13.28515625" style="70" customWidth="1"/>
    <col min="7684" max="7684" width="5.85546875" style="70" bestFit="1" customWidth="1"/>
    <col min="7685" max="7685" width="6.7109375" style="70" bestFit="1" customWidth="1"/>
    <col min="7686" max="7686" width="10.85546875" style="70" bestFit="1" customWidth="1"/>
    <col min="7687" max="7687" width="11.85546875" style="70" bestFit="1" customWidth="1"/>
    <col min="7688" max="7688" width="24.140625" style="70" customWidth="1"/>
    <col min="7689" max="7689" width="20" style="70" customWidth="1"/>
    <col min="7690" max="7690" width="15.5703125" style="70" customWidth="1"/>
    <col min="7691" max="7936" width="9.140625" style="70"/>
    <col min="7937" max="7937" width="4.85546875" style="70" customWidth="1"/>
    <col min="7938" max="7938" width="65.42578125" style="70" customWidth="1"/>
    <col min="7939" max="7939" width="13.28515625" style="70" customWidth="1"/>
    <col min="7940" max="7940" width="5.85546875" style="70" bestFit="1" customWidth="1"/>
    <col min="7941" max="7941" width="6.7109375" style="70" bestFit="1" customWidth="1"/>
    <col min="7942" max="7942" width="10.85546875" style="70" bestFit="1" customWidth="1"/>
    <col min="7943" max="7943" width="11.85546875" style="70" bestFit="1" customWidth="1"/>
    <col min="7944" max="7944" width="24.140625" style="70" customWidth="1"/>
    <col min="7945" max="7945" width="20" style="70" customWidth="1"/>
    <col min="7946" max="7946" width="15.5703125" style="70" customWidth="1"/>
    <col min="7947" max="8192" width="9.140625" style="70"/>
    <col min="8193" max="8193" width="4.85546875" style="70" customWidth="1"/>
    <col min="8194" max="8194" width="65.42578125" style="70" customWidth="1"/>
    <col min="8195" max="8195" width="13.28515625" style="70" customWidth="1"/>
    <col min="8196" max="8196" width="5.85546875" style="70" bestFit="1" customWidth="1"/>
    <col min="8197" max="8197" width="6.7109375" style="70" bestFit="1" customWidth="1"/>
    <col min="8198" max="8198" width="10.85546875" style="70" bestFit="1" customWidth="1"/>
    <col min="8199" max="8199" width="11.85546875" style="70" bestFit="1" customWidth="1"/>
    <col min="8200" max="8200" width="24.140625" style="70" customWidth="1"/>
    <col min="8201" max="8201" width="20" style="70" customWidth="1"/>
    <col min="8202" max="8202" width="15.5703125" style="70" customWidth="1"/>
    <col min="8203" max="8448" width="9.140625" style="70"/>
    <col min="8449" max="8449" width="4.85546875" style="70" customWidth="1"/>
    <col min="8450" max="8450" width="65.42578125" style="70" customWidth="1"/>
    <col min="8451" max="8451" width="13.28515625" style="70" customWidth="1"/>
    <col min="8452" max="8452" width="5.85546875" style="70" bestFit="1" customWidth="1"/>
    <col min="8453" max="8453" width="6.7109375" style="70" bestFit="1" customWidth="1"/>
    <col min="8454" max="8454" width="10.85546875" style="70" bestFit="1" customWidth="1"/>
    <col min="8455" max="8455" width="11.85546875" style="70" bestFit="1" customWidth="1"/>
    <col min="8456" max="8456" width="24.140625" style="70" customWidth="1"/>
    <col min="8457" max="8457" width="20" style="70" customWidth="1"/>
    <col min="8458" max="8458" width="15.5703125" style="70" customWidth="1"/>
    <col min="8459" max="8704" width="9.140625" style="70"/>
    <col min="8705" max="8705" width="4.85546875" style="70" customWidth="1"/>
    <col min="8706" max="8706" width="65.42578125" style="70" customWidth="1"/>
    <col min="8707" max="8707" width="13.28515625" style="70" customWidth="1"/>
    <col min="8708" max="8708" width="5.85546875" style="70" bestFit="1" customWidth="1"/>
    <col min="8709" max="8709" width="6.7109375" style="70" bestFit="1" customWidth="1"/>
    <col min="8710" max="8710" width="10.85546875" style="70" bestFit="1" customWidth="1"/>
    <col min="8711" max="8711" width="11.85546875" style="70" bestFit="1" customWidth="1"/>
    <col min="8712" max="8712" width="24.140625" style="70" customWidth="1"/>
    <col min="8713" max="8713" width="20" style="70" customWidth="1"/>
    <col min="8714" max="8714" width="15.5703125" style="70" customWidth="1"/>
    <col min="8715" max="8960" width="9.140625" style="70"/>
    <col min="8961" max="8961" width="4.85546875" style="70" customWidth="1"/>
    <col min="8962" max="8962" width="65.42578125" style="70" customWidth="1"/>
    <col min="8963" max="8963" width="13.28515625" style="70" customWidth="1"/>
    <col min="8964" max="8964" width="5.85546875" style="70" bestFit="1" customWidth="1"/>
    <col min="8965" max="8965" width="6.7109375" style="70" bestFit="1" customWidth="1"/>
    <col min="8966" max="8966" width="10.85546875" style="70" bestFit="1" customWidth="1"/>
    <col min="8967" max="8967" width="11.85546875" style="70" bestFit="1" customWidth="1"/>
    <col min="8968" max="8968" width="24.140625" style="70" customWidth="1"/>
    <col min="8969" max="8969" width="20" style="70" customWidth="1"/>
    <col min="8970" max="8970" width="15.5703125" style="70" customWidth="1"/>
    <col min="8971" max="9216" width="9.140625" style="70"/>
    <col min="9217" max="9217" width="4.85546875" style="70" customWidth="1"/>
    <col min="9218" max="9218" width="65.42578125" style="70" customWidth="1"/>
    <col min="9219" max="9219" width="13.28515625" style="70" customWidth="1"/>
    <col min="9220" max="9220" width="5.85546875" style="70" bestFit="1" customWidth="1"/>
    <col min="9221" max="9221" width="6.7109375" style="70" bestFit="1" customWidth="1"/>
    <col min="9222" max="9222" width="10.85546875" style="70" bestFit="1" customWidth="1"/>
    <col min="9223" max="9223" width="11.85546875" style="70" bestFit="1" customWidth="1"/>
    <col min="9224" max="9224" width="24.140625" style="70" customWidth="1"/>
    <col min="9225" max="9225" width="20" style="70" customWidth="1"/>
    <col min="9226" max="9226" width="15.5703125" style="70" customWidth="1"/>
    <col min="9227" max="9472" width="9.140625" style="70"/>
    <col min="9473" max="9473" width="4.85546875" style="70" customWidth="1"/>
    <col min="9474" max="9474" width="65.42578125" style="70" customWidth="1"/>
    <col min="9475" max="9475" width="13.28515625" style="70" customWidth="1"/>
    <col min="9476" max="9476" width="5.85546875" style="70" bestFit="1" customWidth="1"/>
    <col min="9477" max="9477" width="6.7109375" style="70" bestFit="1" customWidth="1"/>
    <col min="9478" max="9478" width="10.85546875" style="70" bestFit="1" customWidth="1"/>
    <col min="9479" max="9479" width="11.85546875" style="70" bestFit="1" customWidth="1"/>
    <col min="9480" max="9480" width="24.140625" style="70" customWidth="1"/>
    <col min="9481" max="9481" width="20" style="70" customWidth="1"/>
    <col min="9482" max="9482" width="15.5703125" style="70" customWidth="1"/>
    <col min="9483" max="9728" width="9.140625" style="70"/>
    <col min="9729" max="9729" width="4.85546875" style="70" customWidth="1"/>
    <col min="9730" max="9730" width="65.42578125" style="70" customWidth="1"/>
    <col min="9731" max="9731" width="13.28515625" style="70" customWidth="1"/>
    <col min="9732" max="9732" width="5.85546875" style="70" bestFit="1" customWidth="1"/>
    <col min="9733" max="9733" width="6.7109375" style="70" bestFit="1" customWidth="1"/>
    <col min="9734" max="9734" width="10.85546875" style="70" bestFit="1" customWidth="1"/>
    <col min="9735" max="9735" width="11.85546875" style="70" bestFit="1" customWidth="1"/>
    <col min="9736" max="9736" width="24.140625" style="70" customWidth="1"/>
    <col min="9737" max="9737" width="20" style="70" customWidth="1"/>
    <col min="9738" max="9738" width="15.5703125" style="70" customWidth="1"/>
    <col min="9739" max="9984" width="9.140625" style="70"/>
    <col min="9985" max="9985" width="4.85546875" style="70" customWidth="1"/>
    <col min="9986" max="9986" width="65.42578125" style="70" customWidth="1"/>
    <col min="9987" max="9987" width="13.28515625" style="70" customWidth="1"/>
    <col min="9988" max="9988" width="5.85546875" style="70" bestFit="1" customWidth="1"/>
    <col min="9989" max="9989" width="6.7109375" style="70" bestFit="1" customWidth="1"/>
    <col min="9990" max="9990" width="10.85546875" style="70" bestFit="1" customWidth="1"/>
    <col min="9991" max="9991" width="11.85546875" style="70" bestFit="1" customWidth="1"/>
    <col min="9992" max="9992" width="24.140625" style="70" customWidth="1"/>
    <col min="9993" max="9993" width="20" style="70" customWidth="1"/>
    <col min="9994" max="9994" width="15.5703125" style="70" customWidth="1"/>
    <col min="9995" max="10240" width="9.140625" style="70"/>
    <col min="10241" max="10241" width="4.85546875" style="70" customWidth="1"/>
    <col min="10242" max="10242" width="65.42578125" style="70" customWidth="1"/>
    <col min="10243" max="10243" width="13.28515625" style="70" customWidth="1"/>
    <col min="10244" max="10244" width="5.85546875" style="70" bestFit="1" customWidth="1"/>
    <col min="10245" max="10245" width="6.7109375" style="70" bestFit="1" customWidth="1"/>
    <col min="10246" max="10246" width="10.85546875" style="70" bestFit="1" customWidth="1"/>
    <col min="10247" max="10247" width="11.85546875" style="70" bestFit="1" customWidth="1"/>
    <col min="10248" max="10248" width="24.140625" style="70" customWidth="1"/>
    <col min="10249" max="10249" width="20" style="70" customWidth="1"/>
    <col min="10250" max="10250" width="15.5703125" style="70" customWidth="1"/>
    <col min="10251" max="10496" width="9.140625" style="70"/>
    <col min="10497" max="10497" width="4.85546875" style="70" customWidth="1"/>
    <col min="10498" max="10498" width="65.42578125" style="70" customWidth="1"/>
    <col min="10499" max="10499" width="13.28515625" style="70" customWidth="1"/>
    <col min="10500" max="10500" width="5.85546875" style="70" bestFit="1" customWidth="1"/>
    <col min="10501" max="10501" width="6.7109375" style="70" bestFit="1" customWidth="1"/>
    <col min="10502" max="10502" width="10.85546875" style="70" bestFit="1" customWidth="1"/>
    <col min="10503" max="10503" width="11.85546875" style="70" bestFit="1" customWidth="1"/>
    <col min="10504" max="10504" width="24.140625" style="70" customWidth="1"/>
    <col min="10505" max="10505" width="20" style="70" customWidth="1"/>
    <col min="10506" max="10506" width="15.5703125" style="70" customWidth="1"/>
    <col min="10507" max="10752" width="9.140625" style="70"/>
    <col min="10753" max="10753" width="4.85546875" style="70" customWidth="1"/>
    <col min="10754" max="10754" width="65.42578125" style="70" customWidth="1"/>
    <col min="10755" max="10755" width="13.28515625" style="70" customWidth="1"/>
    <col min="10756" max="10756" width="5.85546875" style="70" bestFit="1" customWidth="1"/>
    <col min="10757" max="10757" width="6.7109375" style="70" bestFit="1" customWidth="1"/>
    <col min="10758" max="10758" width="10.85546875" style="70" bestFit="1" customWidth="1"/>
    <col min="10759" max="10759" width="11.85546875" style="70" bestFit="1" customWidth="1"/>
    <col min="10760" max="10760" width="24.140625" style="70" customWidth="1"/>
    <col min="10761" max="10761" width="20" style="70" customWidth="1"/>
    <col min="10762" max="10762" width="15.5703125" style="70" customWidth="1"/>
    <col min="10763" max="11008" width="9.140625" style="70"/>
    <col min="11009" max="11009" width="4.85546875" style="70" customWidth="1"/>
    <col min="11010" max="11010" width="65.42578125" style="70" customWidth="1"/>
    <col min="11011" max="11011" width="13.28515625" style="70" customWidth="1"/>
    <col min="11012" max="11012" width="5.85546875" style="70" bestFit="1" customWidth="1"/>
    <col min="11013" max="11013" width="6.7109375" style="70" bestFit="1" customWidth="1"/>
    <col min="11014" max="11014" width="10.85546875" style="70" bestFit="1" customWidth="1"/>
    <col min="11015" max="11015" width="11.85546875" style="70" bestFit="1" customWidth="1"/>
    <col min="11016" max="11016" width="24.140625" style="70" customWidth="1"/>
    <col min="11017" max="11017" width="20" style="70" customWidth="1"/>
    <col min="11018" max="11018" width="15.5703125" style="70" customWidth="1"/>
    <col min="11019" max="11264" width="9.140625" style="70"/>
    <col min="11265" max="11265" width="4.85546875" style="70" customWidth="1"/>
    <col min="11266" max="11266" width="65.42578125" style="70" customWidth="1"/>
    <col min="11267" max="11267" width="13.28515625" style="70" customWidth="1"/>
    <col min="11268" max="11268" width="5.85546875" style="70" bestFit="1" customWidth="1"/>
    <col min="11269" max="11269" width="6.7109375" style="70" bestFit="1" customWidth="1"/>
    <col min="11270" max="11270" width="10.85546875" style="70" bestFit="1" customWidth="1"/>
    <col min="11271" max="11271" width="11.85546875" style="70" bestFit="1" customWidth="1"/>
    <col min="11272" max="11272" width="24.140625" style="70" customWidth="1"/>
    <col min="11273" max="11273" width="20" style="70" customWidth="1"/>
    <col min="11274" max="11274" width="15.5703125" style="70" customWidth="1"/>
    <col min="11275" max="11520" width="9.140625" style="70"/>
    <col min="11521" max="11521" width="4.85546875" style="70" customWidth="1"/>
    <col min="11522" max="11522" width="65.42578125" style="70" customWidth="1"/>
    <col min="11523" max="11523" width="13.28515625" style="70" customWidth="1"/>
    <col min="11524" max="11524" width="5.85546875" style="70" bestFit="1" customWidth="1"/>
    <col min="11525" max="11525" width="6.7109375" style="70" bestFit="1" customWidth="1"/>
    <col min="11526" max="11526" width="10.85546875" style="70" bestFit="1" customWidth="1"/>
    <col min="11527" max="11527" width="11.85546875" style="70" bestFit="1" customWidth="1"/>
    <col min="11528" max="11528" width="24.140625" style="70" customWidth="1"/>
    <col min="11529" max="11529" width="20" style="70" customWidth="1"/>
    <col min="11530" max="11530" width="15.5703125" style="70" customWidth="1"/>
    <col min="11531" max="11776" width="9.140625" style="70"/>
    <col min="11777" max="11777" width="4.85546875" style="70" customWidth="1"/>
    <col min="11778" max="11778" width="65.42578125" style="70" customWidth="1"/>
    <col min="11779" max="11779" width="13.28515625" style="70" customWidth="1"/>
    <col min="11780" max="11780" width="5.85546875" style="70" bestFit="1" customWidth="1"/>
    <col min="11781" max="11781" width="6.7109375" style="70" bestFit="1" customWidth="1"/>
    <col min="11782" max="11782" width="10.85546875" style="70" bestFit="1" customWidth="1"/>
    <col min="11783" max="11783" width="11.85546875" style="70" bestFit="1" customWidth="1"/>
    <col min="11784" max="11784" width="24.140625" style="70" customWidth="1"/>
    <col min="11785" max="11785" width="20" style="70" customWidth="1"/>
    <col min="11786" max="11786" width="15.5703125" style="70" customWidth="1"/>
    <col min="11787" max="12032" width="9.140625" style="70"/>
    <col min="12033" max="12033" width="4.85546875" style="70" customWidth="1"/>
    <col min="12034" max="12034" width="65.42578125" style="70" customWidth="1"/>
    <col min="12035" max="12035" width="13.28515625" style="70" customWidth="1"/>
    <col min="12036" max="12036" width="5.85546875" style="70" bestFit="1" customWidth="1"/>
    <col min="12037" max="12037" width="6.7109375" style="70" bestFit="1" customWidth="1"/>
    <col min="12038" max="12038" width="10.85546875" style="70" bestFit="1" customWidth="1"/>
    <col min="12039" max="12039" width="11.85546875" style="70" bestFit="1" customWidth="1"/>
    <col min="12040" max="12040" width="24.140625" style="70" customWidth="1"/>
    <col min="12041" max="12041" width="20" style="70" customWidth="1"/>
    <col min="12042" max="12042" width="15.5703125" style="70" customWidth="1"/>
    <col min="12043" max="12288" width="9.140625" style="70"/>
    <col min="12289" max="12289" width="4.85546875" style="70" customWidth="1"/>
    <col min="12290" max="12290" width="65.42578125" style="70" customWidth="1"/>
    <col min="12291" max="12291" width="13.28515625" style="70" customWidth="1"/>
    <col min="12292" max="12292" width="5.85546875" style="70" bestFit="1" customWidth="1"/>
    <col min="12293" max="12293" width="6.7109375" style="70" bestFit="1" customWidth="1"/>
    <col min="12294" max="12294" width="10.85546875" style="70" bestFit="1" customWidth="1"/>
    <col min="12295" max="12295" width="11.85546875" style="70" bestFit="1" customWidth="1"/>
    <col min="12296" max="12296" width="24.140625" style="70" customWidth="1"/>
    <col min="12297" max="12297" width="20" style="70" customWidth="1"/>
    <col min="12298" max="12298" width="15.5703125" style="70" customWidth="1"/>
    <col min="12299" max="12544" width="9.140625" style="70"/>
    <col min="12545" max="12545" width="4.85546875" style="70" customWidth="1"/>
    <col min="12546" max="12546" width="65.42578125" style="70" customWidth="1"/>
    <col min="12547" max="12547" width="13.28515625" style="70" customWidth="1"/>
    <col min="12548" max="12548" width="5.85546875" style="70" bestFit="1" customWidth="1"/>
    <col min="12549" max="12549" width="6.7109375" style="70" bestFit="1" customWidth="1"/>
    <col min="12550" max="12550" width="10.85546875" style="70" bestFit="1" customWidth="1"/>
    <col min="12551" max="12551" width="11.85546875" style="70" bestFit="1" customWidth="1"/>
    <col min="12552" max="12552" width="24.140625" style="70" customWidth="1"/>
    <col min="12553" max="12553" width="20" style="70" customWidth="1"/>
    <col min="12554" max="12554" width="15.5703125" style="70" customWidth="1"/>
    <col min="12555" max="12800" width="9.140625" style="70"/>
    <col min="12801" max="12801" width="4.85546875" style="70" customWidth="1"/>
    <col min="12802" max="12802" width="65.42578125" style="70" customWidth="1"/>
    <col min="12803" max="12803" width="13.28515625" style="70" customWidth="1"/>
    <col min="12804" max="12804" width="5.85546875" style="70" bestFit="1" customWidth="1"/>
    <col min="12805" max="12805" width="6.7109375" style="70" bestFit="1" customWidth="1"/>
    <col min="12806" max="12806" width="10.85546875" style="70" bestFit="1" customWidth="1"/>
    <col min="12807" max="12807" width="11.85546875" style="70" bestFit="1" customWidth="1"/>
    <col min="12808" max="12808" width="24.140625" style="70" customWidth="1"/>
    <col min="12809" max="12809" width="20" style="70" customWidth="1"/>
    <col min="12810" max="12810" width="15.5703125" style="70" customWidth="1"/>
    <col min="12811" max="13056" width="9.140625" style="70"/>
    <col min="13057" max="13057" width="4.85546875" style="70" customWidth="1"/>
    <col min="13058" max="13058" width="65.42578125" style="70" customWidth="1"/>
    <col min="13059" max="13059" width="13.28515625" style="70" customWidth="1"/>
    <col min="13060" max="13060" width="5.85546875" style="70" bestFit="1" customWidth="1"/>
    <col min="13061" max="13061" width="6.7109375" style="70" bestFit="1" customWidth="1"/>
    <col min="13062" max="13062" width="10.85546875" style="70" bestFit="1" customWidth="1"/>
    <col min="13063" max="13063" width="11.85546875" style="70" bestFit="1" customWidth="1"/>
    <col min="13064" max="13064" width="24.140625" style="70" customWidth="1"/>
    <col min="13065" max="13065" width="20" style="70" customWidth="1"/>
    <col min="13066" max="13066" width="15.5703125" style="70" customWidth="1"/>
    <col min="13067" max="13312" width="9.140625" style="70"/>
    <col min="13313" max="13313" width="4.85546875" style="70" customWidth="1"/>
    <col min="13314" max="13314" width="65.42578125" style="70" customWidth="1"/>
    <col min="13315" max="13315" width="13.28515625" style="70" customWidth="1"/>
    <col min="13316" max="13316" width="5.85546875" style="70" bestFit="1" customWidth="1"/>
    <col min="13317" max="13317" width="6.7109375" style="70" bestFit="1" customWidth="1"/>
    <col min="13318" max="13318" width="10.85546875" style="70" bestFit="1" customWidth="1"/>
    <col min="13319" max="13319" width="11.85546875" style="70" bestFit="1" customWidth="1"/>
    <col min="13320" max="13320" width="24.140625" style="70" customWidth="1"/>
    <col min="13321" max="13321" width="20" style="70" customWidth="1"/>
    <col min="13322" max="13322" width="15.5703125" style="70" customWidth="1"/>
    <col min="13323" max="13568" width="9.140625" style="70"/>
    <col min="13569" max="13569" width="4.85546875" style="70" customWidth="1"/>
    <col min="13570" max="13570" width="65.42578125" style="70" customWidth="1"/>
    <col min="13571" max="13571" width="13.28515625" style="70" customWidth="1"/>
    <col min="13572" max="13572" width="5.85546875" style="70" bestFit="1" customWidth="1"/>
    <col min="13573" max="13573" width="6.7109375" style="70" bestFit="1" customWidth="1"/>
    <col min="13574" max="13574" width="10.85546875" style="70" bestFit="1" customWidth="1"/>
    <col min="13575" max="13575" width="11.85546875" style="70" bestFit="1" customWidth="1"/>
    <col min="13576" max="13576" width="24.140625" style="70" customWidth="1"/>
    <col min="13577" max="13577" width="20" style="70" customWidth="1"/>
    <col min="13578" max="13578" width="15.5703125" style="70" customWidth="1"/>
    <col min="13579" max="13824" width="9.140625" style="70"/>
    <col min="13825" max="13825" width="4.85546875" style="70" customWidth="1"/>
    <col min="13826" max="13826" width="65.42578125" style="70" customWidth="1"/>
    <col min="13827" max="13827" width="13.28515625" style="70" customWidth="1"/>
    <col min="13828" max="13828" width="5.85546875" style="70" bestFit="1" customWidth="1"/>
    <col min="13829" max="13829" width="6.7109375" style="70" bestFit="1" customWidth="1"/>
    <col min="13830" max="13830" width="10.85546875" style="70" bestFit="1" customWidth="1"/>
    <col min="13831" max="13831" width="11.85546875" style="70" bestFit="1" customWidth="1"/>
    <col min="13832" max="13832" width="24.140625" style="70" customWidth="1"/>
    <col min="13833" max="13833" width="20" style="70" customWidth="1"/>
    <col min="13834" max="13834" width="15.5703125" style="70" customWidth="1"/>
    <col min="13835" max="14080" width="9.140625" style="70"/>
    <col min="14081" max="14081" width="4.85546875" style="70" customWidth="1"/>
    <col min="14082" max="14082" width="65.42578125" style="70" customWidth="1"/>
    <col min="14083" max="14083" width="13.28515625" style="70" customWidth="1"/>
    <col min="14084" max="14084" width="5.85546875" style="70" bestFit="1" customWidth="1"/>
    <col min="14085" max="14085" width="6.7109375" style="70" bestFit="1" customWidth="1"/>
    <col min="14086" max="14086" width="10.85546875" style="70" bestFit="1" customWidth="1"/>
    <col min="14087" max="14087" width="11.85546875" style="70" bestFit="1" customWidth="1"/>
    <col min="14088" max="14088" width="24.140625" style="70" customWidth="1"/>
    <col min="14089" max="14089" width="20" style="70" customWidth="1"/>
    <col min="14090" max="14090" width="15.5703125" style="70" customWidth="1"/>
    <col min="14091" max="14336" width="9.140625" style="70"/>
    <col min="14337" max="14337" width="4.85546875" style="70" customWidth="1"/>
    <col min="14338" max="14338" width="65.42578125" style="70" customWidth="1"/>
    <col min="14339" max="14339" width="13.28515625" style="70" customWidth="1"/>
    <col min="14340" max="14340" width="5.85546875" style="70" bestFit="1" customWidth="1"/>
    <col min="14341" max="14341" width="6.7109375" style="70" bestFit="1" customWidth="1"/>
    <col min="14342" max="14342" width="10.85546875" style="70" bestFit="1" customWidth="1"/>
    <col min="14343" max="14343" width="11.85546875" style="70" bestFit="1" customWidth="1"/>
    <col min="14344" max="14344" width="24.140625" style="70" customWidth="1"/>
    <col min="14345" max="14345" width="20" style="70" customWidth="1"/>
    <col min="14346" max="14346" width="15.5703125" style="70" customWidth="1"/>
    <col min="14347" max="14592" width="9.140625" style="70"/>
    <col min="14593" max="14593" width="4.85546875" style="70" customWidth="1"/>
    <col min="14594" max="14594" width="65.42578125" style="70" customWidth="1"/>
    <col min="14595" max="14595" width="13.28515625" style="70" customWidth="1"/>
    <col min="14596" max="14596" width="5.85546875" style="70" bestFit="1" customWidth="1"/>
    <col min="14597" max="14597" width="6.7109375" style="70" bestFit="1" customWidth="1"/>
    <col min="14598" max="14598" width="10.85546875" style="70" bestFit="1" customWidth="1"/>
    <col min="14599" max="14599" width="11.85546875" style="70" bestFit="1" customWidth="1"/>
    <col min="14600" max="14600" width="24.140625" style="70" customWidth="1"/>
    <col min="14601" max="14601" width="20" style="70" customWidth="1"/>
    <col min="14602" max="14602" width="15.5703125" style="70" customWidth="1"/>
    <col min="14603" max="14848" width="9.140625" style="70"/>
    <col min="14849" max="14849" width="4.85546875" style="70" customWidth="1"/>
    <col min="14850" max="14850" width="65.42578125" style="70" customWidth="1"/>
    <col min="14851" max="14851" width="13.28515625" style="70" customWidth="1"/>
    <col min="14852" max="14852" width="5.85546875" style="70" bestFit="1" customWidth="1"/>
    <col min="14853" max="14853" width="6.7109375" style="70" bestFit="1" customWidth="1"/>
    <col min="14854" max="14854" width="10.85546875" style="70" bestFit="1" customWidth="1"/>
    <col min="14855" max="14855" width="11.85546875" style="70" bestFit="1" customWidth="1"/>
    <col min="14856" max="14856" width="24.140625" style="70" customWidth="1"/>
    <col min="14857" max="14857" width="20" style="70" customWidth="1"/>
    <col min="14858" max="14858" width="15.5703125" style="70" customWidth="1"/>
    <col min="14859" max="15104" width="9.140625" style="70"/>
    <col min="15105" max="15105" width="4.85546875" style="70" customWidth="1"/>
    <col min="15106" max="15106" width="65.42578125" style="70" customWidth="1"/>
    <col min="15107" max="15107" width="13.28515625" style="70" customWidth="1"/>
    <col min="15108" max="15108" width="5.85546875" style="70" bestFit="1" customWidth="1"/>
    <col min="15109" max="15109" width="6.7109375" style="70" bestFit="1" customWidth="1"/>
    <col min="15110" max="15110" width="10.85546875" style="70" bestFit="1" customWidth="1"/>
    <col min="15111" max="15111" width="11.85546875" style="70" bestFit="1" customWidth="1"/>
    <col min="15112" max="15112" width="24.140625" style="70" customWidth="1"/>
    <col min="15113" max="15113" width="20" style="70" customWidth="1"/>
    <col min="15114" max="15114" width="15.5703125" style="70" customWidth="1"/>
    <col min="15115" max="15360" width="9.140625" style="70"/>
    <col min="15361" max="15361" width="4.85546875" style="70" customWidth="1"/>
    <col min="15362" max="15362" width="65.42578125" style="70" customWidth="1"/>
    <col min="15363" max="15363" width="13.28515625" style="70" customWidth="1"/>
    <col min="15364" max="15364" width="5.85546875" style="70" bestFit="1" customWidth="1"/>
    <col min="15365" max="15365" width="6.7109375" style="70" bestFit="1" customWidth="1"/>
    <col min="15366" max="15366" width="10.85546875" style="70" bestFit="1" customWidth="1"/>
    <col min="15367" max="15367" width="11.85546875" style="70" bestFit="1" customWidth="1"/>
    <col min="15368" max="15368" width="24.140625" style="70" customWidth="1"/>
    <col min="15369" max="15369" width="20" style="70" customWidth="1"/>
    <col min="15370" max="15370" width="15.5703125" style="70" customWidth="1"/>
    <col min="15371" max="15616" width="9.140625" style="70"/>
    <col min="15617" max="15617" width="4.85546875" style="70" customWidth="1"/>
    <col min="15618" max="15618" width="65.42578125" style="70" customWidth="1"/>
    <col min="15619" max="15619" width="13.28515625" style="70" customWidth="1"/>
    <col min="15620" max="15620" width="5.85546875" style="70" bestFit="1" customWidth="1"/>
    <col min="15621" max="15621" width="6.7109375" style="70" bestFit="1" customWidth="1"/>
    <col min="15622" max="15622" width="10.85546875" style="70" bestFit="1" customWidth="1"/>
    <col min="15623" max="15623" width="11.85546875" style="70" bestFit="1" customWidth="1"/>
    <col min="15624" max="15624" width="24.140625" style="70" customWidth="1"/>
    <col min="15625" max="15625" width="20" style="70" customWidth="1"/>
    <col min="15626" max="15626" width="15.5703125" style="70" customWidth="1"/>
    <col min="15627" max="15872" width="9.140625" style="70"/>
    <col min="15873" max="15873" width="4.85546875" style="70" customWidth="1"/>
    <col min="15874" max="15874" width="65.42578125" style="70" customWidth="1"/>
    <col min="15875" max="15875" width="13.28515625" style="70" customWidth="1"/>
    <col min="15876" max="15876" width="5.85546875" style="70" bestFit="1" customWidth="1"/>
    <col min="15877" max="15877" width="6.7109375" style="70" bestFit="1" customWidth="1"/>
    <col min="15878" max="15878" width="10.85546875" style="70" bestFit="1" customWidth="1"/>
    <col min="15879" max="15879" width="11.85546875" style="70" bestFit="1" customWidth="1"/>
    <col min="15880" max="15880" width="24.140625" style="70" customWidth="1"/>
    <col min="15881" max="15881" width="20" style="70" customWidth="1"/>
    <col min="15882" max="15882" width="15.5703125" style="70" customWidth="1"/>
    <col min="15883" max="16128" width="9.140625" style="70"/>
    <col min="16129" max="16129" width="4.85546875" style="70" customWidth="1"/>
    <col min="16130" max="16130" width="65.42578125" style="70" customWidth="1"/>
    <col min="16131" max="16131" width="13.28515625" style="70" customWidth="1"/>
    <col min="16132" max="16132" width="5.85546875" style="70" bestFit="1" customWidth="1"/>
    <col min="16133" max="16133" width="6.7109375" style="70" bestFit="1" customWidth="1"/>
    <col min="16134" max="16134" width="10.85546875" style="70" bestFit="1" customWidth="1"/>
    <col min="16135" max="16135" width="11.85546875" style="70" bestFit="1" customWidth="1"/>
    <col min="16136" max="16136" width="24.140625" style="70" customWidth="1"/>
    <col min="16137" max="16137" width="20" style="70" customWidth="1"/>
    <col min="16138" max="16138" width="15.5703125" style="70" customWidth="1"/>
    <col min="16139" max="16384" width="9.140625" style="70"/>
  </cols>
  <sheetData>
    <row r="1" spans="1:10" ht="18">
      <c r="A1" s="2015"/>
      <c r="B1" s="3115" t="s">
        <v>2769</v>
      </c>
      <c r="C1" s="3115"/>
      <c r="D1" s="3115"/>
      <c r="E1" s="2046"/>
      <c r="F1" s="2046"/>
      <c r="G1" s="2046"/>
    </row>
    <row r="2" spans="1:10" ht="9" customHeight="1">
      <c r="A2" s="2015"/>
      <c r="B2" s="102"/>
      <c r="C2" s="2513"/>
      <c r="D2" s="2513"/>
      <c r="E2" s="597"/>
      <c r="F2" s="597"/>
      <c r="G2" s="597"/>
    </row>
    <row r="3" spans="1:10" ht="35.25" customHeight="1">
      <c r="A3" s="2015"/>
      <c r="B3" s="3095" t="s">
        <v>2770</v>
      </c>
      <c r="C3" s="3095"/>
      <c r="D3" s="3095"/>
      <c r="E3" s="3095"/>
      <c r="F3" s="3095"/>
      <c r="G3" s="3095"/>
    </row>
    <row r="4" spans="1:10" ht="18">
      <c r="A4" s="2015"/>
      <c r="B4" s="630"/>
      <c r="C4" s="630"/>
      <c r="D4" s="630"/>
      <c r="E4" s="630"/>
      <c r="F4" s="630"/>
      <c r="G4" s="1581" t="s">
        <v>89</v>
      </c>
    </row>
    <row r="5" spans="1:10" ht="11.25" customHeight="1">
      <c r="A5" s="2015"/>
      <c r="B5" s="2526"/>
      <c r="C5" s="630"/>
      <c r="D5" s="2526"/>
      <c r="E5" s="2526"/>
      <c r="F5" s="2526"/>
      <c r="G5" s="1581"/>
    </row>
    <row r="6" spans="1:10" ht="32.25" customHeight="1">
      <c r="A6" s="3407" t="s">
        <v>2771</v>
      </c>
      <c r="B6" s="3407" t="s">
        <v>3</v>
      </c>
      <c r="C6" s="3408" t="s">
        <v>4</v>
      </c>
      <c r="D6" s="3410" t="s">
        <v>5</v>
      </c>
      <c r="E6" s="3407" t="s">
        <v>93</v>
      </c>
      <c r="F6" s="3407"/>
      <c r="G6" s="3407"/>
    </row>
    <row r="7" spans="1:10" ht="15">
      <c r="A7" s="3407"/>
      <c r="B7" s="3407"/>
      <c r="C7" s="3409"/>
      <c r="D7" s="3410"/>
      <c r="E7" s="1613" t="s">
        <v>95</v>
      </c>
      <c r="F7" s="1613" t="s">
        <v>9</v>
      </c>
      <c r="G7" s="1613" t="s">
        <v>10</v>
      </c>
    </row>
    <row r="8" spans="1:10" ht="13.5">
      <c r="A8" s="2527">
        <v>1</v>
      </c>
      <c r="B8" s="2527">
        <v>2</v>
      </c>
      <c r="C8" s="2527">
        <v>3</v>
      </c>
      <c r="D8" s="2528">
        <v>4</v>
      </c>
      <c r="E8" s="2527">
        <v>5</v>
      </c>
      <c r="F8" s="2527">
        <v>6</v>
      </c>
      <c r="G8" s="2527">
        <v>7</v>
      </c>
    </row>
    <row r="9" spans="1:10" ht="32.25" customHeight="1">
      <c r="A9" s="1629">
        <v>1</v>
      </c>
      <c r="B9" s="1290" t="s">
        <v>209</v>
      </c>
      <c r="C9" s="1625">
        <v>7130601965</v>
      </c>
      <c r="D9" s="1817" t="s">
        <v>26</v>
      </c>
      <c r="E9" s="2519">
        <f>37.1*11*2</f>
        <v>816.2</v>
      </c>
      <c r="F9" s="1132">
        <f>VLOOKUP(C9,'[25]SOR RATE'!A:D,4,0)/1000</f>
        <v>63.913519999999998</v>
      </c>
      <c r="G9" s="1132">
        <f t="shared" ref="G9:G14" si="0">F9*E9</f>
        <v>52166.215024000005</v>
      </c>
      <c r="H9" s="83"/>
    </row>
    <row r="10" spans="1:10" ht="16.5" customHeight="1">
      <c r="A10" s="1291">
        <v>2</v>
      </c>
      <c r="B10" s="1290" t="s">
        <v>2772</v>
      </c>
      <c r="C10" s="1625">
        <v>7130810512</v>
      </c>
      <c r="D10" s="1817" t="s">
        <v>40</v>
      </c>
      <c r="E10" s="1291">
        <v>2</v>
      </c>
      <c r="F10" s="1132">
        <f>VLOOKUP(C10,'[25]SOR RATE'!A218:D218,4,0)</f>
        <v>5188.4799999999996</v>
      </c>
      <c r="G10" s="1202">
        <f t="shared" si="0"/>
        <v>10376.959999999999</v>
      </c>
    </row>
    <row r="11" spans="1:10" ht="14.25">
      <c r="A11" s="1629">
        <v>3</v>
      </c>
      <c r="B11" s="1634" t="s">
        <v>67</v>
      </c>
      <c r="C11" s="1616">
        <v>7130820010</v>
      </c>
      <c r="D11" s="1806" t="s">
        <v>12</v>
      </c>
      <c r="E11" s="2519">
        <v>6</v>
      </c>
      <c r="F11" s="1132">
        <f>VLOOKUP(C11,'[25]SOR RATE'!A232:D232,4,0)</f>
        <v>118.97</v>
      </c>
      <c r="G11" s="1132">
        <f t="shared" si="0"/>
        <v>713.81999999999994</v>
      </c>
      <c r="I11" s="2008"/>
      <c r="J11" s="2008"/>
    </row>
    <row r="12" spans="1:10" ht="14.25">
      <c r="A12" s="1629">
        <v>4</v>
      </c>
      <c r="B12" s="1634" t="s">
        <v>69</v>
      </c>
      <c r="C12" s="1616">
        <v>7130820241</v>
      </c>
      <c r="D12" s="1806" t="s">
        <v>12</v>
      </c>
      <c r="E12" s="2519">
        <v>6</v>
      </c>
      <c r="F12" s="1132">
        <f>VLOOKUP(C12,'[25]SOR RATE'!A:D,4,0)</f>
        <v>153.49</v>
      </c>
      <c r="G12" s="1132">
        <f t="shared" si="0"/>
        <v>920.94</v>
      </c>
      <c r="I12" s="2529"/>
      <c r="J12" s="2529"/>
    </row>
    <row r="13" spans="1:10" ht="15" customHeight="1">
      <c r="A13" s="1629">
        <v>5</v>
      </c>
      <c r="B13" s="1619" t="s">
        <v>102</v>
      </c>
      <c r="C13" s="1625">
        <v>7130820008</v>
      </c>
      <c r="D13" s="1806" t="s">
        <v>12</v>
      </c>
      <c r="E13" s="2519">
        <v>3</v>
      </c>
      <c r="F13" s="1132">
        <f>VLOOKUP(C13,'[25]SOR RATE'!A:D,4,0)</f>
        <v>157.08000000000001</v>
      </c>
      <c r="G13" s="1132">
        <f>F13*E13</f>
        <v>471.24</v>
      </c>
      <c r="I13" s="85"/>
      <c r="J13" s="85"/>
    </row>
    <row r="14" spans="1:10" ht="18" customHeight="1">
      <c r="A14" s="3403">
        <v>6</v>
      </c>
      <c r="B14" s="1633" t="s">
        <v>213</v>
      </c>
      <c r="C14" s="1616">
        <v>7130860032</v>
      </c>
      <c r="D14" s="1806" t="s">
        <v>12</v>
      </c>
      <c r="E14" s="2519">
        <v>2</v>
      </c>
      <c r="F14" s="1132">
        <f>VLOOKUP(C14,'[25]SOR RATE'!A:D,4,0)</f>
        <v>566.19000000000005</v>
      </c>
      <c r="G14" s="1132">
        <f t="shared" si="0"/>
        <v>1132.3800000000001</v>
      </c>
    </row>
    <row r="15" spans="1:10" ht="15" customHeight="1">
      <c r="A15" s="3404"/>
      <c r="B15" s="1633" t="s">
        <v>214</v>
      </c>
      <c r="C15" s="1616">
        <v>7130860077</v>
      </c>
      <c r="D15" s="1806" t="s">
        <v>26</v>
      </c>
      <c r="E15" s="2519">
        <v>12</v>
      </c>
      <c r="F15" s="1132">
        <f>VLOOKUP(C15,'[25]SOR RATE'!A:D,4,0)/1000</f>
        <v>93.76643</v>
      </c>
      <c r="G15" s="1132">
        <f>F15*E15</f>
        <v>1125.1971599999999</v>
      </c>
    </row>
    <row r="16" spans="1:10" ht="15" customHeight="1">
      <c r="A16" s="3404"/>
      <c r="B16" s="1633" t="s">
        <v>215</v>
      </c>
      <c r="C16" s="1635"/>
      <c r="D16" s="1636"/>
      <c r="E16" s="2536"/>
      <c r="F16" s="2536"/>
      <c r="G16" s="2536"/>
    </row>
    <row r="17" spans="1:10" ht="16.5" customHeight="1">
      <c r="A17" s="3404"/>
      <c r="B17" s="1624" t="s">
        <v>100</v>
      </c>
      <c r="C17" s="1625">
        <v>7130810692</v>
      </c>
      <c r="D17" s="1620" t="s">
        <v>15</v>
      </c>
      <c r="E17" s="2519">
        <v>6</v>
      </c>
      <c r="F17" s="1132">
        <f>VLOOKUP(C17,'[25]SOR RATE'!A:D,4,0)</f>
        <v>410.25</v>
      </c>
      <c r="G17" s="1132">
        <f>F17*E17</f>
        <v>2461.5</v>
      </c>
    </row>
    <row r="18" spans="1:10" ht="30">
      <c r="A18" s="2519">
        <v>7</v>
      </c>
      <c r="B18" s="2537" t="s">
        <v>2773</v>
      </c>
      <c r="C18" s="1616">
        <v>7130200202</v>
      </c>
      <c r="D18" s="1806" t="s">
        <v>76</v>
      </c>
      <c r="E18" s="2519">
        <f>(2*0.65)+(2*0.2)</f>
        <v>1.7000000000000002</v>
      </c>
      <c r="F18" s="1132">
        <f>VLOOKUP(C18,'[25]SOR RATE'!A:D,4,0)</f>
        <v>2970</v>
      </c>
      <c r="G18" s="1132">
        <f t="shared" ref="G18:G22" si="1">F18*E18</f>
        <v>5049.0000000000009</v>
      </c>
      <c r="H18" s="86" t="s">
        <v>47</v>
      </c>
    </row>
    <row r="19" spans="1:10" ht="16.5" customHeight="1">
      <c r="A19" s="1629">
        <v>8</v>
      </c>
      <c r="B19" s="1634" t="s">
        <v>77</v>
      </c>
      <c r="C19" s="1616">
        <v>7130870013</v>
      </c>
      <c r="D19" s="1806" t="s">
        <v>12</v>
      </c>
      <c r="E19" s="2519">
        <v>2</v>
      </c>
      <c r="F19" s="1132">
        <f>VLOOKUP(C19,'[25]SOR RATE'!A:D,4,0)</f>
        <v>152.88999999999999</v>
      </c>
      <c r="G19" s="1132">
        <f t="shared" si="1"/>
        <v>305.77999999999997</v>
      </c>
    </row>
    <row r="20" spans="1:10" ht="15.75" customHeight="1">
      <c r="A20" s="1629">
        <v>9</v>
      </c>
      <c r="B20" s="1633" t="s">
        <v>28</v>
      </c>
      <c r="C20" s="1616">
        <v>7130211158</v>
      </c>
      <c r="D20" s="1806" t="s">
        <v>29</v>
      </c>
      <c r="E20" s="2519">
        <v>2</v>
      </c>
      <c r="F20" s="1132">
        <f>VLOOKUP(C20,'[25]SOR RATE'!A:D,4,0)</f>
        <v>193.62</v>
      </c>
      <c r="G20" s="1132">
        <f t="shared" si="1"/>
        <v>387.24</v>
      </c>
    </row>
    <row r="21" spans="1:10" ht="16.5" customHeight="1">
      <c r="A21" s="1629">
        <v>10</v>
      </c>
      <c r="B21" s="1633" t="s">
        <v>30</v>
      </c>
      <c r="C21" s="1616">
        <v>7130210809</v>
      </c>
      <c r="D21" s="1806" t="s">
        <v>29</v>
      </c>
      <c r="E21" s="2519">
        <v>2</v>
      </c>
      <c r="F21" s="1132">
        <f>VLOOKUP(C21,'[25]SOR RATE'!A:D,4,0)</f>
        <v>432.63</v>
      </c>
      <c r="G21" s="1132">
        <f t="shared" si="1"/>
        <v>865.26</v>
      </c>
    </row>
    <row r="22" spans="1:10" ht="17.25" customHeight="1">
      <c r="A22" s="2519">
        <v>11</v>
      </c>
      <c r="B22" s="2331" t="s">
        <v>2774</v>
      </c>
      <c r="C22" s="2332">
        <v>7130610206</v>
      </c>
      <c r="D22" s="2538" t="s">
        <v>26</v>
      </c>
      <c r="E22" s="2519">
        <v>4</v>
      </c>
      <c r="F22" s="1132">
        <f>VLOOKUP(C22,'[25]SOR RATE'!A:D,4,0)/1000</f>
        <v>97.233429999999998</v>
      </c>
      <c r="G22" s="1132">
        <f t="shared" si="1"/>
        <v>388.93371999999999</v>
      </c>
      <c r="H22" s="505"/>
      <c r="I22" s="803"/>
    </row>
    <row r="23" spans="1:10" ht="15.75" customHeight="1">
      <c r="A23" s="1629">
        <v>12</v>
      </c>
      <c r="B23" s="1634" t="s">
        <v>32</v>
      </c>
      <c r="C23" s="1616">
        <v>7130880041</v>
      </c>
      <c r="D23" s="1806" t="s">
        <v>33</v>
      </c>
      <c r="E23" s="2519">
        <v>1</v>
      </c>
      <c r="F23" s="1132">
        <f>VLOOKUP(C23,'[25]SOR RATE'!A:D,4,0)</f>
        <v>113.77</v>
      </c>
      <c r="G23" s="1132">
        <f>F23*E23</f>
        <v>113.77</v>
      </c>
    </row>
    <row r="24" spans="1:10" ht="15">
      <c r="A24" s="3403">
        <v>13</v>
      </c>
      <c r="B24" s="2539" t="s">
        <v>35</v>
      </c>
      <c r="C24" s="1616"/>
      <c r="D24" s="1806" t="s">
        <v>26</v>
      </c>
      <c r="E24" s="2522">
        <f>SUM(E25:E26)</f>
        <v>6</v>
      </c>
      <c r="F24" s="1132"/>
      <c r="G24" s="1132"/>
    </row>
    <row r="25" spans="1:10" ht="14.25">
      <c r="A25" s="3404"/>
      <c r="B25" s="2540" t="s">
        <v>79</v>
      </c>
      <c r="C25" s="1813">
        <v>7130620609</v>
      </c>
      <c r="D25" s="1806" t="s">
        <v>26</v>
      </c>
      <c r="E25" s="2519">
        <v>0.5</v>
      </c>
      <c r="F25" s="1132">
        <f>VLOOKUP(C25,'[25]SOR RATE'!A:D,4,0)</f>
        <v>87.23</v>
      </c>
      <c r="G25" s="1132">
        <f>F25*E25</f>
        <v>43.615000000000002</v>
      </c>
    </row>
    <row r="26" spans="1:10" ht="14.25">
      <c r="A26" s="3405"/>
      <c r="B26" s="1624" t="s">
        <v>80</v>
      </c>
      <c r="C26" s="1616">
        <v>7130620631</v>
      </c>
      <c r="D26" s="1806" t="s">
        <v>26</v>
      </c>
      <c r="E26" s="2519">
        <v>5.5</v>
      </c>
      <c r="F26" s="1132">
        <f>VLOOKUP(C26,'[25]SOR RATE'!A:D,4,0)</f>
        <v>84.32</v>
      </c>
      <c r="G26" s="1132">
        <f>F26*E26</f>
        <v>463.76</v>
      </c>
    </row>
    <row r="27" spans="1:10" ht="34.5" customHeight="1">
      <c r="A27" s="2517">
        <v>14</v>
      </c>
      <c r="B27" s="1290" t="s">
        <v>2775</v>
      </c>
      <c r="C27" s="1616">
        <v>7130642039</v>
      </c>
      <c r="D27" s="1817" t="s">
        <v>12</v>
      </c>
      <c r="E27" s="2519">
        <v>2</v>
      </c>
      <c r="F27" s="1132">
        <f>VLOOKUP(C27,'[25]SOR RATE'!A:D,4,0)</f>
        <v>998.57</v>
      </c>
      <c r="G27" s="1132">
        <f>F27*E27</f>
        <v>1997.14</v>
      </c>
    </row>
    <row r="28" spans="1:10" ht="14.25">
      <c r="A28" s="2541">
        <v>15</v>
      </c>
      <c r="B28" s="2168" t="s">
        <v>2743</v>
      </c>
      <c r="C28" s="2542">
        <v>7130640171</v>
      </c>
      <c r="D28" s="2543" t="s">
        <v>33</v>
      </c>
      <c r="E28" s="1629">
        <v>1</v>
      </c>
      <c r="F28" s="1132">
        <f>VLOOKUP(C28,'[25]SOR RATE'!A:D,4,0)</f>
        <v>122.5</v>
      </c>
      <c r="G28" s="1132">
        <f>F28*E28</f>
        <v>122.5</v>
      </c>
      <c r="H28" s="2009"/>
      <c r="I28" s="576"/>
      <c r="J28" s="576"/>
    </row>
    <row r="29" spans="1:10" ht="14.25">
      <c r="A29" s="2541">
        <v>16</v>
      </c>
      <c r="B29" s="1290" t="s">
        <v>2776</v>
      </c>
      <c r="C29" s="2299">
        <v>7130840029</v>
      </c>
      <c r="D29" s="2543" t="s">
        <v>33</v>
      </c>
      <c r="E29" s="1629">
        <v>3</v>
      </c>
      <c r="F29" s="1132">
        <f>VLOOKUP(C29,'[25]SOR RATE'!A:D,4,0)</f>
        <v>368.52</v>
      </c>
      <c r="G29" s="1630">
        <f>E29*F29</f>
        <v>1105.56</v>
      </c>
      <c r="I29" s="2530"/>
      <c r="J29" s="2530"/>
    </row>
    <row r="30" spans="1:10" ht="14.25">
      <c r="A30" s="2541">
        <v>17</v>
      </c>
      <c r="B30" s="2168" t="s">
        <v>2777</v>
      </c>
      <c r="C30" s="2542"/>
      <c r="D30" s="2544" t="s">
        <v>12</v>
      </c>
      <c r="E30" s="1629"/>
      <c r="F30" s="1132"/>
      <c r="G30" s="1630"/>
    </row>
    <row r="31" spans="1:10" ht="15.75" customHeight="1">
      <c r="A31" s="2541">
        <v>18</v>
      </c>
      <c r="B31" s="2168" t="s">
        <v>2745</v>
      </c>
      <c r="C31" s="1627">
        <v>7130310660</v>
      </c>
      <c r="D31" s="1817" t="s">
        <v>21</v>
      </c>
      <c r="E31" s="2519">
        <v>10</v>
      </c>
      <c r="F31" s="1132">
        <f>VLOOKUP(C31,'[25]SOR RATE'!A:D,4,0)/1000</f>
        <v>258.71348</v>
      </c>
      <c r="G31" s="1132">
        <f>E31*F31</f>
        <v>2587.1347999999998</v>
      </c>
    </row>
    <row r="32" spans="1:10" ht="30" customHeight="1">
      <c r="A32" s="2541">
        <v>19</v>
      </c>
      <c r="B32" s="1274" t="s">
        <v>2778</v>
      </c>
      <c r="C32" s="2167">
        <v>7131310033</v>
      </c>
      <c r="D32" s="2545" t="s">
        <v>12</v>
      </c>
      <c r="E32" s="2519">
        <v>1</v>
      </c>
      <c r="F32" s="1132">
        <f>VLOOKUP(C32,'[25]SOR RATE'!A:D,4,0)</f>
        <v>4151.97</v>
      </c>
      <c r="G32" s="1132">
        <f>E32*F32</f>
        <v>4151.97</v>
      </c>
      <c r="H32" s="613"/>
      <c r="I32" s="840"/>
      <c r="J32" s="840"/>
    </row>
    <row r="33" spans="1:9" ht="18.75" customHeight="1">
      <c r="A33" s="2517">
        <v>20</v>
      </c>
      <c r="B33" s="1182" t="s">
        <v>1158</v>
      </c>
      <c r="C33" s="1186">
        <v>7132404529</v>
      </c>
      <c r="D33" s="1817" t="s">
        <v>33</v>
      </c>
      <c r="E33" s="2519">
        <v>1</v>
      </c>
      <c r="F33" s="1132">
        <f>VLOOKUP(C33,'[25]SOR RATE'!A:D,4,0)</f>
        <v>4194.37</v>
      </c>
      <c r="G33" s="1132">
        <f>E33*F33</f>
        <v>4194.37</v>
      </c>
      <c r="H33" s="2531" t="s">
        <v>2746</v>
      </c>
    </row>
    <row r="34" spans="1:9" ht="25.5">
      <c r="A34" s="2517">
        <v>21</v>
      </c>
      <c r="B34" s="105" t="s">
        <v>823</v>
      </c>
      <c r="C34" s="1291">
        <v>7131397678</v>
      </c>
      <c r="D34" s="1817" t="s">
        <v>33</v>
      </c>
      <c r="E34" s="2519">
        <v>1</v>
      </c>
      <c r="F34" s="1132">
        <f>VLOOKUP(C34,'[25]SOR RATE'!A:D,4,0)</f>
        <v>1982.4</v>
      </c>
      <c r="G34" s="1132">
        <f>E34*F34</f>
        <v>1982.4</v>
      </c>
      <c r="H34" s="2532" t="s">
        <v>2779</v>
      </c>
    </row>
    <row r="35" spans="1:9" ht="15">
      <c r="A35" s="2522">
        <v>22</v>
      </c>
      <c r="B35" s="1639" t="s">
        <v>48</v>
      </c>
      <c r="C35" s="1616"/>
      <c r="D35" s="2546"/>
      <c r="E35" s="2522"/>
      <c r="F35" s="1642"/>
      <c r="G35" s="1642">
        <f>SUM(G9:G34)</f>
        <v>93126.685703999989</v>
      </c>
    </row>
    <row r="36" spans="1:9" ht="15">
      <c r="A36" s="2514">
        <v>23</v>
      </c>
      <c r="B36" s="1639" t="s">
        <v>49</v>
      </c>
      <c r="C36" s="1616"/>
      <c r="D36" s="2522"/>
      <c r="E36" s="2522"/>
      <c r="F36" s="1642"/>
      <c r="G36" s="1642">
        <f>G35/1.18</f>
        <v>78920.920088135594</v>
      </c>
      <c r="H36" s="85"/>
    </row>
    <row r="37" spans="1:9" ht="17.25" customHeight="1">
      <c r="A37" s="2516">
        <v>24</v>
      </c>
      <c r="B37" s="1619" t="s">
        <v>50</v>
      </c>
      <c r="C37" s="1645"/>
      <c r="D37" s="1645"/>
      <c r="E37" s="1645"/>
      <c r="F37" s="1616">
        <v>7.4999999999999997E-2</v>
      </c>
      <c r="G37" s="1132">
        <f>G35*F37</f>
        <v>6984.501427799999</v>
      </c>
      <c r="H37" s="803"/>
    </row>
    <row r="38" spans="1:9" ht="15.75" customHeight="1">
      <c r="A38" s="1291">
        <v>25</v>
      </c>
      <c r="B38" s="1646" t="s">
        <v>82</v>
      </c>
      <c r="C38" s="1625"/>
      <c r="D38" s="1817" t="s">
        <v>76</v>
      </c>
      <c r="E38" s="1291">
        <v>1.7</v>
      </c>
      <c r="F38" s="1202">
        <f>665.173187113158*1.043</f>
        <v>693.77563415902364</v>
      </c>
      <c r="G38" s="1202">
        <f>F38*E38</f>
        <v>1179.4185780703401</v>
      </c>
      <c r="H38" s="91"/>
    </row>
    <row r="39" spans="1:9" ht="15.75" customHeight="1">
      <c r="A39" s="1291">
        <v>26</v>
      </c>
      <c r="B39" s="1633" t="s">
        <v>217</v>
      </c>
      <c r="C39" s="1616"/>
      <c r="D39" s="1806"/>
      <c r="E39" s="2519"/>
      <c r="F39" s="2519"/>
      <c r="G39" s="1132">
        <v>9534.1200000000008</v>
      </c>
    </row>
    <row r="40" spans="1:9" ht="18" customHeight="1">
      <c r="A40" s="1291">
        <v>27</v>
      </c>
      <c r="B40" s="1290" t="s">
        <v>2780</v>
      </c>
      <c r="C40" s="1625"/>
      <c r="D40" s="1817"/>
      <c r="E40" s="1291"/>
      <c r="F40" s="1202">
        <v>0.04</v>
      </c>
      <c r="G40" s="1676">
        <f>G36*F40</f>
        <v>3156.8368035254239</v>
      </c>
      <c r="H40" s="2533" t="s">
        <v>1827</v>
      </c>
      <c r="I40" s="82"/>
    </row>
    <row r="41" spans="1:9" ht="31.5" customHeight="1">
      <c r="A41" s="1291">
        <v>28</v>
      </c>
      <c r="B41" s="1619" t="s">
        <v>2554</v>
      </c>
      <c r="C41" s="1625"/>
      <c r="D41" s="1817"/>
      <c r="E41" s="1291"/>
      <c r="F41" s="1202"/>
      <c r="G41" s="1676">
        <f>(G35+G37+G38+G39+G40)*0.125</f>
        <v>14247.695314174469</v>
      </c>
      <c r="H41" s="92"/>
      <c r="I41" s="82"/>
    </row>
    <row r="42" spans="1:9" ht="16.5" customHeight="1">
      <c r="A42" s="2515">
        <v>29</v>
      </c>
      <c r="B42" s="1647" t="s">
        <v>2555</v>
      </c>
      <c r="C42" s="1625"/>
      <c r="D42" s="1817"/>
      <c r="E42" s="1291"/>
      <c r="F42" s="1202"/>
      <c r="G42" s="2521">
        <f>SUM(G36:G41)</f>
        <v>114023.49221170583</v>
      </c>
    </row>
    <row r="43" spans="1:9" ht="18" customHeight="1">
      <c r="A43" s="1291">
        <v>30</v>
      </c>
      <c r="B43" s="1619" t="s">
        <v>1611</v>
      </c>
      <c r="C43" s="1625"/>
      <c r="D43" s="1817"/>
      <c r="E43" s="1291"/>
      <c r="F43" s="1202">
        <v>0.09</v>
      </c>
      <c r="G43" s="1202">
        <f>G42*F43</f>
        <v>10262.114299053525</v>
      </c>
    </row>
    <row r="44" spans="1:9" ht="16.5" customHeight="1">
      <c r="A44" s="1291">
        <v>31</v>
      </c>
      <c r="B44" s="1619" t="s">
        <v>1612</v>
      </c>
      <c r="C44" s="1625"/>
      <c r="D44" s="1817"/>
      <c r="E44" s="1291"/>
      <c r="F44" s="1202">
        <v>0.09</v>
      </c>
      <c r="G44" s="1202">
        <f>G42*F44</f>
        <v>10262.114299053525</v>
      </c>
      <c r="H44" s="95"/>
    </row>
    <row r="45" spans="1:9" ht="17.25" customHeight="1">
      <c r="A45" s="1291">
        <v>32</v>
      </c>
      <c r="B45" s="1619" t="s">
        <v>1613</v>
      </c>
      <c r="C45" s="1625"/>
      <c r="D45" s="1817"/>
      <c r="E45" s="1291"/>
      <c r="F45" s="1202"/>
      <c r="G45" s="1202">
        <f>G42+G43+G44</f>
        <v>134547.72080981289</v>
      </c>
    </row>
    <row r="46" spans="1:9" ht="19.5" customHeight="1">
      <c r="A46" s="2515">
        <v>33</v>
      </c>
      <c r="B46" s="1647" t="s">
        <v>59</v>
      </c>
      <c r="C46" s="2524"/>
      <c r="D46" s="2520"/>
      <c r="E46" s="2515"/>
      <c r="F46" s="2521"/>
      <c r="G46" s="2521">
        <f>ROUND(G45,0)</f>
        <v>134548</v>
      </c>
    </row>
    <row r="47" spans="1:9" ht="14.25">
      <c r="A47" s="2015"/>
      <c r="B47" s="102"/>
      <c r="C47" s="2534"/>
      <c r="D47" s="102"/>
      <c r="E47" s="102"/>
      <c r="F47" s="102"/>
      <c r="G47" s="102"/>
    </row>
    <row r="48" spans="1:9" ht="15">
      <c r="A48" s="2535"/>
      <c r="B48" s="3406" t="s">
        <v>1765</v>
      </c>
      <c r="C48" s="3406"/>
      <c r="D48" s="104"/>
      <c r="E48" s="104"/>
      <c r="F48" s="104"/>
      <c r="G48" s="586"/>
    </row>
    <row r="49" spans="1:8" ht="14.25">
      <c r="A49" s="2015"/>
      <c r="B49" s="102"/>
      <c r="C49" s="2534"/>
      <c r="D49" s="102"/>
      <c r="E49" s="102"/>
      <c r="F49" s="102"/>
      <c r="G49" s="102"/>
    </row>
    <row r="50" spans="1:8" ht="14.25">
      <c r="A50" s="2015"/>
      <c r="B50" s="102"/>
      <c r="C50" s="2534"/>
      <c r="D50" s="102"/>
      <c r="E50" s="102"/>
      <c r="F50" s="102"/>
      <c r="G50" s="102"/>
      <c r="H50" s="102"/>
    </row>
    <row r="51" spans="1:8" ht="14.25">
      <c r="A51" s="2015"/>
      <c r="B51" s="102"/>
      <c r="C51" s="2534"/>
      <c r="D51" s="102"/>
      <c r="E51" s="102"/>
      <c r="F51" s="102"/>
      <c r="G51" s="102"/>
      <c r="H51" s="102"/>
    </row>
    <row r="52" spans="1:8" ht="14.25">
      <c r="A52" s="2015"/>
      <c r="B52" s="102"/>
      <c r="C52" s="2534"/>
      <c r="D52" s="102"/>
      <c r="E52" s="102"/>
      <c r="F52" s="102"/>
      <c r="G52" s="102"/>
      <c r="H52" s="102"/>
    </row>
    <row r="53" spans="1:8" ht="14.25">
      <c r="A53" s="2015"/>
      <c r="B53" s="102"/>
      <c r="C53" s="2534"/>
      <c r="D53" s="102"/>
      <c r="E53" s="102"/>
      <c r="F53" s="102"/>
      <c r="G53" s="102"/>
    </row>
    <row r="54" spans="1:8" ht="14.25">
      <c r="A54" s="2015"/>
      <c r="B54" s="102"/>
      <c r="C54" s="2534"/>
      <c r="D54" s="102"/>
      <c r="E54" s="102"/>
      <c r="F54" s="102"/>
      <c r="G54" s="102"/>
    </row>
    <row r="55" spans="1:8" ht="14.25">
      <c r="A55" s="2015"/>
      <c r="B55" s="102"/>
      <c r="C55" s="2534"/>
      <c r="D55" s="102"/>
      <c r="E55" s="102"/>
      <c r="F55" s="102"/>
      <c r="G55" s="102"/>
    </row>
    <row r="56" spans="1:8" ht="14.25">
      <c r="A56" s="2015"/>
      <c r="B56" s="102"/>
      <c r="C56" s="2534"/>
      <c r="D56" s="102"/>
      <c r="E56" s="102"/>
      <c r="F56" s="102"/>
      <c r="G56" s="102"/>
    </row>
  </sheetData>
  <mergeCells count="10">
    <mergeCell ref="A14:A17"/>
    <mergeCell ref="A24:A26"/>
    <mergeCell ref="B48:C48"/>
    <mergeCell ref="B1:D1"/>
    <mergeCell ref="B3:G3"/>
    <mergeCell ref="A6:A7"/>
    <mergeCell ref="B6:B7"/>
    <mergeCell ref="C6:C7"/>
    <mergeCell ref="D6:D7"/>
    <mergeCell ref="E6:G6"/>
  </mergeCells>
  <conditionalFormatting sqref="B35">
    <cfRule type="cellIs" dxfId="58" priority="2" stopIfTrue="1" operator="equal">
      <formula>"?"</formula>
    </cfRule>
  </conditionalFormatting>
  <conditionalFormatting sqref="B36">
    <cfRule type="cellIs" dxfId="57" priority="1" stopIfTrue="1" operator="equal">
      <formula>"?"</formula>
    </cfRule>
  </conditionalFormatting>
  <pageMargins left="0.94488188976377963" right="0.19685039370078741" top="0.9055118110236221" bottom="0.31496062992125984" header="0.78740157480314965" footer="0.15748031496062992"/>
  <pageSetup paperSize="9" scale="105" orientation="landscape" verticalDpi="300"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9"/>
  <sheetViews>
    <sheetView workbookViewId="0">
      <pane xSplit="2" ySplit="7" topLeftCell="C40" activePane="bottomRight" state="frozen"/>
      <selection pane="topRight" activeCell="C1" sqref="C1"/>
      <selection pane="bottomLeft" activeCell="A8" sqref="A8"/>
      <selection pane="bottomRight" activeCell="J44" sqref="J44"/>
    </sheetView>
  </sheetViews>
  <sheetFormatPr defaultRowHeight="12.75"/>
  <cols>
    <col min="1" max="1" width="4.42578125" style="70" bestFit="1" customWidth="1"/>
    <col min="2" max="2" width="56.5703125" style="70" bestFit="1" customWidth="1"/>
    <col min="3" max="3" width="12.42578125" style="70" bestFit="1" customWidth="1"/>
    <col min="4" max="4" width="7.85546875" style="70" bestFit="1" customWidth="1"/>
    <col min="5" max="5" width="10.7109375" style="70" bestFit="1" customWidth="1"/>
    <col min="6" max="6" width="7.28515625" style="70" bestFit="1" customWidth="1"/>
    <col min="7" max="7" width="11.85546875" style="70" bestFit="1" customWidth="1"/>
    <col min="8" max="8" width="7.28515625" style="70" bestFit="1" customWidth="1"/>
    <col min="9" max="9" width="11.7109375" style="70" customWidth="1"/>
    <col min="10" max="10" width="24" style="70" customWidth="1"/>
    <col min="11" max="11" width="13.42578125" style="70" customWidth="1"/>
    <col min="12" max="12" width="11.140625" style="70" customWidth="1"/>
    <col min="13" max="256" width="9.140625" style="70"/>
    <col min="257" max="257" width="4.42578125" style="70" bestFit="1" customWidth="1"/>
    <col min="258" max="258" width="56.5703125" style="70" bestFit="1" customWidth="1"/>
    <col min="259" max="259" width="12.42578125" style="70" bestFit="1" customWidth="1"/>
    <col min="260" max="260" width="7.85546875" style="70" bestFit="1" customWidth="1"/>
    <col min="261" max="261" width="10.7109375" style="70" bestFit="1" customWidth="1"/>
    <col min="262" max="262" width="7.28515625" style="70" bestFit="1" customWidth="1"/>
    <col min="263" max="263" width="11.85546875" style="70" bestFit="1" customWidth="1"/>
    <col min="264" max="264" width="7.28515625" style="70" bestFit="1" customWidth="1"/>
    <col min="265" max="265" width="11.7109375" style="70" customWidth="1"/>
    <col min="266" max="266" width="24" style="70" customWidth="1"/>
    <col min="267" max="267" width="13.42578125" style="70" customWidth="1"/>
    <col min="268" max="268" width="11.140625" style="70" customWidth="1"/>
    <col min="269" max="512" width="9.140625" style="70"/>
    <col min="513" max="513" width="4.42578125" style="70" bestFit="1" customWidth="1"/>
    <col min="514" max="514" width="56.5703125" style="70" bestFit="1" customWidth="1"/>
    <col min="515" max="515" width="12.42578125" style="70" bestFit="1" customWidth="1"/>
    <col min="516" max="516" width="7.85546875" style="70" bestFit="1" customWidth="1"/>
    <col min="517" max="517" width="10.7109375" style="70" bestFit="1" customWidth="1"/>
    <col min="518" max="518" width="7.28515625" style="70" bestFit="1" customWidth="1"/>
    <col min="519" max="519" width="11.85546875" style="70" bestFit="1" customWidth="1"/>
    <col min="520" max="520" width="7.28515625" style="70" bestFit="1" customWidth="1"/>
    <col min="521" max="521" width="11.7109375" style="70" customWidth="1"/>
    <col min="522" max="522" width="24" style="70" customWidth="1"/>
    <col min="523" max="523" width="13.42578125" style="70" customWidth="1"/>
    <col min="524" max="524" width="11.140625" style="70" customWidth="1"/>
    <col min="525" max="768" width="9.140625" style="70"/>
    <col min="769" max="769" width="4.42578125" style="70" bestFit="1" customWidth="1"/>
    <col min="770" max="770" width="56.5703125" style="70" bestFit="1" customWidth="1"/>
    <col min="771" max="771" width="12.42578125" style="70" bestFit="1" customWidth="1"/>
    <col min="772" max="772" width="7.85546875" style="70" bestFit="1" customWidth="1"/>
    <col min="773" max="773" width="10.7109375" style="70" bestFit="1" customWidth="1"/>
    <col min="774" max="774" width="7.28515625" style="70" bestFit="1" customWidth="1"/>
    <col min="775" max="775" width="11.85546875" style="70" bestFit="1" customWidth="1"/>
    <col min="776" max="776" width="7.28515625" style="70" bestFit="1" customWidth="1"/>
    <col min="777" max="777" width="11.7109375" style="70" customWidth="1"/>
    <col min="778" max="778" width="24" style="70" customWidth="1"/>
    <col min="779" max="779" width="13.42578125" style="70" customWidth="1"/>
    <col min="780" max="780" width="11.140625" style="70" customWidth="1"/>
    <col min="781" max="1024" width="9.140625" style="70"/>
    <col min="1025" max="1025" width="4.42578125" style="70" bestFit="1" customWidth="1"/>
    <col min="1026" max="1026" width="56.5703125" style="70" bestFit="1" customWidth="1"/>
    <col min="1027" max="1027" width="12.42578125" style="70" bestFit="1" customWidth="1"/>
    <col min="1028" max="1028" width="7.85546875" style="70" bestFit="1" customWidth="1"/>
    <col min="1029" max="1029" width="10.7109375" style="70" bestFit="1" customWidth="1"/>
    <col min="1030" max="1030" width="7.28515625" style="70" bestFit="1" customWidth="1"/>
    <col min="1031" max="1031" width="11.85546875" style="70" bestFit="1" customWidth="1"/>
    <col min="1032" max="1032" width="7.28515625" style="70" bestFit="1" customWidth="1"/>
    <col min="1033" max="1033" width="11.7109375" style="70" customWidth="1"/>
    <col min="1034" max="1034" width="24" style="70" customWidth="1"/>
    <col min="1035" max="1035" width="13.42578125" style="70" customWidth="1"/>
    <col min="1036" max="1036" width="11.140625" style="70" customWidth="1"/>
    <col min="1037" max="1280" width="9.140625" style="70"/>
    <col min="1281" max="1281" width="4.42578125" style="70" bestFit="1" customWidth="1"/>
    <col min="1282" max="1282" width="56.5703125" style="70" bestFit="1" customWidth="1"/>
    <col min="1283" max="1283" width="12.42578125" style="70" bestFit="1" customWidth="1"/>
    <col min="1284" max="1284" width="7.85546875" style="70" bestFit="1" customWidth="1"/>
    <col min="1285" max="1285" width="10.7109375" style="70" bestFit="1" customWidth="1"/>
    <col min="1286" max="1286" width="7.28515625" style="70" bestFit="1" customWidth="1"/>
    <col min="1287" max="1287" width="11.85546875" style="70" bestFit="1" customWidth="1"/>
    <col min="1288" max="1288" width="7.28515625" style="70" bestFit="1" customWidth="1"/>
    <col min="1289" max="1289" width="11.7109375" style="70" customWidth="1"/>
    <col min="1290" max="1290" width="24" style="70" customWidth="1"/>
    <col min="1291" max="1291" width="13.42578125" style="70" customWidth="1"/>
    <col min="1292" max="1292" width="11.140625" style="70" customWidth="1"/>
    <col min="1293" max="1536" width="9.140625" style="70"/>
    <col min="1537" max="1537" width="4.42578125" style="70" bestFit="1" customWidth="1"/>
    <col min="1538" max="1538" width="56.5703125" style="70" bestFit="1" customWidth="1"/>
    <col min="1539" max="1539" width="12.42578125" style="70" bestFit="1" customWidth="1"/>
    <col min="1540" max="1540" width="7.85546875" style="70" bestFit="1" customWidth="1"/>
    <col min="1541" max="1541" width="10.7109375" style="70" bestFit="1" customWidth="1"/>
    <col min="1542" max="1542" width="7.28515625" style="70" bestFit="1" customWidth="1"/>
    <col min="1543" max="1543" width="11.85546875" style="70" bestFit="1" customWidth="1"/>
    <col min="1544" max="1544" width="7.28515625" style="70" bestFit="1" customWidth="1"/>
    <col min="1545" max="1545" width="11.7109375" style="70" customWidth="1"/>
    <col min="1546" max="1546" width="24" style="70" customWidth="1"/>
    <col min="1547" max="1547" width="13.42578125" style="70" customWidth="1"/>
    <col min="1548" max="1548" width="11.140625" style="70" customWidth="1"/>
    <col min="1549" max="1792" width="9.140625" style="70"/>
    <col min="1793" max="1793" width="4.42578125" style="70" bestFit="1" customWidth="1"/>
    <col min="1794" max="1794" width="56.5703125" style="70" bestFit="1" customWidth="1"/>
    <col min="1795" max="1795" width="12.42578125" style="70" bestFit="1" customWidth="1"/>
    <col min="1796" max="1796" width="7.85546875" style="70" bestFit="1" customWidth="1"/>
    <col min="1797" max="1797" width="10.7109375" style="70" bestFit="1" customWidth="1"/>
    <col min="1798" max="1798" width="7.28515625" style="70" bestFit="1" customWidth="1"/>
    <col min="1799" max="1799" width="11.85546875" style="70" bestFit="1" customWidth="1"/>
    <col min="1800" max="1800" width="7.28515625" style="70" bestFit="1" customWidth="1"/>
    <col min="1801" max="1801" width="11.7109375" style="70" customWidth="1"/>
    <col min="1802" max="1802" width="24" style="70" customWidth="1"/>
    <col min="1803" max="1803" width="13.42578125" style="70" customWidth="1"/>
    <col min="1804" max="1804" width="11.140625" style="70" customWidth="1"/>
    <col min="1805" max="2048" width="9.140625" style="70"/>
    <col min="2049" max="2049" width="4.42578125" style="70" bestFit="1" customWidth="1"/>
    <col min="2050" max="2050" width="56.5703125" style="70" bestFit="1" customWidth="1"/>
    <col min="2051" max="2051" width="12.42578125" style="70" bestFit="1" customWidth="1"/>
    <col min="2052" max="2052" width="7.85546875" style="70" bestFit="1" customWidth="1"/>
    <col min="2053" max="2053" width="10.7109375" style="70" bestFit="1" customWidth="1"/>
    <col min="2054" max="2054" width="7.28515625" style="70" bestFit="1" customWidth="1"/>
    <col min="2055" max="2055" width="11.85546875" style="70" bestFit="1" customWidth="1"/>
    <col min="2056" max="2056" width="7.28515625" style="70" bestFit="1" customWidth="1"/>
    <col min="2057" max="2057" width="11.7109375" style="70" customWidth="1"/>
    <col min="2058" max="2058" width="24" style="70" customWidth="1"/>
    <col min="2059" max="2059" width="13.42578125" style="70" customWidth="1"/>
    <col min="2060" max="2060" width="11.140625" style="70" customWidth="1"/>
    <col min="2061" max="2304" width="9.140625" style="70"/>
    <col min="2305" max="2305" width="4.42578125" style="70" bestFit="1" customWidth="1"/>
    <col min="2306" max="2306" width="56.5703125" style="70" bestFit="1" customWidth="1"/>
    <col min="2307" max="2307" width="12.42578125" style="70" bestFit="1" customWidth="1"/>
    <col min="2308" max="2308" width="7.85546875" style="70" bestFit="1" customWidth="1"/>
    <col min="2309" max="2309" width="10.7109375" style="70" bestFit="1" customWidth="1"/>
    <col min="2310" max="2310" width="7.28515625" style="70" bestFit="1" customWidth="1"/>
    <col min="2311" max="2311" width="11.85546875" style="70" bestFit="1" customWidth="1"/>
    <col min="2312" max="2312" width="7.28515625" style="70" bestFit="1" customWidth="1"/>
    <col min="2313" max="2313" width="11.7109375" style="70" customWidth="1"/>
    <col min="2314" max="2314" width="24" style="70" customWidth="1"/>
    <col min="2315" max="2315" width="13.42578125" style="70" customWidth="1"/>
    <col min="2316" max="2316" width="11.140625" style="70" customWidth="1"/>
    <col min="2317" max="2560" width="9.140625" style="70"/>
    <col min="2561" max="2561" width="4.42578125" style="70" bestFit="1" customWidth="1"/>
    <col min="2562" max="2562" width="56.5703125" style="70" bestFit="1" customWidth="1"/>
    <col min="2563" max="2563" width="12.42578125" style="70" bestFit="1" customWidth="1"/>
    <col min="2564" max="2564" width="7.85546875" style="70" bestFit="1" customWidth="1"/>
    <col min="2565" max="2565" width="10.7109375" style="70" bestFit="1" customWidth="1"/>
    <col min="2566" max="2566" width="7.28515625" style="70" bestFit="1" customWidth="1"/>
    <col min="2567" max="2567" width="11.85546875" style="70" bestFit="1" customWidth="1"/>
    <col min="2568" max="2568" width="7.28515625" style="70" bestFit="1" customWidth="1"/>
    <col min="2569" max="2569" width="11.7109375" style="70" customWidth="1"/>
    <col min="2570" max="2570" width="24" style="70" customWidth="1"/>
    <col min="2571" max="2571" width="13.42578125" style="70" customWidth="1"/>
    <col min="2572" max="2572" width="11.140625" style="70" customWidth="1"/>
    <col min="2573" max="2816" width="9.140625" style="70"/>
    <col min="2817" max="2817" width="4.42578125" style="70" bestFit="1" customWidth="1"/>
    <col min="2818" max="2818" width="56.5703125" style="70" bestFit="1" customWidth="1"/>
    <col min="2819" max="2819" width="12.42578125" style="70" bestFit="1" customWidth="1"/>
    <col min="2820" max="2820" width="7.85546875" style="70" bestFit="1" customWidth="1"/>
    <col min="2821" max="2821" width="10.7109375" style="70" bestFit="1" customWidth="1"/>
    <col min="2822" max="2822" width="7.28515625" style="70" bestFit="1" customWidth="1"/>
    <col min="2823" max="2823" width="11.85546875" style="70" bestFit="1" customWidth="1"/>
    <col min="2824" max="2824" width="7.28515625" style="70" bestFit="1" customWidth="1"/>
    <col min="2825" max="2825" width="11.7109375" style="70" customWidth="1"/>
    <col min="2826" max="2826" width="24" style="70" customWidth="1"/>
    <col min="2827" max="2827" width="13.42578125" style="70" customWidth="1"/>
    <col min="2828" max="2828" width="11.140625" style="70" customWidth="1"/>
    <col min="2829" max="3072" width="9.140625" style="70"/>
    <col min="3073" max="3073" width="4.42578125" style="70" bestFit="1" customWidth="1"/>
    <col min="3074" max="3074" width="56.5703125" style="70" bestFit="1" customWidth="1"/>
    <col min="3075" max="3075" width="12.42578125" style="70" bestFit="1" customWidth="1"/>
    <col min="3076" max="3076" width="7.85546875" style="70" bestFit="1" customWidth="1"/>
    <col min="3077" max="3077" width="10.7109375" style="70" bestFit="1" customWidth="1"/>
    <col min="3078" max="3078" width="7.28515625" style="70" bestFit="1" customWidth="1"/>
    <col min="3079" max="3079" width="11.85546875" style="70" bestFit="1" customWidth="1"/>
    <col min="3080" max="3080" width="7.28515625" style="70" bestFit="1" customWidth="1"/>
    <col min="3081" max="3081" width="11.7109375" style="70" customWidth="1"/>
    <col min="3082" max="3082" width="24" style="70" customWidth="1"/>
    <col min="3083" max="3083" width="13.42578125" style="70" customWidth="1"/>
    <col min="3084" max="3084" width="11.140625" style="70" customWidth="1"/>
    <col min="3085" max="3328" width="9.140625" style="70"/>
    <col min="3329" max="3329" width="4.42578125" style="70" bestFit="1" customWidth="1"/>
    <col min="3330" max="3330" width="56.5703125" style="70" bestFit="1" customWidth="1"/>
    <col min="3331" max="3331" width="12.42578125" style="70" bestFit="1" customWidth="1"/>
    <col min="3332" max="3332" width="7.85546875" style="70" bestFit="1" customWidth="1"/>
    <col min="3333" max="3333" width="10.7109375" style="70" bestFit="1" customWidth="1"/>
    <col min="3334" max="3334" width="7.28515625" style="70" bestFit="1" customWidth="1"/>
    <col min="3335" max="3335" width="11.85546875" style="70" bestFit="1" customWidth="1"/>
    <col min="3336" max="3336" width="7.28515625" style="70" bestFit="1" customWidth="1"/>
    <col min="3337" max="3337" width="11.7109375" style="70" customWidth="1"/>
    <col min="3338" max="3338" width="24" style="70" customWidth="1"/>
    <col min="3339" max="3339" width="13.42578125" style="70" customWidth="1"/>
    <col min="3340" max="3340" width="11.140625" style="70" customWidth="1"/>
    <col min="3341" max="3584" width="9.140625" style="70"/>
    <col min="3585" max="3585" width="4.42578125" style="70" bestFit="1" customWidth="1"/>
    <col min="3586" max="3586" width="56.5703125" style="70" bestFit="1" customWidth="1"/>
    <col min="3587" max="3587" width="12.42578125" style="70" bestFit="1" customWidth="1"/>
    <col min="3588" max="3588" width="7.85546875" style="70" bestFit="1" customWidth="1"/>
    <col min="3589" max="3589" width="10.7109375" style="70" bestFit="1" customWidth="1"/>
    <col min="3590" max="3590" width="7.28515625" style="70" bestFit="1" customWidth="1"/>
    <col min="3591" max="3591" width="11.85546875" style="70" bestFit="1" customWidth="1"/>
    <col min="3592" max="3592" width="7.28515625" style="70" bestFit="1" customWidth="1"/>
    <col min="3593" max="3593" width="11.7109375" style="70" customWidth="1"/>
    <col min="3594" max="3594" width="24" style="70" customWidth="1"/>
    <col min="3595" max="3595" width="13.42578125" style="70" customWidth="1"/>
    <col min="3596" max="3596" width="11.140625" style="70" customWidth="1"/>
    <col min="3597" max="3840" width="9.140625" style="70"/>
    <col min="3841" max="3841" width="4.42578125" style="70" bestFit="1" customWidth="1"/>
    <col min="3842" max="3842" width="56.5703125" style="70" bestFit="1" customWidth="1"/>
    <col min="3843" max="3843" width="12.42578125" style="70" bestFit="1" customWidth="1"/>
    <col min="3844" max="3844" width="7.85546875" style="70" bestFit="1" customWidth="1"/>
    <col min="3845" max="3845" width="10.7109375" style="70" bestFit="1" customWidth="1"/>
    <col min="3846" max="3846" width="7.28515625" style="70" bestFit="1" customWidth="1"/>
    <col min="3847" max="3847" width="11.85546875" style="70" bestFit="1" customWidth="1"/>
    <col min="3848" max="3848" width="7.28515625" style="70" bestFit="1" customWidth="1"/>
    <col min="3849" max="3849" width="11.7109375" style="70" customWidth="1"/>
    <col min="3850" max="3850" width="24" style="70" customWidth="1"/>
    <col min="3851" max="3851" width="13.42578125" style="70" customWidth="1"/>
    <col min="3852" max="3852" width="11.140625" style="70" customWidth="1"/>
    <col min="3853" max="4096" width="9.140625" style="70"/>
    <col min="4097" max="4097" width="4.42578125" style="70" bestFit="1" customWidth="1"/>
    <col min="4098" max="4098" width="56.5703125" style="70" bestFit="1" customWidth="1"/>
    <col min="4099" max="4099" width="12.42578125" style="70" bestFit="1" customWidth="1"/>
    <col min="4100" max="4100" width="7.85546875" style="70" bestFit="1" customWidth="1"/>
    <col min="4101" max="4101" width="10.7109375" style="70" bestFit="1" customWidth="1"/>
    <col min="4102" max="4102" width="7.28515625" style="70" bestFit="1" customWidth="1"/>
    <col min="4103" max="4103" width="11.85546875" style="70" bestFit="1" customWidth="1"/>
    <col min="4104" max="4104" width="7.28515625" style="70" bestFit="1" customWidth="1"/>
    <col min="4105" max="4105" width="11.7109375" style="70" customWidth="1"/>
    <col min="4106" max="4106" width="24" style="70" customWidth="1"/>
    <col min="4107" max="4107" width="13.42578125" style="70" customWidth="1"/>
    <col min="4108" max="4108" width="11.140625" style="70" customWidth="1"/>
    <col min="4109" max="4352" width="9.140625" style="70"/>
    <col min="4353" max="4353" width="4.42578125" style="70" bestFit="1" customWidth="1"/>
    <col min="4354" max="4354" width="56.5703125" style="70" bestFit="1" customWidth="1"/>
    <col min="4355" max="4355" width="12.42578125" style="70" bestFit="1" customWidth="1"/>
    <col min="4356" max="4356" width="7.85546875" style="70" bestFit="1" customWidth="1"/>
    <col min="4357" max="4357" width="10.7109375" style="70" bestFit="1" customWidth="1"/>
    <col min="4358" max="4358" width="7.28515625" style="70" bestFit="1" customWidth="1"/>
    <col min="4359" max="4359" width="11.85546875" style="70" bestFit="1" customWidth="1"/>
    <col min="4360" max="4360" width="7.28515625" style="70" bestFit="1" customWidth="1"/>
    <col min="4361" max="4361" width="11.7109375" style="70" customWidth="1"/>
    <col min="4362" max="4362" width="24" style="70" customWidth="1"/>
    <col min="4363" max="4363" width="13.42578125" style="70" customWidth="1"/>
    <col min="4364" max="4364" width="11.140625" style="70" customWidth="1"/>
    <col min="4365" max="4608" width="9.140625" style="70"/>
    <col min="4609" max="4609" width="4.42578125" style="70" bestFit="1" customWidth="1"/>
    <col min="4610" max="4610" width="56.5703125" style="70" bestFit="1" customWidth="1"/>
    <col min="4611" max="4611" width="12.42578125" style="70" bestFit="1" customWidth="1"/>
    <col min="4612" max="4612" width="7.85546875" style="70" bestFit="1" customWidth="1"/>
    <col min="4613" max="4613" width="10.7109375" style="70" bestFit="1" customWidth="1"/>
    <col min="4614" max="4614" width="7.28515625" style="70" bestFit="1" customWidth="1"/>
    <col min="4615" max="4615" width="11.85546875" style="70" bestFit="1" customWidth="1"/>
    <col min="4616" max="4616" width="7.28515625" style="70" bestFit="1" customWidth="1"/>
    <col min="4617" max="4617" width="11.7109375" style="70" customWidth="1"/>
    <col min="4618" max="4618" width="24" style="70" customWidth="1"/>
    <col min="4619" max="4619" width="13.42578125" style="70" customWidth="1"/>
    <col min="4620" max="4620" width="11.140625" style="70" customWidth="1"/>
    <col min="4621" max="4864" width="9.140625" style="70"/>
    <col min="4865" max="4865" width="4.42578125" style="70" bestFit="1" customWidth="1"/>
    <col min="4866" max="4866" width="56.5703125" style="70" bestFit="1" customWidth="1"/>
    <col min="4867" max="4867" width="12.42578125" style="70" bestFit="1" customWidth="1"/>
    <col min="4868" max="4868" width="7.85546875" style="70" bestFit="1" customWidth="1"/>
    <col min="4869" max="4869" width="10.7109375" style="70" bestFit="1" customWidth="1"/>
    <col min="4870" max="4870" width="7.28515625" style="70" bestFit="1" customWidth="1"/>
    <col min="4871" max="4871" width="11.85546875" style="70" bestFit="1" customWidth="1"/>
    <col min="4872" max="4872" width="7.28515625" style="70" bestFit="1" customWidth="1"/>
    <col min="4873" max="4873" width="11.7109375" style="70" customWidth="1"/>
    <col min="4874" max="4874" width="24" style="70" customWidth="1"/>
    <col min="4875" max="4875" width="13.42578125" style="70" customWidth="1"/>
    <col min="4876" max="4876" width="11.140625" style="70" customWidth="1"/>
    <col min="4877" max="5120" width="9.140625" style="70"/>
    <col min="5121" max="5121" width="4.42578125" style="70" bestFit="1" customWidth="1"/>
    <col min="5122" max="5122" width="56.5703125" style="70" bestFit="1" customWidth="1"/>
    <col min="5123" max="5123" width="12.42578125" style="70" bestFit="1" customWidth="1"/>
    <col min="5124" max="5124" width="7.85546875" style="70" bestFit="1" customWidth="1"/>
    <col min="5125" max="5125" width="10.7109375" style="70" bestFit="1" customWidth="1"/>
    <col min="5126" max="5126" width="7.28515625" style="70" bestFit="1" customWidth="1"/>
    <col min="5127" max="5127" width="11.85546875" style="70" bestFit="1" customWidth="1"/>
    <col min="5128" max="5128" width="7.28515625" style="70" bestFit="1" customWidth="1"/>
    <col min="5129" max="5129" width="11.7109375" style="70" customWidth="1"/>
    <col min="5130" max="5130" width="24" style="70" customWidth="1"/>
    <col min="5131" max="5131" width="13.42578125" style="70" customWidth="1"/>
    <col min="5132" max="5132" width="11.140625" style="70" customWidth="1"/>
    <col min="5133" max="5376" width="9.140625" style="70"/>
    <col min="5377" max="5377" width="4.42578125" style="70" bestFit="1" customWidth="1"/>
    <col min="5378" max="5378" width="56.5703125" style="70" bestFit="1" customWidth="1"/>
    <col min="5379" max="5379" width="12.42578125" style="70" bestFit="1" customWidth="1"/>
    <col min="5380" max="5380" width="7.85546875" style="70" bestFit="1" customWidth="1"/>
    <col min="5381" max="5381" width="10.7109375" style="70" bestFit="1" customWidth="1"/>
    <col min="5382" max="5382" width="7.28515625" style="70" bestFit="1" customWidth="1"/>
    <col min="5383" max="5383" width="11.85546875" style="70" bestFit="1" customWidth="1"/>
    <col min="5384" max="5384" width="7.28515625" style="70" bestFit="1" customWidth="1"/>
    <col min="5385" max="5385" width="11.7109375" style="70" customWidth="1"/>
    <col min="5386" max="5386" width="24" style="70" customWidth="1"/>
    <col min="5387" max="5387" width="13.42578125" style="70" customWidth="1"/>
    <col min="5388" max="5388" width="11.140625" style="70" customWidth="1"/>
    <col min="5389" max="5632" width="9.140625" style="70"/>
    <col min="5633" max="5633" width="4.42578125" style="70" bestFit="1" customWidth="1"/>
    <col min="5634" max="5634" width="56.5703125" style="70" bestFit="1" customWidth="1"/>
    <col min="5635" max="5635" width="12.42578125" style="70" bestFit="1" customWidth="1"/>
    <col min="5636" max="5636" width="7.85546875" style="70" bestFit="1" customWidth="1"/>
    <col min="5637" max="5637" width="10.7109375" style="70" bestFit="1" customWidth="1"/>
    <col min="5638" max="5638" width="7.28515625" style="70" bestFit="1" customWidth="1"/>
    <col min="5639" max="5639" width="11.85546875" style="70" bestFit="1" customWidth="1"/>
    <col min="5640" max="5640" width="7.28515625" style="70" bestFit="1" customWidth="1"/>
    <col min="5641" max="5641" width="11.7109375" style="70" customWidth="1"/>
    <col min="5642" max="5642" width="24" style="70" customWidth="1"/>
    <col min="5643" max="5643" width="13.42578125" style="70" customWidth="1"/>
    <col min="5644" max="5644" width="11.140625" style="70" customWidth="1"/>
    <col min="5645" max="5888" width="9.140625" style="70"/>
    <col min="5889" max="5889" width="4.42578125" style="70" bestFit="1" customWidth="1"/>
    <col min="5890" max="5890" width="56.5703125" style="70" bestFit="1" customWidth="1"/>
    <col min="5891" max="5891" width="12.42578125" style="70" bestFit="1" customWidth="1"/>
    <col min="5892" max="5892" width="7.85546875" style="70" bestFit="1" customWidth="1"/>
    <col min="5893" max="5893" width="10.7109375" style="70" bestFit="1" customWidth="1"/>
    <col min="5894" max="5894" width="7.28515625" style="70" bestFit="1" customWidth="1"/>
    <col min="5895" max="5895" width="11.85546875" style="70" bestFit="1" customWidth="1"/>
    <col min="5896" max="5896" width="7.28515625" style="70" bestFit="1" customWidth="1"/>
    <col min="5897" max="5897" width="11.7109375" style="70" customWidth="1"/>
    <col min="5898" max="5898" width="24" style="70" customWidth="1"/>
    <col min="5899" max="5899" width="13.42578125" style="70" customWidth="1"/>
    <col min="5900" max="5900" width="11.140625" style="70" customWidth="1"/>
    <col min="5901" max="6144" width="9.140625" style="70"/>
    <col min="6145" max="6145" width="4.42578125" style="70" bestFit="1" customWidth="1"/>
    <col min="6146" max="6146" width="56.5703125" style="70" bestFit="1" customWidth="1"/>
    <col min="6147" max="6147" width="12.42578125" style="70" bestFit="1" customWidth="1"/>
    <col min="6148" max="6148" width="7.85546875" style="70" bestFit="1" customWidth="1"/>
    <col min="6149" max="6149" width="10.7109375" style="70" bestFit="1" customWidth="1"/>
    <col min="6150" max="6150" width="7.28515625" style="70" bestFit="1" customWidth="1"/>
    <col min="6151" max="6151" width="11.85546875" style="70" bestFit="1" customWidth="1"/>
    <col min="6152" max="6152" width="7.28515625" style="70" bestFit="1" customWidth="1"/>
    <col min="6153" max="6153" width="11.7109375" style="70" customWidth="1"/>
    <col min="6154" max="6154" width="24" style="70" customWidth="1"/>
    <col min="6155" max="6155" width="13.42578125" style="70" customWidth="1"/>
    <col min="6156" max="6156" width="11.140625" style="70" customWidth="1"/>
    <col min="6157" max="6400" width="9.140625" style="70"/>
    <col min="6401" max="6401" width="4.42578125" style="70" bestFit="1" customWidth="1"/>
    <col min="6402" max="6402" width="56.5703125" style="70" bestFit="1" customWidth="1"/>
    <col min="6403" max="6403" width="12.42578125" style="70" bestFit="1" customWidth="1"/>
    <col min="6404" max="6404" width="7.85546875" style="70" bestFit="1" customWidth="1"/>
    <col min="6405" max="6405" width="10.7109375" style="70" bestFit="1" customWidth="1"/>
    <col min="6406" max="6406" width="7.28515625" style="70" bestFit="1" customWidth="1"/>
    <col min="6407" max="6407" width="11.85546875" style="70" bestFit="1" customWidth="1"/>
    <col min="6408" max="6408" width="7.28515625" style="70" bestFit="1" customWidth="1"/>
    <col min="6409" max="6409" width="11.7109375" style="70" customWidth="1"/>
    <col min="6410" max="6410" width="24" style="70" customWidth="1"/>
    <col min="6411" max="6411" width="13.42578125" style="70" customWidth="1"/>
    <col min="6412" max="6412" width="11.140625" style="70" customWidth="1"/>
    <col min="6413" max="6656" width="9.140625" style="70"/>
    <col min="6657" max="6657" width="4.42578125" style="70" bestFit="1" customWidth="1"/>
    <col min="6658" max="6658" width="56.5703125" style="70" bestFit="1" customWidth="1"/>
    <col min="6659" max="6659" width="12.42578125" style="70" bestFit="1" customWidth="1"/>
    <col min="6660" max="6660" width="7.85546875" style="70" bestFit="1" customWidth="1"/>
    <col min="6661" max="6661" width="10.7109375" style="70" bestFit="1" customWidth="1"/>
    <col min="6662" max="6662" width="7.28515625" style="70" bestFit="1" customWidth="1"/>
    <col min="6663" max="6663" width="11.85546875" style="70" bestFit="1" customWidth="1"/>
    <col min="6664" max="6664" width="7.28515625" style="70" bestFit="1" customWidth="1"/>
    <col min="6665" max="6665" width="11.7109375" style="70" customWidth="1"/>
    <col min="6666" max="6666" width="24" style="70" customWidth="1"/>
    <col min="6667" max="6667" width="13.42578125" style="70" customWidth="1"/>
    <col min="6668" max="6668" width="11.140625" style="70" customWidth="1"/>
    <col min="6669" max="6912" width="9.140625" style="70"/>
    <col min="6913" max="6913" width="4.42578125" style="70" bestFit="1" customWidth="1"/>
    <col min="6914" max="6914" width="56.5703125" style="70" bestFit="1" customWidth="1"/>
    <col min="6915" max="6915" width="12.42578125" style="70" bestFit="1" customWidth="1"/>
    <col min="6916" max="6916" width="7.85546875" style="70" bestFit="1" customWidth="1"/>
    <col min="6917" max="6917" width="10.7109375" style="70" bestFit="1" customWidth="1"/>
    <col min="6918" max="6918" width="7.28515625" style="70" bestFit="1" customWidth="1"/>
    <col min="6919" max="6919" width="11.85546875" style="70" bestFit="1" customWidth="1"/>
    <col min="6920" max="6920" width="7.28515625" style="70" bestFit="1" customWidth="1"/>
    <col min="6921" max="6921" width="11.7109375" style="70" customWidth="1"/>
    <col min="6922" max="6922" width="24" style="70" customWidth="1"/>
    <col min="6923" max="6923" width="13.42578125" style="70" customWidth="1"/>
    <col min="6924" max="6924" width="11.140625" style="70" customWidth="1"/>
    <col min="6925" max="7168" width="9.140625" style="70"/>
    <col min="7169" max="7169" width="4.42578125" style="70" bestFit="1" customWidth="1"/>
    <col min="7170" max="7170" width="56.5703125" style="70" bestFit="1" customWidth="1"/>
    <col min="7171" max="7171" width="12.42578125" style="70" bestFit="1" customWidth="1"/>
    <col min="7172" max="7172" width="7.85546875" style="70" bestFit="1" customWidth="1"/>
    <col min="7173" max="7173" width="10.7109375" style="70" bestFit="1" customWidth="1"/>
    <col min="7174" max="7174" width="7.28515625" style="70" bestFit="1" customWidth="1"/>
    <col min="7175" max="7175" width="11.85546875" style="70" bestFit="1" customWidth="1"/>
    <col min="7176" max="7176" width="7.28515625" style="70" bestFit="1" customWidth="1"/>
    <col min="7177" max="7177" width="11.7109375" style="70" customWidth="1"/>
    <col min="7178" max="7178" width="24" style="70" customWidth="1"/>
    <col min="7179" max="7179" width="13.42578125" style="70" customWidth="1"/>
    <col min="7180" max="7180" width="11.140625" style="70" customWidth="1"/>
    <col min="7181" max="7424" width="9.140625" style="70"/>
    <col min="7425" max="7425" width="4.42578125" style="70" bestFit="1" customWidth="1"/>
    <col min="7426" max="7426" width="56.5703125" style="70" bestFit="1" customWidth="1"/>
    <col min="7427" max="7427" width="12.42578125" style="70" bestFit="1" customWidth="1"/>
    <col min="7428" max="7428" width="7.85546875" style="70" bestFit="1" customWidth="1"/>
    <col min="7429" max="7429" width="10.7109375" style="70" bestFit="1" customWidth="1"/>
    <col min="7430" max="7430" width="7.28515625" style="70" bestFit="1" customWidth="1"/>
    <col min="7431" max="7431" width="11.85546875" style="70" bestFit="1" customWidth="1"/>
    <col min="7432" max="7432" width="7.28515625" style="70" bestFit="1" customWidth="1"/>
    <col min="7433" max="7433" width="11.7109375" style="70" customWidth="1"/>
    <col min="7434" max="7434" width="24" style="70" customWidth="1"/>
    <col min="7435" max="7435" width="13.42578125" style="70" customWidth="1"/>
    <col min="7436" max="7436" width="11.140625" style="70" customWidth="1"/>
    <col min="7437" max="7680" width="9.140625" style="70"/>
    <col min="7681" max="7681" width="4.42578125" style="70" bestFit="1" customWidth="1"/>
    <col min="7682" max="7682" width="56.5703125" style="70" bestFit="1" customWidth="1"/>
    <col min="7683" max="7683" width="12.42578125" style="70" bestFit="1" customWidth="1"/>
    <col min="7684" max="7684" width="7.85546875" style="70" bestFit="1" customWidth="1"/>
    <col min="7685" max="7685" width="10.7109375" style="70" bestFit="1" customWidth="1"/>
    <col min="7686" max="7686" width="7.28515625" style="70" bestFit="1" customWidth="1"/>
    <col min="7687" max="7687" width="11.85546875" style="70" bestFit="1" customWidth="1"/>
    <col min="7688" max="7688" width="7.28515625" style="70" bestFit="1" customWidth="1"/>
    <col min="7689" max="7689" width="11.7109375" style="70" customWidth="1"/>
    <col min="7690" max="7690" width="24" style="70" customWidth="1"/>
    <col min="7691" max="7691" width="13.42578125" style="70" customWidth="1"/>
    <col min="7692" max="7692" width="11.140625" style="70" customWidth="1"/>
    <col min="7693" max="7936" width="9.140625" style="70"/>
    <col min="7937" max="7937" width="4.42578125" style="70" bestFit="1" customWidth="1"/>
    <col min="7938" max="7938" width="56.5703125" style="70" bestFit="1" customWidth="1"/>
    <col min="7939" max="7939" width="12.42578125" style="70" bestFit="1" customWidth="1"/>
    <col min="7940" max="7940" width="7.85546875" style="70" bestFit="1" customWidth="1"/>
    <col min="7941" max="7941" width="10.7109375" style="70" bestFit="1" customWidth="1"/>
    <col min="7942" max="7942" width="7.28515625" style="70" bestFit="1" customWidth="1"/>
    <col min="7943" max="7943" width="11.85546875" style="70" bestFit="1" customWidth="1"/>
    <col min="7944" max="7944" width="7.28515625" style="70" bestFit="1" customWidth="1"/>
    <col min="7945" max="7945" width="11.7109375" style="70" customWidth="1"/>
    <col min="7946" max="7946" width="24" style="70" customWidth="1"/>
    <col min="7947" max="7947" width="13.42578125" style="70" customWidth="1"/>
    <col min="7948" max="7948" width="11.140625" style="70" customWidth="1"/>
    <col min="7949" max="8192" width="9.140625" style="70"/>
    <col min="8193" max="8193" width="4.42578125" style="70" bestFit="1" customWidth="1"/>
    <col min="8194" max="8194" width="56.5703125" style="70" bestFit="1" customWidth="1"/>
    <col min="8195" max="8195" width="12.42578125" style="70" bestFit="1" customWidth="1"/>
    <col min="8196" max="8196" width="7.85546875" style="70" bestFit="1" customWidth="1"/>
    <col min="8197" max="8197" width="10.7109375" style="70" bestFit="1" customWidth="1"/>
    <col min="8198" max="8198" width="7.28515625" style="70" bestFit="1" customWidth="1"/>
    <col min="8199" max="8199" width="11.85546875" style="70" bestFit="1" customWidth="1"/>
    <col min="8200" max="8200" width="7.28515625" style="70" bestFit="1" customWidth="1"/>
    <col min="8201" max="8201" width="11.7109375" style="70" customWidth="1"/>
    <col min="8202" max="8202" width="24" style="70" customWidth="1"/>
    <col min="8203" max="8203" width="13.42578125" style="70" customWidth="1"/>
    <col min="8204" max="8204" width="11.140625" style="70" customWidth="1"/>
    <col min="8205" max="8448" width="9.140625" style="70"/>
    <col min="8449" max="8449" width="4.42578125" style="70" bestFit="1" customWidth="1"/>
    <col min="8450" max="8450" width="56.5703125" style="70" bestFit="1" customWidth="1"/>
    <col min="8451" max="8451" width="12.42578125" style="70" bestFit="1" customWidth="1"/>
    <col min="8452" max="8452" width="7.85546875" style="70" bestFit="1" customWidth="1"/>
    <col min="8453" max="8453" width="10.7109375" style="70" bestFit="1" customWidth="1"/>
    <col min="8454" max="8454" width="7.28515625" style="70" bestFit="1" customWidth="1"/>
    <col min="8455" max="8455" width="11.85546875" style="70" bestFit="1" customWidth="1"/>
    <col min="8456" max="8456" width="7.28515625" style="70" bestFit="1" customWidth="1"/>
    <col min="8457" max="8457" width="11.7109375" style="70" customWidth="1"/>
    <col min="8458" max="8458" width="24" style="70" customWidth="1"/>
    <col min="8459" max="8459" width="13.42578125" style="70" customWidth="1"/>
    <col min="8460" max="8460" width="11.140625" style="70" customWidth="1"/>
    <col min="8461" max="8704" width="9.140625" style="70"/>
    <col min="8705" max="8705" width="4.42578125" style="70" bestFit="1" customWidth="1"/>
    <col min="8706" max="8706" width="56.5703125" style="70" bestFit="1" customWidth="1"/>
    <col min="8707" max="8707" width="12.42578125" style="70" bestFit="1" customWidth="1"/>
    <col min="8708" max="8708" width="7.85546875" style="70" bestFit="1" customWidth="1"/>
    <col min="8709" max="8709" width="10.7109375" style="70" bestFit="1" customWidth="1"/>
    <col min="8710" max="8710" width="7.28515625" style="70" bestFit="1" customWidth="1"/>
    <col min="8711" max="8711" width="11.85546875" style="70" bestFit="1" customWidth="1"/>
    <col min="8712" max="8712" width="7.28515625" style="70" bestFit="1" customWidth="1"/>
    <col min="8713" max="8713" width="11.7109375" style="70" customWidth="1"/>
    <col min="8714" max="8714" width="24" style="70" customWidth="1"/>
    <col min="8715" max="8715" width="13.42578125" style="70" customWidth="1"/>
    <col min="8716" max="8716" width="11.140625" style="70" customWidth="1"/>
    <col min="8717" max="8960" width="9.140625" style="70"/>
    <col min="8961" max="8961" width="4.42578125" style="70" bestFit="1" customWidth="1"/>
    <col min="8962" max="8962" width="56.5703125" style="70" bestFit="1" customWidth="1"/>
    <col min="8963" max="8963" width="12.42578125" style="70" bestFit="1" customWidth="1"/>
    <col min="8964" max="8964" width="7.85546875" style="70" bestFit="1" customWidth="1"/>
    <col min="8965" max="8965" width="10.7109375" style="70" bestFit="1" customWidth="1"/>
    <col min="8966" max="8966" width="7.28515625" style="70" bestFit="1" customWidth="1"/>
    <col min="8967" max="8967" width="11.85546875" style="70" bestFit="1" customWidth="1"/>
    <col min="8968" max="8968" width="7.28515625" style="70" bestFit="1" customWidth="1"/>
    <col min="8969" max="8969" width="11.7109375" style="70" customWidth="1"/>
    <col min="8970" max="8970" width="24" style="70" customWidth="1"/>
    <col min="8971" max="8971" width="13.42578125" style="70" customWidth="1"/>
    <col min="8972" max="8972" width="11.140625" style="70" customWidth="1"/>
    <col min="8973" max="9216" width="9.140625" style="70"/>
    <col min="9217" max="9217" width="4.42578125" style="70" bestFit="1" customWidth="1"/>
    <col min="9218" max="9218" width="56.5703125" style="70" bestFit="1" customWidth="1"/>
    <col min="9219" max="9219" width="12.42578125" style="70" bestFit="1" customWidth="1"/>
    <col min="9220" max="9220" width="7.85546875" style="70" bestFit="1" customWidth="1"/>
    <col min="9221" max="9221" width="10.7109375" style="70" bestFit="1" customWidth="1"/>
    <col min="9222" max="9222" width="7.28515625" style="70" bestFit="1" customWidth="1"/>
    <col min="9223" max="9223" width="11.85546875" style="70" bestFit="1" customWidth="1"/>
    <col min="9224" max="9224" width="7.28515625" style="70" bestFit="1" customWidth="1"/>
    <col min="9225" max="9225" width="11.7109375" style="70" customWidth="1"/>
    <col min="9226" max="9226" width="24" style="70" customWidth="1"/>
    <col min="9227" max="9227" width="13.42578125" style="70" customWidth="1"/>
    <col min="9228" max="9228" width="11.140625" style="70" customWidth="1"/>
    <col min="9229" max="9472" width="9.140625" style="70"/>
    <col min="9473" max="9473" width="4.42578125" style="70" bestFit="1" customWidth="1"/>
    <col min="9474" max="9474" width="56.5703125" style="70" bestFit="1" customWidth="1"/>
    <col min="9475" max="9475" width="12.42578125" style="70" bestFit="1" customWidth="1"/>
    <col min="9476" max="9476" width="7.85546875" style="70" bestFit="1" customWidth="1"/>
    <col min="9477" max="9477" width="10.7109375" style="70" bestFit="1" customWidth="1"/>
    <col min="9478" max="9478" width="7.28515625" style="70" bestFit="1" customWidth="1"/>
    <col min="9479" max="9479" width="11.85546875" style="70" bestFit="1" customWidth="1"/>
    <col min="9480" max="9480" width="7.28515625" style="70" bestFit="1" customWidth="1"/>
    <col min="9481" max="9481" width="11.7109375" style="70" customWidth="1"/>
    <col min="9482" max="9482" width="24" style="70" customWidth="1"/>
    <col min="9483" max="9483" width="13.42578125" style="70" customWidth="1"/>
    <col min="9484" max="9484" width="11.140625" style="70" customWidth="1"/>
    <col min="9485" max="9728" width="9.140625" style="70"/>
    <col min="9729" max="9729" width="4.42578125" style="70" bestFit="1" customWidth="1"/>
    <col min="9730" max="9730" width="56.5703125" style="70" bestFit="1" customWidth="1"/>
    <col min="9731" max="9731" width="12.42578125" style="70" bestFit="1" customWidth="1"/>
    <col min="9732" max="9732" width="7.85546875" style="70" bestFit="1" customWidth="1"/>
    <col min="9733" max="9733" width="10.7109375" style="70" bestFit="1" customWidth="1"/>
    <col min="9734" max="9734" width="7.28515625" style="70" bestFit="1" customWidth="1"/>
    <col min="9735" max="9735" width="11.85546875" style="70" bestFit="1" customWidth="1"/>
    <col min="9736" max="9736" width="7.28515625" style="70" bestFit="1" customWidth="1"/>
    <col min="9737" max="9737" width="11.7109375" style="70" customWidth="1"/>
    <col min="9738" max="9738" width="24" style="70" customWidth="1"/>
    <col min="9739" max="9739" width="13.42578125" style="70" customWidth="1"/>
    <col min="9740" max="9740" width="11.140625" style="70" customWidth="1"/>
    <col min="9741" max="9984" width="9.140625" style="70"/>
    <col min="9985" max="9985" width="4.42578125" style="70" bestFit="1" customWidth="1"/>
    <col min="9986" max="9986" width="56.5703125" style="70" bestFit="1" customWidth="1"/>
    <col min="9987" max="9987" width="12.42578125" style="70" bestFit="1" customWidth="1"/>
    <col min="9988" max="9988" width="7.85546875" style="70" bestFit="1" customWidth="1"/>
    <col min="9989" max="9989" width="10.7109375" style="70" bestFit="1" customWidth="1"/>
    <col min="9990" max="9990" width="7.28515625" style="70" bestFit="1" customWidth="1"/>
    <col min="9991" max="9991" width="11.85546875" style="70" bestFit="1" customWidth="1"/>
    <col min="9992" max="9992" width="7.28515625" style="70" bestFit="1" customWidth="1"/>
    <col min="9993" max="9993" width="11.7109375" style="70" customWidth="1"/>
    <col min="9994" max="9994" width="24" style="70" customWidth="1"/>
    <col min="9995" max="9995" width="13.42578125" style="70" customWidth="1"/>
    <col min="9996" max="9996" width="11.140625" style="70" customWidth="1"/>
    <col min="9997" max="10240" width="9.140625" style="70"/>
    <col min="10241" max="10241" width="4.42578125" style="70" bestFit="1" customWidth="1"/>
    <col min="10242" max="10242" width="56.5703125" style="70" bestFit="1" customWidth="1"/>
    <col min="10243" max="10243" width="12.42578125" style="70" bestFit="1" customWidth="1"/>
    <col min="10244" max="10244" width="7.85546875" style="70" bestFit="1" customWidth="1"/>
    <col min="10245" max="10245" width="10.7109375" style="70" bestFit="1" customWidth="1"/>
    <col min="10246" max="10246" width="7.28515625" style="70" bestFit="1" customWidth="1"/>
    <col min="10247" max="10247" width="11.85546875" style="70" bestFit="1" customWidth="1"/>
    <col min="10248" max="10248" width="7.28515625" style="70" bestFit="1" customWidth="1"/>
    <col min="10249" max="10249" width="11.7109375" style="70" customWidth="1"/>
    <col min="10250" max="10250" width="24" style="70" customWidth="1"/>
    <col min="10251" max="10251" width="13.42578125" style="70" customWidth="1"/>
    <col min="10252" max="10252" width="11.140625" style="70" customWidth="1"/>
    <col min="10253" max="10496" width="9.140625" style="70"/>
    <col min="10497" max="10497" width="4.42578125" style="70" bestFit="1" customWidth="1"/>
    <col min="10498" max="10498" width="56.5703125" style="70" bestFit="1" customWidth="1"/>
    <col min="10499" max="10499" width="12.42578125" style="70" bestFit="1" customWidth="1"/>
    <col min="10500" max="10500" width="7.85546875" style="70" bestFit="1" customWidth="1"/>
    <col min="10501" max="10501" width="10.7109375" style="70" bestFit="1" customWidth="1"/>
    <col min="10502" max="10502" width="7.28515625" style="70" bestFit="1" customWidth="1"/>
    <col min="10503" max="10503" width="11.85546875" style="70" bestFit="1" customWidth="1"/>
    <col min="10504" max="10504" width="7.28515625" style="70" bestFit="1" customWidth="1"/>
    <col min="10505" max="10505" width="11.7109375" style="70" customWidth="1"/>
    <col min="10506" max="10506" width="24" style="70" customWidth="1"/>
    <col min="10507" max="10507" width="13.42578125" style="70" customWidth="1"/>
    <col min="10508" max="10508" width="11.140625" style="70" customWidth="1"/>
    <col min="10509" max="10752" width="9.140625" style="70"/>
    <col min="10753" max="10753" width="4.42578125" style="70" bestFit="1" customWidth="1"/>
    <col min="10754" max="10754" width="56.5703125" style="70" bestFit="1" customWidth="1"/>
    <col min="10755" max="10755" width="12.42578125" style="70" bestFit="1" customWidth="1"/>
    <col min="10756" max="10756" width="7.85546875" style="70" bestFit="1" customWidth="1"/>
    <col min="10757" max="10757" width="10.7109375" style="70" bestFit="1" customWidth="1"/>
    <col min="10758" max="10758" width="7.28515625" style="70" bestFit="1" customWidth="1"/>
    <col min="10759" max="10759" width="11.85546875" style="70" bestFit="1" customWidth="1"/>
    <col min="10760" max="10760" width="7.28515625" style="70" bestFit="1" customWidth="1"/>
    <col min="10761" max="10761" width="11.7109375" style="70" customWidth="1"/>
    <col min="10762" max="10762" width="24" style="70" customWidth="1"/>
    <col min="10763" max="10763" width="13.42578125" style="70" customWidth="1"/>
    <col min="10764" max="10764" width="11.140625" style="70" customWidth="1"/>
    <col min="10765" max="11008" width="9.140625" style="70"/>
    <col min="11009" max="11009" width="4.42578125" style="70" bestFit="1" customWidth="1"/>
    <col min="11010" max="11010" width="56.5703125" style="70" bestFit="1" customWidth="1"/>
    <col min="11011" max="11011" width="12.42578125" style="70" bestFit="1" customWidth="1"/>
    <col min="11012" max="11012" width="7.85546875" style="70" bestFit="1" customWidth="1"/>
    <col min="11013" max="11013" width="10.7109375" style="70" bestFit="1" customWidth="1"/>
    <col min="11014" max="11014" width="7.28515625" style="70" bestFit="1" customWidth="1"/>
    <col min="11015" max="11015" width="11.85546875" style="70" bestFit="1" customWidth="1"/>
    <col min="11016" max="11016" width="7.28515625" style="70" bestFit="1" customWidth="1"/>
    <col min="11017" max="11017" width="11.7109375" style="70" customWidth="1"/>
    <col min="11018" max="11018" width="24" style="70" customWidth="1"/>
    <col min="11019" max="11019" width="13.42578125" style="70" customWidth="1"/>
    <col min="11020" max="11020" width="11.140625" style="70" customWidth="1"/>
    <col min="11021" max="11264" width="9.140625" style="70"/>
    <col min="11265" max="11265" width="4.42578125" style="70" bestFit="1" customWidth="1"/>
    <col min="11266" max="11266" width="56.5703125" style="70" bestFit="1" customWidth="1"/>
    <col min="11267" max="11267" width="12.42578125" style="70" bestFit="1" customWidth="1"/>
    <col min="11268" max="11268" width="7.85546875" style="70" bestFit="1" customWidth="1"/>
    <col min="11269" max="11269" width="10.7109375" style="70" bestFit="1" customWidth="1"/>
    <col min="11270" max="11270" width="7.28515625" style="70" bestFit="1" customWidth="1"/>
    <col min="11271" max="11271" width="11.85546875" style="70" bestFit="1" customWidth="1"/>
    <col min="11272" max="11272" width="7.28515625" style="70" bestFit="1" customWidth="1"/>
    <col min="11273" max="11273" width="11.7109375" style="70" customWidth="1"/>
    <col min="11274" max="11274" width="24" style="70" customWidth="1"/>
    <col min="11275" max="11275" width="13.42578125" style="70" customWidth="1"/>
    <col min="11276" max="11276" width="11.140625" style="70" customWidth="1"/>
    <col min="11277" max="11520" width="9.140625" style="70"/>
    <col min="11521" max="11521" width="4.42578125" style="70" bestFit="1" customWidth="1"/>
    <col min="11522" max="11522" width="56.5703125" style="70" bestFit="1" customWidth="1"/>
    <col min="11523" max="11523" width="12.42578125" style="70" bestFit="1" customWidth="1"/>
    <col min="11524" max="11524" width="7.85546875" style="70" bestFit="1" customWidth="1"/>
    <col min="11525" max="11525" width="10.7109375" style="70" bestFit="1" customWidth="1"/>
    <col min="11526" max="11526" width="7.28515625" style="70" bestFit="1" customWidth="1"/>
    <col min="11527" max="11527" width="11.85546875" style="70" bestFit="1" customWidth="1"/>
    <col min="11528" max="11528" width="7.28515625" style="70" bestFit="1" customWidth="1"/>
    <col min="11529" max="11529" width="11.7109375" style="70" customWidth="1"/>
    <col min="11530" max="11530" width="24" style="70" customWidth="1"/>
    <col min="11531" max="11531" width="13.42578125" style="70" customWidth="1"/>
    <col min="11532" max="11532" width="11.140625" style="70" customWidth="1"/>
    <col min="11533" max="11776" width="9.140625" style="70"/>
    <col min="11777" max="11777" width="4.42578125" style="70" bestFit="1" customWidth="1"/>
    <col min="11778" max="11778" width="56.5703125" style="70" bestFit="1" customWidth="1"/>
    <col min="11779" max="11779" width="12.42578125" style="70" bestFit="1" customWidth="1"/>
    <col min="11780" max="11780" width="7.85546875" style="70" bestFit="1" customWidth="1"/>
    <col min="11781" max="11781" width="10.7109375" style="70" bestFit="1" customWidth="1"/>
    <col min="11782" max="11782" width="7.28515625" style="70" bestFit="1" customWidth="1"/>
    <col min="11783" max="11783" width="11.85546875" style="70" bestFit="1" customWidth="1"/>
    <col min="11784" max="11784" width="7.28515625" style="70" bestFit="1" customWidth="1"/>
    <col min="11785" max="11785" width="11.7109375" style="70" customWidth="1"/>
    <col min="11786" max="11786" width="24" style="70" customWidth="1"/>
    <col min="11787" max="11787" width="13.42578125" style="70" customWidth="1"/>
    <col min="11788" max="11788" width="11.140625" style="70" customWidth="1"/>
    <col min="11789" max="12032" width="9.140625" style="70"/>
    <col min="12033" max="12033" width="4.42578125" style="70" bestFit="1" customWidth="1"/>
    <col min="12034" max="12034" width="56.5703125" style="70" bestFit="1" customWidth="1"/>
    <col min="12035" max="12035" width="12.42578125" style="70" bestFit="1" customWidth="1"/>
    <col min="12036" max="12036" width="7.85546875" style="70" bestFit="1" customWidth="1"/>
    <col min="12037" max="12037" width="10.7109375" style="70" bestFit="1" customWidth="1"/>
    <col min="12038" max="12038" width="7.28515625" style="70" bestFit="1" customWidth="1"/>
    <col min="12039" max="12039" width="11.85546875" style="70" bestFit="1" customWidth="1"/>
    <col min="12040" max="12040" width="7.28515625" style="70" bestFit="1" customWidth="1"/>
    <col min="12041" max="12041" width="11.7109375" style="70" customWidth="1"/>
    <col min="12042" max="12042" width="24" style="70" customWidth="1"/>
    <col min="12043" max="12043" width="13.42578125" style="70" customWidth="1"/>
    <col min="12044" max="12044" width="11.140625" style="70" customWidth="1"/>
    <col min="12045" max="12288" width="9.140625" style="70"/>
    <col min="12289" max="12289" width="4.42578125" style="70" bestFit="1" customWidth="1"/>
    <col min="12290" max="12290" width="56.5703125" style="70" bestFit="1" customWidth="1"/>
    <col min="12291" max="12291" width="12.42578125" style="70" bestFit="1" customWidth="1"/>
    <col min="12292" max="12292" width="7.85546875" style="70" bestFit="1" customWidth="1"/>
    <col min="12293" max="12293" width="10.7109375" style="70" bestFit="1" customWidth="1"/>
    <col min="12294" max="12294" width="7.28515625" style="70" bestFit="1" customWidth="1"/>
    <col min="12295" max="12295" width="11.85546875" style="70" bestFit="1" customWidth="1"/>
    <col min="12296" max="12296" width="7.28515625" style="70" bestFit="1" customWidth="1"/>
    <col min="12297" max="12297" width="11.7109375" style="70" customWidth="1"/>
    <col min="12298" max="12298" width="24" style="70" customWidth="1"/>
    <col min="12299" max="12299" width="13.42578125" style="70" customWidth="1"/>
    <col min="12300" max="12300" width="11.140625" style="70" customWidth="1"/>
    <col min="12301" max="12544" width="9.140625" style="70"/>
    <col min="12545" max="12545" width="4.42578125" style="70" bestFit="1" customWidth="1"/>
    <col min="12546" max="12546" width="56.5703125" style="70" bestFit="1" customWidth="1"/>
    <col min="12547" max="12547" width="12.42578125" style="70" bestFit="1" customWidth="1"/>
    <col min="12548" max="12548" width="7.85546875" style="70" bestFit="1" customWidth="1"/>
    <col min="12549" max="12549" width="10.7109375" style="70" bestFit="1" customWidth="1"/>
    <col min="12550" max="12550" width="7.28515625" style="70" bestFit="1" customWidth="1"/>
    <col min="12551" max="12551" width="11.85546875" style="70" bestFit="1" customWidth="1"/>
    <col min="12552" max="12552" width="7.28515625" style="70" bestFit="1" customWidth="1"/>
    <col min="12553" max="12553" width="11.7109375" style="70" customWidth="1"/>
    <col min="12554" max="12554" width="24" style="70" customWidth="1"/>
    <col min="12555" max="12555" width="13.42578125" style="70" customWidth="1"/>
    <col min="12556" max="12556" width="11.140625" style="70" customWidth="1"/>
    <col min="12557" max="12800" width="9.140625" style="70"/>
    <col min="12801" max="12801" width="4.42578125" style="70" bestFit="1" customWidth="1"/>
    <col min="12802" max="12802" width="56.5703125" style="70" bestFit="1" customWidth="1"/>
    <col min="12803" max="12803" width="12.42578125" style="70" bestFit="1" customWidth="1"/>
    <col min="12804" max="12804" width="7.85546875" style="70" bestFit="1" customWidth="1"/>
    <col min="12805" max="12805" width="10.7109375" style="70" bestFit="1" customWidth="1"/>
    <col min="12806" max="12806" width="7.28515625" style="70" bestFit="1" customWidth="1"/>
    <col min="12807" max="12807" width="11.85546875" style="70" bestFit="1" customWidth="1"/>
    <col min="12808" max="12808" width="7.28515625" style="70" bestFit="1" customWidth="1"/>
    <col min="12809" max="12809" width="11.7109375" style="70" customWidth="1"/>
    <col min="12810" max="12810" width="24" style="70" customWidth="1"/>
    <col min="12811" max="12811" width="13.42578125" style="70" customWidth="1"/>
    <col min="12812" max="12812" width="11.140625" style="70" customWidth="1"/>
    <col min="12813" max="13056" width="9.140625" style="70"/>
    <col min="13057" max="13057" width="4.42578125" style="70" bestFit="1" customWidth="1"/>
    <col min="13058" max="13058" width="56.5703125" style="70" bestFit="1" customWidth="1"/>
    <col min="13059" max="13059" width="12.42578125" style="70" bestFit="1" customWidth="1"/>
    <col min="13060" max="13060" width="7.85546875" style="70" bestFit="1" customWidth="1"/>
    <col min="13061" max="13061" width="10.7109375" style="70" bestFit="1" customWidth="1"/>
    <col min="13062" max="13062" width="7.28515625" style="70" bestFit="1" customWidth="1"/>
    <col min="13063" max="13063" width="11.85546875" style="70" bestFit="1" customWidth="1"/>
    <col min="13064" max="13064" width="7.28515625" style="70" bestFit="1" customWidth="1"/>
    <col min="13065" max="13065" width="11.7109375" style="70" customWidth="1"/>
    <col min="13066" max="13066" width="24" style="70" customWidth="1"/>
    <col min="13067" max="13067" width="13.42578125" style="70" customWidth="1"/>
    <col min="13068" max="13068" width="11.140625" style="70" customWidth="1"/>
    <col min="13069" max="13312" width="9.140625" style="70"/>
    <col min="13313" max="13313" width="4.42578125" style="70" bestFit="1" customWidth="1"/>
    <col min="13314" max="13314" width="56.5703125" style="70" bestFit="1" customWidth="1"/>
    <col min="13315" max="13315" width="12.42578125" style="70" bestFit="1" customWidth="1"/>
    <col min="13316" max="13316" width="7.85546875" style="70" bestFit="1" customWidth="1"/>
    <col min="13317" max="13317" width="10.7109375" style="70" bestFit="1" customWidth="1"/>
    <col min="13318" max="13318" width="7.28515625" style="70" bestFit="1" customWidth="1"/>
    <col min="13319" max="13319" width="11.85546875" style="70" bestFit="1" customWidth="1"/>
    <col min="13320" max="13320" width="7.28515625" style="70" bestFit="1" customWidth="1"/>
    <col min="13321" max="13321" width="11.7109375" style="70" customWidth="1"/>
    <col min="13322" max="13322" width="24" style="70" customWidth="1"/>
    <col min="13323" max="13323" width="13.42578125" style="70" customWidth="1"/>
    <col min="13324" max="13324" width="11.140625" style="70" customWidth="1"/>
    <col min="13325" max="13568" width="9.140625" style="70"/>
    <col min="13569" max="13569" width="4.42578125" style="70" bestFit="1" customWidth="1"/>
    <col min="13570" max="13570" width="56.5703125" style="70" bestFit="1" customWidth="1"/>
    <col min="13571" max="13571" width="12.42578125" style="70" bestFit="1" customWidth="1"/>
    <col min="13572" max="13572" width="7.85546875" style="70" bestFit="1" customWidth="1"/>
    <col min="13573" max="13573" width="10.7109375" style="70" bestFit="1" customWidth="1"/>
    <col min="13574" max="13574" width="7.28515625" style="70" bestFit="1" customWidth="1"/>
    <col min="13575" max="13575" width="11.85546875" style="70" bestFit="1" customWidth="1"/>
    <col min="13576" max="13576" width="7.28515625" style="70" bestFit="1" customWidth="1"/>
    <col min="13577" max="13577" width="11.7109375" style="70" customWidth="1"/>
    <col min="13578" max="13578" width="24" style="70" customWidth="1"/>
    <col min="13579" max="13579" width="13.42578125" style="70" customWidth="1"/>
    <col min="13580" max="13580" width="11.140625" style="70" customWidth="1"/>
    <col min="13581" max="13824" width="9.140625" style="70"/>
    <col min="13825" max="13825" width="4.42578125" style="70" bestFit="1" customWidth="1"/>
    <col min="13826" max="13826" width="56.5703125" style="70" bestFit="1" customWidth="1"/>
    <col min="13827" max="13827" width="12.42578125" style="70" bestFit="1" customWidth="1"/>
    <col min="13828" max="13828" width="7.85546875" style="70" bestFit="1" customWidth="1"/>
    <col min="13829" max="13829" width="10.7109375" style="70" bestFit="1" customWidth="1"/>
    <col min="13830" max="13830" width="7.28515625" style="70" bestFit="1" customWidth="1"/>
    <col min="13831" max="13831" width="11.85546875" style="70" bestFit="1" customWidth="1"/>
    <col min="13832" max="13832" width="7.28515625" style="70" bestFit="1" customWidth="1"/>
    <col min="13833" max="13833" width="11.7109375" style="70" customWidth="1"/>
    <col min="13834" max="13834" width="24" style="70" customWidth="1"/>
    <col min="13835" max="13835" width="13.42578125" style="70" customWidth="1"/>
    <col min="13836" max="13836" width="11.140625" style="70" customWidth="1"/>
    <col min="13837" max="14080" width="9.140625" style="70"/>
    <col min="14081" max="14081" width="4.42578125" style="70" bestFit="1" customWidth="1"/>
    <col min="14082" max="14082" width="56.5703125" style="70" bestFit="1" customWidth="1"/>
    <col min="14083" max="14083" width="12.42578125" style="70" bestFit="1" customWidth="1"/>
    <col min="14084" max="14084" width="7.85546875" style="70" bestFit="1" customWidth="1"/>
    <col min="14085" max="14085" width="10.7109375" style="70" bestFit="1" customWidth="1"/>
    <col min="14086" max="14086" width="7.28515625" style="70" bestFit="1" customWidth="1"/>
    <col min="14087" max="14087" width="11.85546875" style="70" bestFit="1" customWidth="1"/>
    <col min="14088" max="14088" width="7.28515625" style="70" bestFit="1" customWidth="1"/>
    <col min="14089" max="14089" width="11.7109375" style="70" customWidth="1"/>
    <col min="14090" max="14090" width="24" style="70" customWidth="1"/>
    <col min="14091" max="14091" width="13.42578125" style="70" customWidth="1"/>
    <col min="14092" max="14092" width="11.140625" style="70" customWidth="1"/>
    <col min="14093" max="14336" width="9.140625" style="70"/>
    <col min="14337" max="14337" width="4.42578125" style="70" bestFit="1" customWidth="1"/>
    <col min="14338" max="14338" width="56.5703125" style="70" bestFit="1" customWidth="1"/>
    <col min="14339" max="14339" width="12.42578125" style="70" bestFit="1" customWidth="1"/>
    <col min="14340" max="14340" width="7.85546875" style="70" bestFit="1" customWidth="1"/>
    <col min="14341" max="14341" width="10.7109375" style="70" bestFit="1" customWidth="1"/>
    <col min="14342" max="14342" width="7.28515625" style="70" bestFit="1" customWidth="1"/>
    <col min="14343" max="14343" width="11.85546875" style="70" bestFit="1" customWidth="1"/>
    <col min="14344" max="14344" width="7.28515625" style="70" bestFit="1" customWidth="1"/>
    <col min="14345" max="14345" width="11.7109375" style="70" customWidth="1"/>
    <col min="14346" max="14346" width="24" style="70" customWidth="1"/>
    <col min="14347" max="14347" width="13.42578125" style="70" customWidth="1"/>
    <col min="14348" max="14348" width="11.140625" style="70" customWidth="1"/>
    <col min="14349" max="14592" width="9.140625" style="70"/>
    <col min="14593" max="14593" width="4.42578125" style="70" bestFit="1" customWidth="1"/>
    <col min="14594" max="14594" width="56.5703125" style="70" bestFit="1" customWidth="1"/>
    <col min="14595" max="14595" width="12.42578125" style="70" bestFit="1" customWidth="1"/>
    <col min="14596" max="14596" width="7.85546875" style="70" bestFit="1" customWidth="1"/>
    <col min="14597" max="14597" width="10.7109375" style="70" bestFit="1" customWidth="1"/>
    <col min="14598" max="14598" width="7.28515625" style="70" bestFit="1" customWidth="1"/>
    <col min="14599" max="14599" width="11.85546875" style="70" bestFit="1" customWidth="1"/>
    <col min="14600" max="14600" width="7.28515625" style="70" bestFit="1" customWidth="1"/>
    <col min="14601" max="14601" width="11.7109375" style="70" customWidth="1"/>
    <col min="14602" max="14602" width="24" style="70" customWidth="1"/>
    <col min="14603" max="14603" width="13.42578125" style="70" customWidth="1"/>
    <col min="14604" max="14604" width="11.140625" style="70" customWidth="1"/>
    <col min="14605" max="14848" width="9.140625" style="70"/>
    <col min="14849" max="14849" width="4.42578125" style="70" bestFit="1" customWidth="1"/>
    <col min="14850" max="14850" width="56.5703125" style="70" bestFit="1" customWidth="1"/>
    <col min="14851" max="14851" width="12.42578125" style="70" bestFit="1" customWidth="1"/>
    <col min="14852" max="14852" width="7.85546875" style="70" bestFit="1" customWidth="1"/>
    <col min="14853" max="14853" width="10.7109375" style="70" bestFit="1" customWidth="1"/>
    <col min="14854" max="14854" width="7.28515625" style="70" bestFit="1" customWidth="1"/>
    <col min="14855" max="14855" width="11.85546875" style="70" bestFit="1" customWidth="1"/>
    <col min="14856" max="14856" width="7.28515625" style="70" bestFit="1" customWidth="1"/>
    <col min="14857" max="14857" width="11.7109375" style="70" customWidth="1"/>
    <col min="14858" max="14858" width="24" style="70" customWidth="1"/>
    <col min="14859" max="14859" width="13.42578125" style="70" customWidth="1"/>
    <col min="14860" max="14860" width="11.140625" style="70" customWidth="1"/>
    <col min="14861" max="15104" width="9.140625" style="70"/>
    <col min="15105" max="15105" width="4.42578125" style="70" bestFit="1" customWidth="1"/>
    <col min="15106" max="15106" width="56.5703125" style="70" bestFit="1" customWidth="1"/>
    <col min="15107" max="15107" width="12.42578125" style="70" bestFit="1" customWidth="1"/>
    <col min="15108" max="15108" width="7.85546875" style="70" bestFit="1" customWidth="1"/>
    <col min="15109" max="15109" width="10.7109375" style="70" bestFit="1" customWidth="1"/>
    <col min="15110" max="15110" width="7.28515625" style="70" bestFit="1" customWidth="1"/>
    <col min="15111" max="15111" width="11.85546875" style="70" bestFit="1" customWidth="1"/>
    <col min="15112" max="15112" width="7.28515625" style="70" bestFit="1" customWidth="1"/>
    <col min="15113" max="15113" width="11.7109375" style="70" customWidth="1"/>
    <col min="15114" max="15114" width="24" style="70" customWidth="1"/>
    <col min="15115" max="15115" width="13.42578125" style="70" customWidth="1"/>
    <col min="15116" max="15116" width="11.140625" style="70" customWidth="1"/>
    <col min="15117" max="15360" width="9.140625" style="70"/>
    <col min="15361" max="15361" width="4.42578125" style="70" bestFit="1" customWidth="1"/>
    <col min="15362" max="15362" width="56.5703125" style="70" bestFit="1" customWidth="1"/>
    <col min="15363" max="15363" width="12.42578125" style="70" bestFit="1" customWidth="1"/>
    <col min="15364" max="15364" width="7.85546875" style="70" bestFit="1" customWidth="1"/>
    <col min="15365" max="15365" width="10.7109375" style="70" bestFit="1" customWidth="1"/>
    <col min="15366" max="15366" width="7.28515625" style="70" bestFit="1" customWidth="1"/>
    <col min="15367" max="15367" width="11.85546875" style="70" bestFit="1" customWidth="1"/>
    <col min="15368" max="15368" width="7.28515625" style="70" bestFit="1" customWidth="1"/>
    <col min="15369" max="15369" width="11.7109375" style="70" customWidth="1"/>
    <col min="15370" max="15370" width="24" style="70" customWidth="1"/>
    <col min="15371" max="15371" width="13.42578125" style="70" customWidth="1"/>
    <col min="15372" max="15372" width="11.140625" style="70" customWidth="1"/>
    <col min="15373" max="15616" width="9.140625" style="70"/>
    <col min="15617" max="15617" width="4.42578125" style="70" bestFit="1" customWidth="1"/>
    <col min="15618" max="15618" width="56.5703125" style="70" bestFit="1" customWidth="1"/>
    <col min="15619" max="15619" width="12.42578125" style="70" bestFit="1" customWidth="1"/>
    <col min="15620" max="15620" width="7.85546875" style="70" bestFit="1" customWidth="1"/>
    <col min="15621" max="15621" width="10.7109375" style="70" bestFit="1" customWidth="1"/>
    <col min="15622" max="15622" width="7.28515625" style="70" bestFit="1" customWidth="1"/>
    <col min="15623" max="15623" width="11.85546875" style="70" bestFit="1" customWidth="1"/>
    <col min="15624" max="15624" width="7.28515625" style="70" bestFit="1" customWidth="1"/>
    <col min="15625" max="15625" width="11.7109375" style="70" customWidth="1"/>
    <col min="15626" max="15626" width="24" style="70" customWidth="1"/>
    <col min="15627" max="15627" width="13.42578125" style="70" customWidth="1"/>
    <col min="15628" max="15628" width="11.140625" style="70" customWidth="1"/>
    <col min="15629" max="15872" width="9.140625" style="70"/>
    <col min="15873" max="15873" width="4.42578125" style="70" bestFit="1" customWidth="1"/>
    <col min="15874" max="15874" width="56.5703125" style="70" bestFit="1" customWidth="1"/>
    <col min="15875" max="15875" width="12.42578125" style="70" bestFit="1" customWidth="1"/>
    <col min="15876" max="15876" width="7.85546875" style="70" bestFit="1" customWidth="1"/>
    <col min="15877" max="15877" width="10.7109375" style="70" bestFit="1" customWidth="1"/>
    <col min="15878" max="15878" width="7.28515625" style="70" bestFit="1" customWidth="1"/>
    <col min="15879" max="15879" width="11.85546875" style="70" bestFit="1" customWidth="1"/>
    <col min="15880" max="15880" width="7.28515625" style="70" bestFit="1" customWidth="1"/>
    <col min="15881" max="15881" width="11.7109375" style="70" customWidth="1"/>
    <col min="15882" max="15882" width="24" style="70" customWidth="1"/>
    <col min="15883" max="15883" width="13.42578125" style="70" customWidth="1"/>
    <col min="15884" max="15884" width="11.140625" style="70" customWidth="1"/>
    <col min="15885" max="16128" width="9.140625" style="70"/>
    <col min="16129" max="16129" width="4.42578125" style="70" bestFit="1" customWidth="1"/>
    <col min="16130" max="16130" width="56.5703125" style="70" bestFit="1" customWidth="1"/>
    <col min="16131" max="16131" width="12.42578125" style="70" bestFit="1" customWidth="1"/>
    <col min="16132" max="16132" width="7.85546875" style="70" bestFit="1" customWidth="1"/>
    <col min="16133" max="16133" width="10.7109375" style="70" bestFit="1" customWidth="1"/>
    <col min="16134" max="16134" width="7.28515625" style="70" bestFit="1" customWidth="1"/>
    <col min="16135" max="16135" width="11.85546875" style="70" bestFit="1" customWidth="1"/>
    <col min="16136" max="16136" width="7.28515625" style="70" bestFit="1" customWidth="1"/>
    <col min="16137" max="16137" width="11.7109375" style="70" customWidth="1"/>
    <col min="16138" max="16138" width="24" style="70" customWidth="1"/>
    <col min="16139" max="16139" width="13.42578125" style="70" customWidth="1"/>
    <col min="16140" max="16140" width="11.140625" style="70" customWidth="1"/>
    <col min="16141" max="16384" width="9.140625" style="70"/>
  </cols>
  <sheetData>
    <row r="1" spans="1:10" ht="18">
      <c r="A1" s="598"/>
      <c r="B1" s="3109" t="s">
        <v>2963</v>
      </c>
      <c r="C1" s="3109"/>
      <c r="D1" s="3109"/>
      <c r="E1" s="3109"/>
      <c r="F1" s="598"/>
      <c r="G1" s="598"/>
      <c r="H1" s="598"/>
      <c r="I1" s="598"/>
    </row>
    <row r="2" spans="1:10" ht="15">
      <c r="A2" s="598"/>
      <c r="B2" s="598"/>
      <c r="C2" s="598"/>
      <c r="D2" s="598"/>
      <c r="E2" s="598"/>
      <c r="F2" s="598"/>
      <c r="G2" s="598"/>
      <c r="H2" s="598"/>
      <c r="I2" s="2890" t="s">
        <v>89</v>
      </c>
    </row>
    <row r="3" spans="1:10" ht="18">
      <c r="A3" s="598"/>
      <c r="B3" s="3116" t="s">
        <v>2964</v>
      </c>
      <c r="C3" s="3116"/>
      <c r="D3" s="3116"/>
      <c r="E3" s="3116"/>
      <c r="F3" s="3116"/>
      <c r="G3" s="3116"/>
      <c r="H3" s="3116"/>
      <c r="I3" s="3116"/>
    </row>
    <row r="4" spans="1:10">
      <c r="A4" s="598"/>
      <c r="B4" s="598"/>
      <c r="C4" s="598"/>
      <c r="D4" s="598"/>
      <c r="E4" s="598"/>
      <c r="F4" s="598"/>
      <c r="G4" s="598"/>
      <c r="H4" s="598"/>
      <c r="I4" s="598"/>
    </row>
    <row r="5" spans="1:10" ht="61.5" customHeight="1">
      <c r="A5" s="3117" t="s">
        <v>2</v>
      </c>
      <c r="B5" s="3117" t="s">
        <v>3</v>
      </c>
      <c r="C5" s="3117" t="s">
        <v>2716</v>
      </c>
      <c r="D5" s="3117" t="s">
        <v>5</v>
      </c>
      <c r="E5" s="3117" t="s">
        <v>96</v>
      </c>
      <c r="F5" s="3117" t="s">
        <v>2965</v>
      </c>
      <c r="G5" s="3117"/>
      <c r="H5" s="3117" t="s">
        <v>2966</v>
      </c>
      <c r="I5" s="3117"/>
    </row>
    <row r="6" spans="1:10" ht="16.5" customHeight="1">
      <c r="A6" s="3117"/>
      <c r="B6" s="3117"/>
      <c r="C6" s="3117"/>
      <c r="D6" s="3117"/>
      <c r="E6" s="3117"/>
      <c r="F6" s="2865" t="s">
        <v>95</v>
      </c>
      <c r="G6" s="2865" t="s">
        <v>1668</v>
      </c>
      <c r="H6" s="2865" t="s">
        <v>95</v>
      </c>
      <c r="I6" s="2865" t="s">
        <v>1668</v>
      </c>
    </row>
    <row r="7" spans="1:10" ht="13.5">
      <c r="A7" s="2408">
        <v>1</v>
      </c>
      <c r="B7" s="2408">
        <v>2</v>
      </c>
      <c r="C7" s="2408">
        <v>3</v>
      </c>
      <c r="D7" s="2408">
        <v>4</v>
      </c>
      <c r="E7" s="2408">
        <v>5</v>
      </c>
      <c r="F7" s="2408">
        <v>6</v>
      </c>
      <c r="G7" s="2408">
        <v>7</v>
      </c>
      <c r="H7" s="2408">
        <v>8</v>
      </c>
      <c r="I7" s="2408">
        <v>9</v>
      </c>
    </row>
    <row r="8" spans="1:10" ht="88.5" customHeight="1">
      <c r="A8" s="2883">
        <v>1</v>
      </c>
      <c r="B8" s="2168" t="s">
        <v>2967</v>
      </c>
      <c r="C8" s="1625">
        <v>7132200826</v>
      </c>
      <c r="D8" s="1620" t="s">
        <v>2847</v>
      </c>
      <c r="E8" s="1132">
        <f>VLOOKUP(C8,'[25]SOR RATE'!A:D,4,0)</f>
        <v>225853.71</v>
      </c>
      <c r="F8" s="2883">
        <v>1</v>
      </c>
      <c r="G8" s="1132">
        <f>E8*F8</f>
        <v>225853.71</v>
      </c>
      <c r="H8" s="1132"/>
      <c r="I8" s="1132"/>
    </row>
    <row r="9" spans="1:10" ht="87.75" customHeight="1">
      <c r="A9" s="2883">
        <v>2</v>
      </c>
      <c r="B9" s="2168" t="s">
        <v>2968</v>
      </c>
      <c r="C9" s="2164">
        <v>7132200014</v>
      </c>
      <c r="D9" s="2933" t="s">
        <v>2847</v>
      </c>
      <c r="E9" s="2302">
        <f>VLOOKUP(C9,'[25]SOR RATE'!A:D,4,0)</f>
        <v>170801.23</v>
      </c>
      <c r="F9" s="2879"/>
      <c r="G9" s="2302"/>
      <c r="H9" s="2303">
        <v>1</v>
      </c>
      <c r="I9" s="2302">
        <f>E9*H9</f>
        <v>170801.23</v>
      </c>
    </row>
    <row r="10" spans="1:10" ht="18.75" customHeight="1">
      <c r="A10" s="2883">
        <v>3</v>
      </c>
      <c r="B10" s="2934" t="s">
        <v>2969</v>
      </c>
      <c r="C10" s="2313"/>
      <c r="D10" s="1818"/>
      <c r="E10" s="2304"/>
      <c r="F10" s="1818"/>
      <c r="G10" s="2304"/>
      <c r="H10" s="2935"/>
      <c r="I10" s="1676"/>
    </row>
    <row r="11" spans="1:10" ht="18.75" customHeight="1">
      <c r="A11" s="2883">
        <v>4</v>
      </c>
      <c r="B11" s="2936" t="s">
        <v>2970</v>
      </c>
      <c r="C11" s="2880">
        <v>7132210106</v>
      </c>
      <c r="D11" s="2880" t="s">
        <v>40</v>
      </c>
      <c r="E11" s="2298">
        <f>VLOOKUP(C11,'[25]SOR RATE'!A:D,4,0)</f>
        <v>8294.2999999999993</v>
      </c>
      <c r="F11" s="2880">
        <v>3</v>
      </c>
      <c r="G11" s="2298">
        <f t="shared" ref="G11:G23" si="0">E11*F11</f>
        <v>24882.899999999998</v>
      </c>
      <c r="H11" s="2305">
        <v>3</v>
      </c>
      <c r="I11" s="2298">
        <f t="shared" ref="I11:I22" si="1">E11*H11</f>
        <v>24882.899999999998</v>
      </c>
      <c r="J11" s="2892"/>
    </row>
    <row r="12" spans="1:10" ht="18.75" customHeight="1">
      <c r="A12" s="2883">
        <v>5</v>
      </c>
      <c r="B12" s="2936" t="s">
        <v>2971</v>
      </c>
      <c r="C12" s="2883">
        <v>7132210108</v>
      </c>
      <c r="D12" s="2883" t="s">
        <v>40</v>
      </c>
      <c r="E12" s="1132">
        <f>VLOOKUP(C12,'[25]SOR RATE'!A:D,4,0)</f>
        <v>10125.84</v>
      </c>
      <c r="F12" s="2883">
        <v>6</v>
      </c>
      <c r="G12" s="1132">
        <f t="shared" si="0"/>
        <v>60755.040000000001</v>
      </c>
      <c r="H12" s="1621">
        <v>3</v>
      </c>
      <c r="I12" s="1132">
        <f t="shared" si="1"/>
        <v>30377.52</v>
      </c>
      <c r="J12" s="2892"/>
    </row>
    <row r="13" spans="1:10" ht="18.75" customHeight="1">
      <c r="A13" s="2883">
        <v>6</v>
      </c>
      <c r="B13" s="2936" t="s">
        <v>2972</v>
      </c>
      <c r="C13" s="2883">
        <v>7132230471</v>
      </c>
      <c r="D13" s="2888" t="s">
        <v>68</v>
      </c>
      <c r="E13" s="1132">
        <f>VLOOKUP(C13,'[25]SOR RATE'!A:D,4,0)</f>
        <v>40265.449999999997</v>
      </c>
      <c r="F13" s="2883">
        <v>1</v>
      </c>
      <c r="G13" s="1132">
        <f t="shared" si="0"/>
        <v>40265.449999999997</v>
      </c>
      <c r="H13" s="1621">
        <v>1</v>
      </c>
      <c r="I13" s="1132">
        <f t="shared" si="1"/>
        <v>40265.449999999997</v>
      </c>
      <c r="J13" s="2892"/>
    </row>
    <row r="14" spans="1:10" ht="18.75" customHeight="1">
      <c r="A14" s="2883">
        <v>7</v>
      </c>
      <c r="B14" s="2936" t="s">
        <v>1317</v>
      </c>
      <c r="C14" s="2883">
        <v>7131980001</v>
      </c>
      <c r="D14" s="2888" t="s">
        <v>255</v>
      </c>
      <c r="E14" s="1132">
        <f>VLOOKUP(C14,'[25]SOR RATE'!A:D,4,0)</f>
        <v>81847.289999999994</v>
      </c>
      <c r="F14" s="2883">
        <v>3</v>
      </c>
      <c r="G14" s="1132">
        <f t="shared" si="0"/>
        <v>245541.87</v>
      </c>
      <c r="H14" s="1621">
        <v>2</v>
      </c>
      <c r="I14" s="1132">
        <f t="shared" si="1"/>
        <v>163694.57999999999</v>
      </c>
    </row>
    <row r="15" spans="1:10" ht="31.5" customHeight="1">
      <c r="A15" s="2883">
        <v>8</v>
      </c>
      <c r="B15" s="2937" t="s">
        <v>944</v>
      </c>
      <c r="C15" s="2883">
        <v>7131931091</v>
      </c>
      <c r="D15" s="2888" t="s">
        <v>40</v>
      </c>
      <c r="E15" s="1132">
        <f>VLOOKUP(C15,'[25]SOR RATE'!A:D,4,0)</f>
        <v>33598.94</v>
      </c>
      <c r="F15" s="2883">
        <v>1</v>
      </c>
      <c r="G15" s="1132">
        <f t="shared" si="0"/>
        <v>33598.94</v>
      </c>
      <c r="H15" s="1621">
        <v>1</v>
      </c>
      <c r="I15" s="1132">
        <f t="shared" si="1"/>
        <v>33598.94</v>
      </c>
      <c r="J15" s="2892"/>
    </row>
    <row r="16" spans="1:10" ht="16.5" customHeight="1">
      <c r="A16" s="2883">
        <v>9</v>
      </c>
      <c r="B16" s="2937" t="s">
        <v>945</v>
      </c>
      <c r="C16" s="2883">
        <v>7131931095</v>
      </c>
      <c r="D16" s="2888" t="s">
        <v>40</v>
      </c>
      <c r="E16" s="1132">
        <f>VLOOKUP(C16,'[25]SOR RATE'!A:D,4,0)</f>
        <v>16730.36</v>
      </c>
      <c r="F16" s="2883">
        <v>1</v>
      </c>
      <c r="G16" s="1132">
        <f t="shared" si="0"/>
        <v>16730.36</v>
      </c>
      <c r="H16" s="1621">
        <v>1</v>
      </c>
      <c r="I16" s="1132">
        <f t="shared" si="1"/>
        <v>16730.36</v>
      </c>
      <c r="J16" s="2892"/>
    </row>
    <row r="17" spans="1:16" ht="16.5" customHeight="1">
      <c r="A17" s="3272">
        <v>10</v>
      </c>
      <c r="B17" s="2937" t="s">
        <v>2973</v>
      </c>
      <c r="C17" s="2883">
        <v>7130840029</v>
      </c>
      <c r="D17" s="2888" t="s">
        <v>2974</v>
      </c>
      <c r="E17" s="1132">
        <f>VLOOKUP(C17,'[25]SOR RATE'!A:D,4,0)*3</f>
        <v>1105.56</v>
      </c>
      <c r="F17" s="2883">
        <v>1</v>
      </c>
      <c r="G17" s="1132">
        <f t="shared" si="0"/>
        <v>1105.56</v>
      </c>
      <c r="H17" s="1621">
        <v>1</v>
      </c>
      <c r="I17" s="1132">
        <f t="shared" si="1"/>
        <v>1105.56</v>
      </c>
    </row>
    <row r="18" spans="1:16" ht="15" customHeight="1">
      <c r="A18" s="3272"/>
      <c r="B18" s="2936" t="s">
        <v>951</v>
      </c>
      <c r="C18" s="2883">
        <v>7131940871</v>
      </c>
      <c r="D18" s="2888" t="s">
        <v>68</v>
      </c>
      <c r="E18" s="1132">
        <f>VLOOKUP(C18,'[25]SOR RATE'!A:D,4,0)</f>
        <v>56418.83</v>
      </c>
      <c r="F18" s="2883">
        <v>1</v>
      </c>
      <c r="G18" s="1132">
        <f t="shared" si="0"/>
        <v>56418.83</v>
      </c>
      <c r="H18" s="1621">
        <v>1</v>
      </c>
      <c r="I18" s="1132">
        <f t="shared" si="1"/>
        <v>56418.83</v>
      </c>
      <c r="J18" s="2892"/>
    </row>
    <row r="19" spans="1:16" ht="17.25" customHeight="1">
      <c r="A19" s="2883">
        <v>11</v>
      </c>
      <c r="B19" s="2936" t="s">
        <v>714</v>
      </c>
      <c r="C19" s="2883">
        <v>7130850198</v>
      </c>
      <c r="D19" s="2888" t="s">
        <v>2975</v>
      </c>
      <c r="E19" s="1132">
        <f>VLOOKUP(C19,'[25]SOR RATE'!A:D,4,0)</f>
        <v>96.73</v>
      </c>
      <c r="F19" s="2883">
        <v>1000</v>
      </c>
      <c r="G19" s="1132">
        <f t="shared" si="0"/>
        <v>96730</v>
      </c>
      <c r="H19" s="1621">
        <v>800</v>
      </c>
      <c r="I19" s="1132">
        <f t="shared" si="1"/>
        <v>77384</v>
      </c>
      <c r="J19" s="2892"/>
    </row>
    <row r="20" spans="1:16" ht="18" customHeight="1">
      <c r="A20" s="2883">
        <v>12</v>
      </c>
      <c r="B20" s="2936" t="s">
        <v>2976</v>
      </c>
      <c r="C20" s="2883">
        <v>7130310658</v>
      </c>
      <c r="D20" s="2888" t="s">
        <v>21</v>
      </c>
      <c r="E20" s="1132">
        <f>VLOOKUP(C20,'[25]SOR RATE'!A:D,4,0)/1000</f>
        <v>188.91779</v>
      </c>
      <c r="F20" s="2883">
        <v>120</v>
      </c>
      <c r="G20" s="1132">
        <f t="shared" si="0"/>
        <v>22670.1348</v>
      </c>
      <c r="H20" s="1621">
        <v>120</v>
      </c>
      <c r="I20" s="1132">
        <f t="shared" si="1"/>
        <v>22670.1348</v>
      </c>
      <c r="K20" s="806"/>
      <c r="L20" s="806"/>
      <c r="M20" s="806"/>
      <c r="N20" s="806"/>
    </row>
    <row r="21" spans="1:16" ht="17.25" customHeight="1">
      <c r="A21" s="2883">
        <v>13</v>
      </c>
      <c r="B21" s="2936" t="s">
        <v>2977</v>
      </c>
      <c r="C21" s="2883">
        <v>7130310681</v>
      </c>
      <c r="D21" s="2888" t="s">
        <v>21</v>
      </c>
      <c r="E21" s="1132">
        <f>VLOOKUP(C21,'[25]SOR RATE'!A:D,4,0)/1000</f>
        <v>237.23204999999999</v>
      </c>
      <c r="F21" s="2883">
        <v>60</v>
      </c>
      <c r="G21" s="1132">
        <f t="shared" si="0"/>
        <v>14233.922999999999</v>
      </c>
      <c r="H21" s="1621">
        <v>60</v>
      </c>
      <c r="I21" s="1132">
        <f t="shared" si="1"/>
        <v>14233.922999999999</v>
      </c>
      <c r="J21" s="95"/>
      <c r="K21" s="806"/>
      <c r="L21" s="806"/>
      <c r="M21" s="840"/>
      <c r="N21" s="840"/>
    </row>
    <row r="22" spans="1:16" ht="18" customHeight="1">
      <c r="A22" s="2883">
        <v>14</v>
      </c>
      <c r="B22" s="2936" t="s">
        <v>2978</v>
      </c>
      <c r="C22" s="2883">
        <v>7130310652</v>
      </c>
      <c r="D22" s="2888" t="s">
        <v>21</v>
      </c>
      <c r="E22" s="1132">
        <f>VLOOKUP(C22,'[25]SOR RATE'!A:D,4,0)/1000</f>
        <v>55.294809999999998</v>
      </c>
      <c r="F22" s="2883">
        <v>60</v>
      </c>
      <c r="G22" s="1132">
        <f t="shared" si="0"/>
        <v>3317.6886</v>
      </c>
      <c r="H22" s="1621">
        <v>60</v>
      </c>
      <c r="I22" s="1132">
        <f t="shared" si="1"/>
        <v>3317.6886</v>
      </c>
      <c r="K22" s="840"/>
      <c r="L22" s="840"/>
      <c r="M22" s="840"/>
      <c r="N22" s="840"/>
    </row>
    <row r="23" spans="1:16" ht="18" customHeight="1">
      <c r="A23" s="2883">
        <v>15</v>
      </c>
      <c r="B23" s="2936" t="s">
        <v>2979</v>
      </c>
      <c r="C23" s="2883">
        <v>7131941762</v>
      </c>
      <c r="D23" s="2888" t="s">
        <v>255</v>
      </c>
      <c r="E23" s="1132">
        <f>VLOOKUP(C23,'[25]SOR RATE'!A:D,4,0)</f>
        <v>135748.26</v>
      </c>
      <c r="F23" s="2883">
        <v>1</v>
      </c>
      <c r="G23" s="1132">
        <f t="shared" si="0"/>
        <v>135748.26</v>
      </c>
      <c r="H23" s="1621"/>
      <c r="I23" s="1132"/>
    </row>
    <row r="24" spans="1:16" ht="18" customHeight="1">
      <c r="A24" s="2883">
        <v>16</v>
      </c>
      <c r="B24" s="2936" t="s">
        <v>2980</v>
      </c>
      <c r="C24" s="2883">
        <v>7131941762</v>
      </c>
      <c r="D24" s="2888" t="s">
        <v>255</v>
      </c>
      <c r="E24" s="1132">
        <f>VLOOKUP(C24,'[25]SOR RATE'!A:D,4,0)</f>
        <v>135748.26</v>
      </c>
      <c r="F24" s="2883"/>
      <c r="G24" s="1132"/>
      <c r="H24" s="1621">
        <v>1</v>
      </c>
      <c r="I24" s="1132">
        <f>E24*H24</f>
        <v>135748.26</v>
      </c>
    </row>
    <row r="25" spans="1:16" ht="18" customHeight="1">
      <c r="A25" s="2883">
        <v>17</v>
      </c>
      <c r="B25" s="2936" t="s">
        <v>980</v>
      </c>
      <c r="C25" s="2883">
        <v>7131960010</v>
      </c>
      <c r="D25" s="2888" t="s">
        <v>255</v>
      </c>
      <c r="E25" s="1132">
        <f>VLOOKUP(C25,'[25]SOR RATE'!A:D,4,0)</f>
        <v>83956.11</v>
      </c>
      <c r="F25" s="2883">
        <v>1</v>
      </c>
      <c r="G25" s="1132">
        <f>E25*F25</f>
        <v>83956.11</v>
      </c>
      <c r="H25" s="1621">
        <v>1</v>
      </c>
      <c r="I25" s="1132">
        <f>E25*H25</f>
        <v>83956.11</v>
      </c>
      <c r="J25" s="2892"/>
    </row>
    <row r="26" spans="1:16" ht="18" customHeight="1">
      <c r="A26" s="2883">
        <v>18</v>
      </c>
      <c r="B26" s="2936" t="s">
        <v>2981</v>
      </c>
      <c r="C26" s="2883">
        <v>7130310078</v>
      </c>
      <c r="D26" s="2888" t="s">
        <v>21</v>
      </c>
      <c r="E26" s="1132">
        <f>VLOOKUP(C26,'[25]SOR RATE'!A:D,4,0)/1000</f>
        <v>1030.76893</v>
      </c>
      <c r="F26" s="2883">
        <v>15</v>
      </c>
      <c r="G26" s="1132">
        <f>E26*F26</f>
        <v>15461.533949999999</v>
      </c>
      <c r="H26" s="1621"/>
      <c r="I26" s="1132"/>
    </row>
    <row r="27" spans="1:16" ht="18" customHeight="1">
      <c r="A27" s="2883">
        <v>19</v>
      </c>
      <c r="B27" s="2936" t="s">
        <v>2982</v>
      </c>
      <c r="C27" s="2883">
        <v>7130310077</v>
      </c>
      <c r="D27" s="2888" t="s">
        <v>21</v>
      </c>
      <c r="E27" s="1132">
        <f>VLOOKUP(C27,'[25]SOR RATE'!A:D,4,0)/1000</f>
        <v>691.23381999999992</v>
      </c>
      <c r="F27" s="2883"/>
      <c r="G27" s="1132"/>
      <c r="H27" s="1621">
        <v>15</v>
      </c>
      <c r="I27" s="1132">
        <f>E27*H27</f>
        <v>10368.507299999999</v>
      </c>
      <c r="K27" s="2893"/>
      <c r="L27" s="2107"/>
    </row>
    <row r="28" spans="1:16" ht="18" customHeight="1">
      <c r="A28" s="2883">
        <v>20</v>
      </c>
      <c r="B28" s="2936" t="s">
        <v>1079</v>
      </c>
      <c r="C28" s="2938">
        <v>7132230185</v>
      </c>
      <c r="D28" s="2881" t="s">
        <v>255</v>
      </c>
      <c r="E28" s="2302">
        <f>VLOOKUP(C28,'[25]SOR RATE'!A:D,4,0)</f>
        <v>13575.31</v>
      </c>
      <c r="F28" s="2879">
        <v>3</v>
      </c>
      <c r="G28" s="2302">
        <f>E28*F28</f>
        <v>40725.93</v>
      </c>
      <c r="H28" s="2303">
        <v>3</v>
      </c>
      <c r="I28" s="2302">
        <f>E28*H28</f>
        <v>40725.93</v>
      </c>
      <c r="K28" s="1989"/>
      <c r="L28" s="1989"/>
      <c r="M28" s="1989"/>
      <c r="N28" s="1989"/>
      <c r="O28" s="1989"/>
      <c r="P28" s="1989"/>
    </row>
    <row r="29" spans="1:16" ht="18" customHeight="1">
      <c r="A29" s="2883">
        <v>21</v>
      </c>
      <c r="B29" s="2939" t="s">
        <v>2983</v>
      </c>
      <c r="C29" s="1806"/>
      <c r="D29" s="2400"/>
      <c r="E29" s="2304"/>
      <c r="F29" s="1818"/>
      <c r="G29" s="2304"/>
      <c r="H29" s="2935"/>
      <c r="I29" s="1815"/>
      <c r="J29" s="605"/>
      <c r="K29" s="806"/>
      <c r="L29" s="806"/>
      <c r="M29" s="806"/>
      <c r="N29" s="806"/>
      <c r="O29" s="806"/>
      <c r="P29" s="806"/>
    </row>
    <row r="30" spans="1:16" ht="18" customHeight="1">
      <c r="A30" s="2888" t="s">
        <v>1493</v>
      </c>
      <c r="B30" s="2936" t="s">
        <v>556</v>
      </c>
      <c r="C30" s="2880">
        <v>7130642041</v>
      </c>
      <c r="D30" s="2882" t="s">
        <v>12</v>
      </c>
      <c r="E30" s="2298">
        <f>VLOOKUP(C30,'[25]SOR RATE'!A:D,4,0)</f>
        <v>5075.34</v>
      </c>
      <c r="F30" s="2880">
        <v>3</v>
      </c>
      <c r="G30" s="2298">
        <f>E30*F30</f>
        <v>15226.02</v>
      </c>
      <c r="H30" s="2305">
        <v>3</v>
      </c>
      <c r="I30" s="2298">
        <f>E30*H30</f>
        <v>15226.02</v>
      </c>
      <c r="J30" s="605"/>
      <c r="K30" s="2129"/>
      <c r="L30" s="2129"/>
      <c r="M30" s="2129"/>
      <c r="N30" s="2129"/>
      <c r="O30" s="2129"/>
      <c r="P30" s="2129"/>
    </row>
    <row r="31" spans="1:16" ht="18" customHeight="1">
      <c r="A31" s="2879" t="s">
        <v>1494</v>
      </c>
      <c r="B31" s="2936" t="s">
        <v>2984</v>
      </c>
      <c r="C31" s="2883">
        <v>7130600173</v>
      </c>
      <c r="D31" s="2883" t="s">
        <v>26</v>
      </c>
      <c r="E31" s="1132">
        <f>VLOOKUP(C31,'[25]SOR RATE'!A:D,4,0)/1000</f>
        <v>57.763910000000003</v>
      </c>
      <c r="F31" s="2883">
        <v>100</v>
      </c>
      <c r="G31" s="1132">
        <f>E31*F31</f>
        <v>5776.3910000000005</v>
      </c>
      <c r="H31" s="1621">
        <v>100</v>
      </c>
      <c r="I31" s="1132">
        <f>E31*H31</f>
        <v>5776.3910000000005</v>
      </c>
      <c r="J31" s="605"/>
      <c r="K31" s="2129"/>
      <c r="L31" s="2129"/>
      <c r="M31" s="2129"/>
      <c r="N31" s="2129"/>
      <c r="O31" s="2129"/>
      <c r="P31" s="2129"/>
    </row>
    <row r="32" spans="1:16" ht="16.5" customHeight="1">
      <c r="A32" s="2879">
        <v>22</v>
      </c>
      <c r="B32" s="1290" t="s">
        <v>2143</v>
      </c>
      <c r="C32" s="1616">
        <v>7130200202</v>
      </c>
      <c r="D32" s="2883" t="s">
        <v>76</v>
      </c>
      <c r="E32" s="1132">
        <f>VLOOKUP(C32,'[25]SOR RATE'!A:D,4,0)</f>
        <v>2970</v>
      </c>
      <c r="F32" s="1637">
        <v>9.9</v>
      </c>
      <c r="G32" s="1132">
        <f>E32*F32</f>
        <v>29403</v>
      </c>
      <c r="H32" s="2883">
        <v>9.9</v>
      </c>
      <c r="I32" s="1132">
        <f>E32*H32</f>
        <v>29403</v>
      </c>
      <c r="J32" s="3411" t="s">
        <v>47</v>
      </c>
      <c r="K32" s="3412"/>
    </row>
    <row r="33" spans="1:12" ht="18" customHeight="1">
      <c r="A33" s="2887">
        <v>23</v>
      </c>
      <c r="B33" s="1639" t="s">
        <v>48</v>
      </c>
      <c r="C33" s="1613"/>
      <c r="D33" s="2887"/>
      <c r="E33" s="2887"/>
      <c r="F33" s="2887"/>
      <c r="G33" s="1642">
        <f>SUM(G8:G32)</f>
        <v>1168401.6513499999</v>
      </c>
      <c r="H33" s="1642"/>
      <c r="I33" s="1642">
        <f>SUM(I8:I32)</f>
        <v>976685.33469999989</v>
      </c>
      <c r="K33" s="2894"/>
      <c r="L33" s="2894"/>
    </row>
    <row r="34" spans="1:12" ht="18" customHeight="1">
      <c r="A34" s="2887">
        <v>24</v>
      </c>
      <c r="B34" s="1639" t="s">
        <v>49</v>
      </c>
      <c r="C34" s="1613"/>
      <c r="D34" s="2887"/>
      <c r="E34" s="2887"/>
      <c r="F34" s="2887"/>
      <c r="G34" s="1642">
        <f>G33/1.18</f>
        <v>990170.89097457624</v>
      </c>
      <c r="H34" s="1642"/>
      <c r="I34" s="1642">
        <f>I33/1.18</f>
        <v>827699.43618644064</v>
      </c>
      <c r="J34" s="85"/>
      <c r="K34" s="2894"/>
      <c r="L34" s="2894"/>
    </row>
    <row r="35" spans="1:12" ht="18.75" customHeight="1">
      <c r="A35" s="2883">
        <v>25</v>
      </c>
      <c r="B35" s="1619" t="s">
        <v>50</v>
      </c>
      <c r="C35" s="1638"/>
      <c r="D35" s="2883"/>
      <c r="E35" s="2883">
        <v>7.4999999999999997E-2</v>
      </c>
      <c r="F35" s="2883"/>
      <c r="G35" s="1132">
        <f>G33*E35</f>
        <v>87630.123851249999</v>
      </c>
      <c r="H35" s="1132"/>
      <c r="I35" s="1132">
        <f>I33*E35</f>
        <v>73251.400102499989</v>
      </c>
      <c r="J35" s="803"/>
    </row>
    <row r="36" spans="1:12" ht="18" customHeight="1">
      <c r="A36" s="2883">
        <v>26</v>
      </c>
      <c r="B36" s="1624" t="s">
        <v>2985</v>
      </c>
      <c r="C36" s="1638"/>
      <c r="D36" s="2883"/>
      <c r="E36" s="2883"/>
      <c r="F36" s="2883"/>
      <c r="G36" s="1132">
        <v>34393.03</v>
      </c>
      <c r="H36" s="1132"/>
      <c r="I36" s="1132">
        <v>29578.44</v>
      </c>
    </row>
    <row r="37" spans="1:12" ht="18" customHeight="1">
      <c r="A37" s="2883">
        <v>27</v>
      </c>
      <c r="B37" s="1624" t="s">
        <v>2767</v>
      </c>
      <c r="C37" s="1638"/>
      <c r="D37" s="2883"/>
      <c r="E37" s="1132">
        <v>0.04</v>
      </c>
      <c r="F37" s="2883"/>
      <c r="G37" s="1132">
        <f>G34*E37</f>
        <v>39606.835638983051</v>
      </c>
      <c r="H37" s="1132"/>
      <c r="I37" s="1132">
        <f>I34*E37</f>
        <v>33107.977447457626</v>
      </c>
      <c r="J37" s="737" t="s">
        <v>1827</v>
      </c>
    </row>
    <row r="38" spans="1:12" ht="18" customHeight="1">
      <c r="A38" s="2883">
        <v>28</v>
      </c>
      <c r="B38" s="1646" t="s">
        <v>82</v>
      </c>
      <c r="C38" s="1638"/>
      <c r="D38" s="2883" t="s">
        <v>76</v>
      </c>
      <c r="E38" s="1202">
        <f>665.173187113158*1.043</f>
        <v>693.77563415902364</v>
      </c>
      <c r="F38" s="2883">
        <v>9.9</v>
      </c>
      <c r="G38" s="1132">
        <f>E38*F38</f>
        <v>6868.378778174334</v>
      </c>
      <c r="H38" s="1637">
        <v>9.9</v>
      </c>
      <c r="I38" s="1132">
        <f>E38*H38</f>
        <v>6868.378778174334</v>
      </c>
      <c r="J38" s="2895"/>
    </row>
    <row r="39" spans="1:12" ht="17.25" customHeight="1">
      <c r="A39" s="2883">
        <v>29</v>
      </c>
      <c r="B39" s="1615" t="s">
        <v>201</v>
      </c>
      <c r="C39" s="2940"/>
      <c r="D39" s="2888" t="s">
        <v>12</v>
      </c>
      <c r="E39" s="2941">
        <f>3020.13589298559*1.043</f>
        <v>3150.0017363839702</v>
      </c>
      <c r="F39" s="2883">
        <v>1</v>
      </c>
      <c r="G39" s="1132">
        <f>E39*F39</f>
        <v>3150.0017363839702</v>
      </c>
      <c r="H39" s="1621">
        <v>1</v>
      </c>
      <c r="I39" s="1132">
        <f>E39*H39</f>
        <v>3150.0017363839702</v>
      </c>
      <c r="L39" s="633"/>
    </row>
    <row r="40" spans="1:12" ht="31.5" customHeight="1">
      <c r="A40" s="2883">
        <v>30</v>
      </c>
      <c r="B40" s="1619" t="s">
        <v>2986</v>
      </c>
      <c r="C40" s="2940"/>
      <c r="D40" s="2888"/>
      <c r="E40" s="1132"/>
      <c r="F40" s="2883"/>
      <c r="G40" s="1132">
        <f>(G33+G35+G36+G37+G38+G39)*0.125</f>
        <v>167506.25266934888</v>
      </c>
      <c r="H40" s="1621"/>
      <c r="I40" s="1132">
        <f>(I33+I35+I36+I37+I38+I39)*0.125</f>
        <v>140330.19159556445</v>
      </c>
    </row>
    <row r="41" spans="1:12" ht="31.5" customHeight="1">
      <c r="A41" s="2887">
        <v>31</v>
      </c>
      <c r="B41" s="1647" t="s">
        <v>167</v>
      </c>
      <c r="C41" s="2940"/>
      <c r="D41" s="2888"/>
      <c r="E41" s="1132"/>
      <c r="F41" s="2883"/>
      <c r="G41" s="1642">
        <f>SUM(G34:G40)</f>
        <v>1329325.5136487163</v>
      </c>
      <c r="H41" s="1642"/>
      <c r="I41" s="1642">
        <f>SUM(I34:I40)</f>
        <v>1113985.825846521</v>
      </c>
    </row>
    <row r="42" spans="1:12" ht="17.25" customHeight="1">
      <c r="A42" s="2883">
        <v>32</v>
      </c>
      <c r="B42" s="1619" t="s">
        <v>168</v>
      </c>
      <c r="C42" s="2940"/>
      <c r="D42" s="2888"/>
      <c r="E42" s="1132">
        <v>0.09</v>
      </c>
      <c r="F42" s="2883"/>
      <c r="G42" s="1132">
        <f>G41*E42</f>
        <v>119639.29622838445</v>
      </c>
      <c r="H42" s="1132"/>
      <c r="I42" s="1132">
        <f>I41*E42</f>
        <v>100258.72432618689</v>
      </c>
    </row>
    <row r="43" spans="1:12" ht="17.25" customHeight="1">
      <c r="A43" s="2883">
        <v>33</v>
      </c>
      <c r="B43" s="1619" t="s">
        <v>170</v>
      </c>
      <c r="C43" s="2940"/>
      <c r="D43" s="2888"/>
      <c r="E43" s="1132">
        <v>0.09</v>
      </c>
      <c r="F43" s="2883"/>
      <c r="G43" s="1132">
        <f>G41*E43</f>
        <v>119639.29622838445</v>
      </c>
      <c r="H43" s="1132"/>
      <c r="I43" s="1132">
        <f>I41*E43</f>
        <v>100258.72432618689</v>
      </c>
      <c r="J43" s="95"/>
    </row>
    <row r="44" spans="1:12" ht="16.5" customHeight="1">
      <c r="A44" s="2883">
        <v>34</v>
      </c>
      <c r="B44" s="1619" t="s">
        <v>171</v>
      </c>
      <c r="C44" s="1638"/>
      <c r="D44" s="2883"/>
      <c r="E44" s="2883"/>
      <c r="F44" s="2883"/>
      <c r="G44" s="1642">
        <f>G41+G42+G43</f>
        <v>1568604.106105485</v>
      </c>
      <c r="H44" s="1642"/>
      <c r="I44" s="1642">
        <f>I41+I42+I43</f>
        <v>1314503.2744988946</v>
      </c>
    </row>
    <row r="45" spans="1:12" ht="17.25" customHeight="1">
      <c r="A45" s="2887">
        <v>35</v>
      </c>
      <c r="B45" s="1647" t="s">
        <v>59</v>
      </c>
      <c r="C45" s="1638"/>
      <c r="D45" s="2891"/>
      <c r="E45" s="2891"/>
      <c r="F45" s="2891"/>
      <c r="G45" s="1642">
        <f>ROUND(G44,0)</f>
        <v>1568604</v>
      </c>
      <c r="H45" s="1642"/>
      <c r="I45" s="1642">
        <f>ROUND(I44,0)</f>
        <v>1314503</v>
      </c>
    </row>
    <row r="46" spans="1:12" ht="17.25" customHeight="1"/>
    <row r="47" spans="1:12" ht="13.5" customHeight="1">
      <c r="A47" s="2410"/>
      <c r="B47" s="2122"/>
      <c r="C47" s="2122"/>
      <c r="D47" s="2122"/>
      <c r="E47" s="2122"/>
      <c r="F47" s="2122"/>
      <c r="G47" s="2894"/>
      <c r="H47" s="2894"/>
      <c r="I47" s="2894"/>
    </row>
    <row r="48" spans="1:12" ht="15">
      <c r="G48" s="2894"/>
      <c r="H48" s="2894"/>
      <c r="I48" s="2894"/>
    </row>
    <row r="49" spans="1:1" ht="15.75" customHeight="1">
      <c r="A49" s="2065"/>
    </row>
  </sheetData>
  <mergeCells count="11">
    <mergeCell ref="A17:A18"/>
    <mergeCell ref="J32:K32"/>
    <mergeCell ref="B1:E1"/>
    <mergeCell ref="B3:I3"/>
    <mergeCell ref="A5:A6"/>
    <mergeCell ref="B5:B6"/>
    <mergeCell ref="C5:C6"/>
    <mergeCell ref="D5:D6"/>
    <mergeCell ref="E5:E6"/>
    <mergeCell ref="F5:G5"/>
    <mergeCell ref="H5:I5"/>
  </mergeCells>
  <conditionalFormatting sqref="B33">
    <cfRule type="cellIs" dxfId="56" priority="2" stopIfTrue="1" operator="equal">
      <formula>"?"</formula>
    </cfRule>
  </conditionalFormatting>
  <conditionalFormatting sqref="B34">
    <cfRule type="cellIs" dxfId="55" priority="1" stopIfTrue="1" operator="equal">
      <formula>"?"</formula>
    </cfRule>
  </conditionalFormatting>
  <pageMargins left="0.75" right="0.15" top="0.62" bottom="0.28000000000000003" header="0.5" footer="0.17"/>
  <pageSetup orientation="landscape" verticalDpi="300" r:id="rId1"/>
  <headerFooter alignWithMargins="0"/>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3"/>
  <sheetViews>
    <sheetView zoomScaleSheetLayoutView="70" workbookViewId="0">
      <pane xSplit="2" ySplit="7" topLeftCell="E16" activePane="bottomRight" state="frozen"/>
      <selection pane="topRight" activeCell="C1" sqref="C1"/>
      <selection pane="bottomLeft" activeCell="A8" sqref="A8"/>
      <selection pane="bottomRight" activeCell="H13" sqref="H13"/>
    </sheetView>
  </sheetViews>
  <sheetFormatPr defaultRowHeight="12.75"/>
  <cols>
    <col min="1" max="1" width="4.42578125" style="137" customWidth="1"/>
    <col min="2" max="2" width="78.7109375" style="70" customWidth="1"/>
    <col min="3" max="3" width="13.85546875" style="70" customWidth="1"/>
    <col min="4" max="4" width="6.42578125" style="70" customWidth="1"/>
    <col min="5" max="5" width="12.140625" style="70" customWidth="1"/>
    <col min="6" max="6" width="7.85546875" style="70" customWidth="1"/>
    <col min="7" max="7" width="12.28515625" style="70" customWidth="1"/>
    <col min="8" max="8" width="21.7109375" style="70" customWidth="1"/>
    <col min="9" max="9" width="14" style="70" customWidth="1"/>
    <col min="10" max="256" width="9.140625" style="70"/>
    <col min="257" max="257" width="4.42578125" style="70" customWidth="1"/>
    <col min="258" max="258" width="78.7109375" style="70" customWidth="1"/>
    <col min="259" max="259" width="13.85546875" style="70" customWidth="1"/>
    <col min="260" max="260" width="6.42578125" style="70" customWidth="1"/>
    <col min="261" max="261" width="12.140625" style="70" customWidth="1"/>
    <col min="262" max="262" width="7.85546875" style="70" customWidth="1"/>
    <col min="263" max="263" width="12.28515625" style="70" customWidth="1"/>
    <col min="264" max="264" width="21.7109375" style="70" customWidth="1"/>
    <col min="265" max="265" width="14" style="70" customWidth="1"/>
    <col min="266" max="512" width="9.140625" style="70"/>
    <col min="513" max="513" width="4.42578125" style="70" customWidth="1"/>
    <col min="514" max="514" width="78.7109375" style="70" customWidth="1"/>
    <col min="515" max="515" width="13.85546875" style="70" customWidth="1"/>
    <col min="516" max="516" width="6.42578125" style="70" customWidth="1"/>
    <col min="517" max="517" width="12.140625" style="70" customWidth="1"/>
    <col min="518" max="518" width="7.85546875" style="70" customWidth="1"/>
    <col min="519" max="519" width="12.28515625" style="70" customWidth="1"/>
    <col min="520" max="520" width="21.7109375" style="70" customWidth="1"/>
    <col min="521" max="521" width="14" style="70" customWidth="1"/>
    <col min="522" max="768" width="9.140625" style="70"/>
    <col min="769" max="769" width="4.42578125" style="70" customWidth="1"/>
    <col min="770" max="770" width="78.7109375" style="70" customWidth="1"/>
    <col min="771" max="771" width="13.85546875" style="70" customWidth="1"/>
    <col min="772" max="772" width="6.42578125" style="70" customWidth="1"/>
    <col min="773" max="773" width="12.140625" style="70" customWidth="1"/>
    <col min="774" max="774" width="7.85546875" style="70" customWidth="1"/>
    <col min="775" max="775" width="12.28515625" style="70" customWidth="1"/>
    <col min="776" max="776" width="21.7109375" style="70" customWidth="1"/>
    <col min="777" max="777" width="14" style="70" customWidth="1"/>
    <col min="778" max="1024" width="9.140625" style="70"/>
    <col min="1025" max="1025" width="4.42578125" style="70" customWidth="1"/>
    <col min="1026" max="1026" width="78.7109375" style="70" customWidth="1"/>
    <col min="1027" max="1027" width="13.85546875" style="70" customWidth="1"/>
    <col min="1028" max="1028" width="6.42578125" style="70" customWidth="1"/>
    <col min="1029" max="1029" width="12.140625" style="70" customWidth="1"/>
    <col min="1030" max="1030" width="7.85546875" style="70" customWidth="1"/>
    <col min="1031" max="1031" width="12.28515625" style="70" customWidth="1"/>
    <col min="1032" max="1032" width="21.7109375" style="70" customWidth="1"/>
    <col min="1033" max="1033" width="14" style="70" customWidth="1"/>
    <col min="1034" max="1280" width="9.140625" style="70"/>
    <col min="1281" max="1281" width="4.42578125" style="70" customWidth="1"/>
    <col min="1282" max="1282" width="78.7109375" style="70" customWidth="1"/>
    <col min="1283" max="1283" width="13.85546875" style="70" customWidth="1"/>
    <col min="1284" max="1284" width="6.42578125" style="70" customWidth="1"/>
    <col min="1285" max="1285" width="12.140625" style="70" customWidth="1"/>
    <col min="1286" max="1286" width="7.85546875" style="70" customWidth="1"/>
    <col min="1287" max="1287" width="12.28515625" style="70" customWidth="1"/>
    <col min="1288" max="1288" width="21.7109375" style="70" customWidth="1"/>
    <col min="1289" max="1289" width="14" style="70" customWidth="1"/>
    <col min="1290" max="1536" width="9.140625" style="70"/>
    <col min="1537" max="1537" width="4.42578125" style="70" customWidth="1"/>
    <col min="1538" max="1538" width="78.7109375" style="70" customWidth="1"/>
    <col min="1539" max="1539" width="13.85546875" style="70" customWidth="1"/>
    <col min="1540" max="1540" width="6.42578125" style="70" customWidth="1"/>
    <col min="1541" max="1541" width="12.140625" style="70" customWidth="1"/>
    <col min="1542" max="1542" width="7.85546875" style="70" customWidth="1"/>
    <col min="1543" max="1543" width="12.28515625" style="70" customWidth="1"/>
    <col min="1544" max="1544" width="21.7109375" style="70" customWidth="1"/>
    <col min="1545" max="1545" width="14" style="70" customWidth="1"/>
    <col min="1546" max="1792" width="9.140625" style="70"/>
    <col min="1793" max="1793" width="4.42578125" style="70" customWidth="1"/>
    <col min="1794" max="1794" width="78.7109375" style="70" customWidth="1"/>
    <col min="1795" max="1795" width="13.85546875" style="70" customWidth="1"/>
    <col min="1796" max="1796" width="6.42578125" style="70" customWidth="1"/>
    <col min="1797" max="1797" width="12.140625" style="70" customWidth="1"/>
    <col min="1798" max="1798" width="7.85546875" style="70" customWidth="1"/>
    <col min="1799" max="1799" width="12.28515625" style="70" customWidth="1"/>
    <col min="1800" max="1800" width="21.7109375" style="70" customWidth="1"/>
    <col min="1801" max="1801" width="14" style="70" customWidth="1"/>
    <col min="1802" max="2048" width="9.140625" style="70"/>
    <col min="2049" max="2049" width="4.42578125" style="70" customWidth="1"/>
    <col min="2050" max="2050" width="78.7109375" style="70" customWidth="1"/>
    <col min="2051" max="2051" width="13.85546875" style="70" customWidth="1"/>
    <col min="2052" max="2052" width="6.42578125" style="70" customWidth="1"/>
    <col min="2053" max="2053" width="12.140625" style="70" customWidth="1"/>
    <col min="2054" max="2054" width="7.85546875" style="70" customWidth="1"/>
    <col min="2055" max="2055" width="12.28515625" style="70" customWidth="1"/>
    <col min="2056" max="2056" width="21.7109375" style="70" customWidth="1"/>
    <col min="2057" max="2057" width="14" style="70" customWidth="1"/>
    <col min="2058" max="2304" width="9.140625" style="70"/>
    <col min="2305" max="2305" width="4.42578125" style="70" customWidth="1"/>
    <col min="2306" max="2306" width="78.7109375" style="70" customWidth="1"/>
    <col min="2307" max="2307" width="13.85546875" style="70" customWidth="1"/>
    <col min="2308" max="2308" width="6.42578125" style="70" customWidth="1"/>
    <col min="2309" max="2309" width="12.140625" style="70" customWidth="1"/>
    <col min="2310" max="2310" width="7.85546875" style="70" customWidth="1"/>
    <col min="2311" max="2311" width="12.28515625" style="70" customWidth="1"/>
    <col min="2312" max="2312" width="21.7109375" style="70" customWidth="1"/>
    <col min="2313" max="2313" width="14" style="70" customWidth="1"/>
    <col min="2314" max="2560" width="9.140625" style="70"/>
    <col min="2561" max="2561" width="4.42578125" style="70" customWidth="1"/>
    <col min="2562" max="2562" width="78.7109375" style="70" customWidth="1"/>
    <col min="2563" max="2563" width="13.85546875" style="70" customWidth="1"/>
    <col min="2564" max="2564" width="6.42578125" style="70" customWidth="1"/>
    <col min="2565" max="2565" width="12.140625" style="70" customWidth="1"/>
    <col min="2566" max="2566" width="7.85546875" style="70" customWidth="1"/>
    <col min="2567" max="2567" width="12.28515625" style="70" customWidth="1"/>
    <col min="2568" max="2568" width="21.7109375" style="70" customWidth="1"/>
    <col min="2569" max="2569" width="14" style="70" customWidth="1"/>
    <col min="2570" max="2816" width="9.140625" style="70"/>
    <col min="2817" max="2817" width="4.42578125" style="70" customWidth="1"/>
    <col min="2818" max="2818" width="78.7109375" style="70" customWidth="1"/>
    <col min="2819" max="2819" width="13.85546875" style="70" customWidth="1"/>
    <col min="2820" max="2820" width="6.42578125" style="70" customWidth="1"/>
    <col min="2821" max="2821" width="12.140625" style="70" customWidth="1"/>
    <col min="2822" max="2822" width="7.85546875" style="70" customWidth="1"/>
    <col min="2823" max="2823" width="12.28515625" style="70" customWidth="1"/>
    <col min="2824" max="2824" width="21.7109375" style="70" customWidth="1"/>
    <col min="2825" max="2825" width="14" style="70" customWidth="1"/>
    <col min="2826" max="3072" width="9.140625" style="70"/>
    <col min="3073" max="3073" width="4.42578125" style="70" customWidth="1"/>
    <col min="3074" max="3074" width="78.7109375" style="70" customWidth="1"/>
    <col min="3075" max="3075" width="13.85546875" style="70" customWidth="1"/>
    <col min="3076" max="3076" width="6.42578125" style="70" customWidth="1"/>
    <col min="3077" max="3077" width="12.140625" style="70" customWidth="1"/>
    <col min="3078" max="3078" width="7.85546875" style="70" customWidth="1"/>
    <col min="3079" max="3079" width="12.28515625" style="70" customWidth="1"/>
    <col min="3080" max="3080" width="21.7109375" style="70" customWidth="1"/>
    <col min="3081" max="3081" width="14" style="70" customWidth="1"/>
    <col min="3082" max="3328" width="9.140625" style="70"/>
    <col min="3329" max="3329" width="4.42578125" style="70" customWidth="1"/>
    <col min="3330" max="3330" width="78.7109375" style="70" customWidth="1"/>
    <col min="3331" max="3331" width="13.85546875" style="70" customWidth="1"/>
    <col min="3332" max="3332" width="6.42578125" style="70" customWidth="1"/>
    <col min="3333" max="3333" width="12.140625" style="70" customWidth="1"/>
    <col min="3334" max="3334" width="7.85546875" style="70" customWidth="1"/>
    <col min="3335" max="3335" width="12.28515625" style="70" customWidth="1"/>
    <col min="3336" max="3336" width="21.7109375" style="70" customWidth="1"/>
    <col min="3337" max="3337" width="14" style="70" customWidth="1"/>
    <col min="3338" max="3584" width="9.140625" style="70"/>
    <col min="3585" max="3585" width="4.42578125" style="70" customWidth="1"/>
    <col min="3586" max="3586" width="78.7109375" style="70" customWidth="1"/>
    <col min="3587" max="3587" width="13.85546875" style="70" customWidth="1"/>
    <col min="3588" max="3588" width="6.42578125" style="70" customWidth="1"/>
    <col min="3589" max="3589" width="12.140625" style="70" customWidth="1"/>
    <col min="3590" max="3590" width="7.85546875" style="70" customWidth="1"/>
    <col min="3591" max="3591" width="12.28515625" style="70" customWidth="1"/>
    <col min="3592" max="3592" width="21.7109375" style="70" customWidth="1"/>
    <col min="3593" max="3593" width="14" style="70" customWidth="1"/>
    <col min="3594" max="3840" width="9.140625" style="70"/>
    <col min="3841" max="3841" width="4.42578125" style="70" customWidth="1"/>
    <col min="3842" max="3842" width="78.7109375" style="70" customWidth="1"/>
    <col min="3843" max="3843" width="13.85546875" style="70" customWidth="1"/>
    <col min="3844" max="3844" width="6.42578125" style="70" customWidth="1"/>
    <col min="3845" max="3845" width="12.140625" style="70" customWidth="1"/>
    <col min="3846" max="3846" width="7.85546875" style="70" customWidth="1"/>
    <col min="3847" max="3847" width="12.28515625" style="70" customWidth="1"/>
    <col min="3848" max="3848" width="21.7109375" style="70" customWidth="1"/>
    <col min="3849" max="3849" width="14" style="70" customWidth="1"/>
    <col min="3850" max="4096" width="9.140625" style="70"/>
    <col min="4097" max="4097" width="4.42578125" style="70" customWidth="1"/>
    <col min="4098" max="4098" width="78.7109375" style="70" customWidth="1"/>
    <col min="4099" max="4099" width="13.85546875" style="70" customWidth="1"/>
    <col min="4100" max="4100" width="6.42578125" style="70" customWidth="1"/>
    <col min="4101" max="4101" width="12.140625" style="70" customWidth="1"/>
    <col min="4102" max="4102" width="7.85546875" style="70" customWidth="1"/>
    <col min="4103" max="4103" width="12.28515625" style="70" customWidth="1"/>
    <col min="4104" max="4104" width="21.7109375" style="70" customWidth="1"/>
    <col min="4105" max="4105" width="14" style="70" customWidth="1"/>
    <col min="4106" max="4352" width="9.140625" style="70"/>
    <col min="4353" max="4353" width="4.42578125" style="70" customWidth="1"/>
    <col min="4354" max="4354" width="78.7109375" style="70" customWidth="1"/>
    <col min="4355" max="4355" width="13.85546875" style="70" customWidth="1"/>
    <col min="4356" max="4356" width="6.42578125" style="70" customWidth="1"/>
    <col min="4357" max="4357" width="12.140625" style="70" customWidth="1"/>
    <col min="4358" max="4358" width="7.85546875" style="70" customWidth="1"/>
    <col min="4359" max="4359" width="12.28515625" style="70" customWidth="1"/>
    <col min="4360" max="4360" width="21.7109375" style="70" customWidth="1"/>
    <col min="4361" max="4361" width="14" style="70" customWidth="1"/>
    <col min="4362" max="4608" width="9.140625" style="70"/>
    <col min="4609" max="4609" width="4.42578125" style="70" customWidth="1"/>
    <col min="4610" max="4610" width="78.7109375" style="70" customWidth="1"/>
    <col min="4611" max="4611" width="13.85546875" style="70" customWidth="1"/>
    <col min="4612" max="4612" width="6.42578125" style="70" customWidth="1"/>
    <col min="4613" max="4613" width="12.140625" style="70" customWidth="1"/>
    <col min="4614" max="4614" width="7.85546875" style="70" customWidth="1"/>
    <col min="4615" max="4615" width="12.28515625" style="70" customWidth="1"/>
    <col min="4616" max="4616" width="21.7109375" style="70" customWidth="1"/>
    <col min="4617" max="4617" width="14" style="70" customWidth="1"/>
    <col min="4618" max="4864" width="9.140625" style="70"/>
    <col min="4865" max="4865" width="4.42578125" style="70" customWidth="1"/>
    <col min="4866" max="4866" width="78.7109375" style="70" customWidth="1"/>
    <col min="4867" max="4867" width="13.85546875" style="70" customWidth="1"/>
    <col min="4868" max="4868" width="6.42578125" style="70" customWidth="1"/>
    <col min="4869" max="4869" width="12.140625" style="70" customWidth="1"/>
    <col min="4870" max="4870" width="7.85546875" style="70" customWidth="1"/>
    <col min="4871" max="4871" width="12.28515625" style="70" customWidth="1"/>
    <col min="4872" max="4872" width="21.7109375" style="70" customWidth="1"/>
    <col min="4873" max="4873" width="14" style="70" customWidth="1"/>
    <col min="4874" max="5120" width="9.140625" style="70"/>
    <col min="5121" max="5121" width="4.42578125" style="70" customWidth="1"/>
    <col min="5122" max="5122" width="78.7109375" style="70" customWidth="1"/>
    <col min="5123" max="5123" width="13.85546875" style="70" customWidth="1"/>
    <col min="5124" max="5124" width="6.42578125" style="70" customWidth="1"/>
    <col min="5125" max="5125" width="12.140625" style="70" customWidth="1"/>
    <col min="5126" max="5126" width="7.85546875" style="70" customWidth="1"/>
    <col min="5127" max="5127" width="12.28515625" style="70" customWidth="1"/>
    <col min="5128" max="5128" width="21.7109375" style="70" customWidth="1"/>
    <col min="5129" max="5129" width="14" style="70" customWidth="1"/>
    <col min="5130" max="5376" width="9.140625" style="70"/>
    <col min="5377" max="5377" width="4.42578125" style="70" customWidth="1"/>
    <col min="5378" max="5378" width="78.7109375" style="70" customWidth="1"/>
    <col min="5379" max="5379" width="13.85546875" style="70" customWidth="1"/>
    <col min="5380" max="5380" width="6.42578125" style="70" customWidth="1"/>
    <col min="5381" max="5381" width="12.140625" style="70" customWidth="1"/>
    <col min="5382" max="5382" width="7.85546875" style="70" customWidth="1"/>
    <col min="5383" max="5383" width="12.28515625" style="70" customWidth="1"/>
    <col min="5384" max="5384" width="21.7109375" style="70" customWidth="1"/>
    <col min="5385" max="5385" width="14" style="70" customWidth="1"/>
    <col min="5386" max="5632" width="9.140625" style="70"/>
    <col min="5633" max="5633" width="4.42578125" style="70" customWidth="1"/>
    <col min="5634" max="5634" width="78.7109375" style="70" customWidth="1"/>
    <col min="5635" max="5635" width="13.85546875" style="70" customWidth="1"/>
    <col min="5636" max="5636" width="6.42578125" style="70" customWidth="1"/>
    <col min="5637" max="5637" width="12.140625" style="70" customWidth="1"/>
    <col min="5638" max="5638" width="7.85546875" style="70" customWidth="1"/>
    <col min="5639" max="5639" width="12.28515625" style="70" customWidth="1"/>
    <col min="5640" max="5640" width="21.7109375" style="70" customWidth="1"/>
    <col min="5641" max="5641" width="14" style="70" customWidth="1"/>
    <col min="5642" max="5888" width="9.140625" style="70"/>
    <col min="5889" max="5889" width="4.42578125" style="70" customWidth="1"/>
    <col min="5890" max="5890" width="78.7109375" style="70" customWidth="1"/>
    <col min="5891" max="5891" width="13.85546875" style="70" customWidth="1"/>
    <col min="5892" max="5892" width="6.42578125" style="70" customWidth="1"/>
    <col min="5893" max="5893" width="12.140625" style="70" customWidth="1"/>
    <col min="5894" max="5894" width="7.85546875" style="70" customWidth="1"/>
    <col min="5895" max="5895" width="12.28515625" style="70" customWidth="1"/>
    <col min="5896" max="5896" width="21.7109375" style="70" customWidth="1"/>
    <col min="5897" max="5897" width="14" style="70" customWidth="1"/>
    <col min="5898" max="6144" width="9.140625" style="70"/>
    <col min="6145" max="6145" width="4.42578125" style="70" customWidth="1"/>
    <col min="6146" max="6146" width="78.7109375" style="70" customWidth="1"/>
    <col min="6147" max="6147" width="13.85546875" style="70" customWidth="1"/>
    <col min="6148" max="6148" width="6.42578125" style="70" customWidth="1"/>
    <col min="6149" max="6149" width="12.140625" style="70" customWidth="1"/>
    <col min="6150" max="6150" width="7.85546875" style="70" customWidth="1"/>
    <col min="6151" max="6151" width="12.28515625" style="70" customWidth="1"/>
    <col min="6152" max="6152" width="21.7109375" style="70" customWidth="1"/>
    <col min="6153" max="6153" width="14" style="70" customWidth="1"/>
    <col min="6154" max="6400" width="9.140625" style="70"/>
    <col min="6401" max="6401" width="4.42578125" style="70" customWidth="1"/>
    <col min="6402" max="6402" width="78.7109375" style="70" customWidth="1"/>
    <col min="6403" max="6403" width="13.85546875" style="70" customWidth="1"/>
    <col min="6404" max="6404" width="6.42578125" style="70" customWidth="1"/>
    <col min="6405" max="6405" width="12.140625" style="70" customWidth="1"/>
    <col min="6406" max="6406" width="7.85546875" style="70" customWidth="1"/>
    <col min="6407" max="6407" width="12.28515625" style="70" customWidth="1"/>
    <col min="6408" max="6408" width="21.7109375" style="70" customWidth="1"/>
    <col min="6409" max="6409" width="14" style="70" customWidth="1"/>
    <col min="6410" max="6656" width="9.140625" style="70"/>
    <col min="6657" max="6657" width="4.42578125" style="70" customWidth="1"/>
    <col min="6658" max="6658" width="78.7109375" style="70" customWidth="1"/>
    <col min="6659" max="6659" width="13.85546875" style="70" customWidth="1"/>
    <col min="6660" max="6660" width="6.42578125" style="70" customWidth="1"/>
    <col min="6661" max="6661" width="12.140625" style="70" customWidth="1"/>
    <col min="6662" max="6662" width="7.85546875" style="70" customWidth="1"/>
    <col min="6663" max="6663" width="12.28515625" style="70" customWidth="1"/>
    <col min="6664" max="6664" width="21.7109375" style="70" customWidth="1"/>
    <col min="6665" max="6665" width="14" style="70" customWidth="1"/>
    <col min="6666" max="6912" width="9.140625" style="70"/>
    <col min="6913" max="6913" width="4.42578125" style="70" customWidth="1"/>
    <col min="6914" max="6914" width="78.7109375" style="70" customWidth="1"/>
    <col min="6915" max="6915" width="13.85546875" style="70" customWidth="1"/>
    <col min="6916" max="6916" width="6.42578125" style="70" customWidth="1"/>
    <col min="6917" max="6917" width="12.140625" style="70" customWidth="1"/>
    <col min="6918" max="6918" width="7.85546875" style="70" customWidth="1"/>
    <col min="6919" max="6919" width="12.28515625" style="70" customWidth="1"/>
    <col min="6920" max="6920" width="21.7109375" style="70" customWidth="1"/>
    <col min="6921" max="6921" width="14" style="70" customWidth="1"/>
    <col min="6922" max="7168" width="9.140625" style="70"/>
    <col min="7169" max="7169" width="4.42578125" style="70" customWidth="1"/>
    <col min="7170" max="7170" width="78.7109375" style="70" customWidth="1"/>
    <col min="7171" max="7171" width="13.85546875" style="70" customWidth="1"/>
    <col min="7172" max="7172" width="6.42578125" style="70" customWidth="1"/>
    <col min="7173" max="7173" width="12.140625" style="70" customWidth="1"/>
    <col min="7174" max="7174" width="7.85546875" style="70" customWidth="1"/>
    <col min="7175" max="7175" width="12.28515625" style="70" customWidth="1"/>
    <col min="7176" max="7176" width="21.7109375" style="70" customWidth="1"/>
    <col min="7177" max="7177" width="14" style="70" customWidth="1"/>
    <col min="7178" max="7424" width="9.140625" style="70"/>
    <col min="7425" max="7425" width="4.42578125" style="70" customWidth="1"/>
    <col min="7426" max="7426" width="78.7109375" style="70" customWidth="1"/>
    <col min="7427" max="7427" width="13.85546875" style="70" customWidth="1"/>
    <col min="7428" max="7428" width="6.42578125" style="70" customWidth="1"/>
    <col min="7429" max="7429" width="12.140625" style="70" customWidth="1"/>
    <col min="7430" max="7430" width="7.85546875" style="70" customWidth="1"/>
    <col min="7431" max="7431" width="12.28515625" style="70" customWidth="1"/>
    <col min="7432" max="7432" width="21.7109375" style="70" customWidth="1"/>
    <col min="7433" max="7433" width="14" style="70" customWidth="1"/>
    <col min="7434" max="7680" width="9.140625" style="70"/>
    <col min="7681" max="7681" width="4.42578125" style="70" customWidth="1"/>
    <col min="7682" max="7682" width="78.7109375" style="70" customWidth="1"/>
    <col min="7683" max="7683" width="13.85546875" style="70" customWidth="1"/>
    <col min="7684" max="7684" width="6.42578125" style="70" customWidth="1"/>
    <col min="7685" max="7685" width="12.140625" style="70" customWidth="1"/>
    <col min="7686" max="7686" width="7.85546875" style="70" customWidth="1"/>
    <col min="7687" max="7687" width="12.28515625" style="70" customWidth="1"/>
    <col min="7688" max="7688" width="21.7109375" style="70" customWidth="1"/>
    <col min="7689" max="7689" width="14" style="70" customWidth="1"/>
    <col min="7690" max="7936" width="9.140625" style="70"/>
    <col min="7937" max="7937" width="4.42578125" style="70" customWidth="1"/>
    <col min="7938" max="7938" width="78.7109375" style="70" customWidth="1"/>
    <col min="7939" max="7939" width="13.85546875" style="70" customWidth="1"/>
    <col min="7940" max="7940" width="6.42578125" style="70" customWidth="1"/>
    <col min="7941" max="7941" width="12.140625" style="70" customWidth="1"/>
    <col min="7942" max="7942" width="7.85546875" style="70" customWidth="1"/>
    <col min="7943" max="7943" width="12.28515625" style="70" customWidth="1"/>
    <col min="7944" max="7944" width="21.7109375" style="70" customWidth="1"/>
    <col min="7945" max="7945" width="14" style="70" customWidth="1"/>
    <col min="7946" max="8192" width="9.140625" style="70"/>
    <col min="8193" max="8193" width="4.42578125" style="70" customWidth="1"/>
    <col min="8194" max="8194" width="78.7109375" style="70" customWidth="1"/>
    <col min="8195" max="8195" width="13.85546875" style="70" customWidth="1"/>
    <col min="8196" max="8196" width="6.42578125" style="70" customWidth="1"/>
    <col min="8197" max="8197" width="12.140625" style="70" customWidth="1"/>
    <col min="8198" max="8198" width="7.85546875" style="70" customWidth="1"/>
    <col min="8199" max="8199" width="12.28515625" style="70" customWidth="1"/>
    <col min="8200" max="8200" width="21.7109375" style="70" customWidth="1"/>
    <col min="8201" max="8201" width="14" style="70" customWidth="1"/>
    <col min="8202" max="8448" width="9.140625" style="70"/>
    <col min="8449" max="8449" width="4.42578125" style="70" customWidth="1"/>
    <col min="8450" max="8450" width="78.7109375" style="70" customWidth="1"/>
    <col min="8451" max="8451" width="13.85546875" style="70" customWidth="1"/>
    <col min="8452" max="8452" width="6.42578125" style="70" customWidth="1"/>
    <col min="8453" max="8453" width="12.140625" style="70" customWidth="1"/>
    <col min="8454" max="8454" width="7.85546875" style="70" customWidth="1"/>
    <col min="8455" max="8455" width="12.28515625" style="70" customWidth="1"/>
    <col min="8456" max="8456" width="21.7109375" style="70" customWidth="1"/>
    <col min="8457" max="8457" width="14" style="70" customWidth="1"/>
    <col min="8458" max="8704" width="9.140625" style="70"/>
    <col min="8705" max="8705" width="4.42578125" style="70" customWidth="1"/>
    <col min="8706" max="8706" width="78.7109375" style="70" customWidth="1"/>
    <col min="8707" max="8707" width="13.85546875" style="70" customWidth="1"/>
    <col min="8708" max="8708" width="6.42578125" style="70" customWidth="1"/>
    <col min="8709" max="8709" width="12.140625" style="70" customWidth="1"/>
    <col min="8710" max="8710" width="7.85546875" style="70" customWidth="1"/>
    <col min="8711" max="8711" width="12.28515625" style="70" customWidth="1"/>
    <col min="8712" max="8712" width="21.7109375" style="70" customWidth="1"/>
    <col min="8713" max="8713" width="14" style="70" customWidth="1"/>
    <col min="8714" max="8960" width="9.140625" style="70"/>
    <col min="8961" max="8961" width="4.42578125" style="70" customWidth="1"/>
    <col min="8962" max="8962" width="78.7109375" style="70" customWidth="1"/>
    <col min="8963" max="8963" width="13.85546875" style="70" customWidth="1"/>
    <col min="8964" max="8964" width="6.42578125" style="70" customWidth="1"/>
    <col min="8965" max="8965" width="12.140625" style="70" customWidth="1"/>
    <col min="8966" max="8966" width="7.85546875" style="70" customWidth="1"/>
    <col min="8967" max="8967" width="12.28515625" style="70" customWidth="1"/>
    <col min="8968" max="8968" width="21.7109375" style="70" customWidth="1"/>
    <col min="8969" max="8969" width="14" style="70" customWidth="1"/>
    <col min="8970" max="9216" width="9.140625" style="70"/>
    <col min="9217" max="9217" width="4.42578125" style="70" customWidth="1"/>
    <col min="9218" max="9218" width="78.7109375" style="70" customWidth="1"/>
    <col min="9219" max="9219" width="13.85546875" style="70" customWidth="1"/>
    <col min="9220" max="9220" width="6.42578125" style="70" customWidth="1"/>
    <col min="9221" max="9221" width="12.140625" style="70" customWidth="1"/>
    <col min="9222" max="9222" width="7.85546875" style="70" customWidth="1"/>
    <col min="9223" max="9223" width="12.28515625" style="70" customWidth="1"/>
    <col min="9224" max="9224" width="21.7109375" style="70" customWidth="1"/>
    <col min="9225" max="9225" width="14" style="70" customWidth="1"/>
    <col min="9226" max="9472" width="9.140625" style="70"/>
    <col min="9473" max="9473" width="4.42578125" style="70" customWidth="1"/>
    <col min="9474" max="9474" width="78.7109375" style="70" customWidth="1"/>
    <col min="9475" max="9475" width="13.85546875" style="70" customWidth="1"/>
    <col min="9476" max="9476" width="6.42578125" style="70" customWidth="1"/>
    <col min="9477" max="9477" width="12.140625" style="70" customWidth="1"/>
    <col min="9478" max="9478" width="7.85546875" style="70" customWidth="1"/>
    <col min="9479" max="9479" width="12.28515625" style="70" customWidth="1"/>
    <col min="9480" max="9480" width="21.7109375" style="70" customWidth="1"/>
    <col min="9481" max="9481" width="14" style="70" customWidth="1"/>
    <col min="9482" max="9728" width="9.140625" style="70"/>
    <col min="9729" max="9729" width="4.42578125" style="70" customWidth="1"/>
    <col min="9730" max="9730" width="78.7109375" style="70" customWidth="1"/>
    <col min="9731" max="9731" width="13.85546875" style="70" customWidth="1"/>
    <col min="9732" max="9732" width="6.42578125" style="70" customWidth="1"/>
    <col min="9733" max="9733" width="12.140625" style="70" customWidth="1"/>
    <col min="9734" max="9734" width="7.85546875" style="70" customWidth="1"/>
    <col min="9735" max="9735" width="12.28515625" style="70" customWidth="1"/>
    <col min="9736" max="9736" width="21.7109375" style="70" customWidth="1"/>
    <col min="9737" max="9737" width="14" style="70" customWidth="1"/>
    <col min="9738" max="9984" width="9.140625" style="70"/>
    <col min="9985" max="9985" width="4.42578125" style="70" customWidth="1"/>
    <col min="9986" max="9986" width="78.7109375" style="70" customWidth="1"/>
    <col min="9987" max="9987" width="13.85546875" style="70" customWidth="1"/>
    <col min="9988" max="9988" width="6.42578125" style="70" customWidth="1"/>
    <col min="9989" max="9989" width="12.140625" style="70" customWidth="1"/>
    <col min="9990" max="9990" width="7.85546875" style="70" customWidth="1"/>
    <col min="9991" max="9991" width="12.28515625" style="70" customWidth="1"/>
    <col min="9992" max="9992" width="21.7109375" style="70" customWidth="1"/>
    <col min="9993" max="9993" width="14" style="70" customWidth="1"/>
    <col min="9994" max="10240" width="9.140625" style="70"/>
    <col min="10241" max="10241" width="4.42578125" style="70" customWidth="1"/>
    <col min="10242" max="10242" width="78.7109375" style="70" customWidth="1"/>
    <col min="10243" max="10243" width="13.85546875" style="70" customWidth="1"/>
    <col min="10244" max="10244" width="6.42578125" style="70" customWidth="1"/>
    <col min="10245" max="10245" width="12.140625" style="70" customWidth="1"/>
    <col min="10246" max="10246" width="7.85546875" style="70" customWidth="1"/>
    <col min="10247" max="10247" width="12.28515625" style="70" customWidth="1"/>
    <col min="10248" max="10248" width="21.7109375" style="70" customWidth="1"/>
    <col min="10249" max="10249" width="14" style="70" customWidth="1"/>
    <col min="10250" max="10496" width="9.140625" style="70"/>
    <col min="10497" max="10497" width="4.42578125" style="70" customWidth="1"/>
    <col min="10498" max="10498" width="78.7109375" style="70" customWidth="1"/>
    <col min="10499" max="10499" width="13.85546875" style="70" customWidth="1"/>
    <col min="10500" max="10500" width="6.42578125" style="70" customWidth="1"/>
    <col min="10501" max="10501" width="12.140625" style="70" customWidth="1"/>
    <col min="10502" max="10502" width="7.85546875" style="70" customWidth="1"/>
    <col min="10503" max="10503" width="12.28515625" style="70" customWidth="1"/>
    <col min="10504" max="10504" width="21.7109375" style="70" customWidth="1"/>
    <col min="10505" max="10505" width="14" style="70" customWidth="1"/>
    <col min="10506" max="10752" width="9.140625" style="70"/>
    <col min="10753" max="10753" width="4.42578125" style="70" customWidth="1"/>
    <col min="10754" max="10754" width="78.7109375" style="70" customWidth="1"/>
    <col min="10755" max="10755" width="13.85546875" style="70" customWidth="1"/>
    <col min="10756" max="10756" width="6.42578125" style="70" customWidth="1"/>
    <col min="10757" max="10757" width="12.140625" style="70" customWidth="1"/>
    <col min="10758" max="10758" width="7.85546875" style="70" customWidth="1"/>
    <col min="10759" max="10759" width="12.28515625" style="70" customWidth="1"/>
    <col min="10760" max="10760" width="21.7109375" style="70" customWidth="1"/>
    <col min="10761" max="10761" width="14" style="70" customWidth="1"/>
    <col min="10762" max="11008" width="9.140625" style="70"/>
    <col min="11009" max="11009" width="4.42578125" style="70" customWidth="1"/>
    <col min="11010" max="11010" width="78.7109375" style="70" customWidth="1"/>
    <col min="11011" max="11011" width="13.85546875" style="70" customWidth="1"/>
    <col min="11012" max="11012" width="6.42578125" style="70" customWidth="1"/>
    <col min="11013" max="11013" width="12.140625" style="70" customWidth="1"/>
    <col min="11014" max="11014" width="7.85546875" style="70" customWidth="1"/>
    <col min="11015" max="11015" width="12.28515625" style="70" customWidth="1"/>
    <col min="11016" max="11016" width="21.7109375" style="70" customWidth="1"/>
    <col min="11017" max="11017" width="14" style="70" customWidth="1"/>
    <col min="11018" max="11264" width="9.140625" style="70"/>
    <col min="11265" max="11265" width="4.42578125" style="70" customWidth="1"/>
    <col min="11266" max="11266" width="78.7109375" style="70" customWidth="1"/>
    <col min="11267" max="11267" width="13.85546875" style="70" customWidth="1"/>
    <col min="11268" max="11268" width="6.42578125" style="70" customWidth="1"/>
    <col min="11269" max="11269" width="12.140625" style="70" customWidth="1"/>
    <col min="11270" max="11270" width="7.85546875" style="70" customWidth="1"/>
    <col min="11271" max="11271" width="12.28515625" style="70" customWidth="1"/>
    <col min="11272" max="11272" width="21.7109375" style="70" customWidth="1"/>
    <col min="11273" max="11273" width="14" style="70" customWidth="1"/>
    <col min="11274" max="11520" width="9.140625" style="70"/>
    <col min="11521" max="11521" width="4.42578125" style="70" customWidth="1"/>
    <col min="11522" max="11522" width="78.7109375" style="70" customWidth="1"/>
    <col min="11523" max="11523" width="13.85546875" style="70" customWidth="1"/>
    <col min="11524" max="11524" width="6.42578125" style="70" customWidth="1"/>
    <col min="11525" max="11525" width="12.140625" style="70" customWidth="1"/>
    <col min="11526" max="11526" width="7.85546875" style="70" customWidth="1"/>
    <col min="11527" max="11527" width="12.28515625" style="70" customWidth="1"/>
    <col min="11528" max="11528" width="21.7109375" style="70" customWidth="1"/>
    <col min="11529" max="11529" width="14" style="70" customWidth="1"/>
    <col min="11530" max="11776" width="9.140625" style="70"/>
    <col min="11777" max="11777" width="4.42578125" style="70" customWidth="1"/>
    <col min="11778" max="11778" width="78.7109375" style="70" customWidth="1"/>
    <col min="11779" max="11779" width="13.85546875" style="70" customWidth="1"/>
    <col min="11780" max="11780" width="6.42578125" style="70" customWidth="1"/>
    <col min="11781" max="11781" width="12.140625" style="70" customWidth="1"/>
    <col min="11782" max="11782" width="7.85546875" style="70" customWidth="1"/>
    <col min="11783" max="11783" width="12.28515625" style="70" customWidth="1"/>
    <col min="11784" max="11784" width="21.7109375" style="70" customWidth="1"/>
    <col min="11785" max="11785" width="14" style="70" customWidth="1"/>
    <col min="11786" max="12032" width="9.140625" style="70"/>
    <col min="12033" max="12033" width="4.42578125" style="70" customWidth="1"/>
    <col min="12034" max="12034" width="78.7109375" style="70" customWidth="1"/>
    <col min="12035" max="12035" width="13.85546875" style="70" customWidth="1"/>
    <col min="12036" max="12036" width="6.42578125" style="70" customWidth="1"/>
    <col min="12037" max="12037" width="12.140625" style="70" customWidth="1"/>
    <col min="12038" max="12038" width="7.85546875" style="70" customWidth="1"/>
    <col min="12039" max="12039" width="12.28515625" style="70" customWidth="1"/>
    <col min="12040" max="12040" width="21.7109375" style="70" customWidth="1"/>
    <col min="12041" max="12041" width="14" style="70" customWidth="1"/>
    <col min="12042" max="12288" width="9.140625" style="70"/>
    <col min="12289" max="12289" width="4.42578125" style="70" customWidth="1"/>
    <col min="12290" max="12290" width="78.7109375" style="70" customWidth="1"/>
    <col min="12291" max="12291" width="13.85546875" style="70" customWidth="1"/>
    <col min="12292" max="12292" width="6.42578125" style="70" customWidth="1"/>
    <col min="12293" max="12293" width="12.140625" style="70" customWidth="1"/>
    <col min="12294" max="12294" width="7.85546875" style="70" customWidth="1"/>
    <col min="12295" max="12295" width="12.28515625" style="70" customWidth="1"/>
    <col min="12296" max="12296" width="21.7109375" style="70" customWidth="1"/>
    <col min="12297" max="12297" width="14" style="70" customWidth="1"/>
    <col min="12298" max="12544" width="9.140625" style="70"/>
    <col min="12545" max="12545" width="4.42578125" style="70" customWidth="1"/>
    <col min="12546" max="12546" width="78.7109375" style="70" customWidth="1"/>
    <col min="12547" max="12547" width="13.85546875" style="70" customWidth="1"/>
    <col min="12548" max="12548" width="6.42578125" style="70" customWidth="1"/>
    <col min="12549" max="12549" width="12.140625" style="70" customWidth="1"/>
    <col min="12550" max="12550" width="7.85546875" style="70" customWidth="1"/>
    <col min="12551" max="12551" width="12.28515625" style="70" customWidth="1"/>
    <col min="12552" max="12552" width="21.7109375" style="70" customWidth="1"/>
    <col min="12553" max="12553" width="14" style="70" customWidth="1"/>
    <col min="12554" max="12800" width="9.140625" style="70"/>
    <col min="12801" max="12801" width="4.42578125" style="70" customWidth="1"/>
    <col min="12802" max="12802" width="78.7109375" style="70" customWidth="1"/>
    <col min="12803" max="12803" width="13.85546875" style="70" customWidth="1"/>
    <col min="12804" max="12804" width="6.42578125" style="70" customWidth="1"/>
    <col min="12805" max="12805" width="12.140625" style="70" customWidth="1"/>
    <col min="12806" max="12806" width="7.85546875" style="70" customWidth="1"/>
    <col min="12807" max="12807" width="12.28515625" style="70" customWidth="1"/>
    <col min="12808" max="12808" width="21.7109375" style="70" customWidth="1"/>
    <col min="12809" max="12809" width="14" style="70" customWidth="1"/>
    <col min="12810" max="13056" width="9.140625" style="70"/>
    <col min="13057" max="13057" width="4.42578125" style="70" customWidth="1"/>
    <col min="13058" max="13058" width="78.7109375" style="70" customWidth="1"/>
    <col min="13059" max="13059" width="13.85546875" style="70" customWidth="1"/>
    <col min="13060" max="13060" width="6.42578125" style="70" customWidth="1"/>
    <col min="13061" max="13061" width="12.140625" style="70" customWidth="1"/>
    <col min="13062" max="13062" width="7.85546875" style="70" customWidth="1"/>
    <col min="13063" max="13063" width="12.28515625" style="70" customWidth="1"/>
    <col min="13064" max="13064" width="21.7109375" style="70" customWidth="1"/>
    <col min="13065" max="13065" width="14" style="70" customWidth="1"/>
    <col min="13066" max="13312" width="9.140625" style="70"/>
    <col min="13313" max="13313" width="4.42578125" style="70" customWidth="1"/>
    <col min="13314" max="13314" width="78.7109375" style="70" customWidth="1"/>
    <col min="13315" max="13315" width="13.85546875" style="70" customWidth="1"/>
    <col min="13316" max="13316" width="6.42578125" style="70" customWidth="1"/>
    <col min="13317" max="13317" width="12.140625" style="70" customWidth="1"/>
    <col min="13318" max="13318" width="7.85546875" style="70" customWidth="1"/>
    <col min="13319" max="13319" width="12.28515625" style="70" customWidth="1"/>
    <col min="13320" max="13320" width="21.7109375" style="70" customWidth="1"/>
    <col min="13321" max="13321" width="14" style="70" customWidth="1"/>
    <col min="13322" max="13568" width="9.140625" style="70"/>
    <col min="13569" max="13569" width="4.42578125" style="70" customWidth="1"/>
    <col min="13570" max="13570" width="78.7109375" style="70" customWidth="1"/>
    <col min="13571" max="13571" width="13.85546875" style="70" customWidth="1"/>
    <col min="13572" max="13572" width="6.42578125" style="70" customWidth="1"/>
    <col min="13573" max="13573" width="12.140625" style="70" customWidth="1"/>
    <col min="13574" max="13574" width="7.85546875" style="70" customWidth="1"/>
    <col min="13575" max="13575" width="12.28515625" style="70" customWidth="1"/>
    <col min="13576" max="13576" width="21.7109375" style="70" customWidth="1"/>
    <col min="13577" max="13577" width="14" style="70" customWidth="1"/>
    <col min="13578" max="13824" width="9.140625" style="70"/>
    <col min="13825" max="13825" width="4.42578125" style="70" customWidth="1"/>
    <col min="13826" max="13826" width="78.7109375" style="70" customWidth="1"/>
    <col min="13827" max="13827" width="13.85546875" style="70" customWidth="1"/>
    <col min="13828" max="13828" width="6.42578125" style="70" customWidth="1"/>
    <col min="13829" max="13829" width="12.140625" style="70" customWidth="1"/>
    <col min="13830" max="13830" width="7.85546875" style="70" customWidth="1"/>
    <col min="13831" max="13831" width="12.28515625" style="70" customWidth="1"/>
    <col min="13832" max="13832" width="21.7109375" style="70" customWidth="1"/>
    <col min="13833" max="13833" width="14" style="70" customWidth="1"/>
    <col min="13834" max="14080" width="9.140625" style="70"/>
    <col min="14081" max="14081" width="4.42578125" style="70" customWidth="1"/>
    <col min="14082" max="14082" width="78.7109375" style="70" customWidth="1"/>
    <col min="14083" max="14083" width="13.85546875" style="70" customWidth="1"/>
    <col min="14084" max="14084" width="6.42578125" style="70" customWidth="1"/>
    <col min="14085" max="14085" width="12.140625" style="70" customWidth="1"/>
    <col min="14086" max="14086" width="7.85546875" style="70" customWidth="1"/>
    <col min="14087" max="14087" width="12.28515625" style="70" customWidth="1"/>
    <col min="14088" max="14088" width="21.7109375" style="70" customWidth="1"/>
    <col min="14089" max="14089" width="14" style="70" customWidth="1"/>
    <col min="14090" max="14336" width="9.140625" style="70"/>
    <col min="14337" max="14337" width="4.42578125" style="70" customWidth="1"/>
    <col min="14338" max="14338" width="78.7109375" style="70" customWidth="1"/>
    <col min="14339" max="14339" width="13.85546875" style="70" customWidth="1"/>
    <col min="14340" max="14340" width="6.42578125" style="70" customWidth="1"/>
    <col min="14341" max="14341" width="12.140625" style="70" customWidth="1"/>
    <col min="14342" max="14342" width="7.85546875" style="70" customWidth="1"/>
    <col min="14343" max="14343" width="12.28515625" style="70" customWidth="1"/>
    <col min="14344" max="14344" width="21.7109375" style="70" customWidth="1"/>
    <col min="14345" max="14345" width="14" style="70" customWidth="1"/>
    <col min="14346" max="14592" width="9.140625" style="70"/>
    <col min="14593" max="14593" width="4.42578125" style="70" customWidth="1"/>
    <col min="14594" max="14594" width="78.7109375" style="70" customWidth="1"/>
    <col min="14595" max="14595" width="13.85546875" style="70" customWidth="1"/>
    <col min="14596" max="14596" width="6.42578125" style="70" customWidth="1"/>
    <col min="14597" max="14597" width="12.140625" style="70" customWidth="1"/>
    <col min="14598" max="14598" width="7.85546875" style="70" customWidth="1"/>
    <col min="14599" max="14599" width="12.28515625" style="70" customWidth="1"/>
    <col min="14600" max="14600" width="21.7109375" style="70" customWidth="1"/>
    <col min="14601" max="14601" width="14" style="70" customWidth="1"/>
    <col min="14602" max="14848" width="9.140625" style="70"/>
    <col min="14849" max="14849" width="4.42578125" style="70" customWidth="1"/>
    <col min="14850" max="14850" width="78.7109375" style="70" customWidth="1"/>
    <col min="14851" max="14851" width="13.85546875" style="70" customWidth="1"/>
    <col min="14852" max="14852" width="6.42578125" style="70" customWidth="1"/>
    <col min="14853" max="14853" width="12.140625" style="70" customWidth="1"/>
    <col min="14854" max="14854" width="7.85546875" style="70" customWidth="1"/>
    <col min="14855" max="14855" width="12.28515625" style="70" customWidth="1"/>
    <col min="14856" max="14856" width="21.7109375" style="70" customWidth="1"/>
    <col min="14857" max="14857" width="14" style="70" customWidth="1"/>
    <col min="14858" max="15104" width="9.140625" style="70"/>
    <col min="15105" max="15105" width="4.42578125" style="70" customWidth="1"/>
    <col min="15106" max="15106" width="78.7109375" style="70" customWidth="1"/>
    <col min="15107" max="15107" width="13.85546875" style="70" customWidth="1"/>
    <col min="15108" max="15108" width="6.42578125" style="70" customWidth="1"/>
    <col min="15109" max="15109" width="12.140625" style="70" customWidth="1"/>
    <col min="15110" max="15110" width="7.85546875" style="70" customWidth="1"/>
    <col min="15111" max="15111" width="12.28515625" style="70" customWidth="1"/>
    <col min="15112" max="15112" width="21.7109375" style="70" customWidth="1"/>
    <col min="15113" max="15113" width="14" style="70" customWidth="1"/>
    <col min="15114" max="15360" width="9.140625" style="70"/>
    <col min="15361" max="15361" width="4.42578125" style="70" customWidth="1"/>
    <col min="15362" max="15362" width="78.7109375" style="70" customWidth="1"/>
    <col min="15363" max="15363" width="13.85546875" style="70" customWidth="1"/>
    <col min="15364" max="15364" width="6.42578125" style="70" customWidth="1"/>
    <col min="15365" max="15365" width="12.140625" style="70" customWidth="1"/>
    <col min="15366" max="15366" width="7.85546875" style="70" customWidth="1"/>
    <col min="15367" max="15367" width="12.28515625" style="70" customWidth="1"/>
    <col min="15368" max="15368" width="21.7109375" style="70" customWidth="1"/>
    <col min="15369" max="15369" width="14" style="70" customWidth="1"/>
    <col min="15370" max="15616" width="9.140625" style="70"/>
    <col min="15617" max="15617" width="4.42578125" style="70" customWidth="1"/>
    <col min="15618" max="15618" width="78.7109375" style="70" customWidth="1"/>
    <col min="15619" max="15619" width="13.85546875" style="70" customWidth="1"/>
    <col min="15620" max="15620" width="6.42578125" style="70" customWidth="1"/>
    <col min="15621" max="15621" width="12.140625" style="70" customWidth="1"/>
    <col min="15622" max="15622" width="7.85546875" style="70" customWidth="1"/>
    <col min="15623" max="15623" width="12.28515625" style="70" customWidth="1"/>
    <col min="15624" max="15624" width="21.7109375" style="70" customWidth="1"/>
    <col min="15625" max="15625" width="14" style="70" customWidth="1"/>
    <col min="15626" max="15872" width="9.140625" style="70"/>
    <col min="15873" max="15873" width="4.42578125" style="70" customWidth="1"/>
    <col min="15874" max="15874" width="78.7109375" style="70" customWidth="1"/>
    <col min="15875" max="15875" width="13.85546875" style="70" customWidth="1"/>
    <col min="15876" max="15876" width="6.42578125" style="70" customWidth="1"/>
    <col min="15877" max="15877" width="12.140625" style="70" customWidth="1"/>
    <col min="15878" max="15878" width="7.85546875" style="70" customWidth="1"/>
    <col min="15879" max="15879" width="12.28515625" style="70" customWidth="1"/>
    <col min="15880" max="15880" width="21.7109375" style="70" customWidth="1"/>
    <col min="15881" max="15881" width="14" style="70" customWidth="1"/>
    <col min="15882" max="16128" width="9.140625" style="70"/>
    <col min="16129" max="16129" width="4.42578125" style="70" customWidth="1"/>
    <col min="16130" max="16130" width="78.7109375" style="70" customWidth="1"/>
    <col min="16131" max="16131" width="13.85546875" style="70" customWidth="1"/>
    <col min="16132" max="16132" width="6.42578125" style="70" customWidth="1"/>
    <col min="16133" max="16133" width="12.140625" style="70" customWidth="1"/>
    <col min="16134" max="16134" width="7.85546875" style="70" customWidth="1"/>
    <col min="16135" max="16135" width="12.28515625" style="70" customWidth="1"/>
    <col min="16136" max="16136" width="21.7109375" style="70" customWidth="1"/>
    <col min="16137" max="16137" width="14" style="70" customWidth="1"/>
    <col min="16138" max="16384" width="9.140625" style="70"/>
  </cols>
  <sheetData>
    <row r="1" spans="1:10" ht="18">
      <c r="B1" s="3115" t="s">
        <v>2699</v>
      </c>
      <c r="C1" s="3115"/>
      <c r="D1" s="3115"/>
      <c r="E1" s="2046"/>
      <c r="F1" s="2046"/>
      <c r="G1" s="597"/>
    </row>
    <row r="2" spans="1:10" ht="11.25" customHeight="1">
      <c r="B2" s="597"/>
      <c r="C2" s="597"/>
      <c r="D2" s="2047"/>
      <c r="E2" s="2047"/>
      <c r="F2" s="597"/>
      <c r="G2" s="597"/>
    </row>
    <row r="3" spans="1:10" ht="33" customHeight="1">
      <c r="B3" s="3095" t="s">
        <v>2700</v>
      </c>
      <c r="C3" s="3095"/>
      <c r="D3" s="3095"/>
      <c r="E3" s="3095"/>
      <c r="F3" s="3095"/>
      <c r="G3" s="2048"/>
    </row>
    <row r="4" spans="1:10" ht="17.25" customHeight="1">
      <c r="B4" s="597"/>
      <c r="C4" s="597"/>
      <c r="D4" s="2047"/>
      <c r="E4" s="2047"/>
      <c r="F4" s="3390" t="s">
        <v>89</v>
      </c>
      <c r="G4" s="3390"/>
    </row>
    <row r="5" spans="1:10" ht="16.5" customHeight="1"/>
    <row r="6" spans="1:10" ht="32.25" customHeight="1">
      <c r="A6" s="1899" t="s">
        <v>2701</v>
      </c>
      <c r="B6" s="1899" t="s">
        <v>3</v>
      </c>
      <c r="C6" s="1899" t="s">
        <v>2216</v>
      </c>
      <c r="D6" s="1899" t="s">
        <v>5</v>
      </c>
      <c r="E6" s="1899" t="s">
        <v>96</v>
      </c>
      <c r="F6" s="1899" t="s">
        <v>95</v>
      </c>
      <c r="G6" s="1899" t="s">
        <v>1668</v>
      </c>
    </row>
    <row r="7" spans="1:10" ht="15">
      <c r="A7" s="1899">
        <v>1</v>
      </c>
      <c r="B7" s="1899">
        <v>2</v>
      </c>
      <c r="C7" s="1899">
        <v>3</v>
      </c>
      <c r="D7" s="1899">
        <v>4</v>
      </c>
      <c r="E7" s="1899">
        <v>5</v>
      </c>
      <c r="F7" s="1899">
        <v>6</v>
      </c>
      <c r="G7" s="1899">
        <v>7</v>
      </c>
    </row>
    <row r="8" spans="1:10" ht="30.75" customHeight="1">
      <c r="A8" s="2163">
        <v>1</v>
      </c>
      <c r="B8" s="2168" t="s">
        <v>2702</v>
      </c>
      <c r="C8" s="2163">
        <v>7131941764</v>
      </c>
      <c r="D8" s="2163" t="s">
        <v>12</v>
      </c>
      <c r="E8" s="1630">
        <f>VLOOKUP(C8,'[25]SOR RATE'!A:D,4,0)</f>
        <v>1305117.19</v>
      </c>
      <c r="F8" s="2163">
        <v>1</v>
      </c>
      <c r="G8" s="2170">
        <f>E8*F8</f>
        <v>1305117.19</v>
      </c>
      <c r="I8" s="2136"/>
    </row>
    <row r="9" spans="1:10" ht="18.75" customHeight="1">
      <c r="A9" s="1913">
        <v>2</v>
      </c>
      <c r="B9" s="1290" t="s">
        <v>2703</v>
      </c>
      <c r="C9" s="1291">
        <v>7130200202</v>
      </c>
      <c r="D9" s="1291" t="s">
        <v>76</v>
      </c>
      <c r="E9" s="1132">
        <f>VLOOKUP(C9,'[25]SOR RATE'!A:D,4,0)</f>
        <v>2970</v>
      </c>
      <c r="F9" s="1291">
        <v>0.37</v>
      </c>
      <c r="G9" s="1202">
        <f>E9*F9</f>
        <v>1098.9000000000001</v>
      </c>
      <c r="H9" s="3413" t="s">
        <v>47</v>
      </c>
      <c r="J9" s="2116"/>
    </row>
    <row r="10" spans="1:10" ht="19.5" customHeight="1">
      <c r="A10" s="1291">
        <v>3</v>
      </c>
      <c r="B10" s="1290" t="s">
        <v>2704</v>
      </c>
      <c r="C10" s="1291">
        <v>7130200202</v>
      </c>
      <c r="D10" s="1291" t="s">
        <v>76</v>
      </c>
      <c r="E10" s="1132">
        <f>VLOOKUP(C10,'[25]SOR RATE'!A:D,4,0)</f>
        <v>2970</v>
      </c>
      <c r="F10" s="2400">
        <v>1.44</v>
      </c>
      <c r="G10" s="1202">
        <f>E10*F10</f>
        <v>4276.8</v>
      </c>
      <c r="H10" s="3413"/>
    </row>
    <row r="11" spans="1:10" ht="17.25" customHeight="1">
      <c r="A11" s="3414">
        <v>4</v>
      </c>
      <c r="B11" s="1290" t="s">
        <v>2705</v>
      </c>
      <c r="C11" s="1291">
        <v>7130640039</v>
      </c>
      <c r="D11" s="1291" t="s">
        <v>26</v>
      </c>
      <c r="E11" s="1132">
        <f>VLOOKUP(C11,'[25]SOR RATE'!A:D,4,0)</f>
        <v>48.22</v>
      </c>
      <c r="F11" s="1914">
        <v>24</v>
      </c>
      <c r="G11" s="1202">
        <f>F11*E11</f>
        <v>1157.28</v>
      </c>
      <c r="H11" s="613"/>
    </row>
    <row r="12" spans="1:10" ht="32.25" customHeight="1">
      <c r="A12" s="3414"/>
      <c r="B12" s="2168" t="s">
        <v>2706</v>
      </c>
      <c r="C12" s="2163">
        <v>7130642039</v>
      </c>
      <c r="D12" s="2163" t="s">
        <v>12</v>
      </c>
      <c r="E12" s="1630">
        <f>VLOOKUP(C12,'[25]SOR RATE'!A:D,4,0)</f>
        <v>998.57</v>
      </c>
      <c r="F12" s="1629">
        <v>2</v>
      </c>
      <c r="G12" s="2170">
        <f>E12*F12</f>
        <v>1997.14</v>
      </c>
      <c r="I12" s="2136"/>
      <c r="J12" s="2107"/>
    </row>
    <row r="13" spans="1:10" ht="16.5" customHeight="1">
      <c r="A13" s="1915">
        <v>5</v>
      </c>
      <c r="B13" s="1639" t="s">
        <v>48</v>
      </c>
      <c r="C13" s="913"/>
      <c r="D13" s="913"/>
      <c r="E13" s="2173"/>
      <c r="F13" s="2173"/>
      <c r="G13" s="2173">
        <f>SUM(G8:G12)</f>
        <v>1313647.3099999998</v>
      </c>
      <c r="H13" s="2123"/>
    </row>
    <row r="14" spans="1:10" ht="16.5" customHeight="1">
      <c r="A14" s="1915">
        <v>6</v>
      </c>
      <c r="B14" s="1639" t="s">
        <v>49</v>
      </c>
      <c r="C14" s="913"/>
      <c r="D14" s="913"/>
      <c r="E14" s="2173"/>
      <c r="F14" s="2173"/>
      <c r="G14" s="2173">
        <f>G13/1.18</f>
        <v>1113260.4322033897</v>
      </c>
      <c r="H14" s="85"/>
    </row>
    <row r="15" spans="1:10" ht="18.75" customHeight="1">
      <c r="A15" s="1291">
        <v>7</v>
      </c>
      <c r="B15" s="1619" t="s">
        <v>50</v>
      </c>
      <c r="C15" s="2401" t="s">
        <v>181</v>
      </c>
      <c r="D15" s="2401"/>
      <c r="E15" s="2402">
        <v>7.4999999999999997E-2</v>
      </c>
      <c r="F15" s="1630"/>
      <c r="G15" s="1132">
        <f>G13*E15</f>
        <v>98523.548249999978</v>
      </c>
      <c r="H15" s="803"/>
      <c r="I15" s="87"/>
    </row>
    <row r="16" spans="1:10" ht="17.25" customHeight="1">
      <c r="A16" s="1291">
        <v>8</v>
      </c>
      <c r="B16" s="1290" t="s">
        <v>2707</v>
      </c>
      <c r="C16" s="1291"/>
      <c r="D16" s="1291"/>
      <c r="E16" s="2403"/>
      <c r="F16" s="1202"/>
      <c r="G16" s="1202">
        <v>9875</v>
      </c>
      <c r="H16" s="1997"/>
      <c r="I16" s="1997"/>
    </row>
    <row r="17" spans="1:9" ht="17.25" customHeight="1">
      <c r="A17" s="1291">
        <v>9</v>
      </c>
      <c r="B17" s="1624" t="s">
        <v>82</v>
      </c>
      <c r="C17" s="1989"/>
      <c r="D17" s="1817" t="s">
        <v>76</v>
      </c>
      <c r="E17" s="1202">
        <f>665.173187113158*1.043</f>
        <v>693.77563415902364</v>
      </c>
      <c r="F17" s="1132">
        <f>F9+F10</f>
        <v>1.81</v>
      </c>
      <c r="G17" s="1132">
        <f>E17*F17</f>
        <v>1255.7338978278328</v>
      </c>
      <c r="H17" s="91"/>
    </row>
    <row r="18" spans="1:9" ht="17.25" customHeight="1">
      <c r="A18" s="1291">
        <v>10</v>
      </c>
      <c r="B18" s="2296" t="s">
        <v>2708</v>
      </c>
      <c r="C18" s="1629"/>
      <c r="D18" s="1629"/>
      <c r="E18" s="2404"/>
      <c r="F18" s="2170"/>
      <c r="G18" s="1132">
        <f>G14*0.04</f>
        <v>44530.417288135592</v>
      </c>
      <c r="H18" s="2060" t="s">
        <v>1827</v>
      </c>
      <c r="I18" s="93"/>
    </row>
    <row r="19" spans="1:9" ht="31.5" customHeight="1">
      <c r="A19" s="1291">
        <v>11</v>
      </c>
      <c r="B19" s="1619" t="s">
        <v>2709</v>
      </c>
      <c r="C19" s="1629"/>
      <c r="D19" s="1629"/>
      <c r="E19" s="2404"/>
      <c r="F19" s="2170"/>
      <c r="G19" s="1132">
        <f>(G13+G15+G16+G17+G18)*0.125</f>
        <v>183479.00117949539</v>
      </c>
      <c r="H19" s="92"/>
      <c r="I19" s="93"/>
    </row>
    <row r="20" spans="1:9" ht="16.5" customHeight="1">
      <c r="A20" s="1915">
        <v>12</v>
      </c>
      <c r="B20" s="1647" t="s">
        <v>2710</v>
      </c>
      <c r="C20" s="1629"/>
      <c r="D20" s="1629"/>
      <c r="E20" s="2404"/>
      <c r="F20" s="2173"/>
      <c r="G20" s="1916">
        <f>SUM(G14:G19)</f>
        <v>1450924.1328188484</v>
      </c>
      <c r="H20" s="842"/>
    </row>
    <row r="21" spans="1:9" ht="17.25" customHeight="1">
      <c r="A21" s="1291">
        <v>13</v>
      </c>
      <c r="B21" s="1619" t="s">
        <v>2711</v>
      </c>
      <c r="C21" s="1629"/>
      <c r="D21" s="1629"/>
      <c r="E21" s="2403">
        <v>0.09</v>
      </c>
      <c r="F21" s="2173"/>
      <c r="G21" s="1202">
        <f>G20*E21</f>
        <v>130583.17195369635</v>
      </c>
      <c r="H21" s="842"/>
    </row>
    <row r="22" spans="1:9" ht="17.25" customHeight="1">
      <c r="A22" s="1291">
        <v>14</v>
      </c>
      <c r="B22" s="1619" t="s">
        <v>2712</v>
      </c>
      <c r="C22" s="1629"/>
      <c r="D22" s="1629"/>
      <c r="E22" s="2403">
        <v>0.09</v>
      </c>
      <c r="F22" s="2170"/>
      <c r="G22" s="1202">
        <f>G20*E22</f>
        <v>130583.17195369635</v>
      </c>
      <c r="H22" s="578"/>
    </row>
    <row r="23" spans="1:9" ht="16.5" customHeight="1">
      <c r="A23" s="1291">
        <v>15</v>
      </c>
      <c r="B23" s="1619" t="s">
        <v>2713</v>
      </c>
      <c r="C23" s="1629"/>
      <c r="D23" s="1629"/>
      <c r="E23" s="2404"/>
      <c r="F23" s="2170"/>
      <c r="G23" s="1202">
        <f>G20+G21+G22</f>
        <v>1712090.4767262409</v>
      </c>
    </row>
    <row r="24" spans="1:9" ht="16.5" customHeight="1">
      <c r="A24" s="1917">
        <v>16</v>
      </c>
      <c r="B24" s="1647" t="s">
        <v>59</v>
      </c>
      <c r="C24" s="2163"/>
      <c r="D24" s="2163"/>
      <c r="E24" s="2404"/>
      <c r="F24" s="2173"/>
      <c r="G24" s="2173">
        <f>ROUND(G23,0)</f>
        <v>1712090</v>
      </c>
    </row>
    <row r="25" spans="1:9">
      <c r="G25" s="579"/>
    </row>
    <row r="26" spans="1:9">
      <c r="G26" s="579"/>
    </row>
    <row r="27" spans="1:9">
      <c r="G27" s="579"/>
    </row>
    <row r="28" spans="1:9">
      <c r="G28" s="579"/>
    </row>
    <row r="29" spans="1:9">
      <c r="G29" s="579"/>
      <c r="H29" s="579"/>
    </row>
    <row r="30" spans="1:9">
      <c r="G30" s="579"/>
      <c r="H30" s="579"/>
    </row>
    <row r="31" spans="1:9">
      <c r="G31" s="579"/>
      <c r="H31" s="579"/>
    </row>
    <row r="32" spans="1:9">
      <c r="G32" s="579"/>
      <c r="H32" s="579"/>
    </row>
    <row r="33" spans="7:7">
      <c r="G33" s="579"/>
    </row>
    <row r="34" spans="7:7">
      <c r="G34" s="579"/>
    </row>
    <row r="35" spans="7:7">
      <c r="G35" s="579"/>
    </row>
    <row r="36" spans="7:7">
      <c r="G36" s="579"/>
    </row>
    <row r="37" spans="7:7">
      <c r="G37" s="579"/>
    </row>
    <row r="38" spans="7:7">
      <c r="G38" s="579"/>
    </row>
    <row r="39" spans="7:7">
      <c r="G39" s="579"/>
    </row>
    <row r="40" spans="7:7">
      <c r="G40" s="579"/>
    </row>
    <row r="41" spans="7:7">
      <c r="G41" s="579"/>
    </row>
    <row r="42" spans="7:7">
      <c r="G42" s="579"/>
    </row>
    <row r="43" spans="7:7">
      <c r="G43" s="579"/>
    </row>
    <row r="44" spans="7:7">
      <c r="G44" s="579"/>
    </row>
    <row r="45" spans="7:7">
      <c r="G45" s="579"/>
    </row>
    <row r="46" spans="7:7">
      <c r="G46" s="579"/>
    </row>
    <row r="47" spans="7:7">
      <c r="G47" s="579"/>
    </row>
    <row r="48" spans="7:7">
      <c r="G48" s="579"/>
    </row>
    <row r="49" spans="1:9">
      <c r="G49" s="579"/>
    </row>
    <row r="50" spans="1:9">
      <c r="G50" s="579"/>
    </row>
    <row r="51" spans="1:9">
      <c r="G51" s="579"/>
    </row>
    <row r="52" spans="1:9">
      <c r="G52" s="579"/>
    </row>
    <row r="53" spans="1:9">
      <c r="G53" s="579"/>
    </row>
    <row r="54" spans="1:9">
      <c r="G54" s="579"/>
    </row>
    <row r="55" spans="1:9" ht="12.75" customHeight="1">
      <c r="H55" s="605"/>
      <c r="I55" s="2118"/>
    </row>
    <row r="56" spans="1:9" ht="15">
      <c r="B56" s="591"/>
      <c r="C56" s="591"/>
      <c r="H56" s="2118"/>
      <c r="I56" s="2118"/>
    </row>
    <row r="57" spans="1:9" ht="14.25">
      <c r="B57" s="591"/>
      <c r="C57" s="591"/>
    </row>
    <row r="58" spans="1:9" ht="14.25">
      <c r="B58" s="591"/>
      <c r="C58" s="591"/>
    </row>
    <row r="59" spans="1:9" ht="14.25">
      <c r="B59" s="591"/>
      <c r="C59" s="591"/>
    </row>
    <row r="60" spans="1:9" ht="14.25">
      <c r="B60" s="591"/>
      <c r="C60" s="591"/>
    </row>
    <row r="61" spans="1:9">
      <c r="A61" s="2137"/>
      <c r="B61" s="2138"/>
      <c r="C61" s="2057"/>
      <c r="D61" s="2057"/>
      <c r="E61" s="1940"/>
      <c r="F61" s="2057"/>
      <c r="G61" s="1940"/>
    </row>
    <row r="62" spans="1:9">
      <c r="A62" s="2137"/>
      <c r="B62" s="2138"/>
      <c r="C62" s="2057"/>
      <c r="D62" s="2057"/>
      <c r="E62" s="1940"/>
      <c r="F62" s="2057"/>
      <c r="G62" s="1940"/>
    </row>
    <row r="63" spans="1:9">
      <c r="A63" s="631"/>
      <c r="B63" s="605"/>
      <c r="C63" s="605"/>
      <c r="D63" s="605"/>
      <c r="E63" s="605"/>
      <c r="F63" s="605"/>
      <c r="G63" s="605"/>
    </row>
  </sheetData>
  <mergeCells count="5">
    <mergeCell ref="B1:D1"/>
    <mergeCell ref="B3:F3"/>
    <mergeCell ref="F4:G4"/>
    <mergeCell ref="H9:H10"/>
    <mergeCell ref="A11:A12"/>
  </mergeCells>
  <conditionalFormatting sqref="B13">
    <cfRule type="cellIs" dxfId="54" priority="2" stopIfTrue="1" operator="equal">
      <formula>"?"</formula>
    </cfRule>
  </conditionalFormatting>
  <conditionalFormatting sqref="B14">
    <cfRule type="cellIs" dxfId="53" priority="1" stopIfTrue="1" operator="equal">
      <formula>"?"</formula>
    </cfRule>
  </conditionalFormatting>
  <printOptions horizontalCentered="1"/>
  <pageMargins left="0.89" right="0.118110236220472" top="0.6" bottom="0.24" header="0.5" footer="0.16"/>
  <pageSetup paperSize="9" orientation="landscape" verticalDpi="300" r:id="rId1"/>
  <headerFooter alignWithMargins="0"/>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25"/>
  <sheetViews>
    <sheetView workbookViewId="0">
      <pane xSplit="2" ySplit="6" topLeftCell="C17" activePane="bottomRight" state="frozen"/>
      <selection pane="topRight" activeCell="C1" sqref="C1"/>
      <selection pane="bottomLeft" activeCell="A7" sqref="A7"/>
      <selection pane="bottomRight" activeCell="H17" sqref="H17"/>
    </sheetView>
  </sheetViews>
  <sheetFormatPr defaultRowHeight="12.75"/>
  <cols>
    <col min="1" max="1" width="6.85546875" style="70" customWidth="1"/>
    <col min="2" max="2" width="73.28515625" style="70" customWidth="1"/>
    <col min="3" max="3" width="13.85546875" style="70" customWidth="1"/>
    <col min="4" max="4" width="7.85546875" style="70" customWidth="1"/>
    <col min="5" max="5" width="12.140625" style="70" customWidth="1"/>
    <col min="6" max="6" width="7.85546875" style="70" customWidth="1"/>
    <col min="7" max="7" width="12.28515625" style="70" customWidth="1"/>
    <col min="8" max="8" width="23.140625" style="70" customWidth="1"/>
    <col min="9" max="256" width="9.140625" style="70"/>
    <col min="257" max="257" width="6" style="70" customWidth="1"/>
    <col min="258" max="258" width="73.28515625" style="70" customWidth="1"/>
    <col min="259" max="259" width="13.85546875" style="70" customWidth="1"/>
    <col min="260" max="260" width="7.85546875" style="70" customWidth="1"/>
    <col min="261" max="261" width="12.140625" style="70" customWidth="1"/>
    <col min="262" max="262" width="7.85546875" style="70" customWidth="1"/>
    <col min="263" max="263" width="12.28515625" style="70" customWidth="1"/>
    <col min="264" max="264" width="23.140625" style="70" customWidth="1"/>
    <col min="265" max="512" width="9.140625" style="70"/>
    <col min="513" max="513" width="6" style="70" customWidth="1"/>
    <col min="514" max="514" width="73.28515625" style="70" customWidth="1"/>
    <col min="515" max="515" width="13.85546875" style="70" customWidth="1"/>
    <col min="516" max="516" width="7.85546875" style="70" customWidth="1"/>
    <col min="517" max="517" width="12.140625" style="70" customWidth="1"/>
    <col min="518" max="518" width="7.85546875" style="70" customWidth="1"/>
    <col min="519" max="519" width="12.28515625" style="70" customWidth="1"/>
    <col min="520" max="520" width="23.140625" style="70" customWidth="1"/>
    <col min="521" max="768" width="9.140625" style="70"/>
    <col min="769" max="769" width="6" style="70" customWidth="1"/>
    <col min="770" max="770" width="73.28515625" style="70" customWidth="1"/>
    <col min="771" max="771" width="13.85546875" style="70" customWidth="1"/>
    <col min="772" max="772" width="7.85546875" style="70" customWidth="1"/>
    <col min="773" max="773" width="12.140625" style="70" customWidth="1"/>
    <col min="774" max="774" width="7.85546875" style="70" customWidth="1"/>
    <col min="775" max="775" width="12.28515625" style="70" customWidth="1"/>
    <col min="776" max="776" width="23.140625" style="70" customWidth="1"/>
    <col min="777" max="1024" width="9.140625" style="70"/>
    <col min="1025" max="1025" width="6" style="70" customWidth="1"/>
    <col min="1026" max="1026" width="73.28515625" style="70" customWidth="1"/>
    <col min="1027" max="1027" width="13.85546875" style="70" customWidth="1"/>
    <col min="1028" max="1028" width="7.85546875" style="70" customWidth="1"/>
    <col min="1029" max="1029" width="12.140625" style="70" customWidth="1"/>
    <col min="1030" max="1030" width="7.85546875" style="70" customWidth="1"/>
    <col min="1031" max="1031" width="12.28515625" style="70" customWidth="1"/>
    <col min="1032" max="1032" width="23.140625" style="70" customWidth="1"/>
    <col min="1033" max="1280" width="9.140625" style="70"/>
    <col min="1281" max="1281" width="6" style="70" customWidth="1"/>
    <col min="1282" max="1282" width="73.28515625" style="70" customWidth="1"/>
    <col min="1283" max="1283" width="13.85546875" style="70" customWidth="1"/>
    <col min="1284" max="1284" width="7.85546875" style="70" customWidth="1"/>
    <col min="1285" max="1285" width="12.140625" style="70" customWidth="1"/>
    <col min="1286" max="1286" width="7.85546875" style="70" customWidth="1"/>
    <col min="1287" max="1287" width="12.28515625" style="70" customWidth="1"/>
    <col min="1288" max="1288" width="23.140625" style="70" customWidth="1"/>
    <col min="1289" max="1536" width="9.140625" style="70"/>
    <col min="1537" max="1537" width="6" style="70" customWidth="1"/>
    <col min="1538" max="1538" width="73.28515625" style="70" customWidth="1"/>
    <col min="1539" max="1539" width="13.85546875" style="70" customWidth="1"/>
    <col min="1540" max="1540" width="7.85546875" style="70" customWidth="1"/>
    <col min="1541" max="1541" width="12.140625" style="70" customWidth="1"/>
    <col min="1542" max="1542" width="7.85546875" style="70" customWidth="1"/>
    <col min="1543" max="1543" width="12.28515625" style="70" customWidth="1"/>
    <col min="1544" max="1544" width="23.140625" style="70" customWidth="1"/>
    <col min="1545" max="1792" width="9.140625" style="70"/>
    <col min="1793" max="1793" width="6" style="70" customWidth="1"/>
    <col min="1794" max="1794" width="73.28515625" style="70" customWidth="1"/>
    <col min="1795" max="1795" width="13.85546875" style="70" customWidth="1"/>
    <col min="1796" max="1796" width="7.85546875" style="70" customWidth="1"/>
    <col min="1797" max="1797" width="12.140625" style="70" customWidth="1"/>
    <col min="1798" max="1798" width="7.85546875" style="70" customWidth="1"/>
    <col min="1799" max="1799" width="12.28515625" style="70" customWidth="1"/>
    <col min="1800" max="1800" width="23.140625" style="70" customWidth="1"/>
    <col min="1801" max="2048" width="9.140625" style="70"/>
    <col min="2049" max="2049" width="6" style="70" customWidth="1"/>
    <col min="2050" max="2050" width="73.28515625" style="70" customWidth="1"/>
    <col min="2051" max="2051" width="13.85546875" style="70" customWidth="1"/>
    <col min="2052" max="2052" width="7.85546875" style="70" customWidth="1"/>
    <col min="2053" max="2053" width="12.140625" style="70" customWidth="1"/>
    <col min="2054" max="2054" width="7.85546875" style="70" customWidth="1"/>
    <col min="2055" max="2055" width="12.28515625" style="70" customWidth="1"/>
    <col min="2056" max="2056" width="23.140625" style="70" customWidth="1"/>
    <col min="2057" max="2304" width="9.140625" style="70"/>
    <col min="2305" max="2305" width="6" style="70" customWidth="1"/>
    <col min="2306" max="2306" width="73.28515625" style="70" customWidth="1"/>
    <col min="2307" max="2307" width="13.85546875" style="70" customWidth="1"/>
    <col min="2308" max="2308" width="7.85546875" style="70" customWidth="1"/>
    <col min="2309" max="2309" width="12.140625" style="70" customWidth="1"/>
    <col min="2310" max="2310" width="7.85546875" style="70" customWidth="1"/>
    <col min="2311" max="2311" width="12.28515625" style="70" customWidth="1"/>
    <col min="2312" max="2312" width="23.140625" style="70" customWidth="1"/>
    <col min="2313" max="2560" width="9.140625" style="70"/>
    <col min="2561" max="2561" width="6" style="70" customWidth="1"/>
    <col min="2562" max="2562" width="73.28515625" style="70" customWidth="1"/>
    <col min="2563" max="2563" width="13.85546875" style="70" customWidth="1"/>
    <col min="2564" max="2564" width="7.85546875" style="70" customWidth="1"/>
    <col min="2565" max="2565" width="12.140625" style="70" customWidth="1"/>
    <col min="2566" max="2566" width="7.85546875" style="70" customWidth="1"/>
    <col min="2567" max="2567" width="12.28515625" style="70" customWidth="1"/>
    <col min="2568" max="2568" width="23.140625" style="70" customWidth="1"/>
    <col min="2569" max="2816" width="9.140625" style="70"/>
    <col min="2817" max="2817" width="6" style="70" customWidth="1"/>
    <col min="2818" max="2818" width="73.28515625" style="70" customWidth="1"/>
    <col min="2819" max="2819" width="13.85546875" style="70" customWidth="1"/>
    <col min="2820" max="2820" width="7.85546875" style="70" customWidth="1"/>
    <col min="2821" max="2821" width="12.140625" style="70" customWidth="1"/>
    <col min="2822" max="2822" width="7.85546875" style="70" customWidth="1"/>
    <col min="2823" max="2823" width="12.28515625" style="70" customWidth="1"/>
    <col min="2824" max="2824" width="23.140625" style="70" customWidth="1"/>
    <col min="2825" max="3072" width="9.140625" style="70"/>
    <col min="3073" max="3073" width="6" style="70" customWidth="1"/>
    <col min="3074" max="3074" width="73.28515625" style="70" customWidth="1"/>
    <col min="3075" max="3075" width="13.85546875" style="70" customWidth="1"/>
    <col min="3076" max="3076" width="7.85546875" style="70" customWidth="1"/>
    <col min="3077" max="3077" width="12.140625" style="70" customWidth="1"/>
    <col min="3078" max="3078" width="7.85546875" style="70" customWidth="1"/>
    <col min="3079" max="3079" width="12.28515625" style="70" customWidth="1"/>
    <col min="3080" max="3080" width="23.140625" style="70" customWidth="1"/>
    <col min="3081" max="3328" width="9.140625" style="70"/>
    <col min="3329" max="3329" width="6" style="70" customWidth="1"/>
    <col min="3330" max="3330" width="73.28515625" style="70" customWidth="1"/>
    <col min="3331" max="3331" width="13.85546875" style="70" customWidth="1"/>
    <col min="3332" max="3332" width="7.85546875" style="70" customWidth="1"/>
    <col min="3333" max="3333" width="12.140625" style="70" customWidth="1"/>
    <col min="3334" max="3334" width="7.85546875" style="70" customWidth="1"/>
    <col min="3335" max="3335" width="12.28515625" style="70" customWidth="1"/>
    <col min="3336" max="3336" width="23.140625" style="70" customWidth="1"/>
    <col min="3337" max="3584" width="9.140625" style="70"/>
    <col min="3585" max="3585" width="6" style="70" customWidth="1"/>
    <col min="3586" max="3586" width="73.28515625" style="70" customWidth="1"/>
    <col min="3587" max="3587" width="13.85546875" style="70" customWidth="1"/>
    <col min="3588" max="3588" width="7.85546875" style="70" customWidth="1"/>
    <col min="3589" max="3589" width="12.140625" style="70" customWidth="1"/>
    <col min="3590" max="3590" width="7.85546875" style="70" customWidth="1"/>
    <col min="3591" max="3591" width="12.28515625" style="70" customWidth="1"/>
    <col min="3592" max="3592" width="23.140625" style="70" customWidth="1"/>
    <col min="3593" max="3840" width="9.140625" style="70"/>
    <col min="3841" max="3841" width="6" style="70" customWidth="1"/>
    <col min="3842" max="3842" width="73.28515625" style="70" customWidth="1"/>
    <col min="3843" max="3843" width="13.85546875" style="70" customWidth="1"/>
    <col min="3844" max="3844" width="7.85546875" style="70" customWidth="1"/>
    <col min="3845" max="3845" width="12.140625" style="70" customWidth="1"/>
    <col min="3846" max="3846" width="7.85546875" style="70" customWidth="1"/>
    <col min="3847" max="3847" width="12.28515625" style="70" customWidth="1"/>
    <col min="3848" max="3848" width="23.140625" style="70" customWidth="1"/>
    <col min="3849" max="4096" width="9.140625" style="70"/>
    <col min="4097" max="4097" width="6" style="70" customWidth="1"/>
    <col min="4098" max="4098" width="73.28515625" style="70" customWidth="1"/>
    <col min="4099" max="4099" width="13.85546875" style="70" customWidth="1"/>
    <col min="4100" max="4100" width="7.85546875" style="70" customWidth="1"/>
    <col min="4101" max="4101" width="12.140625" style="70" customWidth="1"/>
    <col min="4102" max="4102" width="7.85546875" style="70" customWidth="1"/>
    <col min="4103" max="4103" width="12.28515625" style="70" customWidth="1"/>
    <col min="4104" max="4104" width="23.140625" style="70" customWidth="1"/>
    <col min="4105" max="4352" width="9.140625" style="70"/>
    <col min="4353" max="4353" width="6" style="70" customWidth="1"/>
    <col min="4354" max="4354" width="73.28515625" style="70" customWidth="1"/>
    <col min="4355" max="4355" width="13.85546875" style="70" customWidth="1"/>
    <col min="4356" max="4356" width="7.85546875" style="70" customWidth="1"/>
    <col min="4357" max="4357" width="12.140625" style="70" customWidth="1"/>
    <col min="4358" max="4358" width="7.85546875" style="70" customWidth="1"/>
    <col min="4359" max="4359" width="12.28515625" style="70" customWidth="1"/>
    <col min="4360" max="4360" width="23.140625" style="70" customWidth="1"/>
    <col min="4361" max="4608" width="9.140625" style="70"/>
    <col min="4609" max="4609" width="6" style="70" customWidth="1"/>
    <col min="4610" max="4610" width="73.28515625" style="70" customWidth="1"/>
    <col min="4611" max="4611" width="13.85546875" style="70" customWidth="1"/>
    <col min="4612" max="4612" width="7.85546875" style="70" customWidth="1"/>
    <col min="4613" max="4613" width="12.140625" style="70" customWidth="1"/>
    <col min="4614" max="4614" width="7.85546875" style="70" customWidth="1"/>
    <col min="4615" max="4615" width="12.28515625" style="70" customWidth="1"/>
    <col min="4616" max="4616" width="23.140625" style="70" customWidth="1"/>
    <col min="4617" max="4864" width="9.140625" style="70"/>
    <col min="4865" max="4865" width="6" style="70" customWidth="1"/>
    <col min="4866" max="4866" width="73.28515625" style="70" customWidth="1"/>
    <col min="4867" max="4867" width="13.85546875" style="70" customWidth="1"/>
    <col min="4868" max="4868" width="7.85546875" style="70" customWidth="1"/>
    <col min="4869" max="4869" width="12.140625" style="70" customWidth="1"/>
    <col min="4870" max="4870" width="7.85546875" style="70" customWidth="1"/>
    <col min="4871" max="4871" width="12.28515625" style="70" customWidth="1"/>
    <col min="4872" max="4872" width="23.140625" style="70" customWidth="1"/>
    <col min="4873" max="5120" width="9.140625" style="70"/>
    <col min="5121" max="5121" width="6" style="70" customWidth="1"/>
    <col min="5122" max="5122" width="73.28515625" style="70" customWidth="1"/>
    <col min="5123" max="5123" width="13.85546875" style="70" customWidth="1"/>
    <col min="5124" max="5124" width="7.85546875" style="70" customWidth="1"/>
    <col min="5125" max="5125" width="12.140625" style="70" customWidth="1"/>
    <col min="5126" max="5126" width="7.85546875" style="70" customWidth="1"/>
    <col min="5127" max="5127" width="12.28515625" style="70" customWidth="1"/>
    <col min="5128" max="5128" width="23.140625" style="70" customWidth="1"/>
    <col min="5129" max="5376" width="9.140625" style="70"/>
    <col min="5377" max="5377" width="6" style="70" customWidth="1"/>
    <col min="5378" max="5378" width="73.28515625" style="70" customWidth="1"/>
    <col min="5379" max="5379" width="13.85546875" style="70" customWidth="1"/>
    <col min="5380" max="5380" width="7.85546875" style="70" customWidth="1"/>
    <col min="5381" max="5381" width="12.140625" style="70" customWidth="1"/>
    <col min="5382" max="5382" width="7.85546875" style="70" customWidth="1"/>
    <col min="5383" max="5383" width="12.28515625" style="70" customWidth="1"/>
    <col min="5384" max="5384" width="23.140625" style="70" customWidth="1"/>
    <col min="5385" max="5632" width="9.140625" style="70"/>
    <col min="5633" max="5633" width="6" style="70" customWidth="1"/>
    <col min="5634" max="5634" width="73.28515625" style="70" customWidth="1"/>
    <col min="5635" max="5635" width="13.85546875" style="70" customWidth="1"/>
    <col min="5636" max="5636" width="7.85546875" style="70" customWidth="1"/>
    <col min="5637" max="5637" width="12.140625" style="70" customWidth="1"/>
    <col min="5638" max="5638" width="7.85546875" style="70" customWidth="1"/>
    <col min="5639" max="5639" width="12.28515625" style="70" customWidth="1"/>
    <col min="5640" max="5640" width="23.140625" style="70" customWidth="1"/>
    <col min="5641" max="5888" width="9.140625" style="70"/>
    <col min="5889" max="5889" width="6" style="70" customWidth="1"/>
    <col min="5890" max="5890" width="73.28515625" style="70" customWidth="1"/>
    <col min="5891" max="5891" width="13.85546875" style="70" customWidth="1"/>
    <col min="5892" max="5892" width="7.85546875" style="70" customWidth="1"/>
    <col min="5893" max="5893" width="12.140625" style="70" customWidth="1"/>
    <col min="5894" max="5894" width="7.85546875" style="70" customWidth="1"/>
    <col min="5895" max="5895" width="12.28515625" style="70" customWidth="1"/>
    <col min="5896" max="5896" width="23.140625" style="70" customWidth="1"/>
    <col min="5897" max="6144" width="9.140625" style="70"/>
    <col min="6145" max="6145" width="6" style="70" customWidth="1"/>
    <col min="6146" max="6146" width="73.28515625" style="70" customWidth="1"/>
    <col min="6147" max="6147" width="13.85546875" style="70" customWidth="1"/>
    <col min="6148" max="6148" width="7.85546875" style="70" customWidth="1"/>
    <col min="6149" max="6149" width="12.140625" style="70" customWidth="1"/>
    <col min="6150" max="6150" width="7.85546875" style="70" customWidth="1"/>
    <col min="6151" max="6151" width="12.28515625" style="70" customWidth="1"/>
    <col min="6152" max="6152" width="23.140625" style="70" customWidth="1"/>
    <col min="6153" max="6400" width="9.140625" style="70"/>
    <col min="6401" max="6401" width="6" style="70" customWidth="1"/>
    <col min="6402" max="6402" width="73.28515625" style="70" customWidth="1"/>
    <col min="6403" max="6403" width="13.85546875" style="70" customWidth="1"/>
    <col min="6404" max="6404" width="7.85546875" style="70" customWidth="1"/>
    <col min="6405" max="6405" width="12.140625" style="70" customWidth="1"/>
    <col min="6406" max="6406" width="7.85546875" style="70" customWidth="1"/>
    <col min="6407" max="6407" width="12.28515625" style="70" customWidth="1"/>
    <col min="6408" max="6408" width="23.140625" style="70" customWidth="1"/>
    <col min="6409" max="6656" width="9.140625" style="70"/>
    <col min="6657" max="6657" width="6" style="70" customWidth="1"/>
    <col min="6658" max="6658" width="73.28515625" style="70" customWidth="1"/>
    <col min="6659" max="6659" width="13.85546875" style="70" customWidth="1"/>
    <col min="6660" max="6660" width="7.85546875" style="70" customWidth="1"/>
    <col min="6661" max="6661" width="12.140625" style="70" customWidth="1"/>
    <col min="6662" max="6662" width="7.85546875" style="70" customWidth="1"/>
    <col min="6663" max="6663" width="12.28515625" style="70" customWidth="1"/>
    <col min="6664" max="6664" width="23.140625" style="70" customWidth="1"/>
    <col min="6665" max="6912" width="9.140625" style="70"/>
    <col min="6913" max="6913" width="6" style="70" customWidth="1"/>
    <col min="6914" max="6914" width="73.28515625" style="70" customWidth="1"/>
    <col min="6915" max="6915" width="13.85546875" style="70" customWidth="1"/>
    <col min="6916" max="6916" width="7.85546875" style="70" customWidth="1"/>
    <col min="6917" max="6917" width="12.140625" style="70" customWidth="1"/>
    <col min="6918" max="6918" width="7.85546875" style="70" customWidth="1"/>
    <col min="6919" max="6919" width="12.28515625" style="70" customWidth="1"/>
    <col min="6920" max="6920" width="23.140625" style="70" customWidth="1"/>
    <col min="6921" max="7168" width="9.140625" style="70"/>
    <col min="7169" max="7169" width="6" style="70" customWidth="1"/>
    <col min="7170" max="7170" width="73.28515625" style="70" customWidth="1"/>
    <col min="7171" max="7171" width="13.85546875" style="70" customWidth="1"/>
    <col min="7172" max="7172" width="7.85546875" style="70" customWidth="1"/>
    <col min="7173" max="7173" width="12.140625" style="70" customWidth="1"/>
    <col min="7174" max="7174" width="7.85546875" style="70" customWidth="1"/>
    <col min="7175" max="7175" width="12.28515625" style="70" customWidth="1"/>
    <col min="7176" max="7176" width="23.140625" style="70" customWidth="1"/>
    <col min="7177" max="7424" width="9.140625" style="70"/>
    <col min="7425" max="7425" width="6" style="70" customWidth="1"/>
    <col min="7426" max="7426" width="73.28515625" style="70" customWidth="1"/>
    <col min="7427" max="7427" width="13.85546875" style="70" customWidth="1"/>
    <col min="7428" max="7428" width="7.85546875" style="70" customWidth="1"/>
    <col min="7429" max="7429" width="12.140625" style="70" customWidth="1"/>
    <col min="7430" max="7430" width="7.85546875" style="70" customWidth="1"/>
    <col min="7431" max="7431" width="12.28515625" style="70" customWidth="1"/>
    <col min="7432" max="7432" width="23.140625" style="70" customWidth="1"/>
    <col min="7433" max="7680" width="9.140625" style="70"/>
    <col min="7681" max="7681" width="6" style="70" customWidth="1"/>
    <col min="7682" max="7682" width="73.28515625" style="70" customWidth="1"/>
    <col min="7683" max="7683" width="13.85546875" style="70" customWidth="1"/>
    <col min="7684" max="7684" width="7.85546875" style="70" customWidth="1"/>
    <col min="7685" max="7685" width="12.140625" style="70" customWidth="1"/>
    <col min="7686" max="7686" width="7.85546875" style="70" customWidth="1"/>
    <col min="7687" max="7687" width="12.28515625" style="70" customWidth="1"/>
    <col min="7688" max="7688" width="23.140625" style="70" customWidth="1"/>
    <col min="7689" max="7936" width="9.140625" style="70"/>
    <col min="7937" max="7937" width="6" style="70" customWidth="1"/>
    <col min="7938" max="7938" width="73.28515625" style="70" customWidth="1"/>
    <col min="7939" max="7939" width="13.85546875" style="70" customWidth="1"/>
    <col min="7940" max="7940" width="7.85546875" style="70" customWidth="1"/>
    <col min="7941" max="7941" width="12.140625" style="70" customWidth="1"/>
    <col min="7942" max="7942" width="7.85546875" style="70" customWidth="1"/>
    <col min="7943" max="7943" width="12.28515625" style="70" customWidth="1"/>
    <col min="7944" max="7944" width="23.140625" style="70" customWidth="1"/>
    <col min="7945" max="8192" width="9.140625" style="70"/>
    <col min="8193" max="8193" width="6" style="70" customWidth="1"/>
    <col min="8194" max="8194" width="73.28515625" style="70" customWidth="1"/>
    <col min="8195" max="8195" width="13.85546875" style="70" customWidth="1"/>
    <col min="8196" max="8196" width="7.85546875" style="70" customWidth="1"/>
    <col min="8197" max="8197" width="12.140625" style="70" customWidth="1"/>
    <col min="8198" max="8198" width="7.85546875" style="70" customWidth="1"/>
    <col min="8199" max="8199" width="12.28515625" style="70" customWidth="1"/>
    <col min="8200" max="8200" width="23.140625" style="70" customWidth="1"/>
    <col min="8201" max="8448" width="9.140625" style="70"/>
    <col min="8449" max="8449" width="6" style="70" customWidth="1"/>
    <col min="8450" max="8450" width="73.28515625" style="70" customWidth="1"/>
    <col min="8451" max="8451" width="13.85546875" style="70" customWidth="1"/>
    <col min="8452" max="8452" width="7.85546875" style="70" customWidth="1"/>
    <col min="8453" max="8453" width="12.140625" style="70" customWidth="1"/>
    <col min="8454" max="8454" width="7.85546875" style="70" customWidth="1"/>
    <col min="8455" max="8455" width="12.28515625" style="70" customWidth="1"/>
    <col min="8456" max="8456" width="23.140625" style="70" customWidth="1"/>
    <col min="8457" max="8704" width="9.140625" style="70"/>
    <col min="8705" max="8705" width="6" style="70" customWidth="1"/>
    <col min="8706" max="8706" width="73.28515625" style="70" customWidth="1"/>
    <col min="8707" max="8707" width="13.85546875" style="70" customWidth="1"/>
    <col min="8708" max="8708" width="7.85546875" style="70" customWidth="1"/>
    <col min="8709" max="8709" width="12.140625" style="70" customWidth="1"/>
    <col min="8710" max="8710" width="7.85546875" style="70" customWidth="1"/>
    <col min="8711" max="8711" width="12.28515625" style="70" customWidth="1"/>
    <col min="8712" max="8712" width="23.140625" style="70" customWidth="1"/>
    <col min="8713" max="8960" width="9.140625" style="70"/>
    <col min="8961" max="8961" width="6" style="70" customWidth="1"/>
    <col min="8962" max="8962" width="73.28515625" style="70" customWidth="1"/>
    <col min="8963" max="8963" width="13.85546875" style="70" customWidth="1"/>
    <col min="8964" max="8964" width="7.85546875" style="70" customWidth="1"/>
    <col min="8965" max="8965" width="12.140625" style="70" customWidth="1"/>
    <col min="8966" max="8966" width="7.85546875" style="70" customWidth="1"/>
    <col min="8967" max="8967" width="12.28515625" style="70" customWidth="1"/>
    <col min="8968" max="8968" width="23.140625" style="70" customWidth="1"/>
    <col min="8969" max="9216" width="9.140625" style="70"/>
    <col min="9217" max="9217" width="6" style="70" customWidth="1"/>
    <col min="9218" max="9218" width="73.28515625" style="70" customWidth="1"/>
    <col min="9219" max="9219" width="13.85546875" style="70" customWidth="1"/>
    <col min="9220" max="9220" width="7.85546875" style="70" customWidth="1"/>
    <col min="9221" max="9221" width="12.140625" style="70" customWidth="1"/>
    <col min="9222" max="9222" width="7.85546875" style="70" customWidth="1"/>
    <col min="9223" max="9223" width="12.28515625" style="70" customWidth="1"/>
    <col min="9224" max="9224" width="23.140625" style="70" customWidth="1"/>
    <col min="9225" max="9472" width="9.140625" style="70"/>
    <col min="9473" max="9473" width="6" style="70" customWidth="1"/>
    <col min="9474" max="9474" width="73.28515625" style="70" customWidth="1"/>
    <col min="9475" max="9475" width="13.85546875" style="70" customWidth="1"/>
    <col min="9476" max="9476" width="7.85546875" style="70" customWidth="1"/>
    <col min="9477" max="9477" width="12.140625" style="70" customWidth="1"/>
    <col min="9478" max="9478" width="7.85546875" style="70" customWidth="1"/>
    <col min="9479" max="9479" width="12.28515625" style="70" customWidth="1"/>
    <col min="9480" max="9480" width="23.140625" style="70" customWidth="1"/>
    <col min="9481" max="9728" width="9.140625" style="70"/>
    <col min="9729" max="9729" width="6" style="70" customWidth="1"/>
    <col min="9730" max="9730" width="73.28515625" style="70" customWidth="1"/>
    <col min="9731" max="9731" width="13.85546875" style="70" customWidth="1"/>
    <col min="9732" max="9732" width="7.85546875" style="70" customWidth="1"/>
    <col min="9733" max="9733" width="12.140625" style="70" customWidth="1"/>
    <col min="9734" max="9734" width="7.85546875" style="70" customWidth="1"/>
    <col min="9735" max="9735" width="12.28515625" style="70" customWidth="1"/>
    <col min="9736" max="9736" width="23.140625" style="70" customWidth="1"/>
    <col min="9737" max="9984" width="9.140625" style="70"/>
    <col min="9985" max="9985" width="6" style="70" customWidth="1"/>
    <col min="9986" max="9986" width="73.28515625" style="70" customWidth="1"/>
    <col min="9987" max="9987" width="13.85546875" style="70" customWidth="1"/>
    <col min="9988" max="9988" width="7.85546875" style="70" customWidth="1"/>
    <col min="9989" max="9989" width="12.140625" style="70" customWidth="1"/>
    <col min="9990" max="9990" width="7.85546875" style="70" customWidth="1"/>
    <col min="9991" max="9991" width="12.28515625" style="70" customWidth="1"/>
    <col min="9992" max="9992" width="23.140625" style="70" customWidth="1"/>
    <col min="9993" max="10240" width="9.140625" style="70"/>
    <col min="10241" max="10241" width="6" style="70" customWidth="1"/>
    <col min="10242" max="10242" width="73.28515625" style="70" customWidth="1"/>
    <col min="10243" max="10243" width="13.85546875" style="70" customWidth="1"/>
    <col min="10244" max="10244" width="7.85546875" style="70" customWidth="1"/>
    <col min="10245" max="10245" width="12.140625" style="70" customWidth="1"/>
    <col min="10246" max="10246" width="7.85546875" style="70" customWidth="1"/>
    <col min="10247" max="10247" width="12.28515625" style="70" customWidth="1"/>
    <col min="10248" max="10248" width="23.140625" style="70" customWidth="1"/>
    <col min="10249" max="10496" width="9.140625" style="70"/>
    <col min="10497" max="10497" width="6" style="70" customWidth="1"/>
    <col min="10498" max="10498" width="73.28515625" style="70" customWidth="1"/>
    <col min="10499" max="10499" width="13.85546875" style="70" customWidth="1"/>
    <col min="10500" max="10500" width="7.85546875" style="70" customWidth="1"/>
    <col min="10501" max="10501" width="12.140625" style="70" customWidth="1"/>
    <col min="10502" max="10502" width="7.85546875" style="70" customWidth="1"/>
    <col min="10503" max="10503" width="12.28515625" style="70" customWidth="1"/>
    <col min="10504" max="10504" width="23.140625" style="70" customWidth="1"/>
    <col min="10505" max="10752" width="9.140625" style="70"/>
    <col min="10753" max="10753" width="6" style="70" customWidth="1"/>
    <col min="10754" max="10754" width="73.28515625" style="70" customWidth="1"/>
    <col min="10755" max="10755" width="13.85546875" style="70" customWidth="1"/>
    <col min="10756" max="10756" width="7.85546875" style="70" customWidth="1"/>
    <col min="10757" max="10757" width="12.140625" style="70" customWidth="1"/>
    <col min="10758" max="10758" width="7.85546875" style="70" customWidth="1"/>
    <col min="10759" max="10759" width="12.28515625" style="70" customWidth="1"/>
    <col min="10760" max="10760" width="23.140625" style="70" customWidth="1"/>
    <col min="10761" max="11008" width="9.140625" style="70"/>
    <col min="11009" max="11009" width="6" style="70" customWidth="1"/>
    <col min="11010" max="11010" width="73.28515625" style="70" customWidth="1"/>
    <col min="11011" max="11011" width="13.85546875" style="70" customWidth="1"/>
    <col min="11012" max="11012" width="7.85546875" style="70" customWidth="1"/>
    <col min="11013" max="11013" width="12.140625" style="70" customWidth="1"/>
    <col min="11014" max="11014" width="7.85546875" style="70" customWidth="1"/>
    <col min="11015" max="11015" width="12.28515625" style="70" customWidth="1"/>
    <col min="11016" max="11016" width="23.140625" style="70" customWidth="1"/>
    <col min="11017" max="11264" width="9.140625" style="70"/>
    <col min="11265" max="11265" width="6" style="70" customWidth="1"/>
    <col min="11266" max="11266" width="73.28515625" style="70" customWidth="1"/>
    <col min="11267" max="11267" width="13.85546875" style="70" customWidth="1"/>
    <col min="11268" max="11268" width="7.85546875" style="70" customWidth="1"/>
    <col min="11269" max="11269" width="12.140625" style="70" customWidth="1"/>
    <col min="11270" max="11270" width="7.85546875" style="70" customWidth="1"/>
    <col min="11271" max="11271" width="12.28515625" style="70" customWidth="1"/>
    <col min="11272" max="11272" width="23.140625" style="70" customWidth="1"/>
    <col min="11273" max="11520" width="9.140625" style="70"/>
    <col min="11521" max="11521" width="6" style="70" customWidth="1"/>
    <col min="11522" max="11522" width="73.28515625" style="70" customWidth="1"/>
    <col min="11523" max="11523" width="13.85546875" style="70" customWidth="1"/>
    <col min="11524" max="11524" width="7.85546875" style="70" customWidth="1"/>
    <col min="11525" max="11525" width="12.140625" style="70" customWidth="1"/>
    <col min="11526" max="11526" width="7.85546875" style="70" customWidth="1"/>
    <col min="11527" max="11527" width="12.28515625" style="70" customWidth="1"/>
    <col min="11528" max="11528" width="23.140625" style="70" customWidth="1"/>
    <col min="11529" max="11776" width="9.140625" style="70"/>
    <col min="11777" max="11777" width="6" style="70" customWidth="1"/>
    <col min="11778" max="11778" width="73.28515625" style="70" customWidth="1"/>
    <col min="11779" max="11779" width="13.85546875" style="70" customWidth="1"/>
    <col min="11780" max="11780" width="7.85546875" style="70" customWidth="1"/>
    <col min="11781" max="11781" width="12.140625" style="70" customWidth="1"/>
    <col min="11782" max="11782" width="7.85546875" style="70" customWidth="1"/>
    <col min="11783" max="11783" width="12.28515625" style="70" customWidth="1"/>
    <col min="11784" max="11784" width="23.140625" style="70" customWidth="1"/>
    <col min="11785" max="12032" width="9.140625" style="70"/>
    <col min="12033" max="12033" width="6" style="70" customWidth="1"/>
    <col min="12034" max="12034" width="73.28515625" style="70" customWidth="1"/>
    <col min="12035" max="12035" width="13.85546875" style="70" customWidth="1"/>
    <col min="12036" max="12036" width="7.85546875" style="70" customWidth="1"/>
    <col min="12037" max="12037" width="12.140625" style="70" customWidth="1"/>
    <col min="12038" max="12038" width="7.85546875" style="70" customWidth="1"/>
    <col min="12039" max="12039" width="12.28515625" style="70" customWidth="1"/>
    <col min="12040" max="12040" width="23.140625" style="70" customWidth="1"/>
    <col min="12041" max="12288" width="9.140625" style="70"/>
    <col min="12289" max="12289" width="6" style="70" customWidth="1"/>
    <col min="12290" max="12290" width="73.28515625" style="70" customWidth="1"/>
    <col min="12291" max="12291" width="13.85546875" style="70" customWidth="1"/>
    <col min="12292" max="12292" width="7.85546875" style="70" customWidth="1"/>
    <col min="12293" max="12293" width="12.140625" style="70" customWidth="1"/>
    <col min="12294" max="12294" width="7.85546875" style="70" customWidth="1"/>
    <col min="12295" max="12295" width="12.28515625" style="70" customWidth="1"/>
    <col min="12296" max="12296" width="23.140625" style="70" customWidth="1"/>
    <col min="12297" max="12544" width="9.140625" style="70"/>
    <col min="12545" max="12545" width="6" style="70" customWidth="1"/>
    <col min="12546" max="12546" width="73.28515625" style="70" customWidth="1"/>
    <col min="12547" max="12547" width="13.85546875" style="70" customWidth="1"/>
    <col min="12548" max="12548" width="7.85546875" style="70" customWidth="1"/>
    <col min="12549" max="12549" width="12.140625" style="70" customWidth="1"/>
    <col min="12550" max="12550" width="7.85546875" style="70" customWidth="1"/>
    <col min="12551" max="12551" width="12.28515625" style="70" customWidth="1"/>
    <col min="12552" max="12552" width="23.140625" style="70" customWidth="1"/>
    <col min="12553" max="12800" width="9.140625" style="70"/>
    <col min="12801" max="12801" width="6" style="70" customWidth="1"/>
    <col min="12802" max="12802" width="73.28515625" style="70" customWidth="1"/>
    <col min="12803" max="12803" width="13.85546875" style="70" customWidth="1"/>
    <col min="12804" max="12804" width="7.85546875" style="70" customWidth="1"/>
    <col min="12805" max="12805" width="12.140625" style="70" customWidth="1"/>
    <col min="12806" max="12806" width="7.85546875" style="70" customWidth="1"/>
    <col min="12807" max="12807" width="12.28515625" style="70" customWidth="1"/>
    <col min="12808" max="12808" width="23.140625" style="70" customWidth="1"/>
    <col min="12809" max="13056" width="9.140625" style="70"/>
    <col min="13057" max="13057" width="6" style="70" customWidth="1"/>
    <col min="13058" max="13058" width="73.28515625" style="70" customWidth="1"/>
    <col min="13059" max="13059" width="13.85546875" style="70" customWidth="1"/>
    <col min="13060" max="13060" width="7.85546875" style="70" customWidth="1"/>
    <col min="13061" max="13061" width="12.140625" style="70" customWidth="1"/>
    <col min="13062" max="13062" width="7.85546875" style="70" customWidth="1"/>
    <col min="13063" max="13063" width="12.28515625" style="70" customWidth="1"/>
    <col min="13064" max="13064" width="23.140625" style="70" customWidth="1"/>
    <col min="13065" max="13312" width="9.140625" style="70"/>
    <col min="13313" max="13313" width="6" style="70" customWidth="1"/>
    <col min="13314" max="13314" width="73.28515625" style="70" customWidth="1"/>
    <col min="13315" max="13315" width="13.85546875" style="70" customWidth="1"/>
    <col min="13316" max="13316" width="7.85546875" style="70" customWidth="1"/>
    <col min="13317" max="13317" width="12.140625" style="70" customWidth="1"/>
    <col min="13318" max="13318" width="7.85546875" style="70" customWidth="1"/>
    <col min="13319" max="13319" width="12.28515625" style="70" customWidth="1"/>
    <col min="13320" max="13320" width="23.140625" style="70" customWidth="1"/>
    <col min="13321" max="13568" width="9.140625" style="70"/>
    <col min="13569" max="13569" width="6" style="70" customWidth="1"/>
    <col min="13570" max="13570" width="73.28515625" style="70" customWidth="1"/>
    <col min="13571" max="13571" width="13.85546875" style="70" customWidth="1"/>
    <col min="13572" max="13572" width="7.85546875" style="70" customWidth="1"/>
    <col min="13573" max="13573" width="12.140625" style="70" customWidth="1"/>
    <col min="13574" max="13574" width="7.85546875" style="70" customWidth="1"/>
    <col min="13575" max="13575" width="12.28515625" style="70" customWidth="1"/>
    <col min="13576" max="13576" width="23.140625" style="70" customWidth="1"/>
    <col min="13577" max="13824" width="9.140625" style="70"/>
    <col min="13825" max="13825" width="6" style="70" customWidth="1"/>
    <col min="13826" max="13826" width="73.28515625" style="70" customWidth="1"/>
    <col min="13827" max="13827" width="13.85546875" style="70" customWidth="1"/>
    <col min="13828" max="13828" width="7.85546875" style="70" customWidth="1"/>
    <col min="13829" max="13829" width="12.140625" style="70" customWidth="1"/>
    <col min="13830" max="13830" width="7.85546875" style="70" customWidth="1"/>
    <col min="13831" max="13831" width="12.28515625" style="70" customWidth="1"/>
    <col min="13832" max="13832" width="23.140625" style="70" customWidth="1"/>
    <col min="13833" max="14080" width="9.140625" style="70"/>
    <col min="14081" max="14081" width="6" style="70" customWidth="1"/>
    <col min="14082" max="14082" width="73.28515625" style="70" customWidth="1"/>
    <col min="14083" max="14083" width="13.85546875" style="70" customWidth="1"/>
    <col min="14084" max="14084" width="7.85546875" style="70" customWidth="1"/>
    <col min="14085" max="14085" width="12.140625" style="70" customWidth="1"/>
    <col min="14086" max="14086" width="7.85546875" style="70" customWidth="1"/>
    <col min="14087" max="14087" width="12.28515625" style="70" customWidth="1"/>
    <col min="14088" max="14088" width="23.140625" style="70" customWidth="1"/>
    <col min="14089" max="14336" width="9.140625" style="70"/>
    <col min="14337" max="14337" width="6" style="70" customWidth="1"/>
    <col min="14338" max="14338" width="73.28515625" style="70" customWidth="1"/>
    <col min="14339" max="14339" width="13.85546875" style="70" customWidth="1"/>
    <col min="14340" max="14340" width="7.85546875" style="70" customWidth="1"/>
    <col min="14341" max="14341" width="12.140625" style="70" customWidth="1"/>
    <col min="14342" max="14342" width="7.85546875" style="70" customWidth="1"/>
    <col min="14343" max="14343" width="12.28515625" style="70" customWidth="1"/>
    <col min="14344" max="14344" width="23.140625" style="70" customWidth="1"/>
    <col min="14345" max="14592" width="9.140625" style="70"/>
    <col min="14593" max="14593" width="6" style="70" customWidth="1"/>
    <col min="14594" max="14594" width="73.28515625" style="70" customWidth="1"/>
    <col min="14595" max="14595" width="13.85546875" style="70" customWidth="1"/>
    <col min="14596" max="14596" width="7.85546875" style="70" customWidth="1"/>
    <col min="14597" max="14597" width="12.140625" style="70" customWidth="1"/>
    <col min="14598" max="14598" width="7.85546875" style="70" customWidth="1"/>
    <col min="14599" max="14599" width="12.28515625" style="70" customWidth="1"/>
    <col min="14600" max="14600" width="23.140625" style="70" customWidth="1"/>
    <col min="14601" max="14848" width="9.140625" style="70"/>
    <col min="14849" max="14849" width="6" style="70" customWidth="1"/>
    <col min="14850" max="14850" width="73.28515625" style="70" customWidth="1"/>
    <col min="14851" max="14851" width="13.85546875" style="70" customWidth="1"/>
    <col min="14852" max="14852" width="7.85546875" style="70" customWidth="1"/>
    <col min="14853" max="14853" width="12.140625" style="70" customWidth="1"/>
    <col min="14854" max="14854" width="7.85546875" style="70" customWidth="1"/>
    <col min="14855" max="14855" width="12.28515625" style="70" customWidth="1"/>
    <col min="14856" max="14856" width="23.140625" style="70" customWidth="1"/>
    <col min="14857" max="15104" width="9.140625" style="70"/>
    <col min="15105" max="15105" width="6" style="70" customWidth="1"/>
    <col min="15106" max="15106" width="73.28515625" style="70" customWidth="1"/>
    <col min="15107" max="15107" width="13.85546875" style="70" customWidth="1"/>
    <col min="15108" max="15108" width="7.85546875" style="70" customWidth="1"/>
    <col min="15109" max="15109" width="12.140625" style="70" customWidth="1"/>
    <col min="15110" max="15110" width="7.85546875" style="70" customWidth="1"/>
    <col min="15111" max="15111" width="12.28515625" style="70" customWidth="1"/>
    <col min="15112" max="15112" width="23.140625" style="70" customWidth="1"/>
    <col min="15113" max="15360" width="9.140625" style="70"/>
    <col min="15361" max="15361" width="6" style="70" customWidth="1"/>
    <col min="15362" max="15362" width="73.28515625" style="70" customWidth="1"/>
    <col min="15363" max="15363" width="13.85546875" style="70" customWidth="1"/>
    <col min="15364" max="15364" width="7.85546875" style="70" customWidth="1"/>
    <col min="15365" max="15365" width="12.140625" style="70" customWidth="1"/>
    <col min="15366" max="15366" width="7.85546875" style="70" customWidth="1"/>
    <col min="15367" max="15367" width="12.28515625" style="70" customWidth="1"/>
    <col min="15368" max="15368" width="23.140625" style="70" customWidth="1"/>
    <col min="15369" max="15616" width="9.140625" style="70"/>
    <col min="15617" max="15617" width="6" style="70" customWidth="1"/>
    <col min="15618" max="15618" width="73.28515625" style="70" customWidth="1"/>
    <col min="15619" max="15619" width="13.85546875" style="70" customWidth="1"/>
    <col min="15620" max="15620" width="7.85546875" style="70" customWidth="1"/>
    <col min="15621" max="15621" width="12.140625" style="70" customWidth="1"/>
    <col min="15622" max="15622" width="7.85546875" style="70" customWidth="1"/>
    <col min="15623" max="15623" width="12.28515625" style="70" customWidth="1"/>
    <col min="15624" max="15624" width="23.140625" style="70" customWidth="1"/>
    <col min="15625" max="15872" width="9.140625" style="70"/>
    <col min="15873" max="15873" width="6" style="70" customWidth="1"/>
    <col min="15874" max="15874" width="73.28515625" style="70" customWidth="1"/>
    <col min="15875" max="15875" width="13.85546875" style="70" customWidth="1"/>
    <col min="15876" max="15876" width="7.85546875" style="70" customWidth="1"/>
    <col min="15877" max="15877" width="12.140625" style="70" customWidth="1"/>
    <col min="15878" max="15878" width="7.85546875" style="70" customWidth="1"/>
    <col min="15879" max="15879" width="12.28515625" style="70" customWidth="1"/>
    <col min="15880" max="15880" width="23.140625" style="70" customWidth="1"/>
    <col min="15881" max="16128" width="9.140625" style="70"/>
    <col min="16129" max="16129" width="6" style="70" customWidth="1"/>
    <col min="16130" max="16130" width="73.28515625" style="70" customWidth="1"/>
    <col min="16131" max="16131" width="13.85546875" style="70" customWidth="1"/>
    <col min="16132" max="16132" width="7.85546875" style="70" customWidth="1"/>
    <col min="16133" max="16133" width="12.140625" style="70" customWidth="1"/>
    <col min="16134" max="16134" width="7.85546875" style="70" customWidth="1"/>
    <col min="16135" max="16135" width="12.28515625" style="70" customWidth="1"/>
    <col min="16136" max="16136" width="23.140625" style="70" customWidth="1"/>
    <col min="16137" max="16384" width="9.140625" style="70"/>
  </cols>
  <sheetData>
    <row r="1" spans="1:9" ht="18">
      <c r="B1" s="3115" t="s">
        <v>3091</v>
      </c>
      <c r="C1" s="3115"/>
      <c r="D1" s="3115"/>
    </row>
    <row r="3" spans="1:9" ht="38.25" customHeight="1">
      <c r="B3" s="3095" t="s">
        <v>3092</v>
      </c>
      <c r="C3" s="3095"/>
      <c r="D3" s="3095"/>
      <c r="E3" s="3095"/>
      <c r="F3" s="3095"/>
    </row>
    <row r="4" spans="1:9" ht="18.75" customHeight="1">
      <c r="A4" s="137"/>
      <c r="F4" s="3392" t="s">
        <v>89</v>
      </c>
      <c r="G4" s="3392"/>
    </row>
    <row r="5" spans="1:9" ht="45">
      <c r="A5" s="2944" t="s">
        <v>2701</v>
      </c>
      <c r="B5" s="2944" t="s">
        <v>3</v>
      </c>
      <c r="C5" s="2944" t="s">
        <v>2216</v>
      </c>
      <c r="D5" s="2944" t="s">
        <v>5</v>
      </c>
      <c r="E5" s="2944" t="s">
        <v>96</v>
      </c>
      <c r="F5" s="2944" t="s">
        <v>95</v>
      </c>
      <c r="G5" s="2944" t="s">
        <v>1668</v>
      </c>
    </row>
    <row r="6" spans="1:9" ht="15">
      <c r="A6" s="2944">
        <v>1</v>
      </c>
      <c r="B6" s="2944">
        <v>2</v>
      </c>
      <c r="C6" s="2944">
        <v>3</v>
      </c>
      <c r="D6" s="2944">
        <v>4</v>
      </c>
      <c r="E6" s="2944">
        <v>5</v>
      </c>
      <c r="F6" s="2944">
        <v>6</v>
      </c>
      <c r="G6" s="2944">
        <v>7</v>
      </c>
    </row>
    <row r="7" spans="1:9" ht="16.5" customHeight="1">
      <c r="A7" s="2963">
        <v>1</v>
      </c>
      <c r="B7" s="1290" t="s">
        <v>3093</v>
      </c>
      <c r="C7" s="2963">
        <v>7130640039</v>
      </c>
      <c r="D7" s="2962" t="s">
        <v>26</v>
      </c>
      <c r="E7" s="1132">
        <f>VLOOKUP(C7,'[25]SOR RATE'!A:D,4,0)</f>
        <v>48.22</v>
      </c>
      <c r="F7" s="2963">
        <v>10</v>
      </c>
      <c r="G7" s="1202">
        <f>E7*F7</f>
        <v>482.2</v>
      </c>
      <c r="H7" s="613"/>
    </row>
    <row r="8" spans="1:9" ht="16.5" customHeight="1">
      <c r="A8" s="2956">
        <v>2</v>
      </c>
      <c r="B8" s="1290" t="s">
        <v>3094</v>
      </c>
      <c r="C8" s="2962">
        <v>7132486843</v>
      </c>
      <c r="D8" s="2963" t="s">
        <v>1320</v>
      </c>
      <c r="E8" s="1132">
        <f>VLOOKUP(C8,'[25]SOR RATE'!A:D,4,0)</f>
        <v>10520.67</v>
      </c>
      <c r="F8" s="2963">
        <v>1</v>
      </c>
      <c r="G8" s="1202">
        <f>E8*F8</f>
        <v>10520.67</v>
      </c>
      <c r="H8" s="3019" t="s">
        <v>802</v>
      </c>
    </row>
    <row r="9" spans="1:9" ht="16.5" customHeight="1">
      <c r="A9" s="2963">
        <v>3</v>
      </c>
      <c r="B9" s="1290" t="s">
        <v>3095</v>
      </c>
      <c r="C9" s="2962">
        <v>7130620133</v>
      </c>
      <c r="D9" s="2962" t="s">
        <v>26</v>
      </c>
      <c r="E9" s="1132">
        <f>VLOOKUP(C9,'[25]SOR RATE'!A:D,4,0)</f>
        <v>120.67</v>
      </c>
      <c r="F9" s="3020">
        <v>1.5</v>
      </c>
      <c r="G9" s="1202">
        <f>E9*F9</f>
        <v>181.005</v>
      </c>
    </row>
    <row r="10" spans="1:9" ht="16.5" customHeight="1">
      <c r="A10" s="2963">
        <v>4</v>
      </c>
      <c r="B10" s="1290" t="s">
        <v>3096</v>
      </c>
      <c r="C10" s="2962">
        <v>7130620140</v>
      </c>
      <c r="D10" s="2962" t="s">
        <v>26</v>
      </c>
      <c r="E10" s="1132">
        <f>VLOOKUP(C10,'[25]SOR RATE'!A:D,4,0)</f>
        <v>120.67</v>
      </c>
      <c r="F10" s="3020">
        <v>1.5</v>
      </c>
      <c r="G10" s="1202">
        <f>E10*F10</f>
        <v>181.005</v>
      </c>
    </row>
    <row r="11" spans="1:9" ht="16.5" customHeight="1">
      <c r="A11" s="2963">
        <v>5</v>
      </c>
      <c r="B11" s="1290" t="s">
        <v>533</v>
      </c>
      <c r="C11" s="2962">
        <v>7130622922</v>
      </c>
      <c r="D11" s="2962" t="s">
        <v>26</v>
      </c>
      <c r="E11" s="1132">
        <f>VLOOKUP(C11,'[25]SOR RATE'!A:D,4,0)</f>
        <v>175.32</v>
      </c>
      <c r="F11" s="3020">
        <v>1</v>
      </c>
      <c r="G11" s="1202">
        <f>E11*F11</f>
        <v>175.32</v>
      </c>
    </row>
    <row r="12" spans="1:9" ht="15.75" customHeight="1">
      <c r="A12" s="2944">
        <v>6</v>
      </c>
      <c r="B12" s="1639" t="s">
        <v>48</v>
      </c>
      <c r="C12" s="2961"/>
      <c r="D12" s="2961"/>
      <c r="E12" s="2173"/>
      <c r="F12" s="2173"/>
      <c r="G12" s="2684">
        <f>SUM(G7:G11)</f>
        <v>11540.199999999999</v>
      </c>
    </row>
    <row r="13" spans="1:9" ht="15.75" customHeight="1">
      <c r="A13" s="2961">
        <v>7</v>
      </c>
      <c r="B13" s="1639" t="s">
        <v>49</v>
      </c>
      <c r="C13" s="2961"/>
      <c r="D13" s="2961"/>
      <c r="E13" s="2173"/>
      <c r="F13" s="2173"/>
      <c r="G13" s="2957">
        <f>G12/1.18</f>
        <v>9779.8305084745753</v>
      </c>
      <c r="H13" s="364"/>
    </row>
    <row r="14" spans="1:9" ht="16.5" customHeight="1">
      <c r="A14" s="2963">
        <v>8</v>
      </c>
      <c r="B14" s="1619" t="s">
        <v>50</v>
      </c>
      <c r="C14" s="2401" t="s">
        <v>181</v>
      </c>
      <c r="D14" s="2401"/>
      <c r="E14" s="2402">
        <v>7.4999999999999997E-2</v>
      </c>
      <c r="F14" s="1132"/>
      <c r="G14" s="1132">
        <f>G12*E14</f>
        <v>865.51499999999987</v>
      </c>
      <c r="H14" s="803"/>
    </row>
    <row r="15" spans="1:9" ht="16.5" customHeight="1">
      <c r="A15" s="2963">
        <v>9</v>
      </c>
      <c r="B15" s="1290" t="s">
        <v>3097</v>
      </c>
      <c r="C15" s="2962"/>
      <c r="D15" s="2962" t="s">
        <v>68</v>
      </c>
      <c r="E15" s="2404">
        <v>2720.35</v>
      </c>
      <c r="F15" s="3021">
        <v>1</v>
      </c>
      <c r="G15" s="1202">
        <f>E15*F15</f>
        <v>2720.35</v>
      </c>
      <c r="I15" s="2128"/>
    </row>
    <row r="16" spans="1:9" ht="17.25" customHeight="1">
      <c r="A16" s="2963">
        <v>10</v>
      </c>
      <c r="B16" s="1188" t="s">
        <v>1650</v>
      </c>
      <c r="C16" s="1629"/>
      <c r="D16" s="1629"/>
      <c r="E16" s="2403">
        <v>0.04</v>
      </c>
      <c r="F16" s="2170"/>
      <c r="G16" s="1132">
        <f>G13*E16</f>
        <v>391.193220338983</v>
      </c>
      <c r="H16" s="92"/>
      <c r="I16" s="82"/>
    </row>
    <row r="17" spans="1:9" ht="30.75" customHeight="1">
      <c r="A17" s="2963">
        <v>11</v>
      </c>
      <c r="B17" s="1626" t="s">
        <v>3098</v>
      </c>
      <c r="C17" s="1629"/>
      <c r="D17" s="1629"/>
      <c r="E17" s="2404"/>
      <c r="F17" s="2170"/>
      <c r="G17" s="1132">
        <f>(G12+G14+G15+G16)*0.125</f>
        <v>1939.6572775423726</v>
      </c>
      <c r="H17" s="92"/>
      <c r="I17" s="82"/>
    </row>
    <row r="18" spans="1:9" ht="16.5" customHeight="1">
      <c r="A18" s="2944">
        <v>12</v>
      </c>
      <c r="B18" s="1647" t="s">
        <v>3099</v>
      </c>
      <c r="C18" s="1629"/>
      <c r="D18" s="1629"/>
      <c r="E18" s="2404"/>
      <c r="F18" s="2173"/>
      <c r="G18" s="2173">
        <f>SUM(G13:G17)</f>
        <v>15696.546006355929</v>
      </c>
      <c r="H18" s="579"/>
    </row>
    <row r="19" spans="1:9" ht="16.5" customHeight="1">
      <c r="A19" s="2963">
        <v>13</v>
      </c>
      <c r="B19" s="1619" t="s">
        <v>2711</v>
      </c>
      <c r="C19" s="1629"/>
      <c r="D19" s="1629"/>
      <c r="E19" s="2403">
        <v>0.09</v>
      </c>
      <c r="F19" s="3022"/>
      <c r="G19" s="1202">
        <f>G18*E19</f>
        <v>1412.6891405720337</v>
      </c>
      <c r="H19" s="579"/>
    </row>
    <row r="20" spans="1:9" ht="18" customHeight="1">
      <c r="A20" s="2963">
        <v>14</v>
      </c>
      <c r="B20" s="1619" t="s">
        <v>2712</v>
      </c>
      <c r="C20" s="1629"/>
      <c r="D20" s="1629"/>
      <c r="E20" s="2403">
        <v>0.09</v>
      </c>
      <c r="F20" s="2170"/>
      <c r="G20" s="1202">
        <f>G18*E20</f>
        <v>1412.6891405720337</v>
      </c>
      <c r="H20" s="578"/>
    </row>
    <row r="21" spans="1:9" ht="17.25" customHeight="1">
      <c r="A21" s="2963">
        <v>15</v>
      </c>
      <c r="B21" s="1619" t="s">
        <v>2713</v>
      </c>
      <c r="C21" s="1629"/>
      <c r="D21" s="1629"/>
      <c r="E21" s="2404"/>
      <c r="F21" s="2170"/>
      <c r="G21" s="1202">
        <f>G18+G19+G20</f>
        <v>18521.924287499998</v>
      </c>
    </row>
    <row r="22" spans="1:9" ht="17.25" customHeight="1">
      <c r="A22" s="2960">
        <v>16</v>
      </c>
      <c r="B22" s="1647" t="s">
        <v>59</v>
      </c>
      <c r="C22" s="2962"/>
      <c r="D22" s="2962"/>
      <c r="E22" s="2404"/>
      <c r="F22" s="2173"/>
      <c r="G22" s="2957">
        <f>ROUND(G21,0)</f>
        <v>18522</v>
      </c>
    </row>
    <row r="23" spans="1:9">
      <c r="A23" s="137"/>
      <c r="G23" s="579"/>
    </row>
    <row r="25" spans="1:9" ht="60.75" customHeight="1">
      <c r="A25" s="104" t="s">
        <v>1463</v>
      </c>
      <c r="B25" s="3347" t="s">
        <v>3100</v>
      </c>
      <c r="C25" s="3347"/>
    </row>
  </sheetData>
  <mergeCells count="4">
    <mergeCell ref="B1:D1"/>
    <mergeCell ref="B3:F3"/>
    <mergeCell ref="F4:G4"/>
    <mergeCell ref="B25:C25"/>
  </mergeCells>
  <conditionalFormatting sqref="B12">
    <cfRule type="cellIs" dxfId="52" priority="2" stopIfTrue="1" operator="equal">
      <formula>"?"</formula>
    </cfRule>
  </conditionalFormatting>
  <conditionalFormatting sqref="B13">
    <cfRule type="cellIs" dxfId="51" priority="1" stopIfTrue="1" operator="equal">
      <formula>"?"</formula>
    </cfRule>
  </conditionalFormatting>
  <pageMargins left="0.88" right="0.17" top="0.71" bottom="0.26" header="0.5" footer="0.16"/>
  <pageSetup paperSize="9" scale="102" orientation="landscape" vertic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6"/>
  <sheetViews>
    <sheetView workbookViewId="0">
      <pane xSplit="2" ySplit="7" topLeftCell="C43" activePane="bottomRight" state="frozen"/>
      <selection pane="topRight" activeCell="C1" sqref="C1"/>
      <selection pane="bottomLeft" activeCell="A8" sqref="A8"/>
      <selection pane="bottomRight" activeCell="J46" sqref="J46"/>
    </sheetView>
  </sheetViews>
  <sheetFormatPr defaultRowHeight="12.75"/>
  <cols>
    <col min="1" max="1" width="4.85546875" style="2547" customWidth="1"/>
    <col min="2" max="2" width="71.28515625" style="2547" customWidth="1"/>
    <col min="3" max="3" width="14.140625" style="2547" customWidth="1"/>
    <col min="4" max="4" width="6.28515625" style="2547" customWidth="1"/>
    <col min="5" max="5" width="9.85546875" style="2547" customWidth="1"/>
    <col min="6" max="6" width="8" style="2547" customWidth="1"/>
    <col min="7" max="7" width="11.5703125" style="2547" customWidth="1"/>
    <col min="8" max="8" width="20" style="2547" customWidth="1"/>
    <col min="9" max="9" width="9.42578125" style="2547" customWidth="1"/>
    <col min="10" max="10" width="11.42578125" style="2547" customWidth="1"/>
    <col min="11" max="256" width="9.140625" style="2547"/>
    <col min="257" max="257" width="4.85546875" style="2547" customWidth="1"/>
    <col min="258" max="258" width="71.28515625" style="2547" customWidth="1"/>
    <col min="259" max="259" width="14.140625" style="2547" customWidth="1"/>
    <col min="260" max="260" width="6.28515625" style="2547" customWidth="1"/>
    <col min="261" max="261" width="9.85546875" style="2547" customWidth="1"/>
    <col min="262" max="262" width="8" style="2547" customWidth="1"/>
    <col min="263" max="263" width="11.5703125" style="2547" customWidth="1"/>
    <col min="264" max="264" width="20" style="2547" customWidth="1"/>
    <col min="265" max="265" width="49.140625" style="2547" customWidth="1"/>
    <col min="266" max="512" width="9.140625" style="2547"/>
    <col min="513" max="513" width="4.85546875" style="2547" customWidth="1"/>
    <col min="514" max="514" width="71.28515625" style="2547" customWidth="1"/>
    <col min="515" max="515" width="14.140625" style="2547" customWidth="1"/>
    <col min="516" max="516" width="6.28515625" style="2547" customWidth="1"/>
    <col min="517" max="517" width="9.85546875" style="2547" customWidth="1"/>
    <col min="518" max="518" width="8" style="2547" customWidth="1"/>
    <col min="519" max="519" width="11.5703125" style="2547" customWidth="1"/>
    <col min="520" max="520" width="20" style="2547" customWidth="1"/>
    <col min="521" max="521" width="49.140625" style="2547" customWidth="1"/>
    <col min="522" max="768" width="9.140625" style="2547"/>
    <col min="769" max="769" width="4.85546875" style="2547" customWidth="1"/>
    <col min="770" max="770" width="71.28515625" style="2547" customWidth="1"/>
    <col min="771" max="771" width="14.140625" style="2547" customWidth="1"/>
    <col min="772" max="772" width="6.28515625" style="2547" customWidth="1"/>
    <col min="773" max="773" width="9.85546875" style="2547" customWidth="1"/>
    <col min="774" max="774" width="8" style="2547" customWidth="1"/>
    <col min="775" max="775" width="11.5703125" style="2547" customWidth="1"/>
    <col min="776" max="776" width="20" style="2547" customWidth="1"/>
    <col min="777" max="777" width="49.140625" style="2547" customWidth="1"/>
    <col min="778" max="1024" width="9.140625" style="2547"/>
    <col min="1025" max="1025" width="4.85546875" style="2547" customWidth="1"/>
    <col min="1026" max="1026" width="71.28515625" style="2547" customWidth="1"/>
    <col min="1027" max="1027" width="14.140625" style="2547" customWidth="1"/>
    <col min="1028" max="1028" width="6.28515625" style="2547" customWidth="1"/>
    <col min="1029" max="1029" width="9.85546875" style="2547" customWidth="1"/>
    <col min="1030" max="1030" width="8" style="2547" customWidth="1"/>
    <col min="1031" max="1031" width="11.5703125" style="2547" customWidth="1"/>
    <col min="1032" max="1032" width="20" style="2547" customWidth="1"/>
    <col min="1033" max="1033" width="49.140625" style="2547" customWidth="1"/>
    <col min="1034" max="1280" width="9.140625" style="2547"/>
    <col min="1281" max="1281" width="4.85546875" style="2547" customWidth="1"/>
    <col min="1282" max="1282" width="71.28515625" style="2547" customWidth="1"/>
    <col min="1283" max="1283" width="14.140625" style="2547" customWidth="1"/>
    <col min="1284" max="1284" width="6.28515625" style="2547" customWidth="1"/>
    <col min="1285" max="1285" width="9.85546875" style="2547" customWidth="1"/>
    <col min="1286" max="1286" width="8" style="2547" customWidth="1"/>
    <col min="1287" max="1287" width="11.5703125" style="2547" customWidth="1"/>
    <col min="1288" max="1288" width="20" style="2547" customWidth="1"/>
    <col min="1289" max="1289" width="49.140625" style="2547" customWidth="1"/>
    <col min="1290" max="1536" width="9.140625" style="2547"/>
    <col min="1537" max="1537" width="4.85546875" style="2547" customWidth="1"/>
    <col min="1538" max="1538" width="71.28515625" style="2547" customWidth="1"/>
    <col min="1539" max="1539" width="14.140625" style="2547" customWidth="1"/>
    <col min="1540" max="1540" width="6.28515625" style="2547" customWidth="1"/>
    <col min="1541" max="1541" width="9.85546875" style="2547" customWidth="1"/>
    <col min="1542" max="1542" width="8" style="2547" customWidth="1"/>
    <col min="1543" max="1543" width="11.5703125" style="2547" customWidth="1"/>
    <col min="1544" max="1544" width="20" style="2547" customWidth="1"/>
    <col min="1545" max="1545" width="49.140625" style="2547" customWidth="1"/>
    <col min="1546" max="1792" width="9.140625" style="2547"/>
    <col min="1793" max="1793" width="4.85546875" style="2547" customWidth="1"/>
    <col min="1794" max="1794" width="71.28515625" style="2547" customWidth="1"/>
    <col min="1795" max="1795" width="14.140625" style="2547" customWidth="1"/>
    <col min="1796" max="1796" width="6.28515625" style="2547" customWidth="1"/>
    <col min="1797" max="1797" width="9.85546875" style="2547" customWidth="1"/>
    <col min="1798" max="1798" width="8" style="2547" customWidth="1"/>
    <col min="1799" max="1799" width="11.5703125" style="2547" customWidth="1"/>
    <col min="1800" max="1800" width="20" style="2547" customWidth="1"/>
    <col min="1801" max="1801" width="49.140625" style="2547" customWidth="1"/>
    <col min="1802" max="2048" width="9.140625" style="2547"/>
    <col min="2049" max="2049" width="4.85546875" style="2547" customWidth="1"/>
    <col min="2050" max="2050" width="71.28515625" style="2547" customWidth="1"/>
    <col min="2051" max="2051" width="14.140625" style="2547" customWidth="1"/>
    <col min="2052" max="2052" width="6.28515625" style="2547" customWidth="1"/>
    <col min="2053" max="2053" width="9.85546875" style="2547" customWidth="1"/>
    <col min="2054" max="2054" width="8" style="2547" customWidth="1"/>
    <col min="2055" max="2055" width="11.5703125" style="2547" customWidth="1"/>
    <col min="2056" max="2056" width="20" style="2547" customWidth="1"/>
    <col min="2057" max="2057" width="49.140625" style="2547" customWidth="1"/>
    <col min="2058" max="2304" width="9.140625" style="2547"/>
    <col min="2305" max="2305" width="4.85546875" style="2547" customWidth="1"/>
    <col min="2306" max="2306" width="71.28515625" style="2547" customWidth="1"/>
    <col min="2307" max="2307" width="14.140625" style="2547" customWidth="1"/>
    <col min="2308" max="2308" width="6.28515625" style="2547" customWidth="1"/>
    <col min="2309" max="2309" width="9.85546875" style="2547" customWidth="1"/>
    <col min="2310" max="2310" width="8" style="2547" customWidth="1"/>
    <col min="2311" max="2311" width="11.5703125" style="2547" customWidth="1"/>
    <col min="2312" max="2312" width="20" style="2547" customWidth="1"/>
    <col min="2313" max="2313" width="49.140625" style="2547" customWidth="1"/>
    <col min="2314" max="2560" width="9.140625" style="2547"/>
    <col min="2561" max="2561" width="4.85546875" style="2547" customWidth="1"/>
    <col min="2562" max="2562" width="71.28515625" style="2547" customWidth="1"/>
    <col min="2563" max="2563" width="14.140625" style="2547" customWidth="1"/>
    <col min="2564" max="2564" width="6.28515625" style="2547" customWidth="1"/>
    <col min="2565" max="2565" width="9.85546875" style="2547" customWidth="1"/>
    <col min="2566" max="2566" width="8" style="2547" customWidth="1"/>
    <col min="2567" max="2567" width="11.5703125" style="2547" customWidth="1"/>
    <col min="2568" max="2568" width="20" style="2547" customWidth="1"/>
    <col min="2569" max="2569" width="49.140625" style="2547" customWidth="1"/>
    <col min="2570" max="2816" width="9.140625" style="2547"/>
    <col min="2817" max="2817" width="4.85546875" style="2547" customWidth="1"/>
    <col min="2818" max="2818" width="71.28515625" style="2547" customWidth="1"/>
    <col min="2819" max="2819" width="14.140625" style="2547" customWidth="1"/>
    <col min="2820" max="2820" width="6.28515625" style="2547" customWidth="1"/>
    <col min="2821" max="2821" width="9.85546875" style="2547" customWidth="1"/>
    <col min="2822" max="2822" width="8" style="2547" customWidth="1"/>
    <col min="2823" max="2823" width="11.5703125" style="2547" customWidth="1"/>
    <col min="2824" max="2824" width="20" style="2547" customWidth="1"/>
    <col min="2825" max="2825" width="49.140625" style="2547" customWidth="1"/>
    <col min="2826" max="3072" width="9.140625" style="2547"/>
    <col min="3073" max="3073" width="4.85546875" style="2547" customWidth="1"/>
    <col min="3074" max="3074" width="71.28515625" style="2547" customWidth="1"/>
    <col min="3075" max="3075" width="14.140625" style="2547" customWidth="1"/>
    <col min="3076" max="3076" width="6.28515625" style="2547" customWidth="1"/>
    <col min="3077" max="3077" width="9.85546875" style="2547" customWidth="1"/>
    <col min="3078" max="3078" width="8" style="2547" customWidth="1"/>
    <col min="3079" max="3079" width="11.5703125" style="2547" customWidth="1"/>
    <col min="3080" max="3080" width="20" style="2547" customWidth="1"/>
    <col min="3081" max="3081" width="49.140625" style="2547" customWidth="1"/>
    <col min="3082" max="3328" width="9.140625" style="2547"/>
    <col min="3329" max="3329" width="4.85546875" style="2547" customWidth="1"/>
    <col min="3330" max="3330" width="71.28515625" style="2547" customWidth="1"/>
    <col min="3331" max="3331" width="14.140625" style="2547" customWidth="1"/>
    <col min="3332" max="3332" width="6.28515625" style="2547" customWidth="1"/>
    <col min="3333" max="3333" width="9.85546875" style="2547" customWidth="1"/>
    <col min="3334" max="3334" width="8" style="2547" customWidth="1"/>
    <col min="3335" max="3335" width="11.5703125" style="2547" customWidth="1"/>
    <col min="3336" max="3336" width="20" style="2547" customWidth="1"/>
    <col min="3337" max="3337" width="49.140625" style="2547" customWidth="1"/>
    <col min="3338" max="3584" width="9.140625" style="2547"/>
    <col min="3585" max="3585" width="4.85546875" style="2547" customWidth="1"/>
    <col min="3586" max="3586" width="71.28515625" style="2547" customWidth="1"/>
    <col min="3587" max="3587" width="14.140625" style="2547" customWidth="1"/>
    <col min="3588" max="3588" width="6.28515625" style="2547" customWidth="1"/>
    <col min="3589" max="3589" width="9.85546875" style="2547" customWidth="1"/>
    <col min="3590" max="3590" width="8" style="2547" customWidth="1"/>
    <col min="3591" max="3591" width="11.5703125" style="2547" customWidth="1"/>
    <col min="3592" max="3592" width="20" style="2547" customWidth="1"/>
    <col min="3593" max="3593" width="49.140625" style="2547" customWidth="1"/>
    <col min="3594" max="3840" width="9.140625" style="2547"/>
    <col min="3841" max="3841" width="4.85546875" style="2547" customWidth="1"/>
    <col min="3842" max="3842" width="71.28515625" style="2547" customWidth="1"/>
    <col min="3843" max="3843" width="14.140625" style="2547" customWidth="1"/>
    <col min="3844" max="3844" width="6.28515625" style="2547" customWidth="1"/>
    <col min="3845" max="3845" width="9.85546875" style="2547" customWidth="1"/>
    <col min="3846" max="3846" width="8" style="2547" customWidth="1"/>
    <col min="3847" max="3847" width="11.5703125" style="2547" customWidth="1"/>
    <col min="3848" max="3848" width="20" style="2547" customWidth="1"/>
    <col min="3849" max="3849" width="49.140625" style="2547" customWidth="1"/>
    <col min="3850" max="4096" width="9.140625" style="2547"/>
    <col min="4097" max="4097" width="4.85546875" style="2547" customWidth="1"/>
    <col min="4098" max="4098" width="71.28515625" style="2547" customWidth="1"/>
    <col min="4099" max="4099" width="14.140625" style="2547" customWidth="1"/>
    <col min="4100" max="4100" width="6.28515625" style="2547" customWidth="1"/>
    <col min="4101" max="4101" width="9.85546875" style="2547" customWidth="1"/>
    <col min="4102" max="4102" width="8" style="2547" customWidth="1"/>
    <col min="4103" max="4103" width="11.5703125" style="2547" customWidth="1"/>
    <col min="4104" max="4104" width="20" style="2547" customWidth="1"/>
    <col min="4105" max="4105" width="49.140625" style="2547" customWidth="1"/>
    <col min="4106" max="4352" width="9.140625" style="2547"/>
    <col min="4353" max="4353" width="4.85546875" style="2547" customWidth="1"/>
    <col min="4354" max="4354" width="71.28515625" style="2547" customWidth="1"/>
    <col min="4355" max="4355" width="14.140625" style="2547" customWidth="1"/>
    <col min="4356" max="4356" width="6.28515625" style="2547" customWidth="1"/>
    <col min="4357" max="4357" width="9.85546875" style="2547" customWidth="1"/>
    <col min="4358" max="4358" width="8" style="2547" customWidth="1"/>
    <col min="4359" max="4359" width="11.5703125" style="2547" customWidth="1"/>
    <col min="4360" max="4360" width="20" style="2547" customWidth="1"/>
    <col min="4361" max="4361" width="49.140625" style="2547" customWidth="1"/>
    <col min="4362" max="4608" width="9.140625" style="2547"/>
    <col min="4609" max="4609" width="4.85546875" style="2547" customWidth="1"/>
    <col min="4610" max="4610" width="71.28515625" style="2547" customWidth="1"/>
    <col min="4611" max="4611" width="14.140625" style="2547" customWidth="1"/>
    <col min="4612" max="4612" width="6.28515625" style="2547" customWidth="1"/>
    <col min="4613" max="4613" width="9.85546875" style="2547" customWidth="1"/>
    <col min="4614" max="4614" width="8" style="2547" customWidth="1"/>
    <col min="4615" max="4615" width="11.5703125" style="2547" customWidth="1"/>
    <col min="4616" max="4616" width="20" style="2547" customWidth="1"/>
    <col min="4617" max="4617" width="49.140625" style="2547" customWidth="1"/>
    <col min="4618" max="4864" width="9.140625" style="2547"/>
    <col min="4865" max="4865" width="4.85546875" style="2547" customWidth="1"/>
    <col min="4866" max="4866" width="71.28515625" style="2547" customWidth="1"/>
    <col min="4867" max="4867" width="14.140625" style="2547" customWidth="1"/>
    <col min="4868" max="4868" width="6.28515625" style="2547" customWidth="1"/>
    <col min="4869" max="4869" width="9.85546875" style="2547" customWidth="1"/>
    <col min="4870" max="4870" width="8" style="2547" customWidth="1"/>
    <col min="4871" max="4871" width="11.5703125" style="2547" customWidth="1"/>
    <col min="4872" max="4872" width="20" style="2547" customWidth="1"/>
    <col min="4873" max="4873" width="49.140625" style="2547" customWidth="1"/>
    <col min="4874" max="5120" width="9.140625" style="2547"/>
    <col min="5121" max="5121" width="4.85546875" style="2547" customWidth="1"/>
    <col min="5122" max="5122" width="71.28515625" style="2547" customWidth="1"/>
    <col min="5123" max="5123" width="14.140625" style="2547" customWidth="1"/>
    <col min="5124" max="5124" width="6.28515625" style="2547" customWidth="1"/>
    <col min="5125" max="5125" width="9.85546875" style="2547" customWidth="1"/>
    <col min="5126" max="5126" width="8" style="2547" customWidth="1"/>
    <col min="5127" max="5127" width="11.5703125" style="2547" customWidth="1"/>
    <col min="5128" max="5128" width="20" style="2547" customWidth="1"/>
    <col min="5129" max="5129" width="49.140625" style="2547" customWidth="1"/>
    <col min="5130" max="5376" width="9.140625" style="2547"/>
    <col min="5377" max="5377" width="4.85546875" style="2547" customWidth="1"/>
    <col min="5378" max="5378" width="71.28515625" style="2547" customWidth="1"/>
    <col min="5379" max="5379" width="14.140625" style="2547" customWidth="1"/>
    <col min="5380" max="5380" width="6.28515625" style="2547" customWidth="1"/>
    <col min="5381" max="5381" width="9.85546875" style="2547" customWidth="1"/>
    <col min="5382" max="5382" width="8" style="2547" customWidth="1"/>
    <col min="5383" max="5383" width="11.5703125" style="2547" customWidth="1"/>
    <col min="5384" max="5384" width="20" style="2547" customWidth="1"/>
    <col min="5385" max="5385" width="49.140625" style="2547" customWidth="1"/>
    <col min="5386" max="5632" width="9.140625" style="2547"/>
    <col min="5633" max="5633" width="4.85546875" style="2547" customWidth="1"/>
    <col min="5634" max="5634" width="71.28515625" style="2547" customWidth="1"/>
    <col min="5635" max="5635" width="14.140625" style="2547" customWidth="1"/>
    <col min="5636" max="5636" width="6.28515625" style="2547" customWidth="1"/>
    <col min="5637" max="5637" width="9.85546875" style="2547" customWidth="1"/>
    <col min="5638" max="5638" width="8" style="2547" customWidth="1"/>
    <col min="5639" max="5639" width="11.5703125" style="2547" customWidth="1"/>
    <col min="5640" max="5640" width="20" style="2547" customWidth="1"/>
    <col min="5641" max="5641" width="49.140625" style="2547" customWidth="1"/>
    <col min="5642" max="5888" width="9.140625" style="2547"/>
    <col min="5889" max="5889" width="4.85546875" style="2547" customWidth="1"/>
    <col min="5890" max="5890" width="71.28515625" style="2547" customWidth="1"/>
    <col min="5891" max="5891" width="14.140625" style="2547" customWidth="1"/>
    <col min="5892" max="5892" width="6.28515625" style="2547" customWidth="1"/>
    <col min="5893" max="5893" width="9.85546875" style="2547" customWidth="1"/>
    <col min="5894" max="5894" width="8" style="2547" customWidth="1"/>
    <col min="5895" max="5895" width="11.5703125" style="2547" customWidth="1"/>
    <col min="5896" max="5896" width="20" style="2547" customWidth="1"/>
    <col min="5897" max="5897" width="49.140625" style="2547" customWidth="1"/>
    <col min="5898" max="6144" width="9.140625" style="2547"/>
    <col min="6145" max="6145" width="4.85546875" style="2547" customWidth="1"/>
    <col min="6146" max="6146" width="71.28515625" style="2547" customWidth="1"/>
    <col min="6147" max="6147" width="14.140625" style="2547" customWidth="1"/>
    <col min="6148" max="6148" width="6.28515625" style="2547" customWidth="1"/>
    <col min="6149" max="6149" width="9.85546875" style="2547" customWidth="1"/>
    <col min="6150" max="6150" width="8" style="2547" customWidth="1"/>
    <col min="6151" max="6151" width="11.5703125" style="2547" customWidth="1"/>
    <col min="6152" max="6152" width="20" style="2547" customWidth="1"/>
    <col min="6153" max="6153" width="49.140625" style="2547" customWidth="1"/>
    <col min="6154" max="6400" width="9.140625" style="2547"/>
    <col min="6401" max="6401" width="4.85546875" style="2547" customWidth="1"/>
    <col min="6402" max="6402" width="71.28515625" style="2547" customWidth="1"/>
    <col min="6403" max="6403" width="14.140625" style="2547" customWidth="1"/>
    <col min="6404" max="6404" width="6.28515625" style="2547" customWidth="1"/>
    <col min="6405" max="6405" width="9.85546875" style="2547" customWidth="1"/>
    <col min="6406" max="6406" width="8" style="2547" customWidth="1"/>
    <col min="6407" max="6407" width="11.5703125" style="2547" customWidth="1"/>
    <col min="6408" max="6408" width="20" style="2547" customWidth="1"/>
    <col min="6409" max="6409" width="49.140625" style="2547" customWidth="1"/>
    <col min="6410" max="6656" width="9.140625" style="2547"/>
    <col min="6657" max="6657" width="4.85546875" style="2547" customWidth="1"/>
    <col min="6658" max="6658" width="71.28515625" style="2547" customWidth="1"/>
    <col min="6659" max="6659" width="14.140625" style="2547" customWidth="1"/>
    <col min="6660" max="6660" width="6.28515625" style="2547" customWidth="1"/>
    <col min="6661" max="6661" width="9.85546875" style="2547" customWidth="1"/>
    <col min="6662" max="6662" width="8" style="2547" customWidth="1"/>
    <col min="6663" max="6663" width="11.5703125" style="2547" customWidth="1"/>
    <col min="6664" max="6664" width="20" style="2547" customWidth="1"/>
    <col min="6665" max="6665" width="49.140625" style="2547" customWidth="1"/>
    <col min="6666" max="6912" width="9.140625" style="2547"/>
    <col min="6913" max="6913" width="4.85546875" style="2547" customWidth="1"/>
    <col min="6914" max="6914" width="71.28515625" style="2547" customWidth="1"/>
    <col min="6915" max="6915" width="14.140625" style="2547" customWidth="1"/>
    <col min="6916" max="6916" width="6.28515625" style="2547" customWidth="1"/>
    <col min="6917" max="6917" width="9.85546875" style="2547" customWidth="1"/>
    <col min="6918" max="6918" width="8" style="2547" customWidth="1"/>
    <col min="6919" max="6919" width="11.5703125" style="2547" customWidth="1"/>
    <col min="6920" max="6920" width="20" style="2547" customWidth="1"/>
    <col min="6921" max="6921" width="49.140625" style="2547" customWidth="1"/>
    <col min="6922" max="7168" width="9.140625" style="2547"/>
    <col min="7169" max="7169" width="4.85546875" style="2547" customWidth="1"/>
    <col min="7170" max="7170" width="71.28515625" style="2547" customWidth="1"/>
    <col min="7171" max="7171" width="14.140625" style="2547" customWidth="1"/>
    <col min="7172" max="7172" width="6.28515625" style="2547" customWidth="1"/>
    <col min="7173" max="7173" width="9.85546875" style="2547" customWidth="1"/>
    <col min="7174" max="7174" width="8" style="2547" customWidth="1"/>
    <col min="7175" max="7175" width="11.5703125" style="2547" customWidth="1"/>
    <col min="7176" max="7176" width="20" style="2547" customWidth="1"/>
    <col min="7177" max="7177" width="49.140625" style="2547" customWidth="1"/>
    <col min="7178" max="7424" width="9.140625" style="2547"/>
    <col min="7425" max="7425" width="4.85546875" style="2547" customWidth="1"/>
    <col min="7426" max="7426" width="71.28515625" style="2547" customWidth="1"/>
    <col min="7427" max="7427" width="14.140625" style="2547" customWidth="1"/>
    <col min="7428" max="7428" width="6.28515625" style="2547" customWidth="1"/>
    <col min="7429" max="7429" width="9.85546875" style="2547" customWidth="1"/>
    <col min="7430" max="7430" width="8" style="2547" customWidth="1"/>
    <col min="7431" max="7431" width="11.5703125" style="2547" customWidth="1"/>
    <col min="7432" max="7432" width="20" style="2547" customWidth="1"/>
    <col min="7433" max="7433" width="49.140625" style="2547" customWidth="1"/>
    <col min="7434" max="7680" width="9.140625" style="2547"/>
    <col min="7681" max="7681" width="4.85546875" style="2547" customWidth="1"/>
    <col min="7682" max="7682" width="71.28515625" style="2547" customWidth="1"/>
    <col min="7683" max="7683" width="14.140625" style="2547" customWidth="1"/>
    <col min="7684" max="7684" width="6.28515625" style="2547" customWidth="1"/>
    <col min="7685" max="7685" width="9.85546875" style="2547" customWidth="1"/>
    <col min="7686" max="7686" width="8" style="2547" customWidth="1"/>
    <col min="7687" max="7687" width="11.5703125" style="2547" customWidth="1"/>
    <col min="7688" max="7688" width="20" style="2547" customWidth="1"/>
    <col min="7689" max="7689" width="49.140625" style="2547" customWidth="1"/>
    <col min="7690" max="7936" width="9.140625" style="2547"/>
    <col min="7937" max="7937" width="4.85546875" style="2547" customWidth="1"/>
    <col min="7938" max="7938" width="71.28515625" style="2547" customWidth="1"/>
    <col min="7939" max="7939" width="14.140625" style="2547" customWidth="1"/>
    <col min="7940" max="7940" width="6.28515625" style="2547" customWidth="1"/>
    <col min="7941" max="7941" width="9.85546875" style="2547" customWidth="1"/>
    <col min="7942" max="7942" width="8" style="2547" customWidth="1"/>
    <col min="7943" max="7943" width="11.5703125" style="2547" customWidth="1"/>
    <col min="7944" max="7944" width="20" style="2547" customWidth="1"/>
    <col min="7945" max="7945" width="49.140625" style="2547" customWidth="1"/>
    <col min="7946" max="8192" width="9.140625" style="2547"/>
    <col min="8193" max="8193" width="4.85546875" style="2547" customWidth="1"/>
    <col min="8194" max="8194" width="71.28515625" style="2547" customWidth="1"/>
    <col min="8195" max="8195" width="14.140625" style="2547" customWidth="1"/>
    <col min="8196" max="8196" width="6.28515625" style="2547" customWidth="1"/>
    <col min="8197" max="8197" width="9.85546875" style="2547" customWidth="1"/>
    <col min="8198" max="8198" width="8" style="2547" customWidth="1"/>
    <col min="8199" max="8199" width="11.5703125" style="2547" customWidth="1"/>
    <col min="8200" max="8200" width="20" style="2547" customWidth="1"/>
    <col min="8201" max="8201" width="49.140625" style="2547" customWidth="1"/>
    <col min="8202" max="8448" width="9.140625" style="2547"/>
    <col min="8449" max="8449" width="4.85546875" style="2547" customWidth="1"/>
    <col min="8450" max="8450" width="71.28515625" style="2547" customWidth="1"/>
    <col min="8451" max="8451" width="14.140625" style="2547" customWidth="1"/>
    <col min="8452" max="8452" width="6.28515625" style="2547" customWidth="1"/>
    <col min="8453" max="8453" width="9.85546875" style="2547" customWidth="1"/>
    <col min="8454" max="8454" width="8" style="2547" customWidth="1"/>
    <col min="8455" max="8455" width="11.5703125" style="2547" customWidth="1"/>
    <col min="8456" max="8456" width="20" style="2547" customWidth="1"/>
    <col min="8457" max="8457" width="49.140625" style="2547" customWidth="1"/>
    <col min="8458" max="8704" width="9.140625" style="2547"/>
    <col min="8705" max="8705" width="4.85546875" style="2547" customWidth="1"/>
    <col min="8706" max="8706" width="71.28515625" style="2547" customWidth="1"/>
    <col min="8707" max="8707" width="14.140625" style="2547" customWidth="1"/>
    <col min="8708" max="8708" width="6.28515625" style="2547" customWidth="1"/>
    <col min="8709" max="8709" width="9.85546875" style="2547" customWidth="1"/>
    <col min="8710" max="8710" width="8" style="2547" customWidth="1"/>
    <col min="8711" max="8711" width="11.5703125" style="2547" customWidth="1"/>
    <col min="8712" max="8712" width="20" style="2547" customWidth="1"/>
    <col min="8713" max="8713" width="49.140625" style="2547" customWidth="1"/>
    <col min="8714" max="8960" width="9.140625" style="2547"/>
    <col min="8961" max="8961" width="4.85546875" style="2547" customWidth="1"/>
    <col min="8962" max="8962" width="71.28515625" style="2547" customWidth="1"/>
    <col min="8963" max="8963" width="14.140625" style="2547" customWidth="1"/>
    <col min="8964" max="8964" width="6.28515625" style="2547" customWidth="1"/>
    <col min="8965" max="8965" width="9.85546875" style="2547" customWidth="1"/>
    <col min="8966" max="8966" width="8" style="2547" customWidth="1"/>
    <col min="8967" max="8967" width="11.5703125" style="2547" customWidth="1"/>
    <col min="8968" max="8968" width="20" style="2547" customWidth="1"/>
    <col min="8969" max="8969" width="49.140625" style="2547" customWidth="1"/>
    <col min="8970" max="9216" width="9.140625" style="2547"/>
    <col min="9217" max="9217" width="4.85546875" style="2547" customWidth="1"/>
    <col min="9218" max="9218" width="71.28515625" style="2547" customWidth="1"/>
    <col min="9219" max="9219" width="14.140625" style="2547" customWidth="1"/>
    <col min="9220" max="9220" width="6.28515625" style="2547" customWidth="1"/>
    <col min="9221" max="9221" width="9.85546875" style="2547" customWidth="1"/>
    <col min="9222" max="9222" width="8" style="2547" customWidth="1"/>
    <col min="9223" max="9223" width="11.5703125" style="2547" customWidth="1"/>
    <col min="9224" max="9224" width="20" style="2547" customWidth="1"/>
    <col min="9225" max="9225" width="49.140625" style="2547" customWidth="1"/>
    <col min="9226" max="9472" width="9.140625" style="2547"/>
    <col min="9473" max="9473" width="4.85546875" style="2547" customWidth="1"/>
    <col min="9474" max="9474" width="71.28515625" style="2547" customWidth="1"/>
    <col min="9475" max="9475" width="14.140625" style="2547" customWidth="1"/>
    <col min="9476" max="9476" width="6.28515625" style="2547" customWidth="1"/>
    <col min="9477" max="9477" width="9.85546875" style="2547" customWidth="1"/>
    <col min="9478" max="9478" width="8" style="2547" customWidth="1"/>
    <col min="9479" max="9479" width="11.5703125" style="2547" customWidth="1"/>
    <col min="9480" max="9480" width="20" style="2547" customWidth="1"/>
    <col min="9481" max="9481" width="49.140625" style="2547" customWidth="1"/>
    <col min="9482" max="9728" width="9.140625" style="2547"/>
    <col min="9729" max="9729" width="4.85546875" style="2547" customWidth="1"/>
    <col min="9730" max="9730" width="71.28515625" style="2547" customWidth="1"/>
    <col min="9731" max="9731" width="14.140625" style="2547" customWidth="1"/>
    <col min="9732" max="9732" width="6.28515625" style="2547" customWidth="1"/>
    <col min="9733" max="9733" width="9.85546875" style="2547" customWidth="1"/>
    <col min="9734" max="9734" width="8" style="2547" customWidth="1"/>
    <col min="9735" max="9735" width="11.5703125" style="2547" customWidth="1"/>
    <col min="9736" max="9736" width="20" style="2547" customWidth="1"/>
    <col min="9737" max="9737" width="49.140625" style="2547" customWidth="1"/>
    <col min="9738" max="9984" width="9.140625" style="2547"/>
    <col min="9985" max="9985" width="4.85546875" style="2547" customWidth="1"/>
    <col min="9986" max="9986" width="71.28515625" style="2547" customWidth="1"/>
    <col min="9987" max="9987" width="14.140625" style="2547" customWidth="1"/>
    <col min="9988" max="9988" width="6.28515625" style="2547" customWidth="1"/>
    <col min="9989" max="9989" width="9.85546875" style="2547" customWidth="1"/>
    <col min="9990" max="9990" width="8" style="2547" customWidth="1"/>
    <col min="9991" max="9991" width="11.5703125" style="2547" customWidth="1"/>
    <col min="9992" max="9992" width="20" style="2547" customWidth="1"/>
    <col min="9993" max="9993" width="49.140625" style="2547" customWidth="1"/>
    <col min="9994" max="10240" width="9.140625" style="2547"/>
    <col min="10241" max="10241" width="4.85546875" style="2547" customWidth="1"/>
    <col min="10242" max="10242" width="71.28515625" style="2547" customWidth="1"/>
    <col min="10243" max="10243" width="14.140625" style="2547" customWidth="1"/>
    <col min="10244" max="10244" width="6.28515625" style="2547" customWidth="1"/>
    <col min="10245" max="10245" width="9.85546875" style="2547" customWidth="1"/>
    <col min="10246" max="10246" width="8" style="2547" customWidth="1"/>
    <col min="10247" max="10247" width="11.5703125" style="2547" customWidth="1"/>
    <col min="10248" max="10248" width="20" style="2547" customWidth="1"/>
    <col min="10249" max="10249" width="49.140625" style="2547" customWidth="1"/>
    <col min="10250" max="10496" width="9.140625" style="2547"/>
    <col min="10497" max="10497" width="4.85546875" style="2547" customWidth="1"/>
    <col min="10498" max="10498" width="71.28515625" style="2547" customWidth="1"/>
    <col min="10499" max="10499" width="14.140625" style="2547" customWidth="1"/>
    <col min="10500" max="10500" width="6.28515625" style="2547" customWidth="1"/>
    <col min="10501" max="10501" width="9.85546875" style="2547" customWidth="1"/>
    <col min="10502" max="10502" width="8" style="2547" customWidth="1"/>
    <col min="10503" max="10503" width="11.5703125" style="2547" customWidth="1"/>
    <col min="10504" max="10504" width="20" style="2547" customWidth="1"/>
    <col min="10505" max="10505" width="49.140625" style="2547" customWidth="1"/>
    <col min="10506" max="10752" width="9.140625" style="2547"/>
    <col min="10753" max="10753" width="4.85546875" style="2547" customWidth="1"/>
    <col min="10754" max="10754" width="71.28515625" style="2547" customWidth="1"/>
    <col min="10755" max="10755" width="14.140625" style="2547" customWidth="1"/>
    <col min="10756" max="10756" width="6.28515625" style="2547" customWidth="1"/>
    <col min="10757" max="10757" width="9.85546875" style="2547" customWidth="1"/>
    <col min="10758" max="10758" width="8" style="2547" customWidth="1"/>
    <col min="10759" max="10759" width="11.5703125" style="2547" customWidth="1"/>
    <col min="10760" max="10760" width="20" style="2547" customWidth="1"/>
    <col min="10761" max="10761" width="49.140625" style="2547" customWidth="1"/>
    <col min="10762" max="11008" width="9.140625" style="2547"/>
    <col min="11009" max="11009" width="4.85546875" style="2547" customWidth="1"/>
    <col min="11010" max="11010" width="71.28515625" style="2547" customWidth="1"/>
    <col min="11011" max="11011" width="14.140625" style="2547" customWidth="1"/>
    <col min="11012" max="11012" width="6.28515625" style="2547" customWidth="1"/>
    <col min="11013" max="11013" width="9.85546875" style="2547" customWidth="1"/>
    <col min="11014" max="11014" width="8" style="2547" customWidth="1"/>
    <col min="11015" max="11015" width="11.5703125" style="2547" customWidth="1"/>
    <col min="11016" max="11016" width="20" style="2547" customWidth="1"/>
    <col min="11017" max="11017" width="49.140625" style="2547" customWidth="1"/>
    <col min="11018" max="11264" width="9.140625" style="2547"/>
    <col min="11265" max="11265" width="4.85546875" style="2547" customWidth="1"/>
    <col min="11266" max="11266" width="71.28515625" style="2547" customWidth="1"/>
    <col min="11267" max="11267" width="14.140625" style="2547" customWidth="1"/>
    <col min="11268" max="11268" width="6.28515625" style="2547" customWidth="1"/>
    <col min="11269" max="11269" width="9.85546875" style="2547" customWidth="1"/>
    <col min="11270" max="11270" width="8" style="2547" customWidth="1"/>
    <col min="11271" max="11271" width="11.5703125" style="2547" customWidth="1"/>
    <col min="11272" max="11272" width="20" style="2547" customWidth="1"/>
    <col min="11273" max="11273" width="49.140625" style="2547" customWidth="1"/>
    <col min="11274" max="11520" width="9.140625" style="2547"/>
    <col min="11521" max="11521" width="4.85546875" style="2547" customWidth="1"/>
    <col min="11522" max="11522" width="71.28515625" style="2547" customWidth="1"/>
    <col min="11523" max="11523" width="14.140625" style="2547" customWidth="1"/>
    <col min="11524" max="11524" width="6.28515625" style="2547" customWidth="1"/>
    <col min="11525" max="11525" width="9.85546875" style="2547" customWidth="1"/>
    <col min="11526" max="11526" width="8" style="2547" customWidth="1"/>
    <col min="11527" max="11527" width="11.5703125" style="2547" customWidth="1"/>
    <col min="11528" max="11528" width="20" style="2547" customWidth="1"/>
    <col min="11529" max="11529" width="49.140625" style="2547" customWidth="1"/>
    <col min="11530" max="11776" width="9.140625" style="2547"/>
    <col min="11777" max="11777" width="4.85546875" style="2547" customWidth="1"/>
    <col min="11778" max="11778" width="71.28515625" style="2547" customWidth="1"/>
    <col min="11779" max="11779" width="14.140625" style="2547" customWidth="1"/>
    <col min="11780" max="11780" width="6.28515625" style="2547" customWidth="1"/>
    <col min="11781" max="11781" width="9.85546875" style="2547" customWidth="1"/>
    <col min="11782" max="11782" width="8" style="2547" customWidth="1"/>
    <col min="11783" max="11783" width="11.5703125" style="2547" customWidth="1"/>
    <col min="11784" max="11784" width="20" style="2547" customWidth="1"/>
    <col min="11785" max="11785" width="49.140625" style="2547" customWidth="1"/>
    <col min="11786" max="12032" width="9.140625" style="2547"/>
    <col min="12033" max="12033" width="4.85546875" style="2547" customWidth="1"/>
    <col min="12034" max="12034" width="71.28515625" style="2547" customWidth="1"/>
    <col min="12035" max="12035" width="14.140625" style="2547" customWidth="1"/>
    <col min="12036" max="12036" width="6.28515625" style="2547" customWidth="1"/>
    <col min="12037" max="12037" width="9.85546875" style="2547" customWidth="1"/>
    <col min="12038" max="12038" width="8" style="2547" customWidth="1"/>
    <col min="12039" max="12039" width="11.5703125" style="2547" customWidth="1"/>
    <col min="12040" max="12040" width="20" style="2547" customWidth="1"/>
    <col min="12041" max="12041" width="49.140625" style="2547" customWidth="1"/>
    <col min="12042" max="12288" width="9.140625" style="2547"/>
    <col min="12289" max="12289" width="4.85546875" style="2547" customWidth="1"/>
    <col min="12290" max="12290" width="71.28515625" style="2547" customWidth="1"/>
    <col min="12291" max="12291" width="14.140625" style="2547" customWidth="1"/>
    <col min="12292" max="12292" width="6.28515625" style="2547" customWidth="1"/>
    <col min="12293" max="12293" width="9.85546875" style="2547" customWidth="1"/>
    <col min="12294" max="12294" width="8" style="2547" customWidth="1"/>
    <col min="12295" max="12295" width="11.5703125" style="2547" customWidth="1"/>
    <col min="12296" max="12296" width="20" style="2547" customWidth="1"/>
    <col min="12297" max="12297" width="49.140625" style="2547" customWidth="1"/>
    <col min="12298" max="12544" width="9.140625" style="2547"/>
    <col min="12545" max="12545" width="4.85546875" style="2547" customWidth="1"/>
    <col min="12546" max="12546" width="71.28515625" style="2547" customWidth="1"/>
    <col min="12547" max="12547" width="14.140625" style="2547" customWidth="1"/>
    <col min="12548" max="12548" width="6.28515625" style="2547" customWidth="1"/>
    <col min="12549" max="12549" width="9.85546875" style="2547" customWidth="1"/>
    <col min="12550" max="12550" width="8" style="2547" customWidth="1"/>
    <col min="12551" max="12551" width="11.5703125" style="2547" customWidth="1"/>
    <col min="12552" max="12552" width="20" style="2547" customWidth="1"/>
    <col min="12553" max="12553" width="49.140625" style="2547" customWidth="1"/>
    <col min="12554" max="12800" width="9.140625" style="2547"/>
    <col min="12801" max="12801" width="4.85546875" style="2547" customWidth="1"/>
    <col min="12802" max="12802" width="71.28515625" style="2547" customWidth="1"/>
    <col min="12803" max="12803" width="14.140625" style="2547" customWidth="1"/>
    <col min="12804" max="12804" width="6.28515625" style="2547" customWidth="1"/>
    <col min="12805" max="12805" width="9.85546875" style="2547" customWidth="1"/>
    <col min="12806" max="12806" width="8" style="2547" customWidth="1"/>
    <col min="12807" max="12807" width="11.5703125" style="2547" customWidth="1"/>
    <col min="12808" max="12808" width="20" style="2547" customWidth="1"/>
    <col min="12809" max="12809" width="49.140625" style="2547" customWidth="1"/>
    <col min="12810" max="13056" width="9.140625" style="2547"/>
    <col min="13057" max="13057" width="4.85546875" style="2547" customWidth="1"/>
    <col min="13058" max="13058" width="71.28515625" style="2547" customWidth="1"/>
    <col min="13059" max="13059" width="14.140625" style="2547" customWidth="1"/>
    <col min="13060" max="13060" width="6.28515625" style="2547" customWidth="1"/>
    <col min="13061" max="13061" width="9.85546875" style="2547" customWidth="1"/>
    <col min="13062" max="13062" width="8" style="2547" customWidth="1"/>
    <col min="13063" max="13063" width="11.5703125" style="2547" customWidth="1"/>
    <col min="13064" max="13064" width="20" style="2547" customWidth="1"/>
    <col min="13065" max="13065" width="49.140625" style="2547" customWidth="1"/>
    <col min="13066" max="13312" width="9.140625" style="2547"/>
    <col min="13313" max="13313" width="4.85546875" style="2547" customWidth="1"/>
    <col min="13314" max="13314" width="71.28515625" style="2547" customWidth="1"/>
    <col min="13315" max="13315" width="14.140625" style="2547" customWidth="1"/>
    <col min="13316" max="13316" width="6.28515625" style="2547" customWidth="1"/>
    <col min="13317" max="13317" width="9.85546875" style="2547" customWidth="1"/>
    <col min="13318" max="13318" width="8" style="2547" customWidth="1"/>
    <col min="13319" max="13319" width="11.5703125" style="2547" customWidth="1"/>
    <col min="13320" max="13320" width="20" style="2547" customWidth="1"/>
    <col min="13321" max="13321" width="49.140625" style="2547" customWidth="1"/>
    <col min="13322" max="13568" width="9.140625" style="2547"/>
    <col min="13569" max="13569" width="4.85546875" style="2547" customWidth="1"/>
    <col min="13570" max="13570" width="71.28515625" style="2547" customWidth="1"/>
    <col min="13571" max="13571" width="14.140625" style="2547" customWidth="1"/>
    <col min="13572" max="13572" width="6.28515625" style="2547" customWidth="1"/>
    <col min="13573" max="13573" width="9.85546875" style="2547" customWidth="1"/>
    <col min="13574" max="13574" width="8" style="2547" customWidth="1"/>
    <col min="13575" max="13575" width="11.5703125" style="2547" customWidth="1"/>
    <col min="13576" max="13576" width="20" style="2547" customWidth="1"/>
    <col min="13577" max="13577" width="49.140625" style="2547" customWidth="1"/>
    <col min="13578" max="13824" width="9.140625" style="2547"/>
    <col min="13825" max="13825" width="4.85546875" style="2547" customWidth="1"/>
    <col min="13826" max="13826" width="71.28515625" style="2547" customWidth="1"/>
    <col min="13827" max="13827" width="14.140625" style="2547" customWidth="1"/>
    <col min="13828" max="13828" width="6.28515625" style="2547" customWidth="1"/>
    <col min="13829" max="13829" width="9.85546875" style="2547" customWidth="1"/>
    <col min="13830" max="13830" width="8" style="2547" customWidth="1"/>
    <col min="13831" max="13831" width="11.5703125" style="2547" customWidth="1"/>
    <col min="13832" max="13832" width="20" style="2547" customWidth="1"/>
    <col min="13833" max="13833" width="49.140625" style="2547" customWidth="1"/>
    <col min="13834" max="14080" width="9.140625" style="2547"/>
    <col min="14081" max="14081" width="4.85546875" style="2547" customWidth="1"/>
    <col min="14082" max="14082" width="71.28515625" style="2547" customWidth="1"/>
    <col min="14083" max="14083" width="14.140625" style="2547" customWidth="1"/>
    <col min="14084" max="14084" width="6.28515625" style="2547" customWidth="1"/>
    <col min="14085" max="14085" width="9.85546875" style="2547" customWidth="1"/>
    <col min="14086" max="14086" width="8" style="2547" customWidth="1"/>
    <col min="14087" max="14087" width="11.5703125" style="2547" customWidth="1"/>
    <col min="14088" max="14088" width="20" style="2547" customWidth="1"/>
    <col min="14089" max="14089" width="49.140625" style="2547" customWidth="1"/>
    <col min="14090" max="14336" width="9.140625" style="2547"/>
    <col min="14337" max="14337" width="4.85546875" style="2547" customWidth="1"/>
    <col min="14338" max="14338" width="71.28515625" style="2547" customWidth="1"/>
    <col min="14339" max="14339" width="14.140625" style="2547" customWidth="1"/>
    <col min="14340" max="14340" width="6.28515625" style="2547" customWidth="1"/>
    <col min="14341" max="14341" width="9.85546875" style="2547" customWidth="1"/>
    <col min="14342" max="14342" width="8" style="2547" customWidth="1"/>
    <col min="14343" max="14343" width="11.5703125" style="2547" customWidth="1"/>
    <col min="14344" max="14344" width="20" style="2547" customWidth="1"/>
    <col min="14345" max="14345" width="49.140625" style="2547" customWidth="1"/>
    <col min="14346" max="14592" width="9.140625" style="2547"/>
    <col min="14593" max="14593" width="4.85546875" style="2547" customWidth="1"/>
    <col min="14594" max="14594" width="71.28515625" style="2547" customWidth="1"/>
    <col min="14595" max="14595" width="14.140625" style="2547" customWidth="1"/>
    <col min="14596" max="14596" width="6.28515625" style="2547" customWidth="1"/>
    <col min="14597" max="14597" width="9.85546875" style="2547" customWidth="1"/>
    <col min="14598" max="14598" width="8" style="2547" customWidth="1"/>
    <col min="14599" max="14599" width="11.5703125" style="2547" customWidth="1"/>
    <col min="14600" max="14600" width="20" style="2547" customWidth="1"/>
    <col min="14601" max="14601" width="49.140625" style="2547" customWidth="1"/>
    <col min="14602" max="14848" width="9.140625" style="2547"/>
    <col min="14849" max="14849" width="4.85546875" style="2547" customWidth="1"/>
    <col min="14850" max="14850" width="71.28515625" style="2547" customWidth="1"/>
    <col min="14851" max="14851" width="14.140625" style="2547" customWidth="1"/>
    <col min="14852" max="14852" width="6.28515625" style="2547" customWidth="1"/>
    <col min="14853" max="14853" width="9.85546875" style="2547" customWidth="1"/>
    <col min="14854" max="14854" width="8" style="2547" customWidth="1"/>
    <col min="14855" max="14855" width="11.5703125" style="2547" customWidth="1"/>
    <col min="14856" max="14856" width="20" style="2547" customWidth="1"/>
    <col min="14857" max="14857" width="49.140625" style="2547" customWidth="1"/>
    <col min="14858" max="15104" width="9.140625" style="2547"/>
    <col min="15105" max="15105" width="4.85546875" style="2547" customWidth="1"/>
    <col min="15106" max="15106" width="71.28515625" style="2547" customWidth="1"/>
    <col min="15107" max="15107" width="14.140625" style="2547" customWidth="1"/>
    <col min="15108" max="15108" width="6.28515625" style="2547" customWidth="1"/>
    <col min="15109" max="15109" width="9.85546875" style="2547" customWidth="1"/>
    <col min="15110" max="15110" width="8" style="2547" customWidth="1"/>
    <col min="15111" max="15111" width="11.5703125" style="2547" customWidth="1"/>
    <col min="15112" max="15112" width="20" style="2547" customWidth="1"/>
    <col min="15113" max="15113" width="49.140625" style="2547" customWidth="1"/>
    <col min="15114" max="15360" width="9.140625" style="2547"/>
    <col min="15361" max="15361" width="4.85546875" style="2547" customWidth="1"/>
    <col min="15362" max="15362" width="71.28515625" style="2547" customWidth="1"/>
    <col min="15363" max="15363" width="14.140625" style="2547" customWidth="1"/>
    <col min="15364" max="15364" width="6.28515625" style="2547" customWidth="1"/>
    <col min="15365" max="15365" width="9.85546875" style="2547" customWidth="1"/>
    <col min="15366" max="15366" width="8" style="2547" customWidth="1"/>
    <col min="15367" max="15367" width="11.5703125" style="2547" customWidth="1"/>
    <col min="15368" max="15368" width="20" style="2547" customWidth="1"/>
    <col min="15369" max="15369" width="49.140625" style="2547" customWidth="1"/>
    <col min="15370" max="15616" width="9.140625" style="2547"/>
    <col min="15617" max="15617" width="4.85546875" style="2547" customWidth="1"/>
    <col min="15618" max="15618" width="71.28515625" style="2547" customWidth="1"/>
    <col min="15619" max="15619" width="14.140625" style="2547" customWidth="1"/>
    <col min="15620" max="15620" width="6.28515625" style="2547" customWidth="1"/>
    <col min="15621" max="15621" width="9.85546875" style="2547" customWidth="1"/>
    <col min="15622" max="15622" width="8" style="2547" customWidth="1"/>
    <col min="15623" max="15623" width="11.5703125" style="2547" customWidth="1"/>
    <col min="15624" max="15624" width="20" style="2547" customWidth="1"/>
    <col min="15625" max="15625" width="49.140625" style="2547" customWidth="1"/>
    <col min="15626" max="15872" width="9.140625" style="2547"/>
    <col min="15873" max="15873" width="4.85546875" style="2547" customWidth="1"/>
    <col min="15874" max="15874" width="71.28515625" style="2547" customWidth="1"/>
    <col min="15875" max="15875" width="14.140625" style="2547" customWidth="1"/>
    <col min="15876" max="15876" width="6.28515625" style="2547" customWidth="1"/>
    <col min="15877" max="15877" width="9.85546875" style="2547" customWidth="1"/>
    <col min="15878" max="15878" width="8" style="2547" customWidth="1"/>
    <col min="15879" max="15879" width="11.5703125" style="2547" customWidth="1"/>
    <col min="15880" max="15880" width="20" style="2547" customWidth="1"/>
    <col min="15881" max="15881" width="49.140625" style="2547" customWidth="1"/>
    <col min="15882" max="16128" width="9.140625" style="2547"/>
    <col min="16129" max="16129" width="4.85546875" style="2547" customWidth="1"/>
    <col min="16130" max="16130" width="71.28515625" style="2547" customWidth="1"/>
    <col min="16131" max="16131" width="14.140625" style="2547" customWidth="1"/>
    <col min="16132" max="16132" width="6.28515625" style="2547" customWidth="1"/>
    <col min="16133" max="16133" width="9.85546875" style="2547" customWidth="1"/>
    <col min="16134" max="16134" width="8" style="2547" customWidth="1"/>
    <col min="16135" max="16135" width="11.5703125" style="2547" customWidth="1"/>
    <col min="16136" max="16136" width="20" style="2547" customWidth="1"/>
    <col min="16137" max="16137" width="49.140625" style="2547" customWidth="1"/>
    <col min="16138" max="16384" width="9.140625" style="2547"/>
  </cols>
  <sheetData>
    <row r="1" spans="1:8" ht="18">
      <c r="B1" s="3115" t="s">
        <v>2781</v>
      </c>
      <c r="C1" s="3115"/>
      <c r="D1" s="3115"/>
    </row>
    <row r="2" spans="1:8" ht="18" customHeight="1">
      <c r="A2" s="2015"/>
      <c r="B2" s="630"/>
      <c r="C2" s="630"/>
      <c r="D2" s="2030"/>
      <c r="E2" s="2030"/>
      <c r="F2" s="630"/>
      <c r="G2" s="2523" t="s">
        <v>89</v>
      </c>
      <c r="H2" s="102"/>
    </row>
    <row r="3" spans="1:8" ht="34.5" customHeight="1">
      <c r="A3" s="2015"/>
      <c r="B3" s="3095" t="s">
        <v>2782</v>
      </c>
      <c r="C3" s="3095"/>
      <c r="D3" s="3095"/>
      <c r="E3" s="3095"/>
      <c r="F3" s="2548"/>
      <c r="G3" s="373"/>
      <c r="H3" s="102"/>
    </row>
    <row r="4" spans="1:8" ht="7.5" customHeight="1">
      <c r="A4" s="2015"/>
      <c r="B4" s="102"/>
      <c r="C4" s="2549"/>
      <c r="D4" s="2549"/>
      <c r="E4" s="2549"/>
      <c r="F4" s="2549"/>
      <c r="G4" s="2549"/>
      <c r="H4" s="102"/>
    </row>
    <row r="5" spans="1:8" ht="15" customHeight="1">
      <c r="A5" s="3419" t="s">
        <v>2</v>
      </c>
      <c r="B5" s="3419" t="s">
        <v>3</v>
      </c>
      <c r="C5" s="3419" t="s">
        <v>1795</v>
      </c>
      <c r="D5" s="3419" t="s">
        <v>5</v>
      </c>
      <c r="E5" s="3415" t="s">
        <v>9</v>
      </c>
      <c r="F5" s="3415" t="s">
        <v>143</v>
      </c>
      <c r="G5" s="3415" t="s">
        <v>1668</v>
      </c>
      <c r="H5" s="102"/>
    </row>
    <row r="6" spans="1:8" ht="14.25">
      <c r="A6" s="3419"/>
      <c r="B6" s="3419"/>
      <c r="C6" s="3419"/>
      <c r="D6" s="3419"/>
      <c r="E6" s="3416"/>
      <c r="F6" s="3416"/>
      <c r="G6" s="3416"/>
      <c r="H6" s="102"/>
    </row>
    <row r="7" spans="1:8" ht="15">
      <c r="A7" s="2550">
        <v>1</v>
      </c>
      <c r="B7" s="2493">
        <v>2</v>
      </c>
      <c r="C7" s="2493">
        <v>3</v>
      </c>
      <c r="D7" s="2493">
        <v>4</v>
      </c>
      <c r="E7" s="2493">
        <v>5</v>
      </c>
      <c r="F7" s="2493">
        <v>6</v>
      </c>
      <c r="G7" s="2493">
        <v>7</v>
      </c>
      <c r="H7" s="598"/>
    </row>
    <row r="8" spans="1:8" ht="16.5" customHeight="1">
      <c r="A8" s="2518">
        <v>1</v>
      </c>
      <c r="B8" s="1290" t="s">
        <v>2783</v>
      </c>
      <c r="C8" s="2041">
        <v>7130800012</v>
      </c>
      <c r="D8" s="1291" t="s">
        <v>12</v>
      </c>
      <c r="E8" s="1202">
        <f>VLOOKUP(C8,'[25]SOR RATE'!A:D,4,0)</f>
        <v>2298.46</v>
      </c>
      <c r="F8" s="2041">
        <v>2</v>
      </c>
      <c r="G8" s="1202">
        <f t="shared" ref="G8:G24" si="0">E8*F8</f>
        <v>4596.92</v>
      </c>
      <c r="H8" s="598"/>
    </row>
    <row r="9" spans="1:8" ht="16.5" customHeight="1">
      <c r="A9" s="1291">
        <v>2</v>
      </c>
      <c r="B9" s="1290" t="s">
        <v>2607</v>
      </c>
      <c r="C9" s="1616">
        <v>7130810495</v>
      </c>
      <c r="D9" s="2519" t="s">
        <v>12</v>
      </c>
      <c r="E9" s="1202">
        <f>VLOOKUP(C9,'[25]SOR RATE'!A:D,4,0)</f>
        <v>1380.08</v>
      </c>
      <c r="F9" s="1291">
        <v>0</v>
      </c>
      <c r="G9" s="1202">
        <f t="shared" si="0"/>
        <v>0</v>
      </c>
      <c r="H9" s="102"/>
    </row>
    <row r="10" spans="1:8" ht="16.5" customHeight="1">
      <c r="A10" s="1291">
        <v>3</v>
      </c>
      <c r="B10" s="1290" t="s">
        <v>2608</v>
      </c>
      <c r="C10" s="1616">
        <v>7130810679</v>
      </c>
      <c r="D10" s="2519" t="s">
        <v>12</v>
      </c>
      <c r="E10" s="1202">
        <f>VLOOKUP(C10,'[25]SOR RATE'!A:D,4,0)</f>
        <v>387.16</v>
      </c>
      <c r="F10" s="1291">
        <v>0</v>
      </c>
      <c r="G10" s="1202">
        <f t="shared" si="0"/>
        <v>0</v>
      </c>
      <c r="H10" s="102"/>
    </row>
    <row r="11" spans="1:8" ht="16.5" customHeight="1">
      <c r="A11" s="2518">
        <v>4</v>
      </c>
      <c r="B11" s="1619" t="s">
        <v>102</v>
      </c>
      <c r="C11" s="1616">
        <v>7130820008</v>
      </c>
      <c r="D11" s="2519" t="s">
        <v>12</v>
      </c>
      <c r="E11" s="1202">
        <f>VLOOKUP(C11,'[25]SOR RATE'!A:D,4,0)</f>
        <v>157.08000000000001</v>
      </c>
      <c r="F11" s="1291">
        <v>3</v>
      </c>
      <c r="G11" s="1202">
        <f t="shared" si="0"/>
        <v>471.24</v>
      </c>
      <c r="H11" s="102"/>
    </row>
    <row r="12" spans="1:8" ht="16.5" customHeight="1">
      <c r="A12" s="1291">
        <v>5</v>
      </c>
      <c r="B12" s="1290" t="s">
        <v>1686</v>
      </c>
      <c r="C12" s="2299">
        <v>7131930221</v>
      </c>
      <c r="D12" s="2519" t="s">
        <v>40</v>
      </c>
      <c r="E12" s="1202">
        <f>VLOOKUP(C12,'[25]SOR RATE'!A:D,4,0)</f>
        <v>9934.19</v>
      </c>
      <c r="F12" s="1291">
        <v>1</v>
      </c>
      <c r="G12" s="1202">
        <f t="shared" si="0"/>
        <v>9934.19</v>
      </c>
      <c r="H12" s="102"/>
    </row>
    <row r="13" spans="1:8" ht="16.5" customHeight="1">
      <c r="A13" s="1291">
        <v>6</v>
      </c>
      <c r="B13" s="1290" t="s">
        <v>2784</v>
      </c>
      <c r="C13" s="2299">
        <v>7130820010</v>
      </c>
      <c r="D13" s="2519" t="s">
        <v>12</v>
      </c>
      <c r="E13" s="1202">
        <f>VLOOKUP(C13,'[25]SOR RATE'!A232:D232,4,0)</f>
        <v>118.97</v>
      </c>
      <c r="F13" s="1291">
        <v>6</v>
      </c>
      <c r="G13" s="1202">
        <f>E13*F13</f>
        <v>713.81999999999994</v>
      </c>
      <c r="H13" s="102"/>
    </row>
    <row r="14" spans="1:8" ht="16.5" customHeight="1">
      <c r="A14" s="1291">
        <v>7</v>
      </c>
      <c r="B14" s="1290" t="s">
        <v>2609</v>
      </c>
      <c r="C14" s="1616">
        <v>7130820241</v>
      </c>
      <c r="D14" s="2519" t="s">
        <v>12</v>
      </c>
      <c r="E14" s="1202">
        <f>VLOOKUP(C14,'[25]SOR RATE'!A:D,4,0)</f>
        <v>153.49</v>
      </c>
      <c r="F14" s="1291">
        <v>6</v>
      </c>
      <c r="G14" s="1202">
        <f>E14*F14</f>
        <v>920.94</v>
      </c>
      <c r="H14" s="102"/>
    </row>
    <row r="15" spans="1:8" ht="16.5" customHeight="1">
      <c r="A15" s="2518">
        <v>8</v>
      </c>
      <c r="B15" s="1290" t="s">
        <v>2785</v>
      </c>
      <c r="C15" s="2301">
        <v>7130810509</v>
      </c>
      <c r="D15" s="1621" t="s">
        <v>12</v>
      </c>
      <c r="E15" s="1202">
        <f>VLOOKUP(C15,'[25]SOR RATE'!A:D,4,0)</f>
        <v>2187.33</v>
      </c>
      <c r="F15" s="1291">
        <v>1</v>
      </c>
      <c r="G15" s="1202">
        <f t="shared" si="0"/>
        <v>2187.33</v>
      </c>
      <c r="H15" s="102"/>
    </row>
    <row r="16" spans="1:8" ht="16.5" customHeight="1">
      <c r="A16" s="1291">
        <v>9</v>
      </c>
      <c r="B16" s="1290" t="s">
        <v>2786</v>
      </c>
      <c r="C16" s="2299">
        <v>7131930412</v>
      </c>
      <c r="D16" s="2519" t="s">
        <v>33</v>
      </c>
      <c r="E16" s="1202">
        <f>VLOOKUP(C16,'[25]SOR RATE'!A:D,4,0)</f>
        <v>1123.1500000000001</v>
      </c>
      <c r="F16" s="1291">
        <v>3</v>
      </c>
      <c r="G16" s="1202">
        <f t="shared" si="0"/>
        <v>3369.4500000000003</v>
      </c>
      <c r="H16" s="102"/>
    </row>
    <row r="17" spans="1:8" ht="16.5" customHeight="1">
      <c r="A17" s="3269">
        <v>10</v>
      </c>
      <c r="B17" s="1290" t="s">
        <v>236</v>
      </c>
      <c r="C17" s="2299">
        <v>7130860032</v>
      </c>
      <c r="D17" s="2519" t="s">
        <v>12</v>
      </c>
      <c r="E17" s="1202">
        <f>VLOOKUP(C17,'[25]SOR RATE'!A:D,4,0)</f>
        <v>566.19000000000005</v>
      </c>
      <c r="F17" s="1291">
        <v>4</v>
      </c>
      <c r="G17" s="1202">
        <f t="shared" si="0"/>
        <v>2264.7600000000002</v>
      </c>
      <c r="H17" s="102"/>
    </row>
    <row r="18" spans="1:8" ht="16.5" customHeight="1">
      <c r="A18" s="3270"/>
      <c r="B18" s="1290" t="s">
        <v>2613</v>
      </c>
      <c r="C18" s="2299">
        <v>7130860077</v>
      </c>
      <c r="D18" s="2519" t="s">
        <v>26</v>
      </c>
      <c r="E18" s="1202">
        <f>VLOOKUP(C18,'[25]SOR RATE'!A:D,4,0)/1000</f>
        <v>93.76643</v>
      </c>
      <c r="F18" s="1291">
        <v>22</v>
      </c>
      <c r="G18" s="1202">
        <f t="shared" si="0"/>
        <v>2062.8614600000001</v>
      </c>
      <c r="H18" s="102"/>
    </row>
    <row r="19" spans="1:8" ht="16.5" customHeight="1">
      <c r="A19" s="3271"/>
      <c r="B19" s="1290" t="s">
        <v>2614</v>
      </c>
      <c r="C19" s="2381">
        <v>7130810026</v>
      </c>
      <c r="D19" s="2519" t="s">
        <v>15</v>
      </c>
      <c r="E19" s="1202">
        <f>VLOOKUP(C19,'[25]SOR RATE'!A:D,4,0)</f>
        <v>198.14</v>
      </c>
      <c r="F19" s="1291">
        <v>10</v>
      </c>
      <c r="G19" s="1202">
        <f>E19*F19</f>
        <v>1981.3999999999999</v>
      </c>
      <c r="H19" s="102"/>
    </row>
    <row r="20" spans="1:8" ht="33" customHeight="1">
      <c r="A20" s="1291">
        <v>11</v>
      </c>
      <c r="B20" s="1290" t="s">
        <v>2615</v>
      </c>
      <c r="C20" s="1291">
        <v>7130200202</v>
      </c>
      <c r="D20" s="1291" t="s">
        <v>76</v>
      </c>
      <c r="E20" s="1202">
        <f>VLOOKUP(C20,'[25]SOR RATE'!A:D,4,0)</f>
        <v>2970</v>
      </c>
      <c r="F20" s="2556">
        <f>(0.3*2)+(0.05*2)+(0.2*4)</f>
        <v>1.5</v>
      </c>
      <c r="G20" s="1202">
        <f t="shared" si="0"/>
        <v>4455</v>
      </c>
      <c r="H20" s="337" t="s">
        <v>47</v>
      </c>
    </row>
    <row r="21" spans="1:8" ht="16.5" customHeight="1">
      <c r="A21" s="1291">
        <v>12</v>
      </c>
      <c r="B21" s="1290" t="s">
        <v>1669</v>
      </c>
      <c r="C21" s="2299">
        <v>7130810517</v>
      </c>
      <c r="D21" s="1291" t="s">
        <v>40</v>
      </c>
      <c r="E21" s="1202">
        <f>VLOOKUP(C21,'[25]SOR RATE'!A:D,4,0)</f>
        <v>5987.84</v>
      </c>
      <c r="F21" s="1291">
        <v>2</v>
      </c>
      <c r="G21" s="1202">
        <f t="shared" si="0"/>
        <v>11975.68</v>
      </c>
      <c r="H21" s="102"/>
    </row>
    <row r="22" spans="1:8" ht="16.5" customHeight="1">
      <c r="A22" s="1291">
        <v>13</v>
      </c>
      <c r="B22" s="1290" t="s">
        <v>2362</v>
      </c>
      <c r="C22" s="2299">
        <v>7130850201</v>
      </c>
      <c r="D22" s="1291" t="s">
        <v>40</v>
      </c>
      <c r="E22" s="1202">
        <f>VLOOKUP(C22,'[25]SOR RATE'!A279:D279,4,0)</f>
        <v>5987.84</v>
      </c>
      <c r="F22" s="1291">
        <v>1</v>
      </c>
      <c r="G22" s="1202">
        <f t="shared" si="0"/>
        <v>5987.84</v>
      </c>
      <c r="H22" s="102"/>
    </row>
    <row r="23" spans="1:8" ht="16.5" customHeight="1">
      <c r="A23" s="1291">
        <v>14</v>
      </c>
      <c r="B23" s="1290" t="s">
        <v>32</v>
      </c>
      <c r="C23" s="2299">
        <v>7130880041</v>
      </c>
      <c r="D23" s="2519" t="s">
        <v>33</v>
      </c>
      <c r="E23" s="1202">
        <f>VLOOKUP(C23,'[25]SOR RATE'!A:D,4,0)</f>
        <v>113.77</v>
      </c>
      <c r="F23" s="1291">
        <v>1</v>
      </c>
      <c r="G23" s="1202">
        <f t="shared" si="0"/>
        <v>113.77</v>
      </c>
      <c r="H23" s="102"/>
    </row>
    <row r="24" spans="1:8" ht="16.5" customHeight="1">
      <c r="A24" s="1291">
        <v>15</v>
      </c>
      <c r="B24" s="1619" t="s">
        <v>31</v>
      </c>
      <c r="C24" s="1625">
        <v>7130610206</v>
      </c>
      <c r="D24" s="2519" t="s">
        <v>26</v>
      </c>
      <c r="E24" s="1202">
        <f>VLOOKUP(C24,'[25]SOR RATE'!A:D,4,0)/1000</f>
        <v>97.233429999999998</v>
      </c>
      <c r="F24" s="1291">
        <v>2</v>
      </c>
      <c r="G24" s="1202">
        <f t="shared" si="0"/>
        <v>194.46686</v>
      </c>
      <c r="H24" s="102"/>
    </row>
    <row r="25" spans="1:8" ht="16.5" customHeight="1">
      <c r="A25" s="3417">
        <v>16</v>
      </c>
      <c r="B25" s="1290" t="s">
        <v>2787</v>
      </c>
      <c r="C25" s="2296"/>
      <c r="D25" s="2382"/>
      <c r="E25" s="1202"/>
      <c r="F25" s="2382"/>
      <c r="G25" s="1202"/>
      <c r="H25" s="102"/>
    </row>
    <row r="26" spans="1:8" ht="16.5" customHeight="1">
      <c r="A26" s="3417"/>
      <c r="B26" s="1290" t="s">
        <v>2617</v>
      </c>
      <c r="C26" s="2299">
        <v>7130641396</v>
      </c>
      <c r="D26" s="2519" t="s">
        <v>21</v>
      </c>
      <c r="E26" s="1202">
        <f>VLOOKUP(C26,'[25]SOR RATE'!A:D,4,0)</f>
        <v>253.11</v>
      </c>
      <c r="F26" s="1291">
        <f>9*2</f>
        <v>18</v>
      </c>
      <c r="G26" s="1202">
        <f>E26*F26</f>
        <v>4555.9800000000005</v>
      </c>
      <c r="H26" s="102"/>
    </row>
    <row r="27" spans="1:8" ht="16.5" customHeight="1">
      <c r="A27" s="3417"/>
      <c r="B27" s="1290" t="s">
        <v>41</v>
      </c>
      <c r="C27" s="2299">
        <v>7130870043</v>
      </c>
      <c r="D27" s="2519" t="s">
        <v>26</v>
      </c>
      <c r="E27" s="1202">
        <f>VLOOKUP(C27,'[25]SOR RATE'!A:D,4,0)/1000</f>
        <v>80.521839999999997</v>
      </c>
      <c r="F27" s="1291">
        <f>15*2</f>
        <v>30</v>
      </c>
      <c r="G27" s="1202">
        <f>E27*F27</f>
        <v>2415.6552000000001</v>
      </c>
      <c r="H27" s="102"/>
    </row>
    <row r="28" spans="1:8" ht="16.5" customHeight="1">
      <c r="A28" s="1291">
        <v>17</v>
      </c>
      <c r="B28" s="1290" t="s">
        <v>161</v>
      </c>
      <c r="C28" s="2384">
        <v>7130211158</v>
      </c>
      <c r="D28" s="2519" t="s">
        <v>29</v>
      </c>
      <c r="E28" s="1202">
        <f>VLOOKUP(C28,'[25]SOR RATE'!A:D,4,0)</f>
        <v>193.62</v>
      </c>
      <c r="F28" s="1291">
        <v>1</v>
      </c>
      <c r="G28" s="1202">
        <f t="shared" ref="G28:G32" si="1">E28*F28</f>
        <v>193.62</v>
      </c>
      <c r="H28" s="102"/>
    </row>
    <row r="29" spans="1:8" ht="16.5" customHeight="1">
      <c r="A29" s="1291">
        <v>18</v>
      </c>
      <c r="B29" s="1290" t="s">
        <v>162</v>
      </c>
      <c r="C29" s="1616">
        <v>7130210809</v>
      </c>
      <c r="D29" s="2519" t="s">
        <v>29</v>
      </c>
      <c r="E29" s="1202">
        <f>VLOOKUP(C29,'[25]SOR RATE'!A:D,4,0)</f>
        <v>432.63</v>
      </c>
      <c r="F29" s="1291">
        <v>1</v>
      </c>
      <c r="G29" s="1202">
        <f>E29*F29</f>
        <v>432.63</v>
      </c>
      <c r="H29" s="102"/>
    </row>
    <row r="30" spans="1:8" ht="16.5" customHeight="1">
      <c r="A30" s="1291">
        <v>19</v>
      </c>
      <c r="B30" s="1290" t="s">
        <v>712</v>
      </c>
      <c r="C30" s="2299">
        <v>7130840029</v>
      </c>
      <c r="D30" s="2519" t="s">
        <v>33</v>
      </c>
      <c r="E30" s="1202">
        <f>VLOOKUP(C30,'[25]SOR RATE'!A:D,4,0)</f>
        <v>368.52</v>
      </c>
      <c r="F30" s="1291">
        <v>3</v>
      </c>
      <c r="G30" s="1202">
        <f>E30*F30</f>
        <v>1105.56</v>
      </c>
      <c r="H30" s="102"/>
    </row>
    <row r="31" spans="1:8" ht="16.5" customHeight="1">
      <c r="A31" s="3269">
        <v>20</v>
      </c>
      <c r="B31" s="1290" t="s">
        <v>1443</v>
      </c>
      <c r="C31" s="2296"/>
      <c r="D31" s="2382"/>
      <c r="E31" s="1202"/>
      <c r="F31" s="2382"/>
      <c r="G31" s="1202"/>
      <c r="H31" s="102"/>
    </row>
    <row r="32" spans="1:8" ht="16.5" customHeight="1">
      <c r="A32" s="3270"/>
      <c r="B32" s="1290" t="s">
        <v>2618</v>
      </c>
      <c r="C32" s="2299">
        <v>7130620609</v>
      </c>
      <c r="D32" s="1620" t="s">
        <v>26</v>
      </c>
      <c r="E32" s="1202">
        <f>VLOOKUP(C32,'[25]SOR RATE'!A:D,4,0)</f>
        <v>87.23</v>
      </c>
      <c r="F32" s="1291">
        <v>1</v>
      </c>
      <c r="G32" s="1202">
        <f t="shared" si="1"/>
        <v>87.23</v>
      </c>
      <c r="H32" s="102"/>
    </row>
    <row r="33" spans="1:10" ht="16.5" customHeight="1">
      <c r="A33" s="3270"/>
      <c r="B33" s="1290" t="s">
        <v>2619</v>
      </c>
      <c r="C33" s="2299">
        <v>7130620614</v>
      </c>
      <c r="D33" s="1620" t="s">
        <v>26</v>
      </c>
      <c r="E33" s="1202">
        <f>VLOOKUP(C33,'[25]SOR RATE'!A:D,4,0)</f>
        <v>85.77</v>
      </c>
      <c r="F33" s="1291">
        <v>4</v>
      </c>
      <c r="G33" s="1202">
        <f>E33*F33</f>
        <v>343.08</v>
      </c>
      <c r="H33" s="102"/>
    </row>
    <row r="34" spans="1:10" ht="16.5" customHeight="1">
      <c r="A34" s="3270"/>
      <c r="B34" s="1290" t="s">
        <v>2620</v>
      </c>
      <c r="C34" s="2299">
        <v>7130620625</v>
      </c>
      <c r="D34" s="1620" t="s">
        <v>26</v>
      </c>
      <c r="E34" s="1202">
        <f>VLOOKUP(C34,'[25]SOR RATE'!A:D,4,0)</f>
        <v>84.32</v>
      </c>
      <c r="F34" s="1291">
        <v>4</v>
      </c>
      <c r="G34" s="1202">
        <f>E34*F34</f>
        <v>337.28</v>
      </c>
      <c r="H34" s="102"/>
    </row>
    <row r="35" spans="1:10" ht="16.5" customHeight="1">
      <c r="A35" s="3271"/>
      <c r="B35" s="1290" t="s">
        <v>2621</v>
      </c>
      <c r="C35" s="2299">
        <v>7130620631</v>
      </c>
      <c r="D35" s="1620" t="s">
        <v>26</v>
      </c>
      <c r="E35" s="1202">
        <f>VLOOKUP(C35,'[25]SOR RATE'!A:D,4,0)</f>
        <v>84.32</v>
      </c>
      <c r="F35" s="1291">
        <v>5</v>
      </c>
      <c r="G35" s="1202">
        <f>E35*F35</f>
        <v>421.59999999999997</v>
      </c>
      <c r="H35" s="102"/>
    </row>
    <row r="36" spans="1:10" ht="16.5" customHeight="1">
      <c r="A36" s="1291">
        <v>21</v>
      </c>
      <c r="B36" s="2557" t="s">
        <v>1347</v>
      </c>
      <c r="C36" s="2299">
        <v>7132200004</v>
      </c>
      <c r="D36" s="2299" t="s">
        <v>33</v>
      </c>
      <c r="E36" s="1202">
        <f>VLOOKUP(C36,'[25]SOR RATE'!A:D,4,0)</f>
        <v>129.96</v>
      </c>
      <c r="F36" s="1291">
        <v>6</v>
      </c>
      <c r="G36" s="1202">
        <f>E36*F36</f>
        <v>779.76</v>
      </c>
      <c r="H36" s="2551" t="s">
        <v>2788</v>
      </c>
      <c r="I36" s="2552"/>
      <c r="J36" s="2553"/>
    </row>
    <row r="37" spans="1:10" ht="16.5" customHeight="1">
      <c r="A37" s="1291">
        <v>22</v>
      </c>
      <c r="B37" s="1290" t="s">
        <v>2789</v>
      </c>
      <c r="C37" s="2299"/>
      <c r="D37" s="2519"/>
      <c r="E37" s="2519"/>
      <c r="F37" s="1291" t="s">
        <v>114</v>
      </c>
      <c r="G37" s="1202">
        <v>1000</v>
      </c>
      <c r="H37" s="102"/>
    </row>
    <row r="38" spans="1:10" ht="16.5" customHeight="1">
      <c r="A38" s="2515">
        <v>23</v>
      </c>
      <c r="B38" s="1639" t="s">
        <v>48</v>
      </c>
      <c r="C38" s="2515"/>
      <c r="D38" s="1291"/>
      <c r="E38" s="1291"/>
      <c r="F38" s="1291"/>
      <c r="G38" s="2521">
        <f>SUM(G8:G37)</f>
        <v>62902.063520000011</v>
      </c>
      <c r="H38" s="102"/>
    </row>
    <row r="39" spans="1:10" ht="16.5" customHeight="1">
      <c r="A39" s="2515">
        <v>24</v>
      </c>
      <c r="B39" s="1639" t="s">
        <v>49</v>
      </c>
      <c r="C39" s="2515"/>
      <c r="D39" s="1291"/>
      <c r="E39" s="1291"/>
      <c r="F39" s="1291"/>
      <c r="G39" s="2521">
        <f>G38/1.18</f>
        <v>53306.833491525438</v>
      </c>
      <c r="H39" s="102"/>
    </row>
    <row r="40" spans="1:10" ht="16.5" customHeight="1">
      <c r="A40" s="1291">
        <v>25</v>
      </c>
      <c r="B40" s="1619" t="s">
        <v>2790</v>
      </c>
      <c r="C40" s="1290"/>
      <c r="D40" s="1290"/>
      <c r="E40" s="1290"/>
      <c r="F40" s="1291">
        <v>7.4999999999999997E-2</v>
      </c>
      <c r="G40" s="1202">
        <f>G38*F40</f>
        <v>4717.6547640000008</v>
      </c>
      <c r="H40" s="102"/>
      <c r="I40" s="605"/>
    </row>
    <row r="41" spans="1:10" ht="16.5" customHeight="1">
      <c r="A41" s="1291">
        <v>26</v>
      </c>
      <c r="B41" s="1290" t="s">
        <v>2791</v>
      </c>
      <c r="C41" s="1291"/>
      <c r="D41" s="1291" t="s">
        <v>68</v>
      </c>
      <c r="E41" s="735">
        <f>339.936450725958*1.043</f>
        <v>354.55371810717418</v>
      </c>
      <c r="F41" s="1621">
        <v>2</v>
      </c>
      <c r="G41" s="1202">
        <f>E41*F41</f>
        <v>709.10743621434835</v>
      </c>
      <c r="H41" s="102"/>
      <c r="I41" s="18"/>
      <c r="J41" s="28"/>
    </row>
    <row r="42" spans="1:10" ht="16.5" customHeight="1">
      <c r="A42" s="1291">
        <v>27</v>
      </c>
      <c r="B42" s="1624" t="s">
        <v>82</v>
      </c>
      <c r="C42" s="1291"/>
      <c r="D42" s="1291" t="s">
        <v>76</v>
      </c>
      <c r="E42" s="1202">
        <f>665.173187113158*1.043</f>
        <v>693.77563415902364</v>
      </c>
      <c r="F42" s="1637">
        <v>1.5</v>
      </c>
      <c r="G42" s="1202">
        <f>E42*F42</f>
        <v>1040.6634512385353</v>
      </c>
      <c r="H42" s="102"/>
      <c r="I42" s="18"/>
      <c r="J42" s="28"/>
    </row>
    <row r="43" spans="1:10" ht="16.5" customHeight="1">
      <c r="A43" s="1291">
        <v>28</v>
      </c>
      <c r="B43" s="1290" t="s">
        <v>2792</v>
      </c>
      <c r="C43" s="1291"/>
      <c r="D43" s="1291"/>
      <c r="E43" s="1291"/>
      <c r="F43" s="1291"/>
      <c r="G43" s="1202">
        <v>13227.8</v>
      </c>
      <c r="H43" s="102"/>
      <c r="I43" s="18"/>
      <c r="J43" s="28"/>
    </row>
    <row r="44" spans="1:10" ht="16.5" customHeight="1">
      <c r="A44" s="1291">
        <v>29</v>
      </c>
      <c r="B44" s="1290" t="s">
        <v>2767</v>
      </c>
      <c r="C44" s="1291"/>
      <c r="D44" s="1291"/>
      <c r="E44" s="1291">
        <v>0.04</v>
      </c>
      <c r="F44" s="1202"/>
      <c r="G44" s="1676">
        <f>G39*E44</f>
        <v>2132.2733396610174</v>
      </c>
      <c r="H44" s="737" t="s">
        <v>1827</v>
      </c>
      <c r="I44" s="633"/>
    </row>
    <row r="45" spans="1:10" ht="30.75" customHeight="1">
      <c r="A45" s="1291">
        <v>30</v>
      </c>
      <c r="B45" s="1619" t="s">
        <v>166</v>
      </c>
      <c r="C45" s="1291"/>
      <c r="D45" s="1291"/>
      <c r="E45" s="1291"/>
      <c r="F45" s="2558">
        <v>0.125</v>
      </c>
      <c r="G45" s="1132">
        <f>(G38+G40+G41+G42+G43+G44)*F45</f>
        <v>10591.19531388924</v>
      </c>
      <c r="H45" s="102"/>
      <c r="I45" s="605"/>
    </row>
    <row r="46" spans="1:10" ht="16.5" customHeight="1">
      <c r="A46" s="2515">
        <v>31</v>
      </c>
      <c r="B46" s="2559" t="s">
        <v>167</v>
      </c>
      <c r="C46" s="2515"/>
      <c r="D46" s="2515"/>
      <c r="E46" s="2515"/>
      <c r="F46" s="2515"/>
      <c r="G46" s="2521">
        <f>SUM(G39:G45)</f>
        <v>85725.527796528579</v>
      </c>
      <c r="H46" s="102"/>
    </row>
    <row r="47" spans="1:10" ht="16.5" customHeight="1">
      <c r="A47" s="1291">
        <v>32</v>
      </c>
      <c r="B47" s="1290" t="s">
        <v>168</v>
      </c>
      <c r="C47" s="1291"/>
      <c r="D47" s="1291"/>
      <c r="E47" s="1291"/>
      <c r="F47" s="1291"/>
      <c r="G47" s="1202">
        <f>G46*0.09</f>
        <v>7715.2975016875716</v>
      </c>
      <c r="H47" s="102"/>
    </row>
    <row r="48" spans="1:10" ht="16.5" customHeight="1">
      <c r="A48" s="1291">
        <v>33</v>
      </c>
      <c r="B48" s="1290" t="s">
        <v>170</v>
      </c>
      <c r="C48" s="1291"/>
      <c r="D48" s="1291"/>
      <c r="E48" s="1291"/>
      <c r="F48" s="1291"/>
      <c r="G48" s="1202">
        <f>G46*0.09</f>
        <v>7715.2975016875716</v>
      </c>
      <c r="H48" s="102"/>
    </row>
    <row r="49" spans="1:8" ht="16.5" customHeight="1">
      <c r="A49" s="2515">
        <v>34</v>
      </c>
      <c r="B49" s="2559" t="s">
        <v>171</v>
      </c>
      <c r="C49" s="1291"/>
      <c r="D49" s="1291"/>
      <c r="E49" s="1291"/>
      <c r="F49" s="1291"/>
      <c r="G49" s="1202">
        <f>G46+G47+G48</f>
        <v>101156.12279990372</v>
      </c>
      <c r="H49" s="102"/>
    </row>
    <row r="50" spans="1:8" ht="16.5" customHeight="1">
      <c r="A50" s="2515">
        <v>35</v>
      </c>
      <c r="B50" s="2559" t="s">
        <v>59</v>
      </c>
      <c r="C50" s="2515"/>
      <c r="D50" s="2515"/>
      <c r="E50" s="2515"/>
      <c r="F50" s="2521"/>
      <c r="G50" s="2521">
        <f>ROUND(G49,0)</f>
        <v>101156</v>
      </c>
      <c r="H50" s="102"/>
    </row>
    <row r="51" spans="1:8" ht="14.25">
      <c r="A51" s="2015"/>
      <c r="B51" s="102"/>
      <c r="C51" s="2015"/>
      <c r="D51" s="102"/>
      <c r="E51" s="102"/>
      <c r="F51" s="102"/>
      <c r="G51" s="102"/>
      <c r="H51" s="102"/>
    </row>
    <row r="52" spans="1:8" ht="31.5" customHeight="1">
      <c r="A52" s="614"/>
      <c r="B52" s="3418" t="s">
        <v>2793</v>
      </c>
      <c r="C52" s="3418"/>
      <c r="D52" s="102"/>
      <c r="E52" s="102"/>
      <c r="F52" s="102"/>
      <c r="G52" s="102"/>
      <c r="H52" s="102"/>
    </row>
    <row r="53" spans="1:8" ht="18">
      <c r="A53" s="2554"/>
      <c r="B53" s="2555"/>
      <c r="C53" s="103"/>
      <c r="D53" s="103"/>
      <c r="E53" s="103"/>
      <c r="F53" s="103"/>
      <c r="G53" s="103"/>
      <c r="H53" s="103"/>
    </row>
    <row r="54" spans="1:8" ht="15">
      <c r="A54" s="2015"/>
      <c r="B54" s="2118"/>
      <c r="C54" s="2118"/>
      <c r="D54" s="2059"/>
      <c r="E54" s="2059"/>
      <c r="F54" s="102"/>
      <c r="G54" s="102"/>
      <c r="H54" s="102"/>
    </row>
    <row r="55" spans="1:8" ht="14.25">
      <c r="G55" s="102"/>
      <c r="H55" s="102"/>
    </row>
    <row r="56" spans="1:8" ht="14.25">
      <c r="G56" s="102"/>
      <c r="H56" s="102"/>
    </row>
  </sheetData>
  <mergeCells count="13">
    <mergeCell ref="B52:C52"/>
    <mergeCell ref="B1:D1"/>
    <mergeCell ref="B3:E3"/>
    <mergeCell ref="A5:A6"/>
    <mergeCell ref="B5:B6"/>
    <mergeCell ref="C5:C6"/>
    <mergeCell ref="D5:D6"/>
    <mergeCell ref="E5:E6"/>
    <mergeCell ref="F5:F6"/>
    <mergeCell ref="G5:G6"/>
    <mergeCell ref="A17:A19"/>
    <mergeCell ref="A25:A27"/>
    <mergeCell ref="A31:A35"/>
  </mergeCells>
  <conditionalFormatting sqref="B38:B40">
    <cfRule type="cellIs" dxfId="50" priority="1" stopIfTrue="1" operator="equal">
      <formula>"?"</formula>
    </cfRule>
  </conditionalFormatting>
  <pageMargins left="0.70866141732283472" right="0.70866141732283472" top="0.74803149606299213" bottom="0.74803149606299213" header="0.31496062992125984" footer="0.31496062992125984"/>
  <pageSetup paperSize="9" orientation="landscape"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C77"/>
  <sheetViews>
    <sheetView zoomScaleNormal="100" workbookViewId="0">
      <pane xSplit="2" ySplit="7" topLeftCell="C63" activePane="bottomRight" state="frozen"/>
      <selection pane="topRight" activeCell="C1" sqref="C1"/>
      <selection pane="bottomLeft" activeCell="A8" sqref="A8"/>
      <selection pane="bottomRight" activeCell="G3737" sqref="G3737"/>
    </sheetView>
  </sheetViews>
  <sheetFormatPr defaultRowHeight="12.75"/>
  <cols>
    <col min="1" max="1" width="4.28515625" style="536" customWidth="1"/>
    <col min="2" max="2" width="45.140625" style="539" customWidth="1"/>
    <col min="3" max="3" width="13.42578125" style="539" customWidth="1"/>
    <col min="4" max="4" width="7.28515625" style="539" customWidth="1"/>
    <col min="5" max="5" width="12.140625" style="539" customWidth="1"/>
    <col min="6" max="6" width="7.42578125" style="539" customWidth="1"/>
    <col min="7" max="7" width="15.7109375" style="539" customWidth="1"/>
    <col min="8" max="8" width="7" style="539" customWidth="1"/>
    <col min="9" max="9" width="15.7109375" style="539" customWidth="1"/>
    <col min="10" max="10" width="21" style="539" customWidth="1"/>
    <col min="11" max="11" width="9.140625" style="539"/>
    <col min="12" max="12" width="9.7109375" style="539" customWidth="1"/>
    <col min="13" max="248" width="9.140625" style="539"/>
    <col min="249" max="249" width="4.85546875" style="539" customWidth="1"/>
    <col min="250" max="250" width="42.5703125" style="539" customWidth="1"/>
    <col min="251" max="251" width="13.42578125" style="539" customWidth="1"/>
    <col min="252" max="252" width="5.85546875" style="539" bestFit="1" customWidth="1"/>
    <col min="253" max="253" width="6.7109375" style="539" customWidth="1"/>
    <col min="254" max="254" width="9.85546875" style="539" bestFit="1" customWidth="1"/>
    <col min="255" max="255" width="11.140625" style="539" customWidth="1"/>
    <col min="256" max="256" width="6.7109375" style="539" customWidth="1"/>
    <col min="257" max="257" width="9.85546875" style="539" bestFit="1" customWidth="1"/>
    <col min="258" max="258" width="11.140625" style="539" customWidth="1"/>
    <col min="259" max="259" width="6.7109375" style="539" customWidth="1"/>
    <col min="260" max="260" width="11" style="539" bestFit="1" customWidth="1"/>
    <col min="261" max="261" width="11.28515625" style="539" customWidth="1"/>
    <col min="262" max="262" width="6.7109375" style="539" customWidth="1"/>
    <col min="263" max="264" width="11" style="539" bestFit="1" customWidth="1"/>
    <col min="265" max="265" width="25.28515625" style="539" customWidth="1"/>
    <col min="266" max="266" width="21" style="539" customWidth="1"/>
    <col min="267" max="504" width="9.140625" style="539"/>
    <col min="505" max="505" width="4.85546875" style="539" customWidth="1"/>
    <col min="506" max="506" width="42.5703125" style="539" customWidth="1"/>
    <col min="507" max="507" width="13.42578125" style="539" customWidth="1"/>
    <col min="508" max="508" width="5.85546875" style="539" bestFit="1" customWidth="1"/>
    <col min="509" max="509" width="6.7109375" style="539" customWidth="1"/>
    <col min="510" max="510" width="9.85546875" style="539" bestFit="1" customWidth="1"/>
    <col min="511" max="511" width="11.140625" style="539" customWidth="1"/>
    <col min="512" max="512" width="6.7109375" style="539" customWidth="1"/>
    <col min="513" max="513" width="9.85546875" style="539" bestFit="1" customWidth="1"/>
    <col min="514" max="514" width="11.140625" style="539" customWidth="1"/>
    <col min="515" max="515" width="6.7109375" style="539" customWidth="1"/>
    <col min="516" max="516" width="11" style="539" bestFit="1" customWidth="1"/>
    <col min="517" max="517" width="11.28515625" style="539" customWidth="1"/>
    <col min="518" max="518" width="6.7109375" style="539" customWidth="1"/>
    <col min="519" max="520" width="11" style="539" bestFit="1" customWidth="1"/>
    <col min="521" max="521" width="25.28515625" style="539" customWidth="1"/>
    <col min="522" max="522" width="21" style="539" customWidth="1"/>
    <col min="523" max="760" width="9.140625" style="539"/>
    <col min="761" max="761" width="4.85546875" style="539" customWidth="1"/>
    <col min="762" max="762" width="42.5703125" style="539" customWidth="1"/>
    <col min="763" max="763" width="13.42578125" style="539" customWidth="1"/>
    <col min="764" max="764" width="5.85546875" style="539" bestFit="1" customWidth="1"/>
    <col min="765" max="765" width="6.7109375" style="539" customWidth="1"/>
    <col min="766" max="766" width="9.85546875" style="539" bestFit="1" customWidth="1"/>
    <col min="767" max="767" width="11.140625" style="539" customWidth="1"/>
    <col min="768" max="768" width="6.7109375" style="539" customWidth="1"/>
    <col min="769" max="769" width="9.85546875" style="539" bestFit="1" customWidth="1"/>
    <col min="770" max="770" width="11.140625" style="539" customWidth="1"/>
    <col min="771" max="771" width="6.7109375" style="539" customWidth="1"/>
    <col min="772" max="772" width="11" style="539" bestFit="1" customWidth="1"/>
    <col min="773" max="773" width="11.28515625" style="539" customWidth="1"/>
    <col min="774" max="774" width="6.7109375" style="539" customWidth="1"/>
    <col min="775" max="776" width="11" style="539" bestFit="1" customWidth="1"/>
    <col min="777" max="777" width="25.28515625" style="539" customWidth="1"/>
    <col min="778" max="778" width="21" style="539" customWidth="1"/>
    <col min="779" max="1016" width="9.140625" style="539"/>
    <col min="1017" max="1017" width="4.85546875" style="539" customWidth="1"/>
    <col min="1018" max="1018" width="42.5703125" style="539" customWidth="1"/>
    <col min="1019" max="1019" width="13.42578125" style="539" customWidth="1"/>
    <col min="1020" max="1020" width="5.85546875" style="539" bestFit="1" customWidth="1"/>
    <col min="1021" max="1021" width="6.7109375" style="539" customWidth="1"/>
    <col min="1022" max="1022" width="9.85546875" style="539" bestFit="1" customWidth="1"/>
    <col min="1023" max="1023" width="11.140625" style="539" customWidth="1"/>
    <col min="1024" max="1024" width="6.7109375" style="539" customWidth="1"/>
    <col min="1025" max="1025" width="9.85546875" style="539" bestFit="1" customWidth="1"/>
    <col min="1026" max="1026" width="11.140625" style="539" customWidth="1"/>
    <col min="1027" max="1027" width="6.7109375" style="539" customWidth="1"/>
    <col min="1028" max="1028" width="11" style="539" bestFit="1" customWidth="1"/>
    <col min="1029" max="1029" width="11.28515625" style="539" customWidth="1"/>
    <col min="1030" max="1030" width="6.7109375" style="539" customWidth="1"/>
    <col min="1031" max="1032" width="11" style="539" bestFit="1" customWidth="1"/>
    <col min="1033" max="1033" width="25.28515625" style="539" customWidth="1"/>
    <col min="1034" max="1034" width="21" style="539" customWidth="1"/>
    <col min="1035" max="1272" width="9.140625" style="539"/>
    <col min="1273" max="1273" width="4.85546875" style="539" customWidth="1"/>
    <col min="1274" max="1274" width="42.5703125" style="539" customWidth="1"/>
    <col min="1275" max="1275" width="13.42578125" style="539" customWidth="1"/>
    <col min="1276" max="1276" width="5.85546875" style="539" bestFit="1" customWidth="1"/>
    <col min="1277" max="1277" width="6.7109375" style="539" customWidth="1"/>
    <col min="1278" max="1278" width="9.85546875" style="539" bestFit="1" customWidth="1"/>
    <col min="1279" max="1279" width="11.140625" style="539" customWidth="1"/>
    <col min="1280" max="1280" width="6.7109375" style="539" customWidth="1"/>
    <col min="1281" max="1281" width="9.85546875" style="539" bestFit="1" customWidth="1"/>
    <col min="1282" max="1282" width="11.140625" style="539" customWidth="1"/>
    <col min="1283" max="1283" width="6.7109375" style="539" customWidth="1"/>
    <col min="1284" max="1284" width="11" style="539" bestFit="1" customWidth="1"/>
    <col min="1285" max="1285" width="11.28515625" style="539" customWidth="1"/>
    <col min="1286" max="1286" width="6.7109375" style="539" customWidth="1"/>
    <col min="1287" max="1288" width="11" style="539" bestFit="1" customWidth="1"/>
    <col min="1289" max="1289" width="25.28515625" style="539" customWidth="1"/>
    <col min="1290" max="1290" width="21" style="539" customWidth="1"/>
    <col min="1291" max="1528" width="9.140625" style="539"/>
    <col min="1529" max="1529" width="4.85546875" style="539" customWidth="1"/>
    <col min="1530" max="1530" width="42.5703125" style="539" customWidth="1"/>
    <col min="1531" max="1531" width="13.42578125" style="539" customWidth="1"/>
    <col min="1532" max="1532" width="5.85546875" style="539" bestFit="1" customWidth="1"/>
    <col min="1533" max="1533" width="6.7109375" style="539" customWidth="1"/>
    <col min="1534" max="1534" width="9.85546875" style="539" bestFit="1" customWidth="1"/>
    <col min="1535" max="1535" width="11.140625" style="539" customWidth="1"/>
    <col min="1536" max="1536" width="6.7109375" style="539" customWidth="1"/>
    <col min="1537" max="1537" width="9.85546875" style="539" bestFit="1" customWidth="1"/>
    <col min="1538" max="1538" width="11.140625" style="539" customWidth="1"/>
    <col min="1539" max="1539" width="6.7109375" style="539" customWidth="1"/>
    <col min="1540" max="1540" width="11" style="539" bestFit="1" customWidth="1"/>
    <col min="1541" max="1541" width="11.28515625" style="539" customWidth="1"/>
    <col min="1542" max="1542" width="6.7109375" style="539" customWidth="1"/>
    <col min="1543" max="1544" width="11" style="539" bestFit="1" customWidth="1"/>
    <col min="1545" max="1545" width="25.28515625" style="539" customWidth="1"/>
    <col min="1546" max="1546" width="21" style="539" customWidth="1"/>
    <col min="1547" max="1784" width="9.140625" style="539"/>
    <col min="1785" max="1785" width="4.85546875" style="539" customWidth="1"/>
    <col min="1786" max="1786" width="42.5703125" style="539" customWidth="1"/>
    <col min="1787" max="1787" width="13.42578125" style="539" customWidth="1"/>
    <col min="1788" max="1788" width="5.85546875" style="539" bestFit="1" customWidth="1"/>
    <col min="1789" max="1789" width="6.7109375" style="539" customWidth="1"/>
    <col min="1790" max="1790" width="9.85546875" style="539" bestFit="1" customWidth="1"/>
    <col min="1791" max="1791" width="11.140625" style="539" customWidth="1"/>
    <col min="1792" max="1792" width="6.7109375" style="539" customWidth="1"/>
    <col min="1793" max="1793" width="9.85546875" style="539" bestFit="1" customWidth="1"/>
    <col min="1794" max="1794" width="11.140625" style="539" customWidth="1"/>
    <col min="1795" max="1795" width="6.7109375" style="539" customWidth="1"/>
    <col min="1796" max="1796" width="11" style="539" bestFit="1" customWidth="1"/>
    <col min="1797" max="1797" width="11.28515625" style="539" customWidth="1"/>
    <col min="1798" max="1798" width="6.7109375" style="539" customWidth="1"/>
    <col min="1799" max="1800" width="11" style="539" bestFit="1" customWidth="1"/>
    <col min="1801" max="1801" width="25.28515625" style="539" customWidth="1"/>
    <col min="1802" max="1802" width="21" style="539" customWidth="1"/>
    <col min="1803" max="2040" width="9.140625" style="539"/>
    <col min="2041" max="2041" width="4.85546875" style="539" customWidth="1"/>
    <col min="2042" max="2042" width="42.5703125" style="539" customWidth="1"/>
    <col min="2043" max="2043" width="13.42578125" style="539" customWidth="1"/>
    <col min="2044" max="2044" width="5.85546875" style="539" bestFit="1" customWidth="1"/>
    <col min="2045" max="2045" width="6.7109375" style="539" customWidth="1"/>
    <col min="2046" max="2046" width="9.85546875" style="539" bestFit="1" customWidth="1"/>
    <col min="2047" max="2047" width="11.140625" style="539" customWidth="1"/>
    <col min="2048" max="2048" width="6.7109375" style="539" customWidth="1"/>
    <col min="2049" max="2049" width="9.85546875" style="539" bestFit="1" customWidth="1"/>
    <col min="2050" max="2050" width="11.140625" style="539" customWidth="1"/>
    <col min="2051" max="2051" width="6.7109375" style="539" customWidth="1"/>
    <col min="2052" max="2052" width="11" style="539" bestFit="1" customWidth="1"/>
    <col min="2053" max="2053" width="11.28515625" style="539" customWidth="1"/>
    <col min="2054" max="2054" width="6.7109375" style="539" customWidth="1"/>
    <col min="2055" max="2056" width="11" style="539" bestFit="1" customWidth="1"/>
    <col min="2057" max="2057" width="25.28515625" style="539" customWidth="1"/>
    <col min="2058" max="2058" width="21" style="539" customWidth="1"/>
    <col min="2059" max="2296" width="9.140625" style="539"/>
    <col min="2297" max="2297" width="4.85546875" style="539" customWidth="1"/>
    <col min="2298" max="2298" width="42.5703125" style="539" customWidth="1"/>
    <col min="2299" max="2299" width="13.42578125" style="539" customWidth="1"/>
    <col min="2300" max="2300" width="5.85546875" style="539" bestFit="1" customWidth="1"/>
    <col min="2301" max="2301" width="6.7109375" style="539" customWidth="1"/>
    <col min="2302" max="2302" width="9.85546875" style="539" bestFit="1" customWidth="1"/>
    <col min="2303" max="2303" width="11.140625" style="539" customWidth="1"/>
    <col min="2304" max="2304" width="6.7109375" style="539" customWidth="1"/>
    <col min="2305" max="2305" width="9.85546875" style="539" bestFit="1" customWidth="1"/>
    <col min="2306" max="2306" width="11.140625" style="539" customWidth="1"/>
    <col min="2307" max="2307" width="6.7109375" style="539" customWidth="1"/>
    <col min="2308" max="2308" width="11" style="539" bestFit="1" customWidth="1"/>
    <col min="2309" max="2309" width="11.28515625" style="539" customWidth="1"/>
    <col min="2310" max="2310" width="6.7109375" style="539" customWidth="1"/>
    <col min="2311" max="2312" width="11" style="539" bestFit="1" customWidth="1"/>
    <col min="2313" max="2313" width="25.28515625" style="539" customWidth="1"/>
    <col min="2314" max="2314" width="21" style="539" customWidth="1"/>
    <col min="2315" max="2552" width="9.140625" style="539"/>
    <col min="2553" max="2553" width="4.85546875" style="539" customWidth="1"/>
    <col min="2554" max="2554" width="42.5703125" style="539" customWidth="1"/>
    <col min="2555" max="2555" width="13.42578125" style="539" customWidth="1"/>
    <col min="2556" max="2556" width="5.85546875" style="539" bestFit="1" customWidth="1"/>
    <col min="2557" max="2557" width="6.7109375" style="539" customWidth="1"/>
    <col min="2558" max="2558" width="9.85546875" style="539" bestFit="1" customWidth="1"/>
    <col min="2559" max="2559" width="11.140625" style="539" customWidth="1"/>
    <col min="2560" max="2560" width="6.7109375" style="539" customWidth="1"/>
    <col min="2561" max="2561" width="9.85546875" style="539" bestFit="1" customWidth="1"/>
    <col min="2562" max="2562" width="11.140625" style="539" customWidth="1"/>
    <col min="2563" max="2563" width="6.7109375" style="539" customWidth="1"/>
    <col min="2564" max="2564" width="11" style="539" bestFit="1" customWidth="1"/>
    <col min="2565" max="2565" width="11.28515625" style="539" customWidth="1"/>
    <col min="2566" max="2566" width="6.7109375" style="539" customWidth="1"/>
    <col min="2567" max="2568" width="11" style="539" bestFit="1" customWidth="1"/>
    <col min="2569" max="2569" width="25.28515625" style="539" customWidth="1"/>
    <col min="2570" max="2570" width="21" style="539" customWidth="1"/>
    <col min="2571" max="2808" width="9.140625" style="539"/>
    <col min="2809" max="2809" width="4.85546875" style="539" customWidth="1"/>
    <col min="2810" max="2810" width="42.5703125" style="539" customWidth="1"/>
    <col min="2811" max="2811" width="13.42578125" style="539" customWidth="1"/>
    <col min="2812" max="2812" width="5.85546875" style="539" bestFit="1" customWidth="1"/>
    <col min="2813" max="2813" width="6.7109375" style="539" customWidth="1"/>
    <col min="2814" max="2814" width="9.85546875" style="539" bestFit="1" customWidth="1"/>
    <col min="2815" max="2815" width="11.140625" style="539" customWidth="1"/>
    <col min="2816" max="2816" width="6.7109375" style="539" customWidth="1"/>
    <col min="2817" max="2817" width="9.85546875" style="539" bestFit="1" customWidth="1"/>
    <col min="2818" max="2818" width="11.140625" style="539" customWidth="1"/>
    <col min="2819" max="2819" width="6.7109375" style="539" customWidth="1"/>
    <col min="2820" max="2820" width="11" style="539" bestFit="1" customWidth="1"/>
    <col min="2821" max="2821" width="11.28515625" style="539" customWidth="1"/>
    <col min="2822" max="2822" width="6.7109375" style="539" customWidth="1"/>
    <col min="2823" max="2824" width="11" style="539" bestFit="1" customWidth="1"/>
    <col min="2825" max="2825" width="25.28515625" style="539" customWidth="1"/>
    <col min="2826" max="2826" width="21" style="539" customWidth="1"/>
    <col min="2827" max="3064" width="9.140625" style="539"/>
    <col min="3065" max="3065" width="4.85546875" style="539" customWidth="1"/>
    <col min="3066" max="3066" width="42.5703125" style="539" customWidth="1"/>
    <col min="3067" max="3067" width="13.42578125" style="539" customWidth="1"/>
    <col min="3068" max="3068" width="5.85546875" style="539" bestFit="1" customWidth="1"/>
    <col min="3069" max="3069" width="6.7109375" style="539" customWidth="1"/>
    <col min="3070" max="3070" width="9.85546875" style="539" bestFit="1" customWidth="1"/>
    <col min="3071" max="3071" width="11.140625" style="539" customWidth="1"/>
    <col min="3072" max="3072" width="6.7109375" style="539" customWidth="1"/>
    <col min="3073" max="3073" width="9.85546875" style="539" bestFit="1" customWidth="1"/>
    <col min="3074" max="3074" width="11.140625" style="539" customWidth="1"/>
    <col min="3075" max="3075" width="6.7109375" style="539" customWidth="1"/>
    <col min="3076" max="3076" width="11" style="539" bestFit="1" customWidth="1"/>
    <col min="3077" max="3077" width="11.28515625" style="539" customWidth="1"/>
    <col min="3078" max="3078" width="6.7109375" style="539" customWidth="1"/>
    <col min="3079" max="3080" width="11" style="539" bestFit="1" customWidth="1"/>
    <col min="3081" max="3081" width="25.28515625" style="539" customWidth="1"/>
    <col min="3082" max="3082" width="21" style="539" customWidth="1"/>
    <col min="3083" max="3320" width="9.140625" style="539"/>
    <col min="3321" max="3321" width="4.85546875" style="539" customWidth="1"/>
    <col min="3322" max="3322" width="42.5703125" style="539" customWidth="1"/>
    <col min="3323" max="3323" width="13.42578125" style="539" customWidth="1"/>
    <col min="3324" max="3324" width="5.85546875" style="539" bestFit="1" customWidth="1"/>
    <col min="3325" max="3325" width="6.7109375" style="539" customWidth="1"/>
    <col min="3326" max="3326" width="9.85546875" style="539" bestFit="1" customWidth="1"/>
    <col min="3327" max="3327" width="11.140625" style="539" customWidth="1"/>
    <col min="3328" max="3328" width="6.7109375" style="539" customWidth="1"/>
    <col min="3329" max="3329" width="9.85546875" style="539" bestFit="1" customWidth="1"/>
    <col min="3330" max="3330" width="11.140625" style="539" customWidth="1"/>
    <col min="3331" max="3331" width="6.7109375" style="539" customWidth="1"/>
    <col min="3332" max="3332" width="11" style="539" bestFit="1" customWidth="1"/>
    <col min="3333" max="3333" width="11.28515625" style="539" customWidth="1"/>
    <col min="3334" max="3334" width="6.7109375" style="539" customWidth="1"/>
    <col min="3335" max="3336" width="11" style="539" bestFit="1" customWidth="1"/>
    <col min="3337" max="3337" width="25.28515625" style="539" customWidth="1"/>
    <col min="3338" max="3338" width="21" style="539" customWidth="1"/>
    <col min="3339" max="3576" width="9.140625" style="539"/>
    <col min="3577" max="3577" width="4.85546875" style="539" customWidth="1"/>
    <col min="3578" max="3578" width="42.5703125" style="539" customWidth="1"/>
    <col min="3579" max="3579" width="13.42578125" style="539" customWidth="1"/>
    <col min="3580" max="3580" width="5.85546875" style="539" bestFit="1" customWidth="1"/>
    <col min="3581" max="3581" width="6.7109375" style="539" customWidth="1"/>
    <col min="3582" max="3582" width="9.85546875" style="539" bestFit="1" customWidth="1"/>
    <col min="3583" max="3583" width="11.140625" style="539" customWidth="1"/>
    <col min="3584" max="3584" width="6.7109375" style="539" customWidth="1"/>
    <col min="3585" max="3585" width="9.85546875" style="539" bestFit="1" customWidth="1"/>
    <col min="3586" max="3586" width="11.140625" style="539" customWidth="1"/>
    <col min="3587" max="3587" width="6.7109375" style="539" customWidth="1"/>
    <col min="3588" max="3588" width="11" style="539" bestFit="1" customWidth="1"/>
    <col min="3589" max="3589" width="11.28515625" style="539" customWidth="1"/>
    <col min="3590" max="3590" width="6.7109375" style="539" customWidth="1"/>
    <col min="3591" max="3592" width="11" style="539" bestFit="1" customWidth="1"/>
    <col min="3593" max="3593" width="25.28515625" style="539" customWidth="1"/>
    <col min="3594" max="3594" width="21" style="539" customWidth="1"/>
    <col min="3595" max="3832" width="9.140625" style="539"/>
    <col min="3833" max="3833" width="4.85546875" style="539" customWidth="1"/>
    <col min="3834" max="3834" width="42.5703125" style="539" customWidth="1"/>
    <col min="3835" max="3835" width="13.42578125" style="539" customWidth="1"/>
    <col min="3836" max="3836" width="5.85546875" style="539" bestFit="1" customWidth="1"/>
    <col min="3837" max="3837" width="6.7109375" style="539" customWidth="1"/>
    <col min="3838" max="3838" width="9.85546875" style="539" bestFit="1" customWidth="1"/>
    <col min="3839" max="3839" width="11.140625" style="539" customWidth="1"/>
    <col min="3840" max="3840" width="6.7109375" style="539" customWidth="1"/>
    <col min="3841" max="3841" width="9.85546875" style="539" bestFit="1" customWidth="1"/>
    <col min="3842" max="3842" width="11.140625" style="539" customWidth="1"/>
    <col min="3843" max="3843" width="6.7109375" style="539" customWidth="1"/>
    <col min="3844" max="3844" width="11" style="539" bestFit="1" customWidth="1"/>
    <col min="3845" max="3845" width="11.28515625" style="539" customWidth="1"/>
    <col min="3846" max="3846" width="6.7109375" style="539" customWidth="1"/>
    <col min="3847" max="3848" width="11" style="539" bestFit="1" customWidth="1"/>
    <col min="3849" max="3849" width="25.28515625" style="539" customWidth="1"/>
    <col min="3850" max="3850" width="21" style="539" customWidth="1"/>
    <col min="3851" max="4088" width="9.140625" style="539"/>
    <col min="4089" max="4089" width="4.85546875" style="539" customWidth="1"/>
    <col min="4090" max="4090" width="42.5703125" style="539" customWidth="1"/>
    <col min="4091" max="4091" width="13.42578125" style="539" customWidth="1"/>
    <col min="4092" max="4092" width="5.85546875" style="539" bestFit="1" customWidth="1"/>
    <col min="4093" max="4093" width="6.7109375" style="539" customWidth="1"/>
    <col min="4094" max="4094" width="9.85546875" style="539" bestFit="1" customWidth="1"/>
    <col min="4095" max="4095" width="11.140625" style="539" customWidth="1"/>
    <col min="4096" max="4096" width="6.7109375" style="539" customWidth="1"/>
    <col min="4097" max="4097" width="9.85546875" style="539" bestFit="1" customWidth="1"/>
    <col min="4098" max="4098" width="11.140625" style="539" customWidth="1"/>
    <col min="4099" max="4099" width="6.7109375" style="539" customWidth="1"/>
    <col min="4100" max="4100" width="11" style="539" bestFit="1" customWidth="1"/>
    <col min="4101" max="4101" width="11.28515625" style="539" customWidth="1"/>
    <col min="4102" max="4102" width="6.7109375" style="539" customWidth="1"/>
    <col min="4103" max="4104" width="11" style="539" bestFit="1" customWidth="1"/>
    <col min="4105" max="4105" width="25.28515625" style="539" customWidth="1"/>
    <col min="4106" max="4106" width="21" style="539" customWidth="1"/>
    <col min="4107" max="4344" width="9.140625" style="539"/>
    <col min="4345" max="4345" width="4.85546875" style="539" customWidth="1"/>
    <col min="4346" max="4346" width="42.5703125" style="539" customWidth="1"/>
    <col min="4347" max="4347" width="13.42578125" style="539" customWidth="1"/>
    <col min="4348" max="4348" width="5.85546875" style="539" bestFit="1" customWidth="1"/>
    <col min="4349" max="4349" width="6.7109375" style="539" customWidth="1"/>
    <col min="4350" max="4350" width="9.85546875" style="539" bestFit="1" customWidth="1"/>
    <col min="4351" max="4351" width="11.140625" style="539" customWidth="1"/>
    <col min="4352" max="4352" width="6.7109375" style="539" customWidth="1"/>
    <col min="4353" max="4353" width="9.85546875" style="539" bestFit="1" customWidth="1"/>
    <col min="4354" max="4354" width="11.140625" style="539" customWidth="1"/>
    <col min="4355" max="4355" width="6.7109375" style="539" customWidth="1"/>
    <col min="4356" max="4356" width="11" style="539" bestFit="1" customWidth="1"/>
    <col min="4357" max="4357" width="11.28515625" style="539" customWidth="1"/>
    <col min="4358" max="4358" width="6.7109375" style="539" customWidth="1"/>
    <col min="4359" max="4360" width="11" style="539" bestFit="1" customWidth="1"/>
    <col min="4361" max="4361" width="25.28515625" style="539" customWidth="1"/>
    <col min="4362" max="4362" width="21" style="539" customWidth="1"/>
    <col min="4363" max="4600" width="9.140625" style="539"/>
    <col min="4601" max="4601" width="4.85546875" style="539" customWidth="1"/>
    <col min="4602" max="4602" width="42.5703125" style="539" customWidth="1"/>
    <col min="4603" max="4603" width="13.42578125" style="539" customWidth="1"/>
    <col min="4604" max="4604" width="5.85546875" style="539" bestFit="1" customWidth="1"/>
    <col min="4605" max="4605" width="6.7109375" style="539" customWidth="1"/>
    <col min="4606" max="4606" width="9.85546875" style="539" bestFit="1" customWidth="1"/>
    <col min="4607" max="4607" width="11.140625" style="539" customWidth="1"/>
    <col min="4608" max="4608" width="6.7109375" style="539" customWidth="1"/>
    <col min="4609" max="4609" width="9.85546875" style="539" bestFit="1" customWidth="1"/>
    <col min="4610" max="4610" width="11.140625" style="539" customWidth="1"/>
    <col min="4611" max="4611" width="6.7109375" style="539" customWidth="1"/>
    <col min="4612" max="4612" width="11" style="539" bestFit="1" customWidth="1"/>
    <col min="4613" max="4613" width="11.28515625" style="539" customWidth="1"/>
    <col min="4614" max="4614" width="6.7109375" style="539" customWidth="1"/>
    <col min="4615" max="4616" width="11" style="539" bestFit="1" customWidth="1"/>
    <col min="4617" max="4617" width="25.28515625" style="539" customWidth="1"/>
    <col min="4618" max="4618" width="21" style="539" customWidth="1"/>
    <col min="4619" max="4856" width="9.140625" style="539"/>
    <col min="4857" max="4857" width="4.85546875" style="539" customWidth="1"/>
    <col min="4858" max="4858" width="42.5703125" style="539" customWidth="1"/>
    <col min="4859" max="4859" width="13.42578125" style="539" customWidth="1"/>
    <col min="4860" max="4860" width="5.85546875" style="539" bestFit="1" customWidth="1"/>
    <col min="4861" max="4861" width="6.7109375" style="539" customWidth="1"/>
    <col min="4862" max="4862" width="9.85546875" style="539" bestFit="1" customWidth="1"/>
    <col min="4863" max="4863" width="11.140625" style="539" customWidth="1"/>
    <col min="4864" max="4864" width="6.7109375" style="539" customWidth="1"/>
    <col min="4865" max="4865" width="9.85546875" style="539" bestFit="1" customWidth="1"/>
    <col min="4866" max="4866" width="11.140625" style="539" customWidth="1"/>
    <col min="4867" max="4867" width="6.7109375" style="539" customWidth="1"/>
    <col min="4868" max="4868" width="11" style="539" bestFit="1" customWidth="1"/>
    <col min="4869" max="4869" width="11.28515625" style="539" customWidth="1"/>
    <col min="4870" max="4870" width="6.7109375" style="539" customWidth="1"/>
    <col min="4871" max="4872" width="11" style="539" bestFit="1" customWidth="1"/>
    <col min="4873" max="4873" width="25.28515625" style="539" customWidth="1"/>
    <col min="4874" max="4874" width="21" style="539" customWidth="1"/>
    <col min="4875" max="5112" width="9.140625" style="539"/>
    <col min="5113" max="5113" width="4.85546875" style="539" customWidth="1"/>
    <col min="5114" max="5114" width="42.5703125" style="539" customWidth="1"/>
    <col min="5115" max="5115" width="13.42578125" style="539" customWidth="1"/>
    <col min="5116" max="5116" width="5.85546875" style="539" bestFit="1" customWidth="1"/>
    <col min="5117" max="5117" width="6.7109375" style="539" customWidth="1"/>
    <col min="5118" max="5118" width="9.85546875" style="539" bestFit="1" customWidth="1"/>
    <col min="5119" max="5119" width="11.140625" style="539" customWidth="1"/>
    <col min="5120" max="5120" width="6.7109375" style="539" customWidth="1"/>
    <col min="5121" max="5121" width="9.85546875" style="539" bestFit="1" customWidth="1"/>
    <col min="5122" max="5122" width="11.140625" style="539" customWidth="1"/>
    <col min="5123" max="5123" width="6.7109375" style="539" customWidth="1"/>
    <col min="5124" max="5124" width="11" style="539" bestFit="1" customWidth="1"/>
    <col min="5125" max="5125" width="11.28515625" style="539" customWidth="1"/>
    <col min="5126" max="5126" width="6.7109375" style="539" customWidth="1"/>
    <col min="5127" max="5128" width="11" style="539" bestFit="1" customWidth="1"/>
    <col min="5129" max="5129" width="25.28515625" style="539" customWidth="1"/>
    <col min="5130" max="5130" width="21" style="539" customWidth="1"/>
    <col min="5131" max="5368" width="9.140625" style="539"/>
    <col min="5369" max="5369" width="4.85546875" style="539" customWidth="1"/>
    <col min="5370" max="5370" width="42.5703125" style="539" customWidth="1"/>
    <col min="5371" max="5371" width="13.42578125" style="539" customWidth="1"/>
    <col min="5372" max="5372" width="5.85546875" style="539" bestFit="1" customWidth="1"/>
    <col min="5373" max="5373" width="6.7109375" style="539" customWidth="1"/>
    <col min="5374" max="5374" width="9.85546875" style="539" bestFit="1" customWidth="1"/>
    <col min="5375" max="5375" width="11.140625" style="539" customWidth="1"/>
    <col min="5376" max="5376" width="6.7109375" style="539" customWidth="1"/>
    <col min="5377" max="5377" width="9.85546875" style="539" bestFit="1" customWidth="1"/>
    <col min="5378" max="5378" width="11.140625" style="539" customWidth="1"/>
    <col min="5379" max="5379" width="6.7109375" style="539" customWidth="1"/>
    <col min="5380" max="5380" width="11" style="539" bestFit="1" customWidth="1"/>
    <col min="5381" max="5381" width="11.28515625" style="539" customWidth="1"/>
    <col min="5382" max="5382" width="6.7109375" style="539" customWidth="1"/>
    <col min="5383" max="5384" width="11" style="539" bestFit="1" customWidth="1"/>
    <col min="5385" max="5385" width="25.28515625" style="539" customWidth="1"/>
    <col min="5386" max="5386" width="21" style="539" customWidth="1"/>
    <col min="5387" max="5624" width="9.140625" style="539"/>
    <col min="5625" max="5625" width="4.85546875" style="539" customWidth="1"/>
    <col min="5626" max="5626" width="42.5703125" style="539" customWidth="1"/>
    <col min="5627" max="5627" width="13.42578125" style="539" customWidth="1"/>
    <col min="5628" max="5628" width="5.85546875" style="539" bestFit="1" customWidth="1"/>
    <col min="5629" max="5629" width="6.7109375" style="539" customWidth="1"/>
    <col min="5630" max="5630" width="9.85546875" style="539" bestFit="1" customWidth="1"/>
    <col min="5631" max="5631" width="11.140625" style="539" customWidth="1"/>
    <col min="5632" max="5632" width="6.7109375" style="539" customWidth="1"/>
    <col min="5633" max="5633" width="9.85546875" style="539" bestFit="1" customWidth="1"/>
    <col min="5634" max="5634" width="11.140625" style="539" customWidth="1"/>
    <col min="5635" max="5635" width="6.7109375" style="539" customWidth="1"/>
    <col min="5636" max="5636" width="11" style="539" bestFit="1" customWidth="1"/>
    <col min="5637" max="5637" width="11.28515625" style="539" customWidth="1"/>
    <col min="5638" max="5638" width="6.7109375" style="539" customWidth="1"/>
    <col min="5639" max="5640" width="11" style="539" bestFit="1" customWidth="1"/>
    <col min="5641" max="5641" width="25.28515625" style="539" customWidth="1"/>
    <col min="5642" max="5642" width="21" style="539" customWidth="1"/>
    <col min="5643" max="5880" width="9.140625" style="539"/>
    <col min="5881" max="5881" width="4.85546875" style="539" customWidth="1"/>
    <col min="5882" max="5882" width="42.5703125" style="539" customWidth="1"/>
    <col min="5883" max="5883" width="13.42578125" style="539" customWidth="1"/>
    <col min="5884" max="5884" width="5.85546875" style="539" bestFit="1" customWidth="1"/>
    <col min="5885" max="5885" width="6.7109375" style="539" customWidth="1"/>
    <col min="5886" max="5886" width="9.85546875" style="539" bestFit="1" customWidth="1"/>
    <col min="5887" max="5887" width="11.140625" style="539" customWidth="1"/>
    <col min="5888" max="5888" width="6.7109375" style="539" customWidth="1"/>
    <col min="5889" max="5889" width="9.85546875" style="539" bestFit="1" customWidth="1"/>
    <col min="5890" max="5890" width="11.140625" style="539" customWidth="1"/>
    <col min="5891" max="5891" width="6.7109375" style="539" customWidth="1"/>
    <col min="5892" max="5892" width="11" style="539" bestFit="1" customWidth="1"/>
    <col min="5893" max="5893" width="11.28515625" style="539" customWidth="1"/>
    <col min="5894" max="5894" width="6.7109375" style="539" customWidth="1"/>
    <col min="5895" max="5896" width="11" style="539" bestFit="1" customWidth="1"/>
    <col min="5897" max="5897" width="25.28515625" style="539" customWidth="1"/>
    <col min="5898" max="5898" width="21" style="539" customWidth="1"/>
    <col min="5899" max="6136" width="9.140625" style="539"/>
    <col min="6137" max="6137" width="4.85546875" style="539" customWidth="1"/>
    <col min="6138" max="6138" width="42.5703125" style="539" customWidth="1"/>
    <col min="6139" max="6139" width="13.42578125" style="539" customWidth="1"/>
    <col min="6140" max="6140" width="5.85546875" style="539" bestFit="1" customWidth="1"/>
    <col min="6141" max="6141" width="6.7109375" style="539" customWidth="1"/>
    <col min="6142" max="6142" width="9.85546875" style="539" bestFit="1" customWidth="1"/>
    <col min="6143" max="6143" width="11.140625" style="539" customWidth="1"/>
    <col min="6144" max="6144" width="6.7109375" style="539" customWidth="1"/>
    <col min="6145" max="6145" width="9.85546875" style="539" bestFit="1" customWidth="1"/>
    <col min="6146" max="6146" width="11.140625" style="539" customWidth="1"/>
    <col min="6147" max="6147" width="6.7109375" style="539" customWidth="1"/>
    <col min="6148" max="6148" width="11" style="539" bestFit="1" customWidth="1"/>
    <col min="6149" max="6149" width="11.28515625" style="539" customWidth="1"/>
    <col min="6150" max="6150" width="6.7109375" style="539" customWidth="1"/>
    <col min="6151" max="6152" width="11" style="539" bestFit="1" customWidth="1"/>
    <col min="6153" max="6153" width="25.28515625" style="539" customWidth="1"/>
    <col min="6154" max="6154" width="21" style="539" customWidth="1"/>
    <col min="6155" max="6392" width="9.140625" style="539"/>
    <col min="6393" max="6393" width="4.85546875" style="539" customWidth="1"/>
    <col min="6394" max="6394" width="42.5703125" style="539" customWidth="1"/>
    <col min="6395" max="6395" width="13.42578125" style="539" customWidth="1"/>
    <col min="6396" max="6396" width="5.85546875" style="539" bestFit="1" customWidth="1"/>
    <col min="6397" max="6397" width="6.7109375" style="539" customWidth="1"/>
    <col min="6398" max="6398" width="9.85546875" style="539" bestFit="1" customWidth="1"/>
    <col min="6399" max="6399" width="11.140625" style="539" customWidth="1"/>
    <col min="6400" max="6400" width="6.7109375" style="539" customWidth="1"/>
    <col min="6401" max="6401" width="9.85546875" style="539" bestFit="1" customWidth="1"/>
    <col min="6402" max="6402" width="11.140625" style="539" customWidth="1"/>
    <col min="6403" max="6403" width="6.7109375" style="539" customWidth="1"/>
    <col min="6404" max="6404" width="11" style="539" bestFit="1" customWidth="1"/>
    <col min="6405" max="6405" width="11.28515625" style="539" customWidth="1"/>
    <col min="6406" max="6406" width="6.7109375" style="539" customWidth="1"/>
    <col min="6407" max="6408" width="11" style="539" bestFit="1" customWidth="1"/>
    <col min="6409" max="6409" width="25.28515625" style="539" customWidth="1"/>
    <col min="6410" max="6410" width="21" style="539" customWidth="1"/>
    <col min="6411" max="6648" width="9.140625" style="539"/>
    <col min="6649" max="6649" width="4.85546875" style="539" customWidth="1"/>
    <col min="6650" max="6650" width="42.5703125" style="539" customWidth="1"/>
    <col min="6651" max="6651" width="13.42578125" style="539" customWidth="1"/>
    <col min="6652" max="6652" width="5.85546875" style="539" bestFit="1" customWidth="1"/>
    <col min="6653" max="6653" width="6.7109375" style="539" customWidth="1"/>
    <col min="6654" max="6654" width="9.85546875" style="539" bestFit="1" customWidth="1"/>
    <col min="6655" max="6655" width="11.140625" style="539" customWidth="1"/>
    <col min="6656" max="6656" width="6.7109375" style="539" customWidth="1"/>
    <col min="6657" max="6657" width="9.85546875" style="539" bestFit="1" customWidth="1"/>
    <col min="6658" max="6658" width="11.140625" style="539" customWidth="1"/>
    <col min="6659" max="6659" width="6.7109375" style="539" customWidth="1"/>
    <col min="6660" max="6660" width="11" style="539" bestFit="1" customWidth="1"/>
    <col min="6661" max="6661" width="11.28515625" style="539" customWidth="1"/>
    <col min="6662" max="6662" width="6.7109375" style="539" customWidth="1"/>
    <col min="6663" max="6664" width="11" style="539" bestFit="1" customWidth="1"/>
    <col min="6665" max="6665" width="25.28515625" style="539" customWidth="1"/>
    <col min="6666" max="6666" width="21" style="539" customWidth="1"/>
    <col min="6667" max="6904" width="9.140625" style="539"/>
    <col min="6905" max="6905" width="4.85546875" style="539" customWidth="1"/>
    <col min="6906" max="6906" width="42.5703125" style="539" customWidth="1"/>
    <col min="6907" max="6907" width="13.42578125" style="539" customWidth="1"/>
    <col min="6908" max="6908" width="5.85546875" style="539" bestFit="1" customWidth="1"/>
    <col min="6909" max="6909" width="6.7109375" style="539" customWidth="1"/>
    <col min="6910" max="6910" width="9.85546875" style="539" bestFit="1" customWidth="1"/>
    <col min="6911" max="6911" width="11.140625" style="539" customWidth="1"/>
    <col min="6912" max="6912" width="6.7109375" style="539" customWidth="1"/>
    <col min="6913" max="6913" width="9.85546875" style="539" bestFit="1" customWidth="1"/>
    <col min="6914" max="6914" width="11.140625" style="539" customWidth="1"/>
    <col min="6915" max="6915" width="6.7109375" style="539" customWidth="1"/>
    <col min="6916" max="6916" width="11" style="539" bestFit="1" customWidth="1"/>
    <col min="6917" max="6917" width="11.28515625" style="539" customWidth="1"/>
    <col min="6918" max="6918" width="6.7109375" style="539" customWidth="1"/>
    <col min="6919" max="6920" width="11" style="539" bestFit="1" customWidth="1"/>
    <col min="6921" max="6921" width="25.28515625" style="539" customWidth="1"/>
    <col min="6922" max="6922" width="21" style="539" customWidth="1"/>
    <col min="6923" max="7160" width="9.140625" style="539"/>
    <col min="7161" max="7161" width="4.85546875" style="539" customWidth="1"/>
    <col min="7162" max="7162" width="42.5703125" style="539" customWidth="1"/>
    <col min="7163" max="7163" width="13.42578125" style="539" customWidth="1"/>
    <col min="7164" max="7164" width="5.85546875" style="539" bestFit="1" customWidth="1"/>
    <col min="7165" max="7165" width="6.7109375" style="539" customWidth="1"/>
    <col min="7166" max="7166" width="9.85546875" style="539" bestFit="1" customWidth="1"/>
    <col min="7167" max="7167" width="11.140625" style="539" customWidth="1"/>
    <col min="7168" max="7168" width="6.7109375" style="539" customWidth="1"/>
    <col min="7169" max="7169" width="9.85546875" style="539" bestFit="1" customWidth="1"/>
    <col min="7170" max="7170" width="11.140625" style="539" customWidth="1"/>
    <col min="7171" max="7171" width="6.7109375" style="539" customWidth="1"/>
    <col min="7172" max="7172" width="11" style="539" bestFit="1" customWidth="1"/>
    <col min="7173" max="7173" width="11.28515625" style="539" customWidth="1"/>
    <col min="7174" max="7174" width="6.7109375" style="539" customWidth="1"/>
    <col min="7175" max="7176" width="11" style="539" bestFit="1" customWidth="1"/>
    <col min="7177" max="7177" width="25.28515625" style="539" customWidth="1"/>
    <col min="7178" max="7178" width="21" style="539" customWidth="1"/>
    <col min="7179" max="7416" width="9.140625" style="539"/>
    <col min="7417" max="7417" width="4.85546875" style="539" customWidth="1"/>
    <col min="7418" max="7418" width="42.5703125" style="539" customWidth="1"/>
    <col min="7419" max="7419" width="13.42578125" style="539" customWidth="1"/>
    <col min="7420" max="7420" width="5.85546875" style="539" bestFit="1" customWidth="1"/>
    <col min="7421" max="7421" width="6.7109375" style="539" customWidth="1"/>
    <col min="7422" max="7422" width="9.85546875" style="539" bestFit="1" customWidth="1"/>
    <col min="7423" max="7423" width="11.140625" style="539" customWidth="1"/>
    <col min="7424" max="7424" width="6.7109375" style="539" customWidth="1"/>
    <col min="7425" max="7425" width="9.85546875" style="539" bestFit="1" customWidth="1"/>
    <col min="7426" max="7426" width="11.140625" style="539" customWidth="1"/>
    <col min="7427" max="7427" width="6.7109375" style="539" customWidth="1"/>
    <col min="7428" max="7428" width="11" style="539" bestFit="1" customWidth="1"/>
    <col min="7429" max="7429" width="11.28515625" style="539" customWidth="1"/>
    <col min="7430" max="7430" width="6.7109375" style="539" customWidth="1"/>
    <col min="7431" max="7432" width="11" style="539" bestFit="1" customWidth="1"/>
    <col min="7433" max="7433" width="25.28515625" style="539" customWidth="1"/>
    <col min="7434" max="7434" width="21" style="539" customWidth="1"/>
    <col min="7435" max="7672" width="9.140625" style="539"/>
    <col min="7673" max="7673" width="4.85546875" style="539" customWidth="1"/>
    <col min="7674" max="7674" width="42.5703125" style="539" customWidth="1"/>
    <col min="7675" max="7675" width="13.42578125" style="539" customWidth="1"/>
    <col min="7676" max="7676" width="5.85546875" style="539" bestFit="1" customWidth="1"/>
    <col min="7677" max="7677" width="6.7109375" style="539" customWidth="1"/>
    <col min="7678" max="7678" width="9.85546875" style="539" bestFit="1" customWidth="1"/>
    <col min="7679" max="7679" width="11.140625" style="539" customWidth="1"/>
    <col min="7680" max="7680" width="6.7109375" style="539" customWidth="1"/>
    <col min="7681" max="7681" width="9.85546875" style="539" bestFit="1" customWidth="1"/>
    <col min="7682" max="7682" width="11.140625" style="539" customWidth="1"/>
    <col min="7683" max="7683" width="6.7109375" style="539" customWidth="1"/>
    <col min="7684" max="7684" width="11" style="539" bestFit="1" customWidth="1"/>
    <col min="7685" max="7685" width="11.28515625" style="539" customWidth="1"/>
    <col min="7686" max="7686" width="6.7109375" style="539" customWidth="1"/>
    <col min="7687" max="7688" width="11" style="539" bestFit="1" customWidth="1"/>
    <col min="7689" max="7689" width="25.28515625" style="539" customWidth="1"/>
    <col min="7690" max="7690" width="21" style="539" customWidth="1"/>
    <col min="7691" max="7928" width="9.140625" style="539"/>
    <col min="7929" max="7929" width="4.85546875" style="539" customWidth="1"/>
    <col min="7930" max="7930" width="42.5703125" style="539" customWidth="1"/>
    <col min="7931" max="7931" width="13.42578125" style="539" customWidth="1"/>
    <col min="7932" max="7932" width="5.85546875" style="539" bestFit="1" customWidth="1"/>
    <col min="7933" max="7933" width="6.7109375" style="539" customWidth="1"/>
    <col min="7934" max="7934" width="9.85546875" style="539" bestFit="1" customWidth="1"/>
    <col min="7935" max="7935" width="11.140625" style="539" customWidth="1"/>
    <col min="7936" max="7936" width="6.7109375" style="539" customWidth="1"/>
    <col min="7937" max="7937" width="9.85546875" style="539" bestFit="1" customWidth="1"/>
    <col min="7938" max="7938" width="11.140625" style="539" customWidth="1"/>
    <col min="7939" max="7939" width="6.7109375" style="539" customWidth="1"/>
    <col min="7940" max="7940" width="11" style="539" bestFit="1" customWidth="1"/>
    <col min="7941" max="7941" width="11.28515625" style="539" customWidth="1"/>
    <col min="7942" max="7942" width="6.7109375" style="539" customWidth="1"/>
    <col min="7943" max="7944" width="11" style="539" bestFit="1" customWidth="1"/>
    <col min="7945" max="7945" width="25.28515625" style="539" customWidth="1"/>
    <col min="7946" max="7946" width="21" style="539" customWidth="1"/>
    <col min="7947" max="8184" width="9.140625" style="539"/>
    <col min="8185" max="8185" width="4.85546875" style="539" customWidth="1"/>
    <col min="8186" max="8186" width="42.5703125" style="539" customWidth="1"/>
    <col min="8187" max="8187" width="13.42578125" style="539" customWidth="1"/>
    <col min="8188" max="8188" width="5.85546875" style="539" bestFit="1" customWidth="1"/>
    <col min="8189" max="8189" width="6.7109375" style="539" customWidth="1"/>
    <col min="8190" max="8190" width="9.85546875" style="539" bestFit="1" customWidth="1"/>
    <col min="8191" max="8191" width="11.140625" style="539" customWidth="1"/>
    <col min="8192" max="8192" width="6.7109375" style="539" customWidth="1"/>
    <col min="8193" max="8193" width="9.85546875" style="539" bestFit="1" customWidth="1"/>
    <col min="8194" max="8194" width="11.140625" style="539" customWidth="1"/>
    <col min="8195" max="8195" width="6.7109375" style="539" customWidth="1"/>
    <col min="8196" max="8196" width="11" style="539" bestFit="1" customWidth="1"/>
    <col min="8197" max="8197" width="11.28515625" style="539" customWidth="1"/>
    <col min="8198" max="8198" width="6.7109375" style="539" customWidth="1"/>
    <col min="8199" max="8200" width="11" style="539" bestFit="1" customWidth="1"/>
    <col min="8201" max="8201" width="25.28515625" style="539" customWidth="1"/>
    <col min="8202" max="8202" width="21" style="539" customWidth="1"/>
    <col min="8203" max="8440" width="9.140625" style="539"/>
    <col min="8441" max="8441" width="4.85546875" style="539" customWidth="1"/>
    <col min="8442" max="8442" width="42.5703125" style="539" customWidth="1"/>
    <col min="8443" max="8443" width="13.42578125" style="539" customWidth="1"/>
    <col min="8444" max="8444" width="5.85546875" style="539" bestFit="1" customWidth="1"/>
    <col min="8445" max="8445" width="6.7109375" style="539" customWidth="1"/>
    <col min="8446" max="8446" width="9.85546875" style="539" bestFit="1" customWidth="1"/>
    <col min="8447" max="8447" width="11.140625" style="539" customWidth="1"/>
    <col min="8448" max="8448" width="6.7109375" style="539" customWidth="1"/>
    <col min="8449" max="8449" width="9.85546875" style="539" bestFit="1" customWidth="1"/>
    <col min="8450" max="8450" width="11.140625" style="539" customWidth="1"/>
    <col min="8451" max="8451" width="6.7109375" style="539" customWidth="1"/>
    <col min="8452" max="8452" width="11" style="539" bestFit="1" customWidth="1"/>
    <col min="8453" max="8453" width="11.28515625" style="539" customWidth="1"/>
    <col min="8454" max="8454" width="6.7109375" style="539" customWidth="1"/>
    <col min="8455" max="8456" width="11" style="539" bestFit="1" customWidth="1"/>
    <col min="8457" max="8457" width="25.28515625" style="539" customWidth="1"/>
    <col min="8458" max="8458" width="21" style="539" customWidth="1"/>
    <col min="8459" max="8696" width="9.140625" style="539"/>
    <col min="8697" max="8697" width="4.85546875" style="539" customWidth="1"/>
    <col min="8698" max="8698" width="42.5703125" style="539" customWidth="1"/>
    <col min="8699" max="8699" width="13.42578125" style="539" customWidth="1"/>
    <col min="8700" max="8700" width="5.85546875" style="539" bestFit="1" customWidth="1"/>
    <col min="8701" max="8701" width="6.7109375" style="539" customWidth="1"/>
    <col min="8702" max="8702" width="9.85546875" style="539" bestFit="1" customWidth="1"/>
    <col min="8703" max="8703" width="11.140625" style="539" customWidth="1"/>
    <col min="8704" max="8704" width="6.7109375" style="539" customWidth="1"/>
    <col min="8705" max="8705" width="9.85546875" style="539" bestFit="1" customWidth="1"/>
    <col min="8706" max="8706" width="11.140625" style="539" customWidth="1"/>
    <col min="8707" max="8707" width="6.7109375" style="539" customWidth="1"/>
    <col min="8708" max="8708" width="11" style="539" bestFit="1" customWidth="1"/>
    <col min="8709" max="8709" width="11.28515625" style="539" customWidth="1"/>
    <col min="8710" max="8710" width="6.7109375" style="539" customWidth="1"/>
    <col min="8711" max="8712" width="11" style="539" bestFit="1" customWidth="1"/>
    <col min="8713" max="8713" width="25.28515625" style="539" customWidth="1"/>
    <col min="8714" max="8714" width="21" style="539" customWidth="1"/>
    <col min="8715" max="8952" width="9.140625" style="539"/>
    <col min="8953" max="8953" width="4.85546875" style="539" customWidth="1"/>
    <col min="8954" max="8954" width="42.5703125" style="539" customWidth="1"/>
    <col min="8955" max="8955" width="13.42578125" style="539" customWidth="1"/>
    <col min="8956" max="8956" width="5.85546875" style="539" bestFit="1" customWidth="1"/>
    <col min="8957" max="8957" width="6.7109375" style="539" customWidth="1"/>
    <col min="8958" max="8958" width="9.85546875" style="539" bestFit="1" customWidth="1"/>
    <col min="8959" max="8959" width="11.140625" style="539" customWidth="1"/>
    <col min="8960" max="8960" width="6.7109375" style="539" customWidth="1"/>
    <col min="8961" max="8961" width="9.85546875" style="539" bestFit="1" customWidth="1"/>
    <col min="8962" max="8962" width="11.140625" style="539" customWidth="1"/>
    <col min="8963" max="8963" width="6.7109375" style="539" customWidth="1"/>
    <col min="8964" max="8964" width="11" style="539" bestFit="1" customWidth="1"/>
    <col min="8965" max="8965" width="11.28515625" style="539" customWidth="1"/>
    <col min="8966" max="8966" width="6.7109375" style="539" customWidth="1"/>
    <col min="8967" max="8968" width="11" style="539" bestFit="1" customWidth="1"/>
    <col min="8969" max="8969" width="25.28515625" style="539" customWidth="1"/>
    <col min="8970" max="8970" width="21" style="539" customWidth="1"/>
    <col min="8971" max="9208" width="9.140625" style="539"/>
    <col min="9209" max="9209" width="4.85546875" style="539" customWidth="1"/>
    <col min="9210" max="9210" width="42.5703125" style="539" customWidth="1"/>
    <col min="9211" max="9211" width="13.42578125" style="539" customWidth="1"/>
    <col min="9212" max="9212" width="5.85546875" style="539" bestFit="1" customWidth="1"/>
    <col min="9213" max="9213" width="6.7109375" style="539" customWidth="1"/>
    <col min="9214" max="9214" width="9.85546875" style="539" bestFit="1" customWidth="1"/>
    <col min="9215" max="9215" width="11.140625" style="539" customWidth="1"/>
    <col min="9216" max="9216" width="6.7109375" style="539" customWidth="1"/>
    <col min="9217" max="9217" width="9.85546875" style="539" bestFit="1" customWidth="1"/>
    <col min="9218" max="9218" width="11.140625" style="539" customWidth="1"/>
    <col min="9219" max="9219" width="6.7109375" style="539" customWidth="1"/>
    <col min="9220" max="9220" width="11" style="539" bestFit="1" customWidth="1"/>
    <col min="9221" max="9221" width="11.28515625" style="539" customWidth="1"/>
    <col min="9222" max="9222" width="6.7109375" style="539" customWidth="1"/>
    <col min="9223" max="9224" width="11" style="539" bestFit="1" customWidth="1"/>
    <col min="9225" max="9225" width="25.28515625" style="539" customWidth="1"/>
    <col min="9226" max="9226" width="21" style="539" customWidth="1"/>
    <col min="9227" max="9464" width="9.140625" style="539"/>
    <col min="9465" max="9465" width="4.85546875" style="539" customWidth="1"/>
    <col min="9466" max="9466" width="42.5703125" style="539" customWidth="1"/>
    <col min="9467" max="9467" width="13.42578125" style="539" customWidth="1"/>
    <col min="9468" max="9468" width="5.85546875" style="539" bestFit="1" customWidth="1"/>
    <col min="9469" max="9469" width="6.7109375" style="539" customWidth="1"/>
    <col min="9470" max="9470" width="9.85546875" style="539" bestFit="1" customWidth="1"/>
    <col min="9471" max="9471" width="11.140625" style="539" customWidth="1"/>
    <col min="9472" max="9472" width="6.7109375" style="539" customWidth="1"/>
    <col min="9473" max="9473" width="9.85546875" style="539" bestFit="1" customWidth="1"/>
    <col min="9474" max="9474" width="11.140625" style="539" customWidth="1"/>
    <col min="9475" max="9475" width="6.7109375" style="539" customWidth="1"/>
    <col min="9476" max="9476" width="11" style="539" bestFit="1" customWidth="1"/>
    <col min="9477" max="9477" width="11.28515625" style="539" customWidth="1"/>
    <col min="9478" max="9478" width="6.7109375" style="539" customWidth="1"/>
    <col min="9479" max="9480" width="11" style="539" bestFit="1" customWidth="1"/>
    <col min="9481" max="9481" width="25.28515625" style="539" customWidth="1"/>
    <col min="9482" max="9482" width="21" style="539" customWidth="1"/>
    <col min="9483" max="9720" width="9.140625" style="539"/>
    <col min="9721" max="9721" width="4.85546875" style="539" customWidth="1"/>
    <col min="9722" max="9722" width="42.5703125" style="539" customWidth="1"/>
    <col min="9723" max="9723" width="13.42578125" style="539" customWidth="1"/>
    <col min="9724" max="9724" width="5.85546875" style="539" bestFit="1" customWidth="1"/>
    <col min="9725" max="9725" width="6.7109375" style="539" customWidth="1"/>
    <col min="9726" max="9726" width="9.85546875" style="539" bestFit="1" customWidth="1"/>
    <col min="9727" max="9727" width="11.140625" style="539" customWidth="1"/>
    <col min="9728" max="9728" width="6.7109375" style="539" customWidth="1"/>
    <col min="9729" max="9729" width="9.85546875" style="539" bestFit="1" customWidth="1"/>
    <col min="9730" max="9730" width="11.140625" style="539" customWidth="1"/>
    <col min="9731" max="9731" width="6.7109375" style="539" customWidth="1"/>
    <col min="9732" max="9732" width="11" style="539" bestFit="1" customWidth="1"/>
    <col min="9733" max="9733" width="11.28515625" style="539" customWidth="1"/>
    <col min="9734" max="9734" width="6.7109375" style="539" customWidth="1"/>
    <col min="9735" max="9736" width="11" style="539" bestFit="1" customWidth="1"/>
    <col min="9737" max="9737" width="25.28515625" style="539" customWidth="1"/>
    <col min="9738" max="9738" width="21" style="539" customWidth="1"/>
    <col min="9739" max="9976" width="9.140625" style="539"/>
    <col min="9977" max="9977" width="4.85546875" style="539" customWidth="1"/>
    <col min="9978" max="9978" width="42.5703125" style="539" customWidth="1"/>
    <col min="9979" max="9979" width="13.42578125" style="539" customWidth="1"/>
    <col min="9980" max="9980" width="5.85546875" style="539" bestFit="1" customWidth="1"/>
    <col min="9981" max="9981" width="6.7109375" style="539" customWidth="1"/>
    <col min="9982" max="9982" width="9.85546875" style="539" bestFit="1" customWidth="1"/>
    <col min="9983" max="9983" width="11.140625" style="539" customWidth="1"/>
    <col min="9984" max="9984" width="6.7109375" style="539" customWidth="1"/>
    <col min="9985" max="9985" width="9.85546875" style="539" bestFit="1" customWidth="1"/>
    <col min="9986" max="9986" width="11.140625" style="539" customWidth="1"/>
    <col min="9987" max="9987" width="6.7109375" style="539" customWidth="1"/>
    <col min="9988" max="9988" width="11" style="539" bestFit="1" customWidth="1"/>
    <col min="9989" max="9989" width="11.28515625" style="539" customWidth="1"/>
    <col min="9990" max="9990" width="6.7109375" style="539" customWidth="1"/>
    <col min="9991" max="9992" width="11" style="539" bestFit="1" customWidth="1"/>
    <col min="9993" max="9993" width="25.28515625" style="539" customWidth="1"/>
    <col min="9994" max="9994" width="21" style="539" customWidth="1"/>
    <col min="9995" max="10232" width="9.140625" style="539"/>
    <col min="10233" max="10233" width="4.85546875" style="539" customWidth="1"/>
    <col min="10234" max="10234" width="42.5703125" style="539" customWidth="1"/>
    <col min="10235" max="10235" width="13.42578125" style="539" customWidth="1"/>
    <col min="10236" max="10236" width="5.85546875" style="539" bestFit="1" customWidth="1"/>
    <col min="10237" max="10237" width="6.7109375" style="539" customWidth="1"/>
    <col min="10238" max="10238" width="9.85546875" style="539" bestFit="1" customWidth="1"/>
    <col min="10239" max="10239" width="11.140625" style="539" customWidth="1"/>
    <col min="10240" max="10240" width="6.7109375" style="539" customWidth="1"/>
    <col min="10241" max="10241" width="9.85546875" style="539" bestFit="1" customWidth="1"/>
    <col min="10242" max="10242" width="11.140625" style="539" customWidth="1"/>
    <col min="10243" max="10243" width="6.7109375" style="539" customWidth="1"/>
    <col min="10244" max="10244" width="11" style="539" bestFit="1" customWidth="1"/>
    <col min="10245" max="10245" width="11.28515625" style="539" customWidth="1"/>
    <col min="10246" max="10246" width="6.7109375" style="539" customWidth="1"/>
    <col min="10247" max="10248" width="11" style="539" bestFit="1" customWidth="1"/>
    <col min="10249" max="10249" width="25.28515625" style="539" customWidth="1"/>
    <col min="10250" max="10250" width="21" style="539" customWidth="1"/>
    <col min="10251" max="10488" width="9.140625" style="539"/>
    <col min="10489" max="10489" width="4.85546875" style="539" customWidth="1"/>
    <col min="10490" max="10490" width="42.5703125" style="539" customWidth="1"/>
    <col min="10491" max="10491" width="13.42578125" style="539" customWidth="1"/>
    <col min="10492" max="10492" width="5.85546875" style="539" bestFit="1" customWidth="1"/>
    <col min="10493" max="10493" width="6.7109375" style="539" customWidth="1"/>
    <col min="10494" max="10494" width="9.85546875" style="539" bestFit="1" customWidth="1"/>
    <col min="10495" max="10495" width="11.140625" style="539" customWidth="1"/>
    <col min="10496" max="10496" width="6.7109375" style="539" customWidth="1"/>
    <col min="10497" max="10497" width="9.85546875" style="539" bestFit="1" customWidth="1"/>
    <col min="10498" max="10498" width="11.140625" style="539" customWidth="1"/>
    <col min="10499" max="10499" width="6.7109375" style="539" customWidth="1"/>
    <col min="10500" max="10500" width="11" style="539" bestFit="1" customWidth="1"/>
    <col min="10501" max="10501" width="11.28515625" style="539" customWidth="1"/>
    <col min="10502" max="10502" width="6.7109375" style="539" customWidth="1"/>
    <col min="10503" max="10504" width="11" style="539" bestFit="1" customWidth="1"/>
    <col min="10505" max="10505" width="25.28515625" style="539" customWidth="1"/>
    <col min="10506" max="10506" width="21" style="539" customWidth="1"/>
    <col min="10507" max="10744" width="9.140625" style="539"/>
    <col min="10745" max="10745" width="4.85546875" style="539" customWidth="1"/>
    <col min="10746" max="10746" width="42.5703125" style="539" customWidth="1"/>
    <col min="10747" max="10747" width="13.42578125" style="539" customWidth="1"/>
    <col min="10748" max="10748" width="5.85546875" style="539" bestFit="1" customWidth="1"/>
    <col min="10749" max="10749" width="6.7109375" style="539" customWidth="1"/>
    <col min="10750" max="10750" width="9.85546875" style="539" bestFit="1" customWidth="1"/>
    <col min="10751" max="10751" width="11.140625" style="539" customWidth="1"/>
    <col min="10752" max="10752" width="6.7109375" style="539" customWidth="1"/>
    <col min="10753" max="10753" width="9.85546875" style="539" bestFit="1" customWidth="1"/>
    <col min="10754" max="10754" width="11.140625" style="539" customWidth="1"/>
    <col min="10755" max="10755" width="6.7109375" style="539" customWidth="1"/>
    <col min="10756" max="10756" width="11" style="539" bestFit="1" customWidth="1"/>
    <col min="10757" max="10757" width="11.28515625" style="539" customWidth="1"/>
    <col min="10758" max="10758" width="6.7109375" style="539" customWidth="1"/>
    <col min="10759" max="10760" width="11" style="539" bestFit="1" customWidth="1"/>
    <col min="10761" max="10761" width="25.28515625" style="539" customWidth="1"/>
    <col min="10762" max="10762" width="21" style="539" customWidth="1"/>
    <col min="10763" max="11000" width="9.140625" style="539"/>
    <col min="11001" max="11001" width="4.85546875" style="539" customWidth="1"/>
    <col min="11002" max="11002" width="42.5703125" style="539" customWidth="1"/>
    <col min="11003" max="11003" width="13.42578125" style="539" customWidth="1"/>
    <col min="11004" max="11004" width="5.85546875" style="539" bestFit="1" customWidth="1"/>
    <col min="11005" max="11005" width="6.7109375" style="539" customWidth="1"/>
    <col min="11006" max="11006" width="9.85546875" style="539" bestFit="1" customWidth="1"/>
    <col min="11007" max="11007" width="11.140625" style="539" customWidth="1"/>
    <col min="11008" max="11008" width="6.7109375" style="539" customWidth="1"/>
    <col min="11009" max="11009" width="9.85546875" style="539" bestFit="1" customWidth="1"/>
    <col min="11010" max="11010" width="11.140625" style="539" customWidth="1"/>
    <col min="11011" max="11011" width="6.7109375" style="539" customWidth="1"/>
    <col min="11012" max="11012" width="11" style="539" bestFit="1" customWidth="1"/>
    <col min="11013" max="11013" width="11.28515625" style="539" customWidth="1"/>
    <col min="11014" max="11014" width="6.7109375" style="539" customWidth="1"/>
    <col min="11015" max="11016" width="11" style="539" bestFit="1" customWidth="1"/>
    <col min="11017" max="11017" width="25.28515625" style="539" customWidth="1"/>
    <col min="11018" max="11018" width="21" style="539" customWidth="1"/>
    <col min="11019" max="11256" width="9.140625" style="539"/>
    <col min="11257" max="11257" width="4.85546875" style="539" customWidth="1"/>
    <col min="11258" max="11258" width="42.5703125" style="539" customWidth="1"/>
    <col min="11259" max="11259" width="13.42578125" style="539" customWidth="1"/>
    <col min="11260" max="11260" width="5.85546875" style="539" bestFit="1" customWidth="1"/>
    <col min="11261" max="11261" width="6.7109375" style="539" customWidth="1"/>
    <col min="11262" max="11262" width="9.85546875" style="539" bestFit="1" customWidth="1"/>
    <col min="11263" max="11263" width="11.140625" style="539" customWidth="1"/>
    <col min="11264" max="11264" width="6.7109375" style="539" customWidth="1"/>
    <col min="11265" max="11265" width="9.85546875" style="539" bestFit="1" customWidth="1"/>
    <col min="11266" max="11266" width="11.140625" style="539" customWidth="1"/>
    <col min="11267" max="11267" width="6.7109375" style="539" customWidth="1"/>
    <col min="11268" max="11268" width="11" style="539" bestFit="1" customWidth="1"/>
    <col min="11269" max="11269" width="11.28515625" style="539" customWidth="1"/>
    <col min="11270" max="11270" width="6.7109375" style="539" customWidth="1"/>
    <col min="11271" max="11272" width="11" style="539" bestFit="1" customWidth="1"/>
    <col min="11273" max="11273" width="25.28515625" style="539" customWidth="1"/>
    <col min="11274" max="11274" width="21" style="539" customWidth="1"/>
    <col min="11275" max="11512" width="9.140625" style="539"/>
    <col min="11513" max="11513" width="4.85546875" style="539" customWidth="1"/>
    <col min="11514" max="11514" width="42.5703125" style="539" customWidth="1"/>
    <col min="11515" max="11515" width="13.42578125" style="539" customWidth="1"/>
    <col min="11516" max="11516" width="5.85546875" style="539" bestFit="1" customWidth="1"/>
    <col min="11517" max="11517" width="6.7109375" style="539" customWidth="1"/>
    <col min="11518" max="11518" width="9.85546875" style="539" bestFit="1" customWidth="1"/>
    <col min="11519" max="11519" width="11.140625" style="539" customWidth="1"/>
    <col min="11520" max="11520" width="6.7109375" style="539" customWidth="1"/>
    <col min="11521" max="11521" width="9.85546875" style="539" bestFit="1" customWidth="1"/>
    <col min="11522" max="11522" width="11.140625" style="539" customWidth="1"/>
    <col min="11523" max="11523" width="6.7109375" style="539" customWidth="1"/>
    <col min="11524" max="11524" width="11" style="539" bestFit="1" customWidth="1"/>
    <col min="11525" max="11525" width="11.28515625" style="539" customWidth="1"/>
    <col min="11526" max="11526" width="6.7109375" style="539" customWidth="1"/>
    <col min="11527" max="11528" width="11" style="539" bestFit="1" customWidth="1"/>
    <col min="11529" max="11529" width="25.28515625" style="539" customWidth="1"/>
    <col min="11530" max="11530" width="21" style="539" customWidth="1"/>
    <col min="11531" max="11768" width="9.140625" style="539"/>
    <col min="11769" max="11769" width="4.85546875" style="539" customWidth="1"/>
    <col min="11770" max="11770" width="42.5703125" style="539" customWidth="1"/>
    <col min="11771" max="11771" width="13.42578125" style="539" customWidth="1"/>
    <col min="11772" max="11772" width="5.85546875" style="539" bestFit="1" customWidth="1"/>
    <col min="11773" max="11773" width="6.7109375" style="539" customWidth="1"/>
    <col min="11774" max="11774" width="9.85546875" style="539" bestFit="1" customWidth="1"/>
    <col min="11775" max="11775" width="11.140625" style="539" customWidth="1"/>
    <col min="11776" max="11776" width="6.7109375" style="539" customWidth="1"/>
    <col min="11777" max="11777" width="9.85546875" style="539" bestFit="1" customWidth="1"/>
    <col min="11778" max="11778" width="11.140625" style="539" customWidth="1"/>
    <col min="11779" max="11779" width="6.7109375" style="539" customWidth="1"/>
    <col min="11780" max="11780" width="11" style="539" bestFit="1" customWidth="1"/>
    <col min="11781" max="11781" width="11.28515625" style="539" customWidth="1"/>
    <col min="11782" max="11782" width="6.7109375" style="539" customWidth="1"/>
    <col min="11783" max="11784" width="11" style="539" bestFit="1" customWidth="1"/>
    <col min="11785" max="11785" width="25.28515625" style="539" customWidth="1"/>
    <col min="11786" max="11786" width="21" style="539" customWidth="1"/>
    <col min="11787" max="12024" width="9.140625" style="539"/>
    <col min="12025" max="12025" width="4.85546875" style="539" customWidth="1"/>
    <col min="12026" max="12026" width="42.5703125" style="539" customWidth="1"/>
    <col min="12027" max="12027" width="13.42578125" style="539" customWidth="1"/>
    <col min="12028" max="12028" width="5.85546875" style="539" bestFit="1" customWidth="1"/>
    <col min="12029" max="12029" width="6.7109375" style="539" customWidth="1"/>
    <col min="12030" max="12030" width="9.85546875" style="539" bestFit="1" customWidth="1"/>
    <col min="12031" max="12031" width="11.140625" style="539" customWidth="1"/>
    <col min="12032" max="12032" width="6.7109375" style="539" customWidth="1"/>
    <col min="12033" max="12033" width="9.85546875" style="539" bestFit="1" customWidth="1"/>
    <col min="12034" max="12034" width="11.140625" style="539" customWidth="1"/>
    <col min="12035" max="12035" width="6.7109375" style="539" customWidth="1"/>
    <col min="12036" max="12036" width="11" style="539" bestFit="1" customWidth="1"/>
    <col min="12037" max="12037" width="11.28515625" style="539" customWidth="1"/>
    <col min="12038" max="12038" width="6.7109375" style="539" customWidth="1"/>
    <col min="12039" max="12040" width="11" style="539" bestFit="1" customWidth="1"/>
    <col min="12041" max="12041" width="25.28515625" style="539" customWidth="1"/>
    <col min="12042" max="12042" width="21" style="539" customWidth="1"/>
    <col min="12043" max="12280" width="9.140625" style="539"/>
    <col min="12281" max="12281" width="4.85546875" style="539" customWidth="1"/>
    <col min="12282" max="12282" width="42.5703125" style="539" customWidth="1"/>
    <col min="12283" max="12283" width="13.42578125" style="539" customWidth="1"/>
    <col min="12284" max="12284" width="5.85546875" style="539" bestFit="1" customWidth="1"/>
    <col min="12285" max="12285" width="6.7109375" style="539" customWidth="1"/>
    <col min="12286" max="12286" width="9.85546875" style="539" bestFit="1" customWidth="1"/>
    <col min="12287" max="12287" width="11.140625" style="539" customWidth="1"/>
    <col min="12288" max="12288" width="6.7109375" style="539" customWidth="1"/>
    <col min="12289" max="12289" width="9.85546875" style="539" bestFit="1" customWidth="1"/>
    <col min="12290" max="12290" width="11.140625" style="539" customWidth="1"/>
    <col min="12291" max="12291" width="6.7109375" style="539" customWidth="1"/>
    <col min="12292" max="12292" width="11" style="539" bestFit="1" customWidth="1"/>
    <col min="12293" max="12293" width="11.28515625" style="539" customWidth="1"/>
    <col min="12294" max="12294" width="6.7109375" style="539" customWidth="1"/>
    <col min="12295" max="12296" width="11" style="539" bestFit="1" customWidth="1"/>
    <col min="12297" max="12297" width="25.28515625" style="539" customWidth="1"/>
    <col min="12298" max="12298" width="21" style="539" customWidth="1"/>
    <col min="12299" max="12536" width="9.140625" style="539"/>
    <col min="12537" max="12537" width="4.85546875" style="539" customWidth="1"/>
    <col min="12538" max="12538" width="42.5703125" style="539" customWidth="1"/>
    <col min="12539" max="12539" width="13.42578125" style="539" customWidth="1"/>
    <col min="12540" max="12540" width="5.85546875" style="539" bestFit="1" customWidth="1"/>
    <col min="12541" max="12541" width="6.7109375" style="539" customWidth="1"/>
    <col min="12542" max="12542" width="9.85546875" style="539" bestFit="1" customWidth="1"/>
    <col min="12543" max="12543" width="11.140625" style="539" customWidth="1"/>
    <col min="12544" max="12544" width="6.7109375" style="539" customWidth="1"/>
    <col min="12545" max="12545" width="9.85546875" style="539" bestFit="1" customWidth="1"/>
    <col min="12546" max="12546" width="11.140625" style="539" customWidth="1"/>
    <col min="12547" max="12547" width="6.7109375" style="539" customWidth="1"/>
    <col min="12548" max="12548" width="11" style="539" bestFit="1" customWidth="1"/>
    <col min="12549" max="12549" width="11.28515625" style="539" customWidth="1"/>
    <col min="12550" max="12550" width="6.7109375" style="539" customWidth="1"/>
    <col min="12551" max="12552" width="11" style="539" bestFit="1" customWidth="1"/>
    <col min="12553" max="12553" width="25.28515625" style="539" customWidth="1"/>
    <col min="12554" max="12554" width="21" style="539" customWidth="1"/>
    <col min="12555" max="12792" width="9.140625" style="539"/>
    <col min="12793" max="12793" width="4.85546875" style="539" customWidth="1"/>
    <col min="12794" max="12794" width="42.5703125" style="539" customWidth="1"/>
    <col min="12795" max="12795" width="13.42578125" style="539" customWidth="1"/>
    <col min="12796" max="12796" width="5.85546875" style="539" bestFit="1" customWidth="1"/>
    <col min="12797" max="12797" width="6.7109375" style="539" customWidth="1"/>
    <col min="12798" max="12798" width="9.85546875" style="539" bestFit="1" customWidth="1"/>
    <col min="12799" max="12799" width="11.140625" style="539" customWidth="1"/>
    <col min="12800" max="12800" width="6.7109375" style="539" customWidth="1"/>
    <col min="12801" max="12801" width="9.85546875" style="539" bestFit="1" customWidth="1"/>
    <col min="12802" max="12802" width="11.140625" style="539" customWidth="1"/>
    <col min="12803" max="12803" width="6.7109375" style="539" customWidth="1"/>
    <col min="12804" max="12804" width="11" style="539" bestFit="1" customWidth="1"/>
    <col min="12805" max="12805" width="11.28515625" style="539" customWidth="1"/>
    <col min="12806" max="12806" width="6.7109375" style="539" customWidth="1"/>
    <col min="12807" max="12808" width="11" style="539" bestFit="1" customWidth="1"/>
    <col min="12809" max="12809" width="25.28515625" style="539" customWidth="1"/>
    <col min="12810" max="12810" width="21" style="539" customWidth="1"/>
    <col min="12811" max="13048" width="9.140625" style="539"/>
    <col min="13049" max="13049" width="4.85546875" style="539" customWidth="1"/>
    <col min="13050" max="13050" width="42.5703125" style="539" customWidth="1"/>
    <col min="13051" max="13051" width="13.42578125" style="539" customWidth="1"/>
    <col min="13052" max="13052" width="5.85546875" style="539" bestFit="1" customWidth="1"/>
    <col min="13053" max="13053" width="6.7109375" style="539" customWidth="1"/>
    <col min="13054" max="13054" width="9.85546875" style="539" bestFit="1" customWidth="1"/>
    <col min="13055" max="13055" width="11.140625" style="539" customWidth="1"/>
    <col min="13056" max="13056" width="6.7109375" style="539" customWidth="1"/>
    <col min="13057" max="13057" width="9.85546875" style="539" bestFit="1" customWidth="1"/>
    <col min="13058" max="13058" width="11.140625" style="539" customWidth="1"/>
    <col min="13059" max="13059" width="6.7109375" style="539" customWidth="1"/>
    <col min="13060" max="13060" width="11" style="539" bestFit="1" customWidth="1"/>
    <col min="13061" max="13061" width="11.28515625" style="539" customWidth="1"/>
    <col min="13062" max="13062" width="6.7109375" style="539" customWidth="1"/>
    <col min="13063" max="13064" width="11" style="539" bestFit="1" customWidth="1"/>
    <col min="13065" max="13065" width="25.28515625" style="539" customWidth="1"/>
    <col min="13066" max="13066" width="21" style="539" customWidth="1"/>
    <col min="13067" max="13304" width="9.140625" style="539"/>
    <col min="13305" max="13305" width="4.85546875" style="539" customWidth="1"/>
    <col min="13306" max="13306" width="42.5703125" style="539" customWidth="1"/>
    <col min="13307" max="13307" width="13.42578125" style="539" customWidth="1"/>
    <col min="13308" max="13308" width="5.85546875" style="539" bestFit="1" customWidth="1"/>
    <col min="13309" max="13309" width="6.7109375" style="539" customWidth="1"/>
    <col min="13310" max="13310" width="9.85546875" style="539" bestFit="1" customWidth="1"/>
    <col min="13311" max="13311" width="11.140625" style="539" customWidth="1"/>
    <col min="13312" max="13312" width="6.7109375" style="539" customWidth="1"/>
    <col min="13313" max="13313" width="9.85546875" style="539" bestFit="1" customWidth="1"/>
    <col min="13314" max="13314" width="11.140625" style="539" customWidth="1"/>
    <col min="13315" max="13315" width="6.7109375" style="539" customWidth="1"/>
    <col min="13316" max="13316" width="11" style="539" bestFit="1" customWidth="1"/>
    <col min="13317" max="13317" width="11.28515625" style="539" customWidth="1"/>
    <col min="13318" max="13318" width="6.7109375" style="539" customWidth="1"/>
    <col min="13319" max="13320" width="11" style="539" bestFit="1" customWidth="1"/>
    <col min="13321" max="13321" width="25.28515625" style="539" customWidth="1"/>
    <col min="13322" max="13322" width="21" style="539" customWidth="1"/>
    <col min="13323" max="13560" width="9.140625" style="539"/>
    <col min="13561" max="13561" width="4.85546875" style="539" customWidth="1"/>
    <col min="13562" max="13562" width="42.5703125" style="539" customWidth="1"/>
    <col min="13563" max="13563" width="13.42578125" style="539" customWidth="1"/>
    <col min="13564" max="13564" width="5.85546875" style="539" bestFit="1" customWidth="1"/>
    <col min="13565" max="13565" width="6.7109375" style="539" customWidth="1"/>
    <col min="13566" max="13566" width="9.85546875" style="539" bestFit="1" customWidth="1"/>
    <col min="13567" max="13567" width="11.140625" style="539" customWidth="1"/>
    <col min="13568" max="13568" width="6.7109375" style="539" customWidth="1"/>
    <col min="13569" max="13569" width="9.85546875" style="539" bestFit="1" customWidth="1"/>
    <col min="13570" max="13570" width="11.140625" style="539" customWidth="1"/>
    <col min="13571" max="13571" width="6.7109375" style="539" customWidth="1"/>
    <col min="13572" max="13572" width="11" style="539" bestFit="1" customWidth="1"/>
    <col min="13573" max="13573" width="11.28515625" style="539" customWidth="1"/>
    <col min="13574" max="13574" width="6.7109375" style="539" customWidth="1"/>
    <col min="13575" max="13576" width="11" style="539" bestFit="1" customWidth="1"/>
    <col min="13577" max="13577" width="25.28515625" style="539" customWidth="1"/>
    <col min="13578" max="13578" width="21" style="539" customWidth="1"/>
    <col min="13579" max="13816" width="9.140625" style="539"/>
    <col min="13817" max="13817" width="4.85546875" style="539" customWidth="1"/>
    <col min="13818" max="13818" width="42.5703125" style="539" customWidth="1"/>
    <col min="13819" max="13819" width="13.42578125" style="539" customWidth="1"/>
    <col min="13820" max="13820" width="5.85546875" style="539" bestFit="1" customWidth="1"/>
    <col min="13821" max="13821" width="6.7109375" style="539" customWidth="1"/>
    <col min="13822" max="13822" width="9.85546875" style="539" bestFit="1" customWidth="1"/>
    <col min="13823" max="13823" width="11.140625" style="539" customWidth="1"/>
    <col min="13824" max="13824" width="6.7109375" style="539" customWidth="1"/>
    <col min="13825" max="13825" width="9.85546875" style="539" bestFit="1" customWidth="1"/>
    <col min="13826" max="13826" width="11.140625" style="539" customWidth="1"/>
    <col min="13827" max="13827" width="6.7109375" style="539" customWidth="1"/>
    <col min="13828" max="13828" width="11" style="539" bestFit="1" customWidth="1"/>
    <col min="13829" max="13829" width="11.28515625" style="539" customWidth="1"/>
    <col min="13830" max="13830" width="6.7109375" style="539" customWidth="1"/>
    <col min="13831" max="13832" width="11" style="539" bestFit="1" customWidth="1"/>
    <col min="13833" max="13833" width="25.28515625" style="539" customWidth="1"/>
    <col min="13834" max="13834" width="21" style="539" customWidth="1"/>
    <col min="13835" max="14072" width="9.140625" style="539"/>
    <col min="14073" max="14073" width="4.85546875" style="539" customWidth="1"/>
    <col min="14074" max="14074" width="42.5703125" style="539" customWidth="1"/>
    <col min="14075" max="14075" width="13.42578125" style="539" customWidth="1"/>
    <col min="14076" max="14076" width="5.85546875" style="539" bestFit="1" customWidth="1"/>
    <col min="14077" max="14077" width="6.7109375" style="539" customWidth="1"/>
    <col min="14078" max="14078" width="9.85546875" style="539" bestFit="1" customWidth="1"/>
    <col min="14079" max="14079" width="11.140625" style="539" customWidth="1"/>
    <col min="14080" max="14080" width="6.7109375" style="539" customWidth="1"/>
    <col min="14081" max="14081" width="9.85546875" style="539" bestFit="1" customWidth="1"/>
    <col min="14082" max="14082" width="11.140625" style="539" customWidth="1"/>
    <col min="14083" max="14083" width="6.7109375" style="539" customWidth="1"/>
    <col min="14084" max="14084" width="11" style="539" bestFit="1" customWidth="1"/>
    <col min="14085" max="14085" width="11.28515625" style="539" customWidth="1"/>
    <col min="14086" max="14086" width="6.7109375" style="539" customWidth="1"/>
    <col min="14087" max="14088" width="11" style="539" bestFit="1" customWidth="1"/>
    <col min="14089" max="14089" width="25.28515625" style="539" customWidth="1"/>
    <col min="14090" max="14090" width="21" style="539" customWidth="1"/>
    <col min="14091" max="14328" width="9.140625" style="539"/>
    <col min="14329" max="14329" width="4.85546875" style="539" customWidth="1"/>
    <col min="14330" max="14330" width="42.5703125" style="539" customWidth="1"/>
    <col min="14331" max="14331" width="13.42578125" style="539" customWidth="1"/>
    <col min="14332" max="14332" width="5.85546875" style="539" bestFit="1" customWidth="1"/>
    <col min="14333" max="14333" width="6.7109375" style="539" customWidth="1"/>
    <col min="14334" max="14334" width="9.85546875" style="539" bestFit="1" customWidth="1"/>
    <col min="14335" max="14335" width="11.140625" style="539" customWidth="1"/>
    <col min="14336" max="14336" width="6.7109375" style="539" customWidth="1"/>
    <col min="14337" max="14337" width="9.85546875" style="539" bestFit="1" customWidth="1"/>
    <col min="14338" max="14338" width="11.140625" style="539" customWidth="1"/>
    <col min="14339" max="14339" width="6.7109375" style="539" customWidth="1"/>
    <col min="14340" max="14340" width="11" style="539" bestFit="1" customWidth="1"/>
    <col min="14341" max="14341" width="11.28515625" style="539" customWidth="1"/>
    <col min="14342" max="14342" width="6.7109375" style="539" customWidth="1"/>
    <col min="14343" max="14344" width="11" style="539" bestFit="1" customWidth="1"/>
    <col min="14345" max="14345" width="25.28515625" style="539" customWidth="1"/>
    <col min="14346" max="14346" width="21" style="539" customWidth="1"/>
    <col min="14347" max="14584" width="9.140625" style="539"/>
    <col min="14585" max="14585" width="4.85546875" style="539" customWidth="1"/>
    <col min="14586" max="14586" width="42.5703125" style="539" customWidth="1"/>
    <col min="14587" max="14587" width="13.42578125" style="539" customWidth="1"/>
    <col min="14588" max="14588" width="5.85546875" style="539" bestFit="1" customWidth="1"/>
    <col min="14589" max="14589" width="6.7109375" style="539" customWidth="1"/>
    <col min="14590" max="14590" width="9.85546875" style="539" bestFit="1" customWidth="1"/>
    <col min="14591" max="14591" width="11.140625" style="539" customWidth="1"/>
    <col min="14592" max="14592" width="6.7109375" style="539" customWidth="1"/>
    <col min="14593" max="14593" width="9.85546875" style="539" bestFit="1" customWidth="1"/>
    <col min="14594" max="14594" width="11.140625" style="539" customWidth="1"/>
    <col min="14595" max="14595" width="6.7109375" style="539" customWidth="1"/>
    <col min="14596" max="14596" width="11" style="539" bestFit="1" customWidth="1"/>
    <col min="14597" max="14597" width="11.28515625" style="539" customWidth="1"/>
    <col min="14598" max="14598" width="6.7109375" style="539" customWidth="1"/>
    <col min="14599" max="14600" width="11" style="539" bestFit="1" customWidth="1"/>
    <col min="14601" max="14601" width="25.28515625" style="539" customWidth="1"/>
    <col min="14602" max="14602" width="21" style="539" customWidth="1"/>
    <col min="14603" max="14840" width="9.140625" style="539"/>
    <col min="14841" max="14841" width="4.85546875" style="539" customWidth="1"/>
    <col min="14842" max="14842" width="42.5703125" style="539" customWidth="1"/>
    <col min="14843" max="14843" width="13.42578125" style="539" customWidth="1"/>
    <col min="14844" max="14844" width="5.85546875" style="539" bestFit="1" customWidth="1"/>
    <col min="14845" max="14845" width="6.7109375" style="539" customWidth="1"/>
    <col min="14846" max="14846" width="9.85546875" style="539" bestFit="1" customWidth="1"/>
    <col min="14847" max="14847" width="11.140625" style="539" customWidth="1"/>
    <col min="14848" max="14848" width="6.7109375" style="539" customWidth="1"/>
    <col min="14849" max="14849" width="9.85546875" style="539" bestFit="1" customWidth="1"/>
    <col min="14850" max="14850" width="11.140625" style="539" customWidth="1"/>
    <col min="14851" max="14851" width="6.7109375" style="539" customWidth="1"/>
    <col min="14852" max="14852" width="11" style="539" bestFit="1" customWidth="1"/>
    <col min="14853" max="14853" width="11.28515625" style="539" customWidth="1"/>
    <col min="14854" max="14854" width="6.7109375" style="539" customWidth="1"/>
    <col min="14855" max="14856" width="11" style="539" bestFit="1" customWidth="1"/>
    <col min="14857" max="14857" width="25.28515625" style="539" customWidth="1"/>
    <col min="14858" max="14858" width="21" style="539" customWidth="1"/>
    <col min="14859" max="15096" width="9.140625" style="539"/>
    <col min="15097" max="15097" width="4.85546875" style="539" customWidth="1"/>
    <col min="15098" max="15098" width="42.5703125" style="539" customWidth="1"/>
    <col min="15099" max="15099" width="13.42578125" style="539" customWidth="1"/>
    <col min="15100" max="15100" width="5.85546875" style="539" bestFit="1" customWidth="1"/>
    <col min="15101" max="15101" width="6.7109375" style="539" customWidth="1"/>
    <col min="15102" max="15102" width="9.85546875" style="539" bestFit="1" customWidth="1"/>
    <col min="15103" max="15103" width="11.140625" style="539" customWidth="1"/>
    <col min="15104" max="15104" width="6.7109375" style="539" customWidth="1"/>
    <col min="15105" max="15105" width="9.85546875" style="539" bestFit="1" customWidth="1"/>
    <col min="15106" max="15106" width="11.140625" style="539" customWidth="1"/>
    <col min="15107" max="15107" width="6.7109375" style="539" customWidth="1"/>
    <col min="15108" max="15108" width="11" style="539" bestFit="1" customWidth="1"/>
    <col min="15109" max="15109" width="11.28515625" style="539" customWidth="1"/>
    <col min="15110" max="15110" width="6.7109375" style="539" customWidth="1"/>
    <col min="15111" max="15112" width="11" style="539" bestFit="1" customWidth="1"/>
    <col min="15113" max="15113" width="25.28515625" style="539" customWidth="1"/>
    <col min="15114" max="15114" width="21" style="539" customWidth="1"/>
    <col min="15115" max="15352" width="9.140625" style="539"/>
    <col min="15353" max="15353" width="4.85546875" style="539" customWidth="1"/>
    <col min="15354" max="15354" width="42.5703125" style="539" customWidth="1"/>
    <col min="15355" max="15355" width="13.42578125" style="539" customWidth="1"/>
    <col min="15356" max="15356" width="5.85546875" style="539" bestFit="1" customWidth="1"/>
    <col min="15357" max="15357" width="6.7109375" style="539" customWidth="1"/>
    <col min="15358" max="15358" width="9.85546875" style="539" bestFit="1" customWidth="1"/>
    <col min="15359" max="15359" width="11.140625" style="539" customWidth="1"/>
    <col min="15360" max="15360" width="6.7109375" style="539" customWidth="1"/>
    <col min="15361" max="15361" width="9.85546875" style="539" bestFit="1" customWidth="1"/>
    <col min="15362" max="15362" width="11.140625" style="539" customWidth="1"/>
    <col min="15363" max="15363" width="6.7109375" style="539" customWidth="1"/>
    <col min="15364" max="15364" width="11" style="539" bestFit="1" customWidth="1"/>
    <col min="15365" max="15365" width="11.28515625" style="539" customWidth="1"/>
    <col min="15366" max="15366" width="6.7109375" style="539" customWidth="1"/>
    <col min="15367" max="15368" width="11" style="539" bestFit="1" customWidth="1"/>
    <col min="15369" max="15369" width="25.28515625" style="539" customWidth="1"/>
    <col min="15370" max="15370" width="21" style="539" customWidth="1"/>
    <col min="15371" max="15608" width="9.140625" style="539"/>
    <col min="15609" max="15609" width="4.85546875" style="539" customWidth="1"/>
    <col min="15610" max="15610" width="42.5703125" style="539" customWidth="1"/>
    <col min="15611" max="15611" width="13.42578125" style="539" customWidth="1"/>
    <col min="15612" max="15612" width="5.85546875" style="539" bestFit="1" customWidth="1"/>
    <col min="15613" max="15613" width="6.7109375" style="539" customWidth="1"/>
    <col min="15614" max="15614" width="9.85546875" style="539" bestFit="1" customWidth="1"/>
    <col min="15615" max="15615" width="11.140625" style="539" customWidth="1"/>
    <col min="15616" max="15616" width="6.7109375" style="539" customWidth="1"/>
    <col min="15617" max="15617" width="9.85546875" style="539" bestFit="1" customWidth="1"/>
    <col min="15618" max="15618" width="11.140625" style="539" customWidth="1"/>
    <col min="15619" max="15619" width="6.7109375" style="539" customWidth="1"/>
    <col min="15620" max="15620" width="11" style="539" bestFit="1" customWidth="1"/>
    <col min="15621" max="15621" width="11.28515625" style="539" customWidth="1"/>
    <col min="15622" max="15622" width="6.7109375" style="539" customWidth="1"/>
    <col min="15623" max="15624" width="11" style="539" bestFit="1" customWidth="1"/>
    <col min="15625" max="15625" width="25.28515625" style="539" customWidth="1"/>
    <col min="15626" max="15626" width="21" style="539" customWidth="1"/>
    <col min="15627" max="15864" width="9.140625" style="539"/>
    <col min="15865" max="15865" width="4.85546875" style="539" customWidth="1"/>
    <col min="15866" max="15866" width="42.5703125" style="539" customWidth="1"/>
    <col min="15867" max="15867" width="13.42578125" style="539" customWidth="1"/>
    <col min="15868" max="15868" width="5.85546875" style="539" bestFit="1" customWidth="1"/>
    <col min="15869" max="15869" width="6.7109375" style="539" customWidth="1"/>
    <col min="15870" max="15870" width="9.85546875" style="539" bestFit="1" customWidth="1"/>
    <col min="15871" max="15871" width="11.140625" style="539" customWidth="1"/>
    <col min="15872" max="15872" width="6.7109375" style="539" customWidth="1"/>
    <col min="15873" max="15873" width="9.85546875" style="539" bestFit="1" customWidth="1"/>
    <col min="15874" max="15874" width="11.140625" style="539" customWidth="1"/>
    <col min="15875" max="15875" width="6.7109375" style="539" customWidth="1"/>
    <col min="15876" max="15876" width="11" style="539" bestFit="1" customWidth="1"/>
    <col min="15877" max="15877" width="11.28515625" style="539" customWidth="1"/>
    <col min="15878" max="15878" width="6.7109375" style="539" customWidth="1"/>
    <col min="15879" max="15880" width="11" style="539" bestFit="1" customWidth="1"/>
    <col min="15881" max="15881" width="25.28515625" style="539" customWidth="1"/>
    <col min="15882" max="15882" width="21" style="539" customWidth="1"/>
    <col min="15883" max="16120" width="9.140625" style="539"/>
    <col min="16121" max="16121" width="4.85546875" style="539" customWidth="1"/>
    <col min="16122" max="16122" width="42.5703125" style="539" customWidth="1"/>
    <col min="16123" max="16123" width="13.42578125" style="539" customWidth="1"/>
    <col min="16124" max="16124" width="5.85546875" style="539" bestFit="1" customWidth="1"/>
    <col min="16125" max="16125" width="6.7109375" style="539" customWidth="1"/>
    <col min="16126" max="16126" width="9.85546875" style="539" bestFit="1" customWidth="1"/>
    <col min="16127" max="16127" width="11.140625" style="539" customWidth="1"/>
    <col min="16128" max="16128" width="6.7109375" style="539" customWidth="1"/>
    <col min="16129" max="16129" width="9.85546875" style="539" bestFit="1" customWidth="1"/>
    <col min="16130" max="16130" width="11.140625" style="539" customWidth="1"/>
    <col min="16131" max="16131" width="6.7109375" style="539" customWidth="1"/>
    <col min="16132" max="16132" width="11" style="539" bestFit="1" customWidth="1"/>
    <col min="16133" max="16133" width="11.28515625" style="539" customWidth="1"/>
    <col min="16134" max="16134" width="6.7109375" style="539" customWidth="1"/>
    <col min="16135" max="16136" width="11" style="539" bestFit="1" customWidth="1"/>
    <col min="16137" max="16137" width="25.28515625" style="539" customWidth="1"/>
    <col min="16138" max="16138" width="21" style="539" customWidth="1"/>
    <col min="16139" max="16384" width="9.140625" style="539"/>
  </cols>
  <sheetData>
    <row r="1" spans="1:10" ht="19.5" customHeight="1">
      <c r="C1" s="3424" t="s">
        <v>1717</v>
      </c>
      <c r="D1" s="3424"/>
      <c r="E1" s="3424"/>
      <c r="F1" s="3424"/>
      <c r="G1" s="537"/>
      <c r="H1" s="538"/>
      <c r="I1" s="538"/>
    </row>
    <row r="2" spans="1:10" ht="18" customHeight="1">
      <c r="A2" s="540"/>
      <c r="B2" s="541"/>
      <c r="C2" s="542"/>
      <c r="D2" s="543"/>
      <c r="E2" s="544"/>
      <c r="F2" s="544"/>
      <c r="G2" s="544"/>
      <c r="H2" s="540"/>
      <c r="I2" s="545" t="s">
        <v>89</v>
      </c>
    </row>
    <row r="3" spans="1:10" ht="36.75" customHeight="1">
      <c r="B3" s="3425" t="s">
        <v>1693</v>
      </c>
      <c r="C3" s="3425"/>
      <c r="D3" s="3425"/>
      <c r="E3" s="3425"/>
      <c r="F3" s="3425"/>
      <c r="G3" s="3425"/>
      <c r="H3" s="3425"/>
      <c r="I3" s="3425"/>
    </row>
    <row r="4" spans="1:10" ht="16.5" customHeight="1">
      <c r="A4" s="546"/>
      <c r="B4" s="547"/>
      <c r="C4" s="548"/>
      <c r="D4" s="549"/>
      <c r="E4" s="550"/>
      <c r="F4" s="550"/>
      <c r="G4" s="550"/>
      <c r="H4" s="546"/>
      <c r="I4" s="550"/>
    </row>
    <row r="5" spans="1:10" ht="15" customHeight="1">
      <c r="A5" s="3426" t="s">
        <v>2</v>
      </c>
      <c r="B5" s="3426" t="s">
        <v>3</v>
      </c>
      <c r="C5" s="3428" t="s">
        <v>4</v>
      </c>
      <c r="D5" s="3430" t="s">
        <v>5</v>
      </c>
      <c r="E5" s="3430" t="s">
        <v>9</v>
      </c>
      <c r="F5" s="3432" t="s">
        <v>1691</v>
      </c>
      <c r="G5" s="3433"/>
      <c r="H5" s="3432" t="s">
        <v>1694</v>
      </c>
      <c r="I5" s="3433"/>
    </row>
    <row r="6" spans="1:10" ht="15">
      <c r="A6" s="3427"/>
      <c r="B6" s="3427"/>
      <c r="C6" s="3429"/>
      <c r="D6" s="3431"/>
      <c r="E6" s="3431"/>
      <c r="F6" s="551" t="s">
        <v>143</v>
      </c>
      <c r="G6" s="551" t="s">
        <v>1668</v>
      </c>
      <c r="H6" s="551" t="s">
        <v>143</v>
      </c>
      <c r="I6" s="551" t="s">
        <v>1668</v>
      </c>
    </row>
    <row r="7" spans="1:10" ht="15">
      <c r="A7" s="552" t="s">
        <v>1470</v>
      </c>
      <c r="B7" s="553" t="s">
        <v>1425</v>
      </c>
      <c r="C7" s="552" t="s">
        <v>184</v>
      </c>
      <c r="D7" s="553" t="s">
        <v>1695</v>
      </c>
      <c r="E7" s="553">
        <v>5</v>
      </c>
      <c r="F7" s="553">
        <v>6</v>
      </c>
      <c r="G7" s="553">
        <v>7</v>
      </c>
      <c r="H7" s="552">
        <v>6</v>
      </c>
      <c r="I7" s="552">
        <v>7</v>
      </c>
    </row>
    <row r="8" spans="1:10" ht="33.75" customHeight="1">
      <c r="A8" s="3423">
        <v>1</v>
      </c>
      <c r="B8" s="564" t="s">
        <v>1696</v>
      </c>
      <c r="C8" s="563"/>
      <c r="D8" s="563"/>
      <c r="E8" s="563"/>
      <c r="F8" s="563"/>
      <c r="G8" s="563"/>
      <c r="H8" s="563"/>
      <c r="I8" s="563"/>
    </row>
    <row r="9" spans="1:10" ht="18.75" customHeight="1">
      <c r="A9" s="3423"/>
      <c r="B9" s="564" t="s">
        <v>1697</v>
      </c>
      <c r="C9" s="1775">
        <v>7132220081</v>
      </c>
      <c r="D9" s="1775" t="s">
        <v>33</v>
      </c>
      <c r="E9" s="1776">
        <v>802876.83799999999</v>
      </c>
      <c r="F9" s="1775">
        <v>1</v>
      </c>
      <c r="G9" s="1776">
        <f>E9*F9</f>
        <v>802876.83799999999</v>
      </c>
      <c r="H9" s="563"/>
      <c r="I9" s="563"/>
      <c r="J9" s="554"/>
    </row>
    <row r="10" spans="1:10" ht="18.75" customHeight="1">
      <c r="A10" s="3423"/>
      <c r="B10" s="564" t="s">
        <v>1698</v>
      </c>
      <c r="C10" s="1775">
        <v>7132220082</v>
      </c>
      <c r="D10" s="1775" t="s">
        <v>33</v>
      </c>
      <c r="E10" s="1776">
        <v>1367612.6603999999</v>
      </c>
      <c r="F10" s="1776"/>
      <c r="G10" s="1776"/>
      <c r="H10" s="1777">
        <v>1</v>
      </c>
      <c r="I10" s="1776">
        <f>E10*H10</f>
        <v>1367612.6603999999</v>
      </c>
    </row>
    <row r="11" spans="1:10" ht="31.5" customHeight="1">
      <c r="A11" s="1779">
        <v>2</v>
      </c>
      <c r="B11" s="564" t="s">
        <v>1699</v>
      </c>
      <c r="C11" s="1780">
        <v>7130601965</v>
      </c>
      <c r="D11" s="1780" t="s">
        <v>26</v>
      </c>
      <c r="E11" s="1776">
        <f>63913.52/1000</f>
        <v>63.913519999999998</v>
      </c>
      <c r="F11" s="1781">
        <v>816.2</v>
      </c>
      <c r="G11" s="1776">
        <f>E11*F11</f>
        <v>52166.215024000005</v>
      </c>
      <c r="H11" s="1775">
        <v>816.2</v>
      </c>
      <c r="I11" s="1776">
        <f>E11*H11</f>
        <v>52166.215024000005</v>
      </c>
      <c r="J11" s="554"/>
    </row>
    <row r="12" spans="1:10" ht="15.75" customHeight="1">
      <c r="A12" s="1775">
        <v>3</v>
      </c>
      <c r="B12" s="564" t="s">
        <v>1669</v>
      </c>
      <c r="C12" s="1782">
        <v>7130810517</v>
      </c>
      <c r="D12" s="1775" t="s">
        <v>40</v>
      </c>
      <c r="E12" s="1776">
        <v>5987.84</v>
      </c>
      <c r="F12" s="1783">
        <v>1</v>
      </c>
      <c r="G12" s="1776">
        <f t="shared" ref="G12:G26" si="0">E12*F12</f>
        <v>5987.84</v>
      </c>
      <c r="H12" s="1775">
        <v>1</v>
      </c>
      <c r="I12" s="1776">
        <f t="shared" ref="I12:I21" si="1">E12*H12</f>
        <v>5987.84</v>
      </c>
    </row>
    <row r="13" spans="1:10" ht="17.25" customHeight="1">
      <c r="A13" s="3423">
        <v>4</v>
      </c>
      <c r="B13" s="564" t="s">
        <v>67</v>
      </c>
      <c r="C13" s="1782">
        <v>7130820010</v>
      </c>
      <c r="D13" s="1775" t="s">
        <v>12</v>
      </c>
      <c r="E13" s="1776">
        <v>118.97</v>
      </c>
      <c r="F13" s="1783">
        <v>3</v>
      </c>
      <c r="G13" s="1776">
        <f t="shared" si="0"/>
        <v>356.90999999999997</v>
      </c>
      <c r="H13" s="1775">
        <v>3</v>
      </c>
      <c r="I13" s="1776">
        <f t="shared" si="1"/>
        <v>356.90999999999997</v>
      </c>
      <c r="J13" s="555"/>
    </row>
    <row r="14" spans="1:10" ht="17.25" customHeight="1">
      <c r="A14" s="3423"/>
      <c r="B14" s="564" t="s">
        <v>1670</v>
      </c>
      <c r="C14" s="1782">
        <v>7130820241</v>
      </c>
      <c r="D14" s="1775" t="s">
        <v>68</v>
      </c>
      <c r="E14" s="1776">
        <v>153.49</v>
      </c>
      <c r="F14" s="1783">
        <v>3</v>
      </c>
      <c r="G14" s="1776">
        <f t="shared" si="0"/>
        <v>460.47</v>
      </c>
      <c r="H14" s="1775">
        <v>3</v>
      </c>
      <c r="I14" s="1776">
        <f t="shared" si="1"/>
        <v>460.47</v>
      </c>
    </row>
    <row r="15" spans="1:10" ht="17.25" customHeight="1">
      <c r="A15" s="1775">
        <v>5</v>
      </c>
      <c r="B15" s="561" t="s">
        <v>19</v>
      </c>
      <c r="C15" s="1782">
        <v>7130820008</v>
      </c>
      <c r="D15" s="1775" t="s">
        <v>12</v>
      </c>
      <c r="E15" s="1776">
        <v>157.08000000000001</v>
      </c>
      <c r="F15" s="1783">
        <v>6</v>
      </c>
      <c r="G15" s="1776">
        <f t="shared" si="0"/>
        <v>942.48</v>
      </c>
      <c r="H15" s="1775">
        <v>6</v>
      </c>
      <c r="I15" s="1776">
        <f t="shared" si="1"/>
        <v>942.48</v>
      </c>
      <c r="J15" s="555"/>
    </row>
    <row r="16" spans="1:10" ht="29.25" customHeight="1">
      <c r="A16" s="1775">
        <v>6</v>
      </c>
      <c r="B16" s="564" t="s">
        <v>1671</v>
      </c>
      <c r="C16" s="1782">
        <v>7130810509</v>
      </c>
      <c r="D16" s="1783" t="s">
        <v>12</v>
      </c>
      <c r="E16" s="1776">
        <v>2187.33</v>
      </c>
      <c r="F16" s="1783">
        <v>1</v>
      </c>
      <c r="G16" s="1776">
        <f t="shared" si="0"/>
        <v>2187.33</v>
      </c>
      <c r="H16" s="1783">
        <v>1</v>
      </c>
      <c r="I16" s="1776">
        <f t="shared" si="1"/>
        <v>2187.33</v>
      </c>
    </row>
    <row r="17" spans="1:16" ht="15.75" customHeight="1">
      <c r="A17" s="1775">
        <v>7</v>
      </c>
      <c r="B17" s="564" t="s">
        <v>1700</v>
      </c>
      <c r="C17" s="1782">
        <v>7131930412</v>
      </c>
      <c r="D17" s="1775" t="s">
        <v>33</v>
      </c>
      <c r="E17" s="1776">
        <v>1123.1500000000001</v>
      </c>
      <c r="F17" s="1783">
        <v>3</v>
      </c>
      <c r="G17" s="1776">
        <f t="shared" si="0"/>
        <v>3369.4500000000003</v>
      </c>
      <c r="H17" s="1775">
        <v>3</v>
      </c>
      <c r="I17" s="1776">
        <f t="shared" si="1"/>
        <v>3369.4500000000003</v>
      </c>
    </row>
    <row r="18" spans="1:16" ht="18.75" customHeight="1">
      <c r="A18" s="1775">
        <v>8</v>
      </c>
      <c r="B18" s="564" t="s">
        <v>1688</v>
      </c>
      <c r="C18" s="1780">
        <v>7130600023</v>
      </c>
      <c r="D18" s="1780" t="s">
        <v>26</v>
      </c>
      <c r="E18" s="1776">
        <f>54512.97/1000</f>
        <v>54.512970000000003</v>
      </c>
      <c r="F18" s="1783">
        <v>20</v>
      </c>
      <c r="G18" s="1776">
        <f t="shared" si="0"/>
        <v>1090.2594000000001</v>
      </c>
      <c r="H18" s="1775">
        <v>20</v>
      </c>
      <c r="I18" s="1776">
        <f t="shared" si="1"/>
        <v>1090.2594000000001</v>
      </c>
    </row>
    <row r="19" spans="1:16" ht="15.75" customHeight="1">
      <c r="A19" s="3423">
        <v>9</v>
      </c>
      <c r="B19" s="564" t="s">
        <v>1673</v>
      </c>
      <c r="C19" s="1782">
        <v>7130860032</v>
      </c>
      <c r="D19" s="1775" t="s">
        <v>12</v>
      </c>
      <c r="E19" s="1776">
        <v>566.19000000000005</v>
      </c>
      <c r="F19" s="1783">
        <v>4</v>
      </c>
      <c r="G19" s="1776">
        <f t="shared" si="0"/>
        <v>2264.7600000000002</v>
      </c>
      <c r="H19" s="1775">
        <v>4</v>
      </c>
      <c r="I19" s="1776">
        <f t="shared" si="1"/>
        <v>2264.7600000000002</v>
      </c>
    </row>
    <row r="20" spans="1:16" ht="17.25" customHeight="1">
      <c r="A20" s="3423"/>
      <c r="B20" s="564" t="s">
        <v>1674</v>
      </c>
      <c r="C20" s="1782">
        <v>7130860077</v>
      </c>
      <c r="D20" s="1775" t="s">
        <v>26</v>
      </c>
      <c r="E20" s="1776">
        <f>93766.43/1000</f>
        <v>93.76643</v>
      </c>
      <c r="F20" s="1783">
        <v>22</v>
      </c>
      <c r="G20" s="1776">
        <f t="shared" si="0"/>
        <v>2062.8614600000001</v>
      </c>
      <c r="H20" s="1775">
        <v>22</v>
      </c>
      <c r="I20" s="1776">
        <f t="shared" si="1"/>
        <v>2062.8614600000001</v>
      </c>
    </row>
    <row r="21" spans="1:16" ht="18.75" customHeight="1">
      <c r="A21" s="3423"/>
      <c r="B21" s="1784" t="s">
        <v>1506</v>
      </c>
      <c r="C21" s="1785">
        <v>7130810692</v>
      </c>
      <c r="D21" s="1786" t="s">
        <v>15</v>
      </c>
      <c r="E21" s="1776">
        <v>410.25</v>
      </c>
      <c r="F21" s="1783">
        <v>8</v>
      </c>
      <c r="G21" s="1776">
        <f t="shared" si="0"/>
        <v>3282</v>
      </c>
      <c r="H21" s="1775">
        <v>8</v>
      </c>
      <c r="I21" s="1776">
        <f t="shared" si="1"/>
        <v>3282</v>
      </c>
    </row>
    <row r="22" spans="1:16" ht="63" customHeight="1">
      <c r="A22" s="1775">
        <v>10</v>
      </c>
      <c r="B22" s="564" t="s">
        <v>1785</v>
      </c>
      <c r="C22" s="1782">
        <v>7130200202</v>
      </c>
      <c r="D22" s="1775" t="s">
        <v>76</v>
      </c>
      <c r="E22" s="1776">
        <v>2970</v>
      </c>
      <c r="F22" s="1781">
        <f>(0.65*2)+(0.2*4)+9</f>
        <v>11.1</v>
      </c>
      <c r="G22" s="1776">
        <f t="shared" si="0"/>
        <v>32967</v>
      </c>
      <c r="H22" s="1775">
        <f>(0.65*2)+(0.2*4)+9</f>
        <v>11.1</v>
      </c>
      <c r="I22" s="1776">
        <f>H22*E22</f>
        <v>32967</v>
      </c>
      <c r="J22" s="225" t="s">
        <v>47</v>
      </c>
      <c r="L22" s="569"/>
      <c r="M22" s="569"/>
      <c r="N22" s="569"/>
      <c r="O22" s="569"/>
      <c r="P22" s="569"/>
    </row>
    <row r="23" spans="1:16" ht="17.25" customHeight="1">
      <c r="A23" s="1775">
        <v>11</v>
      </c>
      <c r="B23" s="564" t="s">
        <v>32</v>
      </c>
      <c r="C23" s="1782">
        <v>7130880041</v>
      </c>
      <c r="D23" s="1775" t="s">
        <v>33</v>
      </c>
      <c r="E23" s="1776">
        <v>113.77</v>
      </c>
      <c r="F23" s="1783">
        <v>1</v>
      </c>
      <c r="G23" s="1776">
        <f t="shared" si="0"/>
        <v>113.77</v>
      </c>
      <c r="H23" s="1775">
        <v>1</v>
      </c>
      <c r="I23" s="1776">
        <f>E23*H23</f>
        <v>113.77</v>
      </c>
    </row>
    <row r="24" spans="1:16" ht="17.25" customHeight="1">
      <c r="A24" s="1775">
        <v>12</v>
      </c>
      <c r="B24" s="564" t="s">
        <v>1701</v>
      </c>
      <c r="C24" s="1782">
        <v>7130830057</v>
      </c>
      <c r="D24" s="1775" t="s">
        <v>190</v>
      </c>
      <c r="E24" s="1776">
        <f>46676.09/1000</f>
        <v>46.676089999999995</v>
      </c>
      <c r="F24" s="1783">
        <v>30</v>
      </c>
      <c r="G24" s="1776">
        <f t="shared" si="0"/>
        <v>1400.2826999999997</v>
      </c>
      <c r="H24" s="1775">
        <v>30</v>
      </c>
      <c r="I24" s="1776">
        <f>E24*H24</f>
        <v>1400.2826999999997</v>
      </c>
    </row>
    <row r="25" spans="1:16" ht="17.25" customHeight="1">
      <c r="A25" s="1775">
        <v>13</v>
      </c>
      <c r="B25" s="564" t="s">
        <v>1702</v>
      </c>
      <c r="C25" s="1782">
        <v>7130830058</v>
      </c>
      <c r="D25" s="1782" t="s">
        <v>33</v>
      </c>
      <c r="E25" s="1776">
        <v>263.38</v>
      </c>
      <c r="F25" s="1783">
        <v>3</v>
      </c>
      <c r="G25" s="1776">
        <f t="shared" si="0"/>
        <v>790.14</v>
      </c>
      <c r="H25" s="1775">
        <v>3</v>
      </c>
      <c r="I25" s="1776">
        <f>E25*H25</f>
        <v>790.14</v>
      </c>
    </row>
    <row r="26" spans="1:16" ht="17.25" customHeight="1">
      <c r="A26" s="1775">
        <v>14</v>
      </c>
      <c r="B26" s="564" t="s">
        <v>1703</v>
      </c>
      <c r="C26" s="1782">
        <v>7130830603</v>
      </c>
      <c r="D26" s="1782" t="s">
        <v>33</v>
      </c>
      <c r="E26" s="1776">
        <v>386.39</v>
      </c>
      <c r="F26" s="1783">
        <v>4</v>
      </c>
      <c r="G26" s="1776">
        <f t="shared" si="0"/>
        <v>1545.56</v>
      </c>
      <c r="H26" s="1775">
        <v>4</v>
      </c>
      <c r="I26" s="1776">
        <f>E26*H26</f>
        <v>1545.56</v>
      </c>
    </row>
    <row r="27" spans="1:16" ht="30.75" customHeight="1">
      <c r="A27" s="3423">
        <v>15</v>
      </c>
      <c r="B27" s="564" t="s">
        <v>1704</v>
      </c>
      <c r="C27" s="1787"/>
      <c r="D27" s="1787"/>
      <c r="E27" s="1787"/>
      <c r="F27" s="1787"/>
      <c r="G27" s="1776"/>
      <c r="H27" s="1787"/>
      <c r="I27" s="1787"/>
    </row>
    <row r="28" spans="1:16" ht="15.75" customHeight="1">
      <c r="A28" s="3423"/>
      <c r="B28" s="564" t="s">
        <v>1675</v>
      </c>
      <c r="C28" s="1782">
        <v>7130641396</v>
      </c>
      <c r="D28" s="1775" t="s">
        <v>21</v>
      </c>
      <c r="E28" s="1776">
        <v>253.11</v>
      </c>
      <c r="F28" s="1775">
        <v>9</v>
      </c>
      <c r="G28" s="1776">
        <f t="shared" ref="G28:G33" si="2">E28*F28</f>
        <v>2277.9900000000002</v>
      </c>
      <c r="H28" s="1775">
        <v>9</v>
      </c>
      <c r="I28" s="1776">
        <f t="shared" ref="I28:I33" si="3">E28*H28</f>
        <v>2277.9900000000002</v>
      </c>
    </row>
    <row r="29" spans="1:16" ht="15.75" customHeight="1">
      <c r="A29" s="3423"/>
      <c r="B29" s="564" t="s">
        <v>1676</v>
      </c>
      <c r="C29" s="1782">
        <v>7130870043</v>
      </c>
      <c r="D29" s="1775" t="s">
        <v>26</v>
      </c>
      <c r="E29" s="1776">
        <f>80521.84/1000</f>
        <v>80.521839999999997</v>
      </c>
      <c r="F29" s="1775">
        <v>15</v>
      </c>
      <c r="G29" s="1776">
        <f t="shared" si="2"/>
        <v>1207.8276000000001</v>
      </c>
      <c r="H29" s="1775">
        <v>15</v>
      </c>
      <c r="I29" s="1776">
        <f t="shared" si="3"/>
        <v>1207.8276000000001</v>
      </c>
    </row>
    <row r="30" spans="1:16" ht="18" customHeight="1">
      <c r="A30" s="1775">
        <v>16</v>
      </c>
      <c r="B30" s="1788" t="s">
        <v>31</v>
      </c>
      <c r="C30" s="1785">
        <v>7130610206</v>
      </c>
      <c r="D30" s="1775" t="s">
        <v>26</v>
      </c>
      <c r="E30" s="1776">
        <f>97233.43/1000</f>
        <v>97.233429999999998</v>
      </c>
      <c r="F30" s="1783">
        <v>4</v>
      </c>
      <c r="G30" s="1776">
        <f t="shared" si="2"/>
        <v>388.93371999999999</v>
      </c>
      <c r="H30" s="1775">
        <v>4</v>
      </c>
      <c r="I30" s="1776">
        <f t="shared" si="3"/>
        <v>388.93371999999999</v>
      </c>
      <c r="J30" s="556"/>
      <c r="K30" s="557"/>
    </row>
    <row r="31" spans="1:16" ht="17.25" customHeight="1">
      <c r="A31" s="1775">
        <v>17</v>
      </c>
      <c r="B31" s="564" t="s">
        <v>28</v>
      </c>
      <c r="C31" s="1782">
        <v>7130211158</v>
      </c>
      <c r="D31" s="1775" t="s">
        <v>29</v>
      </c>
      <c r="E31" s="1776">
        <v>193.62</v>
      </c>
      <c r="F31" s="1783">
        <v>2</v>
      </c>
      <c r="G31" s="1776">
        <f t="shared" si="2"/>
        <v>387.24</v>
      </c>
      <c r="H31" s="1775">
        <v>2</v>
      </c>
      <c r="I31" s="1776">
        <f t="shared" si="3"/>
        <v>387.24</v>
      </c>
    </row>
    <row r="32" spans="1:16" ht="17.25" customHeight="1">
      <c r="A32" s="1775">
        <v>18</v>
      </c>
      <c r="B32" s="564" t="s">
        <v>30</v>
      </c>
      <c r="C32" s="1782">
        <v>7130210809</v>
      </c>
      <c r="D32" s="1775" t="s">
        <v>29</v>
      </c>
      <c r="E32" s="1776">
        <v>432.63</v>
      </c>
      <c r="F32" s="1783">
        <v>2</v>
      </c>
      <c r="G32" s="1776">
        <f t="shared" si="2"/>
        <v>865.26</v>
      </c>
      <c r="H32" s="1775">
        <v>2</v>
      </c>
      <c r="I32" s="1776">
        <f t="shared" si="3"/>
        <v>865.26</v>
      </c>
    </row>
    <row r="33" spans="1:10" ht="17.25" customHeight="1">
      <c r="A33" s="1775">
        <v>19</v>
      </c>
      <c r="B33" s="564" t="s">
        <v>712</v>
      </c>
      <c r="C33" s="1782">
        <v>7130840029</v>
      </c>
      <c r="D33" s="1775" t="s">
        <v>33</v>
      </c>
      <c r="E33" s="1776">
        <v>368.52</v>
      </c>
      <c r="F33" s="1783">
        <v>3</v>
      </c>
      <c r="G33" s="1776">
        <f t="shared" si="2"/>
        <v>1105.56</v>
      </c>
      <c r="H33" s="1775">
        <v>3</v>
      </c>
      <c r="I33" s="1776">
        <f t="shared" si="3"/>
        <v>1105.56</v>
      </c>
      <c r="J33" s="555"/>
    </row>
    <row r="34" spans="1:10" ht="17.25" customHeight="1">
      <c r="A34" s="3420">
        <v>20</v>
      </c>
      <c r="B34" s="564" t="s">
        <v>1678</v>
      </c>
      <c r="C34" s="1782"/>
      <c r="D34" s="1775" t="s">
        <v>26</v>
      </c>
      <c r="E34" s="1776"/>
      <c r="F34" s="1776"/>
      <c r="G34" s="1776"/>
      <c r="H34" s="954">
        <v>14</v>
      </c>
      <c r="I34" s="1776"/>
    </row>
    <row r="35" spans="1:10" ht="17.25" customHeight="1">
      <c r="A35" s="3421"/>
      <c r="B35" s="1784" t="s">
        <v>79</v>
      </c>
      <c r="C35" s="1782">
        <v>7130620609</v>
      </c>
      <c r="D35" s="1786" t="s">
        <v>1705</v>
      </c>
      <c r="E35" s="1776">
        <v>87.23</v>
      </c>
      <c r="F35" s="1775">
        <v>2</v>
      </c>
      <c r="G35" s="1776">
        <f t="shared" ref="G35:G42" si="4">E35*F35</f>
        <v>174.46</v>
      </c>
      <c r="H35" s="1775">
        <v>1</v>
      </c>
      <c r="I35" s="1776">
        <f t="shared" ref="I35:I42" si="5">E35*H35</f>
        <v>87.23</v>
      </c>
    </row>
    <row r="36" spans="1:10" ht="17.25" customHeight="1">
      <c r="A36" s="3421"/>
      <c r="B36" s="1784" t="s">
        <v>111</v>
      </c>
      <c r="C36" s="1782">
        <v>7130620614</v>
      </c>
      <c r="D36" s="1786" t="s">
        <v>1705</v>
      </c>
      <c r="E36" s="1776">
        <v>85.77</v>
      </c>
      <c r="F36" s="1775">
        <v>5</v>
      </c>
      <c r="G36" s="1776">
        <f t="shared" si="4"/>
        <v>428.84999999999997</v>
      </c>
      <c r="H36" s="1775">
        <v>1</v>
      </c>
      <c r="I36" s="1776">
        <f t="shared" si="5"/>
        <v>85.77</v>
      </c>
    </row>
    <row r="37" spans="1:10" ht="17.25" customHeight="1">
      <c r="A37" s="3421"/>
      <c r="B37" s="1784" t="s">
        <v>112</v>
      </c>
      <c r="C37" s="1782">
        <v>7130620625</v>
      </c>
      <c r="D37" s="1786" t="s">
        <v>1705</v>
      </c>
      <c r="E37" s="1776">
        <v>84.32</v>
      </c>
      <c r="F37" s="1775">
        <v>5</v>
      </c>
      <c r="G37" s="1776">
        <f t="shared" si="4"/>
        <v>421.59999999999997</v>
      </c>
      <c r="H37" s="1775">
        <v>5</v>
      </c>
      <c r="I37" s="1776">
        <f t="shared" si="5"/>
        <v>421.59999999999997</v>
      </c>
    </row>
    <row r="38" spans="1:10" ht="17.25" customHeight="1">
      <c r="A38" s="3421"/>
      <c r="B38" s="1784" t="s">
        <v>80</v>
      </c>
      <c r="C38" s="1782">
        <v>7130620631</v>
      </c>
      <c r="D38" s="1786" t="s">
        <v>1705</v>
      </c>
      <c r="E38" s="1776">
        <v>84.32</v>
      </c>
      <c r="F38" s="1775">
        <v>4</v>
      </c>
      <c r="G38" s="1776">
        <f t="shared" si="4"/>
        <v>337.28</v>
      </c>
      <c r="H38" s="1775">
        <v>2</v>
      </c>
      <c r="I38" s="1776">
        <f t="shared" si="5"/>
        <v>168.64</v>
      </c>
    </row>
    <row r="39" spans="1:10" ht="17.25" customHeight="1">
      <c r="A39" s="3422"/>
      <c r="B39" s="1784" t="s">
        <v>521</v>
      </c>
      <c r="C39" s="1782">
        <v>7130620637</v>
      </c>
      <c r="D39" s="1786" t="s">
        <v>1705</v>
      </c>
      <c r="E39" s="1776">
        <v>84.32</v>
      </c>
      <c r="F39" s="1775">
        <v>4</v>
      </c>
      <c r="G39" s="1776">
        <f t="shared" si="4"/>
        <v>337.28</v>
      </c>
      <c r="H39" s="1775">
        <v>4</v>
      </c>
      <c r="I39" s="1776">
        <f t="shared" si="5"/>
        <v>337.28</v>
      </c>
    </row>
    <row r="40" spans="1:10" ht="44.25" customHeight="1">
      <c r="A40" s="1775">
        <v>21</v>
      </c>
      <c r="B40" s="1784" t="s">
        <v>1313</v>
      </c>
      <c r="C40" s="1786">
        <v>7131980005</v>
      </c>
      <c r="D40" s="1786" t="s">
        <v>68</v>
      </c>
      <c r="E40" s="1776">
        <v>516344.85</v>
      </c>
      <c r="F40" s="1783">
        <v>1</v>
      </c>
      <c r="G40" s="1776">
        <f t="shared" si="4"/>
        <v>516344.85</v>
      </c>
      <c r="H40" s="1786" t="s">
        <v>1470</v>
      </c>
      <c r="I40" s="1776">
        <f t="shared" si="5"/>
        <v>516344.85</v>
      </c>
    </row>
    <row r="41" spans="1:10" ht="30.75" customHeight="1">
      <c r="A41" s="1775">
        <v>22</v>
      </c>
      <c r="B41" s="1789" t="s">
        <v>1706</v>
      </c>
      <c r="C41" s="1775">
        <v>7130310079</v>
      </c>
      <c r="D41" s="1780" t="s">
        <v>21</v>
      </c>
      <c r="E41" s="1776">
        <f>1248889.6/1000</f>
        <v>1248.8896000000002</v>
      </c>
      <c r="F41" s="1783">
        <v>10</v>
      </c>
      <c r="G41" s="1776">
        <f t="shared" si="4"/>
        <v>12488.896000000002</v>
      </c>
      <c r="H41" s="1777">
        <v>10</v>
      </c>
      <c r="I41" s="1776">
        <f t="shared" si="5"/>
        <v>12488.896000000002</v>
      </c>
    </row>
    <row r="42" spans="1:10" ht="30" customHeight="1">
      <c r="A42" s="1775">
        <v>23</v>
      </c>
      <c r="B42" s="1790" t="s">
        <v>1707</v>
      </c>
      <c r="C42" s="1775">
        <v>7130352044</v>
      </c>
      <c r="D42" s="1775" t="s">
        <v>40</v>
      </c>
      <c r="E42" s="1776">
        <v>11074.74</v>
      </c>
      <c r="F42" s="1783">
        <v>3</v>
      </c>
      <c r="G42" s="1776">
        <f t="shared" si="4"/>
        <v>33224.22</v>
      </c>
      <c r="H42" s="1777">
        <v>3</v>
      </c>
      <c r="I42" s="1776">
        <f t="shared" si="5"/>
        <v>33224.22</v>
      </c>
    </row>
    <row r="43" spans="1:10" ht="17.25" customHeight="1">
      <c r="A43" s="1775">
        <v>24</v>
      </c>
      <c r="B43" s="1791" t="s">
        <v>1679</v>
      </c>
      <c r="C43" s="1787"/>
      <c r="D43" s="1787"/>
      <c r="E43" s="1787"/>
      <c r="F43" s="1787"/>
      <c r="G43" s="1776"/>
      <c r="H43" s="1787"/>
      <c r="I43" s="1787"/>
    </row>
    <row r="44" spans="1:10" ht="17.25" customHeight="1">
      <c r="A44" s="1775" t="s">
        <v>1680</v>
      </c>
      <c r="B44" s="564" t="s">
        <v>1683</v>
      </c>
      <c r="C44" s="1782">
        <v>7130311011</v>
      </c>
      <c r="D44" s="1775" t="s">
        <v>21</v>
      </c>
      <c r="E44" s="1776">
        <f>155451.42/1000</f>
        <v>155.45142000000001</v>
      </c>
      <c r="F44" s="1792">
        <v>80</v>
      </c>
      <c r="G44" s="1776">
        <f>E44*F44</f>
        <v>12436.113600000001</v>
      </c>
      <c r="H44" s="1792">
        <v>80</v>
      </c>
      <c r="I44" s="1776">
        <f>E44*H44</f>
        <v>12436.113600000001</v>
      </c>
    </row>
    <row r="45" spans="1:10" ht="17.25" customHeight="1">
      <c r="A45" s="1775" t="s">
        <v>1681</v>
      </c>
      <c r="B45" s="564" t="s">
        <v>1685</v>
      </c>
      <c r="C45" s="1782">
        <v>7130311012</v>
      </c>
      <c r="D45" s="1775" t="s">
        <v>21</v>
      </c>
      <c r="E45" s="1776">
        <f>305837.82/1000</f>
        <v>305.83782000000002</v>
      </c>
      <c r="F45" s="1775">
        <v>40</v>
      </c>
      <c r="G45" s="1776">
        <f>E45*F45</f>
        <v>12233.5128</v>
      </c>
      <c r="H45" s="1775">
        <v>40</v>
      </c>
      <c r="I45" s="1776">
        <f>E45*H45</f>
        <v>12233.5128</v>
      </c>
    </row>
    <row r="46" spans="1:10" ht="46.5" customHeight="1">
      <c r="A46" s="1775">
        <v>25</v>
      </c>
      <c r="B46" s="1791" t="s">
        <v>1708</v>
      </c>
      <c r="C46" s="1787"/>
      <c r="D46" s="1787"/>
      <c r="E46" s="1776"/>
      <c r="F46" s="1776"/>
      <c r="G46" s="1776"/>
      <c r="H46" s="1787"/>
      <c r="I46" s="1776"/>
    </row>
    <row r="47" spans="1:10" ht="17.25" customHeight="1">
      <c r="A47" s="1775" t="s">
        <v>1680</v>
      </c>
      <c r="B47" s="564" t="s">
        <v>1692</v>
      </c>
      <c r="C47" s="1780">
        <v>7131950207</v>
      </c>
      <c r="D47" s="1780" t="s">
        <v>33</v>
      </c>
      <c r="E47" s="1776">
        <v>39637.360000000001</v>
      </c>
      <c r="F47" s="1783">
        <v>1</v>
      </c>
      <c r="G47" s="1776">
        <f>E47*F47</f>
        <v>39637.360000000001</v>
      </c>
      <c r="H47" s="1787"/>
      <c r="I47" s="1776"/>
    </row>
    <row r="48" spans="1:10" ht="17.25" customHeight="1">
      <c r="A48" s="1775" t="s">
        <v>1681</v>
      </c>
      <c r="B48" s="564" t="s">
        <v>1709</v>
      </c>
      <c r="C48" s="1780">
        <v>7131950015</v>
      </c>
      <c r="D48" s="1780" t="s">
        <v>33</v>
      </c>
      <c r="E48" s="1776">
        <v>49445.17</v>
      </c>
      <c r="F48" s="1776"/>
      <c r="G48" s="1776"/>
      <c r="H48" s="1783">
        <v>1</v>
      </c>
      <c r="I48" s="1776">
        <f>H48*E48</f>
        <v>49445.17</v>
      </c>
    </row>
    <row r="49" spans="1:237" s="558" customFormat="1" ht="30.75" customHeight="1">
      <c r="A49" s="1775">
        <v>26</v>
      </c>
      <c r="B49" s="1791" t="s">
        <v>1710</v>
      </c>
      <c r="C49" s="1780">
        <v>7130810509</v>
      </c>
      <c r="D49" s="1780" t="s">
        <v>68</v>
      </c>
      <c r="E49" s="1776">
        <f>+E16</f>
        <v>2187.33</v>
      </c>
      <c r="F49" s="1783">
        <v>2</v>
      </c>
      <c r="G49" s="1776">
        <f>E49*F49</f>
        <v>4374.66</v>
      </c>
      <c r="H49" s="1775">
        <v>2</v>
      </c>
      <c r="I49" s="1776">
        <f>H49*E49</f>
        <v>4374.66</v>
      </c>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row>
    <row r="50" spans="1:237" ht="18.75" customHeight="1">
      <c r="A50" s="1775">
        <v>27</v>
      </c>
      <c r="B50" s="564" t="s">
        <v>1686</v>
      </c>
      <c r="C50" s="1782">
        <v>7131930221</v>
      </c>
      <c r="D50" s="1775" t="s">
        <v>33</v>
      </c>
      <c r="E50" s="1776">
        <v>9934.19</v>
      </c>
      <c r="F50" s="1783">
        <v>1</v>
      </c>
      <c r="G50" s="1776">
        <f>E50*F50</f>
        <v>9934.19</v>
      </c>
      <c r="H50" s="1792">
        <v>1</v>
      </c>
      <c r="I50" s="1776">
        <f>H50*E50</f>
        <v>9934.19</v>
      </c>
    </row>
    <row r="51" spans="1:237" ht="18" customHeight="1">
      <c r="A51" s="1775">
        <v>28</v>
      </c>
      <c r="B51" s="564" t="s">
        <v>1711</v>
      </c>
      <c r="C51" s="1782">
        <v>7130640039</v>
      </c>
      <c r="D51" s="1775" t="s">
        <v>26</v>
      </c>
      <c r="E51" s="1776">
        <v>48.217540781523425</v>
      </c>
      <c r="F51" s="1783">
        <v>10</v>
      </c>
      <c r="G51" s="1776">
        <f>E51*F51</f>
        <v>482.17540781523428</v>
      </c>
      <c r="H51" s="1792">
        <v>10</v>
      </c>
      <c r="I51" s="1776">
        <f>H51*E51</f>
        <v>482.17540781523428</v>
      </c>
    </row>
    <row r="52" spans="1:237" ht="18" customHeight="1">
      <c r="A52" s="954">
        <v>29</v>
      </c>
      <c r="B52" s="1793" t="s">
        <v>48</v>
      </c>
      <c r="C52" s="1794"/>
      <c r="D52" s="954"/>
      <c r="E52" s="954"/>
      <c r="F52" s="954"/>
      <c r="G52" s="1795">
        <f>SUM(G9:G51)</f>
        <v>1562952.425711815</v>
      </c>
      <c r="H52" s="1795"/>
      <c r="I52" s="1795">
        <f>SUM(I10:I51)</f>
        <v>2136897.1081118155</v>
      </c>
      <c r="J52" s="559"/>
    </row>
    <row r="53" spans="1:237" ht="30">
      <c r="A53" s="954">
        <v>30</v>
      </c>
      <c r="B53" s="1793" t="s">
        <v>49</v>
      </c>
      <c r="C53" s="1794"/>
      <c r="D53" s="954"/>
      <c r="E53" s="954"/>
      <c r="F53" s="954"/>
      <c r="G53" s="1795">
        <f>G52/1.18</f>
        <v>1324535.9539930637</v>
      </c>
      <c r="H53" s="1795"/>
      <c r="I53" s="1795">
        <f>I52/1.18</f>
        <v>1810929.7526371318</v>
      </c>
      <c r="J53" s="559"/>
    </row>
    <row r="54" spans="1:237" ht="19.5" customHeight="1">
      <c r="A54" s="1775">
        <v>31</v>
      </c>
      <c r="B54" s="1788" t="s">
        <v>50</v>
      </c>
      <c r="C54" s="1787"/>
      <c r="D54" s="1787"/>
      <c r="E54" s="1782">
        <v>7.4999999999999997E-2</v>
      </c>
      <c r="F54" s="1782"/>
      <c r="G54" s="1776">
        <f>G52*E54</f>
        <v>117221.43192838613</v>
      </c>
      <c r="H54" s="1787"/>
      <c r="I54" s="1776">
        <f>I52*E54</f>
        <v>160267.28310838615</v>
      </c>
      <c r="J54" s="557"/>
    </row>
    <row r="55" spans="1:237" ht="18" customHeight="1">
      <c r="A55" s="1775">
        <v>32</v>
      </c>
      <c r="B55" s="1788" t="s">
        <v>1687</v>
      </c>
      <c r="C55" s="1785"/>
      <c r="D55" s="1780" t="s">
        <v>12</v>
      </c>
      <c r="E55" s="1796">
        <f>9060.44788559616*1.043</f>
        <v>9450.0471446767951</v>
      </c>
      <c r="F55" s="1777">
        <v>1</v>
      </c>
      <c r="G55" s="1796">
        <f>E55*F55</f>
        <v>9450.0471446767951</v>
      </c>
      <c r="H55" s="1780">
        <v>1</v>
      </c>
      <c r="I55" s="1796">
        <f>E55*H55</f>
        <v>9450.0471446767951</v>
      </c>
      <c r="K55" s="560"/>
      <c r="L55" s="560"/>
    </row>
    <row r="56" spans="1:237" ht="30.75" customHeight="1">
      <c r="A56" s="1775">
        <v>33</v>
      </c>
      <c r="B56" s="1788" t="s">
        <v>1712</v>
      </c>
      <c r="C56" s="1785"/>
      <c r="D56" s="1780"/>
      <c r="E56" s="1796">
        <v>9875</v>
      </c>
      <c r="F56" s="1777">
        <v>1</v>
      </c>
      <c r="G56" s="1796">
        <f>E56*F56</f>
        <v>9875</v>
      </c>
      <c r="H56" s="1780">
        <v>1</v>
      </c>
      <c r="I56" s="1796">
        <f>E56*H56</f>
        <v>9875</v>
      </c>
      <c r="K56" s="560"/>
      <c r="L56" s="560"/>
    </row>
    <row r="57" spans="1:237" ht="17.25" customHeight="1">
      <c r="A57" s="1775">
        <v>34</v>
      </c>
      <c r="B57" s="564" t="s">
        <v>1690</v>
      </c>
      <c r="C57" s="1782"/>
      <c r="D57" s="1775"/>
      <c r="E57" s="1775"/>
      <c r="F57" s="1775"/>
      <c r="G57" s="1775">
        <v>18000.75</v>
      </c>
      <c r="H57" s="1775"/>
      <c r="I57" s="1796">
        <v>26597.002499999999</v>
      </c>
      <c r="J57" s="1805"/>
      <c r="K57" s="1805"/>
      <c r="L57" s="1805"/>
      <c r="M57" s="560"/>
      <c r="N57" s="1801"/>
    </row>
    <row r="58" spans="1:237" ht="17.25" customHeight="1">
      <c r="A58" s="1775">
        <v>35</v>
      </c>
      <c r="B58" s="1784" t="s">
        <v>82</v>
      </c>
      <c r="C58" s="1782"/>
      <c r="D58" s="1780" t="s">
        <v>76</v>
      </c>
      <c r="E58" s="1796">
        <f>665.173187113158*1.043</f>
        <v>693.77563415902364</v>
      </c>
      <c r="F58" s="1781">
        <v>11.1</v>
      </c>
      <c r="G58" s="1776">
        <f>E58*F58</f>
        <v>7700.9095391651617</v>
      </c>
      <c r="H58" s="1775">
        <v>11.1</v>
      </c>
      <c r="I58" s="1776">
        <f>E58*H58</f>
        <v>7700.9095391651617</v>
      </c>
      <c r="J58" s="1802"/>
      <c r="K58" s="1803"/>
      <c r="L58" s="1801"/>
    </row>
    <row r="59" spans="1:237" ht="30" customHeight="1">
      <c r="A59" s="1775">
        <v>36</v>
      </c>
      <c r="B59" s="564" t="s">
        <v>1713</v>
      </c>
      <c r="C59" s="1785"/>
      <c r="D59" s="1775"/>
      <c r="E59" s="1775"/>
      <c r="F59" s="1775"/>
      <c r="G59" s="1776">
        <f>(G9/1.18)*0.01</f>
        <v>6804.0410000000002</v>
      </c>
      <c r="H59" s="1775"/>
      <c r="I59" s="1776">
        <f>(I10/1.18)*0.01</f>
        <v>11589.9378</v>
      </c>
      <c r="J59" s="562"/>
      <c r="K59" s="1803"/>
      <c r="L59" s="560"/>
    </row>
    <row r="60" spans="1:237" ht="31.5" customHeight="1">
      <c r="A60" s="1775">
        <v>37</v>
      </c>
      <c r="B60" s="564" t="s">
        <v>1714</v>
      </c>
      <c r="C60" s="1785"/>
      <c r="D60" s="1775"/>
      <c r="E60" s="1775"/>
      <c r="F60" s="1775"/>
      <c r="G60" s="1776">
        <f>((G52-G9)/1.18)*0.04</f>
        <v>25765.274159722543</v>
      </c>
      <c r="H60" s="1775"/>
      <c r="I60" s="1776">
        <f>((I52-I10)/1.18)*0.04</f>
        <v>26077.438905485276</v>
      </c>
      <c r="J60" s="562"/>
      <c r="K60" s="1803"/>
      <c r="L60" s="560"/>
    </row>
    <row r="61" spans="1:237" ht="43.5" customHeight="1">
      <c r="A61" s="1775">
        <v>38</v>
      </c>
      <c r="B61" s="1797" t="s">
        <v>1786</v>
      </c>
      <c r="C61" s="1785"/>
      <c r="D61" s="1775"/>
      <c r="E61" s="1775"/>
      <c r="F61" s="1775"/>
      <c r="G61" s="1776">
        <f>(G52+G54+G55+G56+G57+G58+G59+G60)*0.125</f>
        <v>219721.23493547071</v>
      </c>
      <c r="H61" s="1775"/>
      <c r="I61" s="1776">
        <f>(I52+I54+I55+I56+I57+I58+I59+I60)*0.125</f>
        <v>298556.84088869113</v>
      </c>
      <c r="J61" s="1804"/>
      <c r="K61" s="1804"/>
      <c r="L61" s="1804"/>
    </row>
    <row r="62" spans="1:237" ht="31.5" customHeight="1">
      <c r="A62" s="954">
        <v>39</v>
      </c>
      <c r="B62" s="1798" t="s">
        <v>1787</v>
      </c>
      <c r="C62" s="1785"/>
      <c r="D62" s="1775"/>
      <c r="E62" s="1775"/>
      <c r="F62" s="1775"/>
      <c r="G62" s="1795">
        <f>SUM(G53:G61)</f>
        <v>1739074.642700485</v>
      </c>
      <c r="H62" s="1775"/>
      <c r="I62" s="1795">
        <f>SUM(I53:I61)</f>
        <v>2361044.2125235363</v>
      </c>
    </row>
    <row r="63" spans="1:237" ht="16.5" customHeight="1">
      <c r="A63" s="1775">
        <v>40</v>
      </c>
      <c r="B63" s="1788" t="s">
        <v>1788</v>
      </c>
      <c r="C63" s="1785"/>
      <c r="D63" s="1775"/>
      <c r="E63" s="1775">
        <v>0.09</v>
      </c>
      <c r="F63" s="1775"/>
      <c r="G63" s="1776">
        <f>G62*E63</f>
        <v>156516.71784304365</v>
      </c>
      <c r="H63" s="1775"/>
      <c r="I63" s="1776">
        <f>I62*E63</f>
        <v>212493.97912711825</v>
      </c>
    </row>
    <row r="64" spans="1:237" ht="18" customHeight="1">
      <c r="A64" s="1775">
        <v>41</v>
      </c>
      <c r="B64" s="1788" t="s">
        <v>1789</v>
      </c>
      <c r="C64" s="1785"/>
      <c r="D64" s="1775"/>
      <c r="E64" s="1775">
        <v>0.09</v>
      </c>
      <c r="F64" s="1775"/>
      <c r="G64" s="1776">
        <f>G62*E64</f>
        <v>156516.71784304365</v>
      </c>
      <c r="H64" s="1775"/>
      <c r="I64" s="1776">
        <f>I62*E64</f>
        <v>212493.97912711825</v>
      </c>
    </row>
    <row r="65" spans="1:10" ht="28.5" customHeight="1">
      <c r="A65" s="1775">
        <v>42</v>
      </c>
      <c r="B65" s="1797" t="s">
        <v>1790</v>
      </c>
      <c r="C65" s="1782"/>
      <c r="D65" s="1775"/>
      <c r="E65" s="1775"/>
      <c r="F65" s="1775"/>
      <c r="G65" s="1776">
        <f>G62+G63+G64</f>
        <v>2052108.0783865722</v>
      </c>
      <c r="H65" s="1775"/>
      <c r="I65" s="1776">
        <f>I62+I63+I64</f>
        <v>2786032.170777773</v>
      </c>
    </row>
    <row r="66" spans="1:10" ht="30">
      <c r="A66" s="954">
        <v>43</v>
      </c>
      <c r="B66" s="1778" t="s">
        <v>59</v>
      </c>
      <c r="C66" s="1799"/>
      <c r="D66" s="954"/>
      <c r="E66" s="954"/>
      <c r="F66" s="954"/>
      <c r="G66" s="1800">
        <f>ROUND(G65,0)</f>
        <v>2052108</v>
      </c>
      <c r="H66" s="1800"/>
      <c r="I66" s="1800">
        <f>ROUND(I65,0)</f>
        <v>2786032</v>
      </c>
    </row>
    <row r="67" spans="1:10" ht="15">
      <c r="A67" s="565"/>
      <c r="B67" s="565"/>
      <c r="C67" s="565"/>
      <c r="D67" s="565"/>
      <c r="E67" s="565"/>
      <c r="F67" s="565"/>
      <c r="G67" s="565"/>
      <c r="H67" s="565"/>
      <c r="I67" s="565"/>
    </row>
    <row r="68" spans="1:10" ht="14.25">
      <c r="A68" s="566" t="s">
        <v>62</v>
      </c>
      <c r="B68" s="567" t="s">
        <v>1715</v>
      </c>
    </row>
    <row r="72" spans="1:10">
      <c r="A72" s="539"/>
    </row>
    <row r="73" spans="1:10">
      <c r="A73" s="539"/>
    </row>
    <row r="74" spans="1:10" s="568" customFormat="1">
      <c r="A74" s="539"/>
      <c r="B74" s="539"/>
      <c r="C74" s="539"/>
      <c r="D74" s="539"/>
      <c r="E74" s="539"/>
      <c r="F74" s="539"/>
      <c r="G74" s="539"/>
      <c r="H74" s="539"/>
      <c r="I74" s="539"/>
      <c r="J74" s="539"/>
    </row>
    <row r="75" spans="1:10" s="568" customFormat="1">
      <c r="A75" s="539"/>
      <c r="B75" s="539"/>
      <c r="C75" s="539"/>
      <c r="D75" s="539"/>
      <c r="E75" s="539"/>
      <c r="F75" s="539"/>
      <c r="G75" s="539"/>
      <c r="H75" s="539"/>
      <c r="I75" s="539"/>
      <c r="J75" s="539"/>
    </row>
    <row r="76" spans="1:10" s="568" customFormat="1">
      <c r="A76" s="539"/>
      <c r="B76" s="539"/>
      <c r="C76" s="539"/>
      <c r="D76" s="539"/>
      <c r="E76" s="539"/>
      <c r="F76" s="539"/>
      <c r="G76" s="539"/>
      <c r="H76" s="539"/>
      <c r="I76" s="539"/>
      <c r="J76" s="539"/>
    </row>
    <row r="77" spans="1:10">
      <c r="A77" s="539"/>
    </row>
  </sheetData>
  <mergeCells count="14">
    <mergeCell ref="C1:F1"/>
    <mergeCell ref="B3:I3"/>
    <mergeCell ref="A5:A6"/>
    <mergeCell ref="B5:B6"/>
    <mergeCell ref="C5:C6"/>
    <mergeCell ref="D5:D6"/>
    <mergeCell ref="E5:E6"/>
    <mergeCell ref="F5:G5"/>
    <mergeCell ref="H5:I5"/>
    <mergeCell ref="A34:A39"/>
    <mergeCell ref="A8:A10"/>
    <mergeCell ref="A13:A14"/>
    <mergeCell ref="A19:A21"/>
    <mergeCell ref="A27:A29"/>
  </mergeCells>
  <conditionalFormatting sqref="B52:B53">
    <cfRule type="cellIs" dxfId="49" priority="1" stopIfTrue="1" operator="equal">
      <formula>"?"</formula>
    </cfRule>
  </conditionalFormatting>
  <pageMargins left="0.82677165354330717" right="0.51181102362204722" top="0.74803149606299213" bottom="0.70866141732283472" header="0.31496062992125984" footer="0.31496062992125984"/>
  <pageSetup scale="90" fitToWidth="0" fitToHeight="0"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7"/>
  <sheetViews>
    <sheetView zoomScaleNormal="100" workbookViewId="0">
      <pane xSplit="2" ySplit="7" topLeftCell="D42" activePane="bottomRight" state="frozen"/>
      <selection pane="topRight" activeCell="C1" sqref="C1"/>
      <selection pane="bottomLeft" activeCell="A8" sqref="A8"/>
      <selection pane="bottomRight" activeCell="P36" sqref="P36"/>
    </sheetView>
  </sheetViews>
  <sheetFormatPr defaultRowHeight="12.75"/>
  <cols>
    <col min="1" max="1" width="4.140625" style="137" customWidth="1"/>
    <col min="2" max="2" width="36.5703125" style="70" customWidth="1"/>
    <col min="3" max="3" width="14.28515625" style="571" customWidth="1"/>
    <col min="4" max="4" width="7.140625" style="70" customWidth="1"/>
    <col min="5" max="5" width="9.140625" style="70" customWidth="1"/>
    <col min="6" max="6" width="6.7109375" style="70" customWidth="1"/>
    <col min="7" max="7" width="11.7109375" style="70" customWidth="1"/>
    <col min="8" max="8" width="7.42578125" style="70" customWidth="1"/>
    <col min="9" max="9" width="12" style="70" bestFit="1" customWidth="1"/>
    <col min="10" max="10" width="6.7109375" style="70" bestFit="1" customWidth="1"/>
    <col min="11" max="11" width="11.7109375" style="70" customWidth="1"/>
    <col min="12" max="12" width="6.7109375" style="70" bestFit="1" customWidth="1"/>
    <col min="13" max="13" width="12" style="70" customWidth="1"/>
    <col min="14" max="14" width="6.5703125" style="70" customWidth="1"/>
    <col min="15" max="15" width="12" style="70" customWidth="1"/>
    <col min="16" max="16" width="21" style="70" customWidth="1"/>
    <col min="17" max="17" width="12.7109375" style="70" bestFit="1" customWidth="1"/>
    <col min="18" max="18" width="12.5703125" style="70" customWidth="1"/>
    <col min="19" max="256" width="9.140625" style="70"/>
    <col min="257" max="257" width="4.140625" style="70" customWidth="1"/>
    <col min="258" max="258" width="36.5703125" style="70" customWidth="1"/>
    <col min="259" max="259" width="14.28515625" style="70" customWidth="1"/>
    <col min="260" max="260" width="7.140625" style="70" customWidth="1"/>
    <col min="261" max="261" width="8.5703125" style="70" customWidth="1"/>
    <col min="262" max="262" width="6.7109375" style="70" customWidth="1"/>
    <col min="263" max="263" width="11.7109375" style="70" customWidth="1"/>
    <col min="264" max="264" width="7.42578125" style="70" customWidth="1"/>
    <col min="265" max="265" width="12" style="70" bestFit="1" customWidth="1"/>
    <col min="266" max="266" width="6.7109375" style="70" bestFit="1" customWidth="1"/>
    <col min="267" max="267" width="11.7109375" style="70" customWidth="1"/>
    <col min="268" max="268" width="6.7109375" style="70" bestFit="1" customWidth="1"/>
    <col min="269" max="269" width="12" style="70" customWidth="1"/>
    <col min="270" max="270" width="6.5703125" style="70" customWidth="1"/>
    <col min="271" max="271" width="12" style="70" customWidth="1"/>
    <col min="272" max="272" width="21" style="70" customWidth="1"/>
    <col min="273" max="273" width="20.7109375" style="70" bestFit="1" customWidth="1"/>
    <col min="274" max="274" width="12.5703125" style="70" customWidth="1"/>
    <col min="275" max="512" width="9.140625" style="70"/>
    <col min="513" max="513" width="4.140625" style="70" customWidth="1"/>
    <col min="514" max="514" width="36.5703125" style="70" customWidth="1"/>
    <col min="515" max="515" width="14.28515625" style="70" customWidth="1"/>
    <col min="516" max="516" width="7.140625" style="70" customWidth="1"/>
    <col min="517" max="517" width="8.5703125" style="70" customWidth="1"/>
    <col min="518" max="518" width="6.7109375" style="70" customWidth="1"/>
    <col min="519" max="519" width="11.7109375" style="70" customWidth="1"/>
    <col min="520" max="520" width="7.42578125" style="70" customWidth="1"/>
    <col min="521" max="521" width="12" style="70" bestFit="1" customWidth="1"/>
    <col min="522" max="522" width="6.7109375" style="70" bestFit="1" customWidth="1"/>
    <col min="523" max="523" width="11.7109375" style="70" customWidth="1"/>
    <col min="524" max="524" width="6.7109375" style="70" bestFit="1" customWidth="1"/>
    <col min="525" max="525" width="12" style="70" customWidth="1"/>
    <col min="526" max="526" width="6.5703125" style="70" customWidth="1"/>
    <col min="527" max="527" width="12" style="70" customWidth="1"/>
    <col min="528" max="528" width="21" style="70" customWidth="1"/>
    <col min="529" max="529" width="20.7109375" style="70" bestFit="1" customWidth="1"/>
    <col min="530" max="530" width="12.5703125" style="70" customWidth="1"/>
    <col min="531" max="768" width="9.140625" style="70"/>
    <col min="769" max="769" width="4.140625" style="70" customWidth="1"/>
    <col min="770" max="770" width="36.5703125" style="70" customWidth="1"/>
    <col min="771" max="771" width="14.28515625" style="70" customWidth="1"/>
    <col min="772" max="772" width="7.140625" style="70" customWidth="1"/>
    <col min="773" max="773" width="8.5703125" style="70" customWidth="1"/>
    <col min="774" max="774" width="6.7109375" style="70" customWidth="1"/>
    <col min="775" max="775" width="11.7109375" style="70" customWidth="1"/>
    <col min="776" max="776" width="7.42578125" style="70" customWidth="1"/>
    <col min="777" max="777" width="12" style="70" bestFit="1" customWidth="1"/>
    <col min="778" max="778" width="6.7109375" style="70" bestFit="1" customWidth="1"/>
    <col min="779" max="779" width="11.7109375" style="70" customWidth="1"/>
    <col min="780" max="780" width="6.7109375" style="70" bestFit="1" customWidth="1"/>
    <col min="781" max="781" width="12" style="70" customWidth="1"/>
    <col min="782" max="782" width="6.5703125" style="70" customWidth="1"/>
    <col min="783" max="783" width="12" style="70" customWidth="1"/>
    <col min="784" max="784" width="21" style="70" customWidth="1"/>
    <col min="785" max="785" width="20.7109375" style="70" bestFit="1" customWidth="1"/>
    <col min="786" max="786" width="12.5703125" style="70" customWidth="1"/>
    <col min="787" max="1024" width="9.140625" style="70"/>
    <col min="1025" max="1025" width="4.140625" style="70" customWidth="1"/>
    <col min="1026" max="1026" width="36.5703125" style="70" customWidth="1"/>
    <col min="1027" max="1027" width="14.28515625" style="70" customWidth="1"/>
    <col min="1028" max="1028" width="7.140625" style="70" customWidth="1"/>
    <col min="1029" max="1029" width="8.5703125" style="70" customWidth="1"/>
    <col min="1030" max="1030" width="6.7109375" style="70" customWidth="1"/>
    <col min="1031" max="1031" width="11.7109375" style="70" customWidth="1"/>
    <col min="1032" max="1032" width="7.42578125" style="70" customWidth="1"/>
    <col min="1033" max="1033" width="12" style="70" bestFit="1" customWidth="1"/>
    <col min="1034" max="1034" width="6.7109375" style="70" bestFit="1" customWidth="1"/>
    <col min="1035" max="1035" width="11.7109375" style="70" customWidth="1"/>
    <col min="1036" max="1036" width="6.7109375" style="70" bestFit="1" customWidth="1"/>
    <col min="1037" max="1037" width="12" style="70" customWidth="1"/>
    <col min="1038" max="1038" width="6.5703125" style="70" customWidth="1"/>
    <col min="1039" max="1039" width="12" style="70" customWidth="1"/>
    <col min="1040" max="1040" width="21" style="70" customWidth="1"/>
    <col min="1041" max="1041" width="20.7109375" style="70" bestFit="1" customWidth="1"/>
    <col min="1042" max="1042" width="12.5703125" style="70" customWidth="1"/>
    <col min="1043" max="1280" width="9.140625" style="70"/>
    <col min="1281" max="1281" width="4.140625" style="70" customWidth="1"/>
    <col min="1282" max="1282" width="36.5703125" style="70" customWidth="1"/>
    <col min="1283" max="1283" width="14.28515625" style="70" customWidth="1"/>
    <col min="1284" max="1284" width="7.140625" style="70" customWidth="1"/>
    <col min="1285" max="1285" width="8.5703125" style="70" customWidth="1"/>
    <col min="1286" max="1286" width="6.7109375" style="70" customWidth="1"/>
    <col min="1287" max="1287" width="11.7109375" style="70" customWidth="1"/>
    <col min="1288" max="1288" width="7.42578125" style="70" customWidth="1"/>
    <col min="1289" max="1289" width="12" style="70" bestFit="1" customWidth="1"/>
    <col min="1290" max="1290" width="6.7109375" style="70" bestFit="1" customWidth="1"/>
    <col min="1291" max="1291" width="11.7109375" style="70" customWidth="1"/>
    <col min="1292" max="1292" width="6.7109375" style="70" bestFit="1" customWidth="1"/>
    <col min="1293" max="1293" width="12" style="70" customWidth="1"/>
    <col min="1294" max="1294" width="6.5703125" style="70" customWidth="1"/>
    <col min="1295" max="1295" width="12" style="70" customWidth="1"/>
    <col min="1296" max="1296" width="21" style="70" customWidth="1"/>
    <col min="1297" max="1297" width="20.7109375" style="70" bestFit="1" customWidth="1"/>
    <col min="1298" max="1298" width="12.5703125" style="70" customWidth="1"/>
    <col min="1299" max="1536" width="9.140625" style="70"/>
    <col min="1537" max="1537" width="4.140625" style="70" customWidth="1"/>
    <col min="1538" max="1538" width="36.5703125" style="70" customWidth="1"/>
    <col min="1539" max="1539" width="14.28515625" style="70" customWidth="1"/>
    <col min="1540" max="1540" width="7.140625" style="70" customWidth="1"/>
    <col min="1541" max="1541" width="8.5703125" style="70" customWidth="1"/>
    <col min="1542" max="1542" width="6.7109375" style="70" customWidth="1"/>
    <col min="1543" max="1543" width="11.7109375" style="70" customWidth="1"/>
    <col min="1544" max="1544" width="7.42578125" style="70" customWidth="1"/>
    <col min="1545" max="1545" width="12" style="70" bestFit="1" customWidth="1"/>
    <col min="1546" max="1546" width="6.7109375" style="70" bestFit="1" customWidth="1"/>
    <col min="1547" max="1547" width="11.7109375" style="70" customWidth="1"/>
    <col min="1548" max="1548" width="6.7109375" style="70" bestFit="1" customWidth="1"/>
    <col min="1549" max="1549" width="12" style="70" customWidth="1"/>
    <col min="1550" max="1550" width="6.5703125" style="70" customWidth="1"/>
    <col min="1551" max="1551" width="12" style="70" customWidth="1"/>
    <col min="1552" max="1552" width="21" style="70" customWidth="1"/>
    <col min="1553" max="1553" width="20.7109375" style="70" bestFit="1" customWidth="1"/>
    <col min="1554" max="1554" width="12.5703125" style="70" customWidth="1"/>
    <col min="1555" max="1792" width="9.140625" style="70"/>
    <col min="1793" max="1793" width="4.140625" style="70" customWidth="1"/>
    <col min="1794" max="1794" width="36.5703125" style="70" customWidth="1"/>
    <col min="1795" max="1795" width="14.28515625" style="70" customWidth="1"/>
    <col min="1796" max="1796" width="7.140625" style="70" customWidth="1"/>
    <col min="1797" max="1797" width="8.5703125" style="70" customWidth="1"/>
    <col min="1798" max="1798" width="6.7109375" style="70" customWidth="1"/>
    <col min="1799" max="1799" width="11.7109375" style="70" customWidth="1"/>
    <col min="1800" max="1800" width="7.42578125" style="70" customWidth="1"/>
    <col min="1801" max="1801" width="12" style="70" bestFit="1" customWidth="1"/>
    <col min="1802" max="1802" width="6.7109375" style="70" bestFit="1" customWidth="1"/>
    <col min="1803" max="1803" width="11.7109375" style="70" customWidth="1"/>
    <col min="1804" max="1804" width="6.7109375" style="70" bestFit="1" customWidth="1"/>
    <col min="1805" max="1805" width="12" style="70" customWidth="1"/>
    <col min="1806" max="1806" width="6.5703125" style="70" customWidth="1"/>
    <col min="1807" max="1807" width="12" style="70" customWidth="1"/>
    <col min="1808" max="1808" width="21" style="70" customWidth="1"/>
    <col min="1809" max="1809" width="20.7109375" style="70" bestFit="1" customWidth="1"/>
    <col min="1810" max="1810" width="12.5703125" style="70" customWidth="1"/>
    <col min="1811" max="2048" width="9.140625" style="70"/>
    <col min="2049" max="2049" width="4.140625" style="70" customWidth="1"/>
    <col min="2050" max="2050" width="36.5703125" style="70" customWidth="1"/>
    <col min="2051" max="2051" width="14.28515625" style="70" customWidth="1"/>
    <col min="2052" max="2052" width="7.140625" style="70" customWidth="1"/>
    <col min="2053" max="2053" width="8.5703125" style="70" customWidth="1"/>
    <col min="2054" max="2054" width="6.7109375" style="70" customWidth="1"/>
    <col min="2055" max="2055" width="11.7109375" style="70" customWidth="1"/>
    <col min="2056" max="2056" width="7.42578125" style="70" customWidth="1"/>
    <col min="2057" max="2057" width="12" style="70" bestFit="1" customWidth="1"/>
    <col min="2058" max="2058" width="6.7109375" style="70" bestFit="1" customWidth="1"/>
    <col min="2059" max="2059" width="11.7109375" style="70" customWidth="1"/>
    <col min="2060" max="2060" width="6.7109375" style="70" bestFit="1" customWidth="1"/>
    <col min="2061" max="2061" width="12" style="70" customWidth="1"/>
    <col min="2062" max="2062" width="6.5703125" style="70" customWidth="1"/>
    <col min="2063" max="2063" width="12" style="70" customWidth="1"/>
    <col min="2064" max="2064" width="21" style="70" customWidth="1"/>
    <col min="2065" max="2065" width="20.7109375" style="70" bestFit="1" customWidth="1"/>
    <col min="2066" max="2066" width="12.5703125" style="70" customWidth="1"/>
    <col min="2067" max="2304" width="9.140625" style="70"/>
    <col min="2305" max="2305" width="4.140625" style="70" customWidth="1"/>
    <col min="2306" max="2306" width="36.5703125" style="70" customWidth="1"/>
    <col min="2307" max="2307" width="14.28515625" style="70" customWidth="1"/>
    <col min="2308" max="2308" width="7.140625" style="70" customWidth="1"/>
    <col min="2309" max="2309" width="8.5703125" style="70" customWidth="1"/>
    <col min="2310" max="2310" width="6.7109375" style="70" customWidth="1"/>
    <col min="2311" max="2311" width="11.7109375" style="70" customWidth="1"/>
    <col min="2312" max="2312" width="7.42578125" style="70" customWidth="1"/>
    <col min="2313" max="2313" width="12" style="70" bestFit="1" customWidth="1"/>
    <col min="2314" max="2314" width="6.7109375" style="70" bestFit="1" customWidth="1"/>
    <col min="2315" max="2315" width="11.7109375" style="70" customWidth="1"/>
    <col min="2316" max="2316" width="6.7109375" style="70" bestFit="1" customWidth="1"/>
    <col min="2317" max="2317" width="12" style="70" customWidth="1"/>
    <col min="2318" max="2318" width="6.5703125" style="70" customWidth="1"/>
    <col min="2319" max="2319" width="12" style="70" customWidth="1"/>
    <col min="2320" max="2320" width="21" style="70" customWidth="1"/>
    <col min="2321" max="2321" width="20.7109375" style="70" bestFit="1" customWidth="1"/>
    <col min="2322" max="2322" width="12.5703125" style="70" customWidth="1"/>
    <col min="2323" max="2560" width="9.140625" style="70"/>
    <col min="2561" max="2561" width="4.140625" style="70" customWidth="1"/>
    <col min="2562" max="2562" width="36.5703125" style="70" customWidth="1"/>
    <col min="2563" max="2563" width="14.28515625" style="70" customWidth="1"/>
    <col min="2564" max="2564" width="7.140625" style="70" customWidth="1"/>
    <col min="2565" max="2565" width="8.5703125" style="70" customWidth="1"/>
    <col min="2566" max="2566" width="6.7109375" style="70" customWidth="1"/>
    <col min="2567" max="2567" width="11.7109375" style="70" customWidth="1"/>
    <col min="2568" max="2568" width="7.42578125" style="70" customWidth="1"/>
    <col min="2569" max="2569" width="12" style="70" bestFit="1" customWidth="1"/>
    <col min="2570" max="2570" width="6.7109375" style="70" bestFit="1" customWidth="1"/>
    <col min="2571" max="2571" width="11.7109375" style="70" customWidth="1"/>
    <col min="2572" max="2572" width="6.7109375" style="70" bestFit="1" customWidth="1"/>
    <col min="2573" max="2573" width="12" style="70" customWidth="1"/>
    <col min="2574" max="2574" width="6.5703125" style="70" customWidth="1"/>
    <col min="2575" max="2575" width="12" style="70" customWidth="1"/>
    <col min="2576" max="2576" width="21" style="70" customWidth="1"/>
    <col min="2577" max="2577" width="20.7109375" style="70" bestFit="1" customWidth="1"/>
    <col min="2578" max="2578" width="12.5703125" style="70" customWidth="1"/>
    <col min="2579" max="2816" width="9.140625" style="70"/>
    <col min="2817" max="2817" width="4.140625" style="70" customWidth="1"/>
    <col min="2818" max="2818" width="36.5703125" style="70" customWidth="1"/>
    <col min="2819" max="2819" width="14.28515625" style="70" customWidth="1"/>
    <col min="2820" max="2820" width="7.140625" style="70" customWidth="1"/>
    <col min="2821" max="2821" width="8.5703125" style="70" customWidth="1"/>
    <col min="2822" max="2822" width="6.7109375" style="70" customWidth="1"/>
    <col min="2823" max="2823" width="11.7109375" style="70" customWidth="1"/>
    <col min="2824" max="2824" width="7.42578125" style="70" customWidth="1"/>
    <col min="2825" max="2825" width="12" style="70" bestFit="1" customWidth="1"/>
    <col min="2826" max="2826" width="6.7109375" style="70" bestFit="1" customWidth="1"/>
    <col min="2827" max="2827" width="11.7109375" style="70" customWidth="1"/>
    <col min="2828" max="2828" width="6.7109375" style="70" bestFit="1" customWidth="1"/>
    <col min="2829" max="2829" width="12" style="70" customWidth="1"/>
    <col min="2830" max="2830" width="6.5703125" style="70" customWidth="1"/>
    <col min="2831" max="2831" width="12" style="70" customWidth="1"/>
    <col min="2832" max="2832" width="21" style="70" customWidth="1"/>
    <col min="2833" max="2833" width="20.7109375" style="70" bestFit="1" customWidth="1"/>
    <col min="2834" max="2834" width="12.5703125" style="70" customWidth="1"/>
    <col min="2835" max="3072" width="9.140625" style="70"/>
    <col min="3073" max="3073" width="4.140625" style="70" customWidth="1"/>
    <col min="3074" max="3074" width="36.5703125" style="70" customWidth="1"/>
    <col min="3075" max="3075" width="14.28515625" style="70" customWidth="1"/>
    <col min="3076" max="3076" width="7.140625" style="70" customWidth="1"/>
    <col min="3077" max="3077" width="8.5703125" style="70" customWidth="1"/>
    <col min="3078" max="3078" width="6.7109375" style="70" customWidth="1"/>
    <col min="3079" max="3079" width="11.7109375" style="70" customWidth="1"/>
    <col min="3080" max="3080" width="7.42578125" style="70" customWidth="1"/>
    <col min="3081" max="3081" width="12" style="70" bestFit="1" customWidth="1"/>
    <col min="3082" max="3082" width="6.7109375" style="70" bestFit="1" customWidth="1"/>
    <col min="3083" max="3083" width="11.7109375" style="70" customWidth="1"/>
    <col min="3084" max="3084" width="6.7109375" style="70" bestFit="1" customWidth="1"/>
    <col min="3085" max="3085" width="12" style="70" customWidth="1"/>
    <col min="3086" max="3086" width="6.5703125" style="70" customWidth="1"/>
    <col min="3087" max="3087" width="12" style="70" customWidth="1"/>
    <col min="3088" max="3088" width="21" style="70" customWidth="1"/>
    <col min="3089" max="3089" width="20.7109375" style="70" bestFit="1" customWidth="1"/>
    <col min="3090" max="3090" width="12.5703125" style="70" customWidth="1"/>
    <col min="3091" max="3328" width="9.140625" style="70"/>
    <col min="3329" max="3329" width="4.140625" style="70" customWidth="1"/>
    <col min="3330" max="3330" width="36.5703125" style="70" customWidth="1"/>
    <col min="3331" max="3331" width="14.28515625" style="70" customWidth="1"/>
    <col min="3332" max="3332" width="7.140625" style="70" customWidth="1"/>
    <col min="3333" max="3333" width="8.5703125" style="70" customWidth="1"/>
    <col min="3334" max="3334" width="6.7109375" style="70" customWidth="1"/>
    <col min="3335" max="3335" width="11.7109375" style="70" customWidth="1"/>
    <col min="3336" max="3336" width="7.42578125" style="70" customWidth="1"/>
    <col min="3337" max="3337" width="12" style="70" bestFit="1" customWidth="1"/>
    <col min="3338" max="3338" width="6.7109375" style="70" bestFit="1" customWidth="1"/>
    <col min="3339" max="3339" width="11.7109375" style="70" customWidth="1"/>
    <col min="3340" max="3340" width="6.7109375" style="70" bestFit="1" customWidth="1"/>
    <col min="3341" max="3341" width="12" style="70" customWidth="1"/>
    <col min="3342" max="3342" width="6.5703125" style="70" customWidth="1"/>
    <col min="3343" max="3343" width="12" style="70" customWidth="1"/>
    <col min="3344" max="3344" width="21" style="70" customWidth="1"/>
    <col min="3345" max="3345" width="20.7109375" style="70" bestFit="1" customWidth="1"/>
    <col min="3346" max="3346" width="12.5703125" style="70" customWidth="1"/>
    <col min="3347" max="3584" width="9.140625" style="70"/>
    <col min="3585" max="3585" width="4.140625" style="70" customWidth="1"/>
    <col min="3586" max="3586" width="36.5703125" style="70" customWidth="1"/>
    <col min="3587" max="3587" width="14.28515625" style="70" customWidth="1"/>
    <col min="3588" max="3588" width="7.140625" style="70" customWidth="1"/>
    <col min="3589" max="3589" width="8.5703125" style="70" customWidth="1"/>
    <col min="3590" max="3590" width="6.7109375" style="70" customWidth="1"/>
    <col min="3591" max="3591" width="11.7109375" style="70" customWidth="1"/>
    <col min="3592" max="3592" width="7.42578125" style="70" customWidth="1"/>
    <col min="3593" max="3593" width="12" style="70" bestFit="1" customWidth="1"/>
    <col min="3594" max="3594" width="6.7109375" style="70" bestFit="1" customWidth="1"/>
    <col min="3595" max="3595" width="11.7109375" style="70" customWidth="1"/>
    <col min="3596" max="3596" width="6.7109375" style="70" bestFit="1" customWidth="1"/>
    <col min="3597" max="3597" width="12" style="70" customWidth="1"/>
    <col min="3598" max="3598" width="6.5703125" style="70" customWidth="1"/>
    <col min="3599" max="3599" width="12" style="70" customWidth="1"/>
    <col min="3600" max="3600" width="21" style="70" customWidth="1"/>
    <col min="3601" max="3601" width="20.7109375" style="70" bestFit="1" customWidth="1"/>
    <col min="3602" max="3602" width="12.5703125" style="70" customWidth="1"/>
    <col min="3603" max="3840" width="9.140625" style="70"/>
    <col min="3841" max="3841" width="4.140625" style="70" customWidth="1"/>
    <col min="3842" max="3842" width="36.5703125" style="70" customWidth="1"/>
    <col min="3843" max="3843" width="14.28515625" style="70" customWidth="1"/>
    <col min="3844" max="3844" width="7.140625" style="70" customWidth="1"/>
    <col min="3845" max="3845" width="8.5703125" style="70" customWidth="1"/>
    <col min="3846" max="3846" width="6.7109375" style="70" customWidth="1"/>
    <col min="3847" max="3847" width="11.7109375" style="70" customWidth="1"/>
    <col min="3848" max="3848" width="7.42578125" style="70" customWidth="1"/>
    <col min="3849" max="3849" width="12" style="70" bestFit="1" customWidth="1"/>
    <col min="3850" max="3850" width="6.7109375" style="70" bestFit="1" customWidth="1"/>
    <col min="3851" max="3851" width="11.7109375" style="70" customWidth="1"/>
    <col min="3852" max="3852" width="6.7109375" style="70" bestFit="1" customWidth="1"/>
    <col min="3853" max="3853" width="12" style="70" customWidth="1"/>
    <col min="3854" max="3854" width="6.5703125" style="70" customWidth="1"/>
    <col min="3855" max="3855" width="12" style="70" customWidth="1"/>
    <col min="3856" max="3856" width="21" style="70" customWidth="1"/>
    <col min="3857" max="3857" width="20.7109375" style="70" bestFit="1" customWidth="1"/>
    <col min="3858" max="3858" width="12.5703125" style="70" customWidth="1"/>
    <col min="3859" max="4096" width="9.140625" style="70"/>
    <col min="4097" max="4097" width="4.140625" style="70" customWidth="1"/>
    <col min="4098" max="4098" width="36.5703125" style="70" customWidth="1"/>
    <col min="4099" max="4099" width="14.28515625" style="70" customWidth="1"/>
    <col min="4100" max="4100" width="7.140625" style="70" customWidth="1"/>
    <col min="4101" max="4101" width="8.5703125" style="70" customWidth="1"/>
    <col min="4102" max="4102" width="6.7109375" style="70" customWidth="1"/>
    <col min="4103" max="4103" width="11.7109375" style="70" customWidth="1"/>
    <col min="4104" max="4104" width="7.42578125" style="70" customWidth="1"/>
    <col min="4105" max="4105" width="12" style="70" bestFit="1" customWidth="1"/>
    <col min="4106" max="4106" width="6.7109375" style="70" bestFit="1" customWidth="1"/>
    <col min="4107" max="4107" width="11.7109375" style="70" customWidth="1"/>
    <col min="4108" max="4108" width="6.7109375" style="70" bestFit="1" customWidth="1"/>
    <col min="4109" max="4109" width="12" style="70" customWidth="1"/>
    <col min="4110" max="4110" width="6.5703125" style="70" customWidth="1"/>
    <col min="4111" max="4111" width="12" style="70" customWidth="1"/>
    <col min="4112" max="4112" width="21" style="70" customWidth="1"/>
    <col min="4113" max="4113" width="20.7109375" style="70" bestFit="1" customWidth="1"/>
    <col min="4114" max="4114" width="12.5703125" style="70" customWidth="1"/>
    <col min="4115" max="4352" width="9.140625" style="70"/>
    <col min="4353" max="4353" width="4.140625" style="70" customWidth="1"/>
    <col min="4354" max="4354" width="36.5703125" style="70" customWidth="1"/>
    <col min="4355" max="4355" width="14.28515625" style="70" customWidth="1"/>
    <col min="4356" max="4356" width="7.140625" style="70" customWidth="1"/>
    <col min="4357" max="4357" width="8.5703125" style="70" customWidth="1"/>
    <col min="4358" max="4358" width="6.7109375" style="70" customWidth="1"/>
    <col min="4359" max="4359" width="11.7109375" style="70" customWidth="1"/>
    <col min="4360" max="4360" width="7.42578125" style="70" customWidth="1"/>
    <col min="4361" max="4361" width="12" style="70" bestFit="1" customWidth="1"/>
    <col min="4362" max="4362" width="6.7109375" style="70" bestFit="1" customWidth="1"/>
    <col min="4363" max="4363" width="11.7109375" style="70" customWidth="1"/>
    <col min="4364" max="4364" width="6.7109375" style="70" bestFit="1" customWidth="1"/>
    <col min="4365" max="4365" width="12" style="70" customWidth="1"/>
    <col min="4366" max="4366" width="6.5703125" style="70" customWidth="1"/>
    <col min="4367" max="4367" width="12" style="70" customWidth="1"/>
    <col min="4368" max="4368" width="21" style="70" customWidth="1"/>
    <col min="4369" max="4369" width="20.7109375" style="70" bestFit="1" customWidth="1"/>
    <col min="4370" max="4370" width="12.5703125" style="70" customWidth="1"/>
    <col min="4371" max="4608" width="9.140625" style="70"/>
    <col min="4609" max="4609" width="4.140625" style="70" customWidth="1"/>
    <col min="4610" max="4610" width="36.5703125" style="70" customWidth="1"/>
    <col min="4611" max="4611" width="14.28515625" style="70" customWidth="1"/>
    <col min="4612" max="4612" width="7.140625" style="70" customWidth="1"/>
    <col min="4613" max="4613" width="8.5703125" style="70" customWidth="1"/>
    <col min="4614" max="4614" width="6.7109375" style="70" customWidth="1"/>
    <col min="4615" max="4615" width="11.7109375" style="70" customWidth="1"/>
    <col min="4616" max="4616" width="7.42578125" style="70" customWidth="1"/>
    <col min="4617" max="4617" width="12" style="70" bestFit="1" customWidth="1"/>
    <col min="4618" max="4618" width="6.7109375" style="70" bestFit="1" customWidth="1"/>
    <col min="4619" max="4619" width="11.7109375" style="70" customWidth="1"/>
    <col min="4620" max="4620" width="6.7109375" style="70" bestFit="1" customWidth="1"/>
    <col min="4621" max="4621" width="12" style="70" customWidth="1"/>
    <col min="4622" max="4622" width="6.5703125" style="70" customWidth="1"/>
    <col min="4623" max="4623" width="12" style="70" customWidth="1"/>
    <col min="4624" max="4624" width="21" style="70" customWidth="1"/>
    <col min="4625" max="4625" width="20.7109375" style="70" bestFit="1" customWidth="1"/>
    <col min="4626" max="4626" width="12.5703125" style="70" customWidth="1"/>
    <col min="4627" max="4864" width="9.140625" style="70"/>
    <col min="4865" max="4865" width="4.140625" style="70" customWidth="1"/>
    <col min="4866" max="4866" width="36.5703125" style="70" customWidth="1"/>
    <col min="4867" max="4867" width="14.28515625" style="70" customWidth="1"/>
    <col min="4868" max="4868" width="7.140625" style="70" customWidth="1"/>
    <col min="4869" max="4869" width="8.5703125" style="70" customWidth="1"/>
    <col min="4870" max="4870" width="6.7109375" style="70" customWidth="1"/>
    <col min="4871" max="4871" width="11.7109375" style="70" customWidth="1"/>
    <col min="4872" max="4872" width="7.42578125" style="70" customWidth="1"/>
    <col min="4873" max="4873" width="12" style="70" bestFit="1" customWidth="1"/>
    <col min="4874" max="4874" width="6.7109375" style="70" bestFit="1" customWidth="1"/>
    <col min="4875" max="4875" width="11.7109375" style="70" customWidth="1"/>
    <col min="4876" max="4876" width="6.7109375" style="70" bestFit="1" customWidth="1"/>
    <col min="4877" max="4877" width="12" style="70" customWidth="1"/>
    <col min="4878" max="4878" width="6.5703125" style="70" customWidth="1"/>
    <col min="4879" max="4879" width="12" style="70" customWidth="1"/>
    <col min="4880" max="4880" width="21" style="70" customWidth="1"/>
    <col min="4881" max="4881" width="20.7109375" style="70" bestFit="1" customWidth="1"/>
    <col min="4882" max="4882" width="12.5703125" style="70" customWidth="1"/>
    <col min="4883" max="5120" width="9.140625" style="70"/>
    <col min="5121" max="5121" width="4.140625" style="70" customWidth="1"/>
    <col min="5122" max="5122" width="36.5703125" style="70" customWidth="1"/>
    <col min="5123" max="5123" width="14.28515625" style="70" customWidth="1"/>
    <col min="5124" max="5124" width="7.140625" style="70" customWidth="1"/>
    <col min="5125" max="5125" width="8.5703125" style="70" customWidth="1"/>
    <col min="5126" max="5126" width="6.7109375" style="70" customWidth="1"/>
    <col min="5127" max="5127" width="11.7109375" style="70" customWidth="1"/>
    <col min="5128" max="5128" width="7.42578125" style="70" customWidth="1"/>
    <col min="5129" max="5129" width="12" style="70" bestFit="1" customWidth="1"/>
    <col min="5130" max="5130" width="6.7109375" style="70" bestFit="1" customWidth="1"/>
    <col min="5131" max="5131" width="11.7109375" style="70" customWidth="1"/>
    <col min="5132" max="5132" width="6.7109375" style="70" bestFit="1" customWidth="1"/>
    <col min="5133" max="5133" width="12" style="70" customWidth="1"/>
    <col min="5134" max="5134" width="6.5703125" style="70" customWidth="1"/>
    <col min="5135" max="5135" width="12" style="70" customWidth="1"/>
    <col min="5136" max="5136" width="21" style="70" customWidth="1"/>
    <col min="5137" max="5137" width="20.7109375" style="70" bestFit="1" customWidth="1"/>
    <col min="5138" max="5138" width="12.5703125" style="70" customWidth="1"/>
    <col min="5139" max="5376" width="9.140625" style="70"/>
    <col min="5377" max="5377" width="4.140625" style="70" customWidth="1"/>
    <col min="5378" max="5378" width="36.5703125" style="70" customWidth="1"/>
    <col min="5379" max="5379" width="14.28515625" style="70" customWidth="1"/>
    <col min="5380" max="5380" width="7.140625" style="70" customWidth="1"/>
    <col min="5381" max="5381" width="8.5703125" style="70" customWidth="1"/>
    <col min="5382" max="5382" width="6.7109375" style="70" customWidth="1"/>
    <col min="5383" max="5383" width="11.7109375" style="70" customWidth="1"/>
    <col min="5384" max="5384" width="7.42578125" style="70" customWidth="1"/>
    <col min="5385" max="5385" width="12" style="70" bestFit="1" customWidth="1"/>
    <col min="5386" max="5386" width="6.7109375" style="70" bestFit="1" customWidth="1"/>
    <col min="5387" max="5387" width="11.7109375" style="70" customWidth="1"/>
    <col min="5388" max="5388" width="6.7109375" style="70" bestFit="1" customWidth="1"/>
    <col min="5389" max="5389" width="12" style="70" customWidth="1"/>
    <col min="5390" max="5390" width="6.5703125" style="70" customWidth="1"/>
    <col min="5391" max="5391" width="12" style="70" customWidth="1"/>
    <col min="5392" max="5392" width="21" style="70" customWidth="1"/>
    <col min="5393" max="5393" width="20.7109375" style="70" bestFit="1" customWidth="1"/>
    <col min="5394" max="5394" width="12.5703125" style="70" customWidth="1"/>
    <col min="5395" max="5632" width="9.140625" style="70"/>
    <col min="5633" max="5633" width="4.140625" style="70" customWidth="1"/>
    <col min="5634" max="5634" width="36.5703125" style="70" customWidth="1"/>
    <col min="5635" max="5635" width="14.28515625" style="70" customWidth="1"/>
    <col min="5636" max="5636" width="7.140625" style="70" customWidth="1"/>
    <col min="5637" max="5637" width="8.5703125" style="70" customWidth="1"/>
    <col min="5638" max="5638" width="6.7109375" style="70" customWidth="1"/>
    <col min="5639" max="5639" width="11.7109375" style="70" customWidth="1"/>
    <col min="5640" max="5640" width="7.42578125" style="70" customWidth="1"/>
    <col min="5641" max="5641" width="12" style="70" bestFit="1" customWidth="1"/>
    <col min="5642" max="5642" width="6.7109375" style="70" bestFit="1" customWidth="1"/>
    <col min="5643" max="5643" width="11.7109375" style="70" customWidth="1"/>
    <col min="5644" max="5644" width="6.7109375" style="70" bestFit="1" customWidth="1"/>
    <col min="5645" max="5645" width="12" style="70" customWidth="1"/>
    <col min="5646" max="5646" width="6.5703125" style="70" customWidth="1"/>
    <col min="5647" max="5647" width="12" style="70" customWidth="1"/>
    <col min="5648" max="5648" width="21" style="70" customWidth="1"/>
    <col min="5649" max="5649" width="20.7109375" style="70" bestFit="1" customWidth="1"/>
    <col min="5650" max="5650" width="12.5703125" style="70" customWidth="1"/>
    <col min="5651" max="5888" width="9.140625" style="70"/>
    <col min="5889" max="5889" width="4.140625" style="70" customWidth="1"/>
    <col min="5890" max="5890" width="36.5703125" style="70" customWidth="1"/>
    <col min="5891" max="5891" width="14.28515625" style="70" customWidth="1"/>
    <col min="5892" max="5892" width="7.140625" style="70" customWidth="1"/>
    <col min="5893" max="5893" width="8.5703125" style="70" customWidth="1"/>
    <col min="5894" max="5894" width="6.7109375" style="70" customWidth="1"/>
    <col min="5895" max="5895" width="11.7109375" style="70" customWidth="1"/>
    <col min="5896" max="5896" width="7.42578125" style="70" customWidth="1"/>
    <col min="5897" max="5897" width="12" style="70" bestFit="1" customWidth="1"/>
    <col min="5898" max="5898" width="6.7109375" style="70" bestFit="1" customWidth="1"/>
    <col min="5899" max="5899" width="11.7109375" style="70" customWidth="1"/>
    <col min="5900" max="5900" width="6.7109375" style="70" bestFit="1" customWidth="1"/>
    <col min="5901" max="5901" width="12" style="70" customWidth="1"/>
    <col min="5902" max="5902" width="6.5703125" style="70" customWidth="1"/>
    <col min="5903" max="5903" width="12" style="70" customWidth="1"/>
    <col min="5904" max="5904" width="21" style="70" customWidth="1"/>
    <col min="5905" max="5905" width="20.7109375" style="70" bestFit="1" customWidth="1"/>
    <col min="5906" max="5906" width="12.5703125" style="70" customWidth="1"/>
    <col min="5907" max="6144" width="9.140625" style="70"/>
    <col min="6145" max="6145" width="4.140625" style="70" customWidth="1"/>
    <col min="6146" max="6146" width="36.5703125" style="70" customWidth="1"/>
    <col min="6147" max="6147" width="14.28515625" style="70" customWidth="1"/>
    <col min="6148" max="6148" width="7.140625" style="70" customWidth="1"/>
    <col min="6149" max="6149" width="8.5703125" style="70" customWidth="1"/>
    <col min="6150" max="6150" width="6.7109375" style="70" customWidth="1"/>
    <col min="6151" max="6151" width="11.7109375" style="70" customWidth="1"/>
    <col min="6152" max="6152" width="7.42578125" style="70" customWidth="1"/>
    <col min="6153" max="6153" width="12" style="70" bestFit="1" customWidth="1"/>
    <col min="6154" max="6154" width="6.7109375" style="70" bestFit="1" customWidth="1"/>
    <col min="6155" max="6155" width="11.7109375" style="70" customWidth="1"/>
    <col min="6156" max="6156" width="6.7109375" style="70" bestFit="1" customWidth="1"/>
    <col min="6157" max="6157" width="12" style="70" customWidth="1"/>
    <col min="6158" max="6158" width="6.5703125" style="70" customWidth="1"/>
    <col min="6159" max="6159" width="12" style="70" customWidth="1"/>
    <col min="6160" max="6160" width="21" style="70" customWidth="1"/>
    <col min="6161" max="6161" width="20.7109375" style="70" bestFit="1" customWidth="1"/>
    <col min="6162" max="6162" width="12.5703125" style="70" customWidth="1"/>
    <col min="6163" max="6400" width="9.140625" style="70"/>
    <col min="6401" max="6401" width="4.140625" style="70" customWidth="1"/>
    <col min="6402" max="6402" width="36.5703125" style="70" customWidth="1"/>
    <col min="6403" max="6403" width="14.28515625" style="70" customWidth="1"/>
    <col min="6404" max="6404" width="7.140625" style="70" customWidth="1"/>
    <col min="6405" max="6405" width="8.5703125" style="70" customWidth="1"/>
    <col min="6406" max="6406" width="6.7109375" style="70" customWidth="1"/>
    <col min="6407" max="6407" width="11.7109375" style="70" customWidth="1"/>
    <col min="6408" max="6408" width="7.42578125" style="70" customWidth="1"/>
    <col min="6409" max="6409" width="12" style="70" bestFit="1" customWidth="1"/>
    <col min="6410" max="6410" width="6.7109375" style="70" bestFit="1" customWidth="1"/>
    <col min="6411" max="6411" width="11.7109375" style="70" customWidth="1"/>
    <col min="6412" max="6412" width="6.7109375" style="70" bestFit="1" customWidth="1"/>
    <col min="6413" max="6413" width="12" style="70" customWidth="1"/>
    <col min="6414" max="6414" width="6.5703125" style="70" customWidth="1"/>
    <col min="6415" max="6415" width="12" style="70" customWidth="1"/>
    <col min="6416" max="6416" width="21" style="70" customWidth="1"/>
    <col min="6417" max="6417" width="20.7109375" style="70" bestFit="1" customWidth="1"/>
    <col min="6418" max="6418" width="12.5703125" style="70" customWidth="1"/>
    <col min="6419" max="6656" width="9.140625" style="70"/>
    <col min="6657" max="6657" width="4.140625" style="70" customWidth="1"/>
    <col min="6658" max="6658" width="36.5703125" style="70" customWidth="1"/>
    <col min="6659" max="6659" width="14.28515625" style="70" customWidth="1"/>
    <col min="6660" max="6660" width="7.140625" style="70" customWidth="1"/>
    <col min="6661" max="6661" width="8.5703125" style="70" customWidth="1"/>
    <col min="6662" max="6662" width="6.7109375" style="70" customWidth="1"/>
    <col min="6663" max="6663" width="11.7109375" style="70" customWidth="1"/>
    <col min="6664" max="6664" width="7.42578125" style="70" customWidth="1"/>
    <col min="6665" max="6665" width="12" style="70" bestFit="1" customWidth="1"/>
    <col min="6666" max="6666" width="6.7109375" style="70" bestFit="1" customWidth="1"/>
    <col min="6667" max="6667" width="11.7109375" style="70" customWidth="1"/>
    <col min="6668" max="6668" width="6.7109375" style="70" bestFit="1" customWidth="1"/>
    <col min="6669" max="6669" width="12" style="70" customWidth="1"/>
    <col min="6670" max="6670" width="6.5703125" style="70" customWidth="1"/>
    <col min="6671" max="6671" width="12" style="70" customWidth="1"/>
    <col min="6672" max="6672" width="21" style="70" customWidth="1"/>
    <col min="6673" max="6673" width="20.7109375" style="70" bestFit="1" customWidth="1"/>
    <col min="6674" max="6674" width="12.5703125" style="70" customWidth="1"/>
    <col min="6675" max="6912" width="9.140625" style="70"/>
    <col min="6913" max="6913" width="4.140625" style="70" customWidth="1"/>
    <col min="6914" max="6914" width="36.5703125" style="70" customWidth="1"/>
    <col min="6915" max="6915" width="14.28515625" style="70" customWidth="1"/>
    <col min="6916" max="6916" width="7.140625" style="70" customWidth="1"/>
    <col min="6917" max="6917" width="8.5703125" style="70" customWidth="1"/>
    <col min="6918" max="6918" width="6.7109375" style="70" customWidth="1"/>
    <col min="6919" max="6919" width="11.7109375" style="70" customWidth="1"/>
    <col min="6920" max="6920" width="7.42578125" style="70" customWidth="1"/>
    <col min="6921" max="6921" width="12" style="70" bestFit="1" customWidth="1"/>
    <col min="6922" max="6922" width="6.7109375" style="70" bestFit="1" customWidth="1"/>
    <col min="6923" max="6923" width="11.7109375" style="70" customWidth="1"/>
    <col min="6924" max="6924" width="6.7109375" style="70" bestFit="1" customWidth="1"/>
    <col min="6925" max="6925" width="12" style="70" customWidth="1"/>
    <col min="6926" max="6926" width="6.5703125" style="70" customWidth="1"/>
    <col min="6927" max="6927" width="12" style="70" customWidth="1"/>
    <col min="6928" max="6928" width="21" style="70" customWidth="1"/>
    <col min="6929" max="6929" width="20.7109375" style="70" bestFit="1" customWidth="1"/>
    <col min="6930" max="6930" width="12.5703125" style="70" customWidth="1"/>
    <col min="6931" max="7168" width="9.140625" style="70"/>
    <col min="7169" max="7169" width="4.140625" style="70" customWidth="1"/>
    <col min="7170" max="7170" width="36.5703125" style="70" customWidth="1"/>
    <col min="7171" max="7171" width="14.28515625" style="70" customWidth="1"/>
    <col min="7172" max="7172" width="7.140625" style="70" customWidth="1"/>
    <col min="7173" max="7173" width="8.5703125" style="70" customWidth="1"/>
    <col min="7174" max="7174" width="6.7109375" style="70" customWidth="1"/>
    <col min="7175" max="7175" width="11.7109375" style="70" customWidth="1"/>
    <col min="7176" max="7176" width="7.42578125" style="70" customWidth="1"/>
    <col min="7177" max="7177" width="12" style="70" bestFit="1" customWidth="1"/>
    <col min="7178" max="7178" width="6.7109375" style="70" bestFit="1" customWidth="1"/>
    <col min="7179" max="7179" width="11.7109375" style="70" customWidth="1"/>
    <col min="7180" max="7180" width="6.7109375" style="70" bestFit="1" customWidth="1"/>
    <col min="7181" max="7181" width="12" style="70" customWidth="1"/>
    <col min="7182" max="7182" width="6.5703125" style="70" customWidth="1"/>
    <col min="7183" max="7183" width="12" style="70" customWidth="1"/>
    <col min="7184" max="7184" width="21" style="70" customWidth="1"/>
    <col min="7185" max="7185" width="20.7109375" style="70" bestFit="1" customWidth="1"/>
    <col min="7186" max="7186" width="12.5703125" style="70" customWidth="1"/>
    <col min="7187" max="7424" width="9.140625" style="70"/>
    <col min="7425" max="7425" width="4.140625" style="70" customWidth="1"/>
    <col min="7426" max="7426" width="36.5703125" style="70" customWidth="1"/>
    <col min="7427" max="7427" width="14.28515625" style="70" customWidth="1"/>
    <col min="7428" max="7428" width="7.140625" style="70" customWidth="1"/>
    <col min="7429" max="7429" width="8.5703125" style="70" customWidth="1"/>
    <col min="7430" max="7430" width="6.7109375" style="70" customWidth="1"/>
    <col min="7431" max="7431" width="11.7109375" style="70" customWidth="1"/>
    <col min="7432" max="7432" width="7.42578125" style="70" customWidth="1"/>
    <col min="7433" max="7433" width="12" style="70" bestFit="1" customWidth="1"/>
    <col min="7434" max="7434" width="6.7109375" style="70" bestFit="1" customWidth="1"/>
    <col min="7435" max="7435" width="11.7109375" style="70" customWidth="1"/>
    <col min="7436" max="7436" width="6.7109375" style="70" bestFit="1" customWidth="1"/>
    <col min="7437" max="7437" width="12" style="70" customWidth="1"/>
    <col min="7438" max="7438" width="6.5703125" style="70" customWidth="1"/>
    <col min="7439" max="7439" width="12" style="70" customWidth="1"/>
    <col min="7440" max="7440" width="21" style="70" customWidth="1"/>
    <col min="7441" max="7441" width="20.7109375" style="70" bestFit="1" customWidth="1"/>
    <col min="7442" max="7442" width="12.5703125" style="70" customWidth="1"/>
    <col min="7443" max="7680" width="9.140625" style="70"/>
    <col min="7681" max="7681" width="4.140625" style="70" customWidth="1"/>
    <col min="7682" max="7682" width="36.5703125" style="70" customWidth="1"/>
    <col min="7683" max="7683" width="14.28515625" style="70" customWidth="1"/>
    <col min="7684" max="7684" width="7.140625" style="70" customWidth="1"/>
    <col min="7685" max="7685" width="8.5703125" style="70" customWidth="1"/>
    <col min="7686" max="7686" width="6.7109375" style="70" customWidth="1"/>
    <col min="7687" max="7687" width="11.7109375" style="70" customWidth="1"/>
    <col min="7688" max="7688" width="7.42578125" style="70" customWidth="1"/>
    <col min="7689" max="7689" width="12" style="70" bestFit="1" customWidth="1"/>
    <col min="7690" max="7690" width="6.7109375" style="70" bestFit="1" customWidth="1"/>
    <col min="7691" max="7691" width="11.7109375" style="70" customWidth="1"/>
    <col min="7692" max="7692" width="6.7109375" style="70" bestFit="1" customWidth="1"/>
    <col min="7693" max="7693" width="12" style="70" customWidth="1"/>
    <col min="7694" max="7694" width="6.5703125" style="70" customWidth="1"/>
    <col min="7695" max="7695" width="12" style="70" customWidth="1"/>
    <col min="7696" max="7696" width="21" style="70" customWidth="1"/>
    <col min="7697" max="7697" width="20.7109375" style="70" bestFit="1" customWidth="1"/>
    <col min="7698" max="7698" width="12.5703125" style="70" customWidth="1"/>
    <col min="7699" max="7936" width="9.140625" style="70"/>
    <col min="7937" max="7937" width="4.140625" style="70" customWidth="1"/>
    <col min="7938" max="7938" width="36.5703125" style="70" customWidth="1"/>
    <col min="7939" max="7939" width="14.28515625" style="70" customWidth="1"/>
    <col min="7940" max="7940" width="7.140625" style="70" customWidth="1"/>
    <col min="7941" max="7941" width="8.5703125" style="70" customWidth="1"/>
    <col min="7942" max="7942" width="6.7109375" style="70" customWidth="1"/>
    <col min="7943" max="7943" width="11.7109375" style="70" customWidth="1"/>
    <col min="7944" max="7944" width="7.42578125" style="70" customWidth="1"/>
    <col min="7945" max="7945" width="12" style="70" bestFit="1" customWidth="1"/>
    <col min="7946" max="7946" width="6.7109375" style="70" bestFit="1" customWidth="1"/>
    <col min="7947" max="7947" width="11.7109375" style="70" customWidth="1"/>
    <col min="7948" max="7948" width="6.7109375" style="70" bestFit="1" customWidth="1"/>
    <col min="7949" max="7949" width="12" style="70" customWidth="1"/>
    <col min="7950" max="7950" width="6.5703125" style="70" customWidth="1"/>
    <col min="7951" max="7951" width="12" style="70" customWidth="1"/>
    <col min="7952" max="7952" width="21" style="70" customWidth="1"/>
    <col min="7953" max="7953" width="20.7109375" style="70" bestFit="1" customWidth="1"/>
    <col min="7954" max="7954" width="12.5703125" style="70" customWidth="1"/>
    <col min="7955" max="8192" width="9.140625" style="70"/>
    <col min="8193" max="8193" width="4.140625" style="70" customWidth="1"/>
    <col min="8194" max="8194" width="36.5703125" style="70" customWidth="1"/>
    <col min="8195" max="8195" width="14.28515625" style="70" customWidth="1"/>
    <col min="8196" max="8196" width="7.140625" style="70" customWidth="1"/>
    <col min="8197" max="8197" width="8.5703125" style="70" customWidth="1"/>
    <col min="8198" max="8198" width="6.7109375" style="70" customWidth="1"/>
    <col min="8199" max="8199" width="11.7109375" style="70" customWidth="1"/>
    <col min="8200" max="8200" width="7.42578125" style="70" customWidth="1"/>
    <col min="8201" max="8201" width="12" style="70" bestFit="1" customWidth="1"/>
    <col min="8202" max="8202" width="6.7109375" style="70" bestFit="1" customWidth="1"/>
    <col min="8203" max="8203" width="11.7109375" style="70" customWidth="1"/>
    <col min="8204" max="8204" width="6.7109375" style="70" bestFit="1" customWidth="1"/>
    <col min="8205" max="8205" width="12" style="70" customWidth="1"/>
    <col min="8206" max="8206" width="6.5703125" style="70" customWidth="1"/>
    <col min="8207" max="8207" width="12" style="70" customWidth="1"/>
    <col min="8208" max="8208" width="21" style="70" customWidth="1"/>
    <col min="8209" max="8209" width="20.7109375" style="70" bestFit="1" customWidth="1"/>
    <col min="8210" max="8210" width="12.5703125" style="70" customWidth="1"/>
    <col min="8211" max="8448" width="9.140625" style="70"/>
    <col min="8449" max="8449" width="4.140625" style="70" customWidth="1"/>
    <col min="8450" max="8450" width="36.5703125" style="70" customWidth="1"/>
    <col min="8451" max="8451" width="14.28515625" style="70" customWidth="1"/>
    <col min="8452" max="8452" width="7.140625" style="70" customWidth="1"/>
    <col min="8453" max="8453" width="8.5703125" style="70" customWidth="1"/>
    <col min="8454" max="8454" width="6.7109375" style="70" customWidth="1"/>
    <col min="8455" max="8455" width="11.7109375" style="70" customWidth="1"/>
    <col min="8456" max="8456" width="7.42578125" style="70" customWidth="1"/>
    <col min="8457" max="8457" width="12" style="70" bestFit="1" customWidth="1"/>
    <col min="8458" max="8458" width="6.7109375" style="70" bestFit="1" customWidth="1"/>
    <col min="8459" max="8459" width="11.7109375" style="70" customWidth="1"/>
    <col min="8460" max="8460" width="6.7109375" style="70" bestFit="1" customWidth="1"/>
    <col min="8461" max="8461" width="12" style="70" customWidth="1"/>
    <col min="8462" max="8462" width="6.5703125" style="70" customWidth="1"/>
    <col min="8463" max="8463" width="12" style="70" customWidth="1"/>
    <col min="8464" max="8464" width="21" style="70" customWidth="1"/>
    <col min="8465" max="8465" width="20.7109375" style="70" bestFit="1" customWidth="1"/>
    <col min="8466" max="8466" width="12.5703125" style="70" customWidth="1"/>
    <col min="8467" max="8704" width="9.140625" style="70"/>
    <col min="8705" max="8705" width="4.140625" style="70" customWidth="1"/>
    <col min="8706" max="8706" width="36.5703125" style="70" customWidth="1"/>
    <col min="8707" max="8707" width="14.28515625" style="70" customWidth="1"/>
    <col min="8708" max="8708" width="7.140625" style="70" customWidth="1"/>
    <col min="8709" max="8709" width="8.5703125" style="70" customWidth="1"/>
    <col min="8710" max="8710" width="6.7109375" style="70" customWidth="1"/>
    <col min="8711" max="8711" width="11.7109375" style="70" customWidth="1"/>
    <col min="8712" max="8712" width="7.42578125" style="70" customWidth="1"/>
    <col min="8713" max="8713" width="12" style="70" bestFit="1" customWidth="1"/>
    <col min="8714" max="8714" width="6.7109375" style="70" bestFit="1" customWidth="1"/>
    <col min="8715" max="8715" width="11.7109375" style="70" customWidth="1"/>
    <col min="8716" max="8716" width="6.7109375" style="70" bestFit="1" customWidth="1"/>
    <col min="8717" max="8717" width="12" style="70" customWidth="1"/>
    <col min="8718" max="8718" width="6.5703125" style="70" customWidth="1"/>
    <col min="8719" max="8719" width="12" style="70" customWidth="1"/>
    <col min="8720" max="8720" width="21" style="70" customWidth="1"/>
    <col min="8721" max="8721" width="20.7109375" style="70" bestFit="1" customWidth="1"/>
    <col min="8722" max="8722" width="12.5703125" style="70" customWidth="1"/>
    <col min="8723" max="8960" width="9.140625" style="70"/>
    <col min="8961" max="8961" width="4.140625" style="70" customWidth="1"/>
    <col min="8962" max="8962" width="36.5703125" style="70" customWidth="1"/>
    <col min="8963" max="8963" width="14.28515625" style="70" customWidth="1"/>
    <col min="8964" max="8964" width="7.140625" style="70" customWidth="1"/>
    <col min="8965" max="8965" width="8.5703125" style="70" customWidth="1"/>
    <col min="8966" max="8966" width="6.7109375" style="70" customWidth="1"/>
    <col min="8967" max="8967" width="11.7109375" style="70" customWidth="1"/>
    <col min="8968" max="8968" width="7.42578125" style="70" customWidth="1"/>
    <col min="8969" max="8969" width="12" style="70" bestFit="1" customWidth="1"/>
    <col min="8970" max="8970" width="6.7109375" style="70" bestFit="1" customWidth="1"/>
    <col min="8971" max="8971" width="11.7109375" style="70" customWidth="1"/>
    <col min="8972" max="8972" width="6.7109375" style="70" bestFit="1" customWidth="1"/>
    <col min="8973" max="8973" width="12" style="70" customWidth="1"/>
    <col min="8974" max="8974" width="6.5703125" style="70" customWidth="1"/>
    <col min="8975" max="8975" width="12" style="70" customWidth="1"/>
    <col min="8976" max="8976" width="21" style="70" customWidth="1"/>
    <col min="8977" max="8977" width="20.7109375" style="70" bestFit="1" customWidth="1"/>
    <col min="8978" max="8978" width="12.5703125" style="70" customWidth="1"/>
    <col min="8979" max="9216" width="9.140625" style="70"/>
    <col min="9217" max="9217" width="4.140625" style="70" customWidth="1"/>
    <col min="9218" max="9218" width="36.5703125" style="70" customWidth="1"/>
    <col min="9219" max="9219" width="14.28515625" style="70" customWidth="1"/>
    <col min="9220" max="9220" width="7.140625" style="70" customWidth="1"/>
    <col min="9221" max="9221" width="8.5703125" style="70" customWidth="1"/>
    <col min="9222" max="9222" width="6.7109375" style="70" customWidth="1"/>
    <col min="9223" max="9223" width="11.7109375" style="70" customWidth="1"/>
    <col min="9224" max="9224" width="7.42578125" style="70" customWidth="1"/>
    <col min="9225" max="9225" width="12" style="70" bestFit="1" customWidth="1"/>
    <col min="9226" max="9226" width="6.7109375" style="70" bestFit="1" customWidth="1"/>
    <col min="9227" max="9227" width="11.7109375" style="70" customWidth="1"/>
    <col min="9228" max="9228" width="6.7109375" style="70" bestFit="1" customWidth="1"/>
    <col min="9229" max="9229" width="12" style="70" customWidth="1"/>
    <col min="9230" max="9230" width="6.5703125" style="70" customWidth="1"/>
    <col min="9231" max="9231" width="12" style="70" customWidth="1"/>
    <col min="9232" max="9232" width="21" style="70" customWidth="1"/>
    <col min="9233" max="9233" width="20.7109375" style="70" bestFit="1" customWidth="1"/>
    <col min="9234" max="9234" width="12.5703125" style="70" customWidth="1"/>
    <col min="9235" max="9472" width="9.140625" style="70"/>
    <col min="9473" max="9473" width="4.140625" style="70" customWidth="1"/>
    <col min="9474" max="9474" width="36.5703125" style="70" customWidth="1"/>
    <col min="9475" max="9475" width="14.28515625" style="70" customWidth="1"/>
    <col min="9476" max="9476" width="7.140625" style="70" customWidth="1"/>
    <col min="9477" max="9477" width="8.5703125" style="70" customWidth="1"/>
    <col min="9478" max="9478" width="6.7109375" style="70" customWidth="1"/>
    <col min="9479" max="9479" width="11.7109375" style="70" customWidth="1"/>
    <col min="9480" max="9480" width="7.42578125" style="70" customWidth="1"/>
    <col min="9481" max="9481" width="12" style="70" bestFit="1" customWidth="1"/>
    <col min="9482" max="9482" width="6.7109375" style="70" bestFit="1" customWidth="1"/>
    <col min="9483" max="9483" width="11.7109375" style="70" customWidth="1"/>
    <col min="9484" max="9484" width="6.7109375" style="70" bestFit="1" customWidth="1"/>
    <col min="9485" max="9485" width="12" style="70" customWidth="1"/>
    <col min="9486" max="9486" width="6.5703125" style="70" customWidth="1"/>
    <col min="9487" max="9487" width="12" style="70" customWidth="1"/>
    <col min="9488" max="9488" width="21" style="70" customWidth="1"/>
    <col min="9489" max="9489" width="20.7109375" style="70" bestFit="1" customWidth="1"/>
    <col min="9490" max="9490" width="12.5703125" style="70" customWidth="1"/>
    <col min="9491" max="9728" width="9.140625" style="70"/>
    <col min="9729" max="9729" width="4.140625" style="70" customWidth="1"/>
    <col min="9730" max="9730" width="36.5703125" style="70" customWidth="1"/>
    <col min="9731" max="9731" width="14.28515625" style="70" customWidth="1"/>
    <col min="9732" max="9732" width="7.140625" style="70" customWidth="1"/>
    <col min="9733" max="9733" width="8.5703125" style="70" customWidth="1"/>
    <col min="9734" max="9734" width="6.7109375" style="70" customWidth="1"/>
    <col min="9735" max="9735" width="11.7109375" style="70" customWidth="1"/>
    <col min="9736" max="9736" width="7.42578125" style="70" customWidth="1"/>
    <col min="9737" max="9737" width="12" style="70" bestFit="1" customWidth="1"/>
    <col min="9738" max="9738" width="6.7109375" style="70" bestFit="1" customWidth="1"/>
    <col min="9739" max="9739" width="11.7109375" style="70" customWidth="1"/>
    <col min="9740" max="9740" width="6.7109375" style="70" bestFit="1" customWidth="1"/>
    <col min="9741" max="9741" width="12" style="70" customWidth="1"/>
    <col min="9742" max="9742" width="6.5703125" style="70" customWidth="1"/>
    <col min="9743" max="9743" width="12" style="70" customWidth="1"/>
    <col min="9744" max="9744" width="21" style="70" customWidth="1"/>
    <col min="9745" max="9745" width="20.7109375" style="70" bestFit="1" customWidth="1"/>
    <col min="9746" max="9746" width="12.5703125" style="70" customWidth="1"/>
    <col min="9747" max="9984" width="9.140625" style="70"/>
    <col min="9985" max="9985" width="4.140625" style="70" customWidth="1"/>
    <col min="9986" max="9986" width="36.5703125" style="70" customWidth="1"/>
    <col min="9987" max="9987" width="14.28515625" style="70" customWidth="1"/>
    <col min="9988" max="9988" width="7.140625" style="70" customWidth="1"/>
    <col min="9989" max="9989" width="8.5703125" style="70" customWidth="1"/>
    <col min="9990" max="9990" width="6.7109375" style="70" customWidth="1"/>
    <col min="9991" max="9991" width="11.7109375" style="70" customWidth="1"/>
    <col min="9992" max="9992" width="7.42578125" style="70" customWidth="1"/>
    <col min="9993" max="9993" width="12" style="70" bestFit="1" customWidth="1"/>
    <col min="9994" max="9994" width="6.7109375" style="70" bestFit="1" customWidth="1"/>
    <col min="9995" max="9995" width="11.7109375" style="70" customWidth="1"/>
    <col min="9996" max="9996" width="6.7109375" style="70" bestFit="1" customWidth="1"/>
    <col min="9997" max="9997" width="12" style="70" customWidth="1"/>
    <col min="9998" max="9998" width="6.5703125" style="70" customWidth="1"/>
    <col min="9999" max="9999" width="12" style="70" customWidth="1"/>
    <col min="10000" max="10000" width="21" style="70" customWidth="1"/>
    <col min="10001" max="10001" width="20.7109375" style="70" bestFit="1" customWidth="1"/>
    <col min="10002" max="10002" width="12.5703125" style="70" customWidth="1"/>
    <col min="10003" max="10240" width="9.140625" style="70"/>
    <col min="10241" max="10241" width="4.140625" style="70" customWidth="1"/>
    <col min="10242" max="10242" width="36.5703125" style="70" customWidth="1"/>
    <col min="10243" max="10243" width="14.28515625" style="70" customWidth="1"/>
    <col min="10244" max="10244" width="7.140625" style="70" customWidth="1"/>
    <col min="10245" max="10245" width="8.5703125" style="70" customWidth="1"/>
    <col min="10246" max="10246" width="6.7109375" style="70" customWidth="1"/>
    <col min="10247" max="10247" width="11.7109375" style="70" customWidth="1"/>
    <col min="10248" max="10248" width="7.42578125" style="70" customWidth="1"/>
    <col min="10249" max="10249" width="12" style="70" bestFit="1" customWidth="1"/>
    <col min="10250" max="10250" width="6.7109375" style="70" bestFit="1" customWidth="1"/>
    <col min="10251" max="10251" width="11.7109375" style="70" customWidth="1"/>
    <col min="10252" max="10252" width="6.7109375" style="70" bestFit="1" customWidth="1"/>
    <col min="10253" max="10253" width="12" style="70" customWidth="1"/>
    <col min="10254" max="10254" width="6.5703125" style="70" customWidth="1"/>
    <col min="10255" max="10255" width="12" style="70" customWidth="1"/>
    <col min="10256" max="10256" width="21" style="70" customWidth="1"/>
    <col min="10257" max="10257" width="20.7109375" style="70" bestFit="1" customWidth="1"/>
    <col min="10258" max="10258" width="12.5703125" style="70" customWidth="1"/>
    <col min="10259" max="10496" width="9.140625" style="70"/>
    <col min="10497" max="10497" width="4.140625" style="70" customWidth="1"/>
    <col min="10498" max="10498" width="36.5703125" style="70" customWidth="1"/>
    <col min="10499" max="10499" width="14.28515625" style="70" customWidth="1"/>
    <col min="10500" max="10500" width="7.140625" style="70" customWidth="1"/>
    <col min="10501" max="10501" width="8.5703125" style="70" customWidth="1"/>
    <col min="10502" max="10502" width="6.7109375" style="70" customWidth="1"/>
    <col min="10503" max="10503" width="11.7109375" style="70" customWidth="1"/>
    <col min="10504" max="10504" width="7.42578125" style="70" customWidth="1"/>
    <col min="10505" max="10505" width="12" style="70" bestFit="1" customWidth="1"/>
    <col min="10506" max="10506" width="6.7109375" style="70" bestFit="1" customWidth="1"/>
    <col min="10507" max="10507" width="11.7109375" style="70" customWidth="1"/>
    <col min="10508" max="10508" width="6.7109375" style="70" bestFit="1" customWidth="1"/>
    <col min="10509" max="10509" width="12" style="70" customWidth="1"/>
    <col min="10510" max="10510" width="6.5703125" style="70" customWidth="1"/>
    <col min="10511" max="10511" width="12" style="70" customWidth="1"/>
    <col min="10512" max="10512" width="21" style="70" customWidth="1"/>
    <col min="10513" max="10513" width="20.7109375" style="70" bestFit="1" customWidth="1"/>
    <col min="10514" max="10514" width="12.5703125" style="70" customWidth="1"/>
    <col min="10515" max="10752" width="9.140625" style="70"/>
    <col min="10753" max="10753" width="4.140625" style="70" customWidth="1"/>
    <col min="10754" max="10754" width="36.5703125" style="70" customWidth="1"/>
    <col min="10755" max="10755" width="14.28515625" style="70" customWidth="1"/>
    <col min="10756" max="10756" width="7.140625" style="70" customWidth="1"/>
    <col min="10757" max="10757" width="8.5703125" style="70" customWidth="1"/>
    <col min="10758" max="10758" width="6.7109375" style="70" customWidth="1"/>
    <col min="10759" max="10759" width="11.7109375" style="70" customWidth="1"/>
    <col min="10760" max="10760" width="7.42578125" style="70" customWidth="1"/>
    <col min="10761" max="10761" width="12" style="70" bestFit="1" customWidth="1"/>
    <col min="10762" max="10762" width="6.7109375" style="70" bestFit="1" customWidth="1"/>
    <col min="10763" max="10763" width="11.7109375" style="70" customWidth="1"/>
    <col min="10764" max="10764" width="6.7109375" style="70" bestFit="1" customWidth="1"/>
    <col min="10765" max="10765" width="12" style="70" customWidth="1"/>
    <col min="10766" max="10766" width="6.5703125" style="70" customWidth="1"/>
    <col min="10767" max="10767" width="12" style="70" customWidth="1"/>
    <col min="10768" max="10768" width="21" style="70" customWidth="1"/>
    <col min="10769" max="10769" width="20.7109375" style="70" bestFit="1" customWidth="1"/>
    <col min="10770" max="10770" width="12.5703125" style="70" customWidth="1"/>
    <col min="10771" max="11008" width="9.140625" style="70"/>
    <col min="11009" max="11009" width="4.140625" style="70" customWidth="1"/>
    <col min="11010" max="11010" width="36.5703125" style="70" customWidth="1"/>
    <col min="11011" max="11011" width="14.28515625" style="70" customWidth="1"/>
    <col min="11012" max="11012" width="7.140625" style="70" customWidth="1"/>
    <col min="11013" max="11013" width="8.5703125" style="70" customWidth="1"/>
    <col min="11014" max="11014" width="6.7109375" style="70" customWidth="1"/>
    <col min="11015" max="11015" width="11.7109375" style="70" customWidth="1"/>
    <col min="11016" max="11016" width="7.42578125" style="70" customWidth="1"/>
    <col min="11017" max="11017" width="12" style="70" bestFit="1" customWidth="1"/>
    <col min="11018" max="11018" width="6.7109375" style="70" bestFit="1" customWidth="1"/>
    <col min="11019" max="11019" width="11.7109375" style="70" customWidth="1"/>
    <col min="11020" max="11020" width="6.7109375" style="70" bestFit="1" customWidth="1"/>
    <col min="11021" max="11021" width="12" style="70" customWidth="1"/>
    <col min="11022" max="11022" width="6.5703125" style="70" customWidth="1"/>
    <col min="11023" max="11023" width="12" style="70" customWidth="1"/>
    <col min="11024" max="11024" width="21" style="70" customWidth="1"/>
    <col min="11025" max="11025" width="20.7109375" style="70" bestFit="1" customWidth="1"/>
    <col min="11026" max="11026" width="12.5703125" style="70" customWidth="1"/>
    <col min="11027" max="11264" width="9.140625" style="70"/>
    <col min="11265" max="11265" width="4.140625" style="70" customWidth="1"/>
    <col min="11266" max="11266" width="36.5703125" style="70" customWidth="1"/>
    <col min="11267" max="11267" width="14.28515625" style="70" customWidth="1"/>
    <col min="11268" max="11268" width="7.140625" style="70" customWidth="1"/>
    <col min="11269" max="11269" width="8.5703125" style="70" customWidth="1"/>
    <col min="11270" max="11270" width="6.7109375" style="70" customWidth="1"/>
    <col min="11271" max="11271" width="11.7109375" style="70" customWidth="1"/>
    <col min="11272" max="11272" width="7.42578125" style="70" customWidth="1"/>
    <col min="11273" max="11273" width="12" style="70" bestFit="1" customWidth="1"/>
    <col min="11274" max="11274" width="6.7109375" style="70" bestFit="1" customWidth="1"/>
    <col min="11275" max="11275" width="11.7109375" style="70" customWidth="1"/>
    <col min="11276" max="11276" width="6.7109375" style="70" bestFit="1" customWidth="1"/>
    <col min="11277" max="11277" width="12" style="70" customWidth="1"/>
    <col min="11278" max="11278" width="6.5703125" style="70" customWidth="1"/>
    <col min="11279" max="11279" width="12" style="70" customWidth="1"/>
    <col min="11280" max="11280" width="21" style="70" customWidth="1"/>
    <col min="11281" max="11281" width="20.7109375" style="70" bestFit="1" customWidth="1"/>
    <col min="11282" max="11282" width="12.5703125" style="70" customWidth="1"/>
    <col min="11283" max="11520" width="9.140625" style="70"/>
    <col min="11521" max="11521" width="4.140625" style="70" customWidth="1"/>
    <col min="11522" max="11522" width="36.5703125" style="70" customWidth="1"/>
    <col min="11523" max="11523" width="14.28515625" style="70" customWidth="1"/>
    <col min="11524" max="11524" width="7.140625" style="70" customWidth="1"/>
    <col min="11525" max="11525" width="8.5703125" style="70" customWidth="1"/>
    <col min="11526" max="11526" width="6.7109375" style="70" customWidth="1"/>
    <col min="11527" max="11527" width="11.7109375" style="70" customWidth="1"/>
    <col min="11528" max="11528" width="7.42578125" style="70" customWidth="1"/>
    <col min="11529" max="11529" width="12" style="70" bestFit="1" customWidth="1"/>
    <col min="11530" max="11530" width="6.7109375" style="70" bestFit="1" customWidth="1"/>
    <col min="11531" max="11531" width="11.7109375" style="70" customWidth="1"/>
    <col min="11532" max="11532" width="6.7109375" style="70" bestFit="1" customWidth="1"/>
    <col min="11533" max="11533" width="12" style="70" customWidth="1"/>
    <col min="11534" max="11534" width="6.5703125" style="70" customWidth="1"/>
    <col min="11535" max="11535" width="12" style="70" customWidth="1"/>
    <col min="11536" max="11536" width="21" style="70" customWidth="1"/>
    <col min="11537" max="11537" width="20.7109375" style="70" bestFit="1" customWidth="1"/>
    <col min="11538" max="11538" width="12.5703125" style="70" customWidth="1"/>
    <col min="11539" max="11776" width="9.140625" style="70"/>
    <col min="11777" max="11777" width="4.140625" style="70" customWidth="1"/>
    <col min="11778" max="11778" width="36.5703125" style="70" customWidth="1"/>
    <col min="11779" max="11779" width="14.28515625" style="70" customWidth="1"/>
    <col min="11780" max="11780" width="7.140625" style="70" customWidth="1"/>
    <col min="11781" max="11781" width="8.5703125" style="70" customWidth="1"/>
    <col min="11782" max="11782" width="6.7109375" style="70" customWidth="1"/>
    <col min="11783" max="11783" width="11.7109375" style="70" customWidth="1"/>
    <col min="11784" max="11784" width="7.42578125" style="70" customWidth="1"/>
    <col min="11785" max="11785" width="12" style="70" bestFit="1" customWidth="1"/>
    <col min="11786" max="11786" width="6.7109375" style="70" bestFit="1" customWidth="1"/>
    <col min="11787" max="11787" width="11.7109375" style="70" customWidth="1"/>
    <col min="11788" max="11788" width="6.7109375" style="70" bestFit="1" customWidth="1"/>
    <col min="11789" max="11789" width="12" style="70" customWidth="1"/>
    <col min="11790" max="11790" width="6.5703125" style="70" customWidth="1"/>
    <col min="11791" max="11791" width="12" style="70" customWidth="1"/>
    <col min="11792" max="11792" width="21" style="70" customWidth="1"/>
    <col min="11793" max="11793" width="20.7109375" style="70" bestFit="1" customWidth="1"/>
    <col min="11794" max="11794" width="12.5703125" style="70" customWidth="1"/>
    <col min="11795" max="12032" width="9.140625" style="70"/>
    <col min="12033" max="12033" width="4.140625" style="70" customWidth="1"/>
    <col min="12034" max="12034" width="36.5703125" style="70" customWidth="1"/>
    <col min="12035" max="12035" width="14.28515625" style="70" customWidth="1"/>
    <col min="12036" max="12036" width="7.140625" style="70" customWidth="1"/>
    <col min="12037" max="12037" width="8.5703125" style="70" customWidth="1"/>
    <col min="12038" max="12038" width="6.7109375" style="70" customWidth="1"/>
    <col min="12039" max="12039" width="11.7109375" style="70" customWidth="1"/>
    <col min="12040" max="12040" width="7.42578125" style="70" customWidth="1"/>
    <col min="12041" max="12041" width="12" style="70" bestFit="1" customWidth="1"/>
    <col min="12042" max="12042" width="6.7109375" style="70" bestFit="1" customWidth="1"/>
    <col min="12043" max="12043" width="11.7109375" style="70" customWidth="1"/>
    <col min="12044" max="12044" width="6.7109375" style="70" bestFit="1" customWidth="1"/>
    <col min="12045" max="12045" width="12" style="70" customWidth="1"/>
    <col min="12046" max="12046" width="6.5703125" style="70" customWidth="1"/>
    <col min="12047" max="12047" width="12" style="70" customWidth="1"/>
    <col min="12048" max="12048" width="21" style="70" customWidth="1"/>
    <col min="12049" max="12049" width="20.7109375" style="70" bestFit="1" customWidth="1"/>
    <col min="12050" max="12050" width="12.5703125" style="70" customWidth="1"/>
    <col min="12051" max="12288" width="9.140625" style="70"/>
    <col min="12289" max="12289" width="4.140625" style="70" customWidth="1"/>
    <col min="12290" max="12290" width="36.5703125" style="70" customWidth="1"/>
    <col min="12291" max="12291" width="14.28515625" style="70" customWidth="1"/>
    <col min="12292" max="12292" width="7.140625" style="70" customWidth="1"/>
    <col min="12293" max="12293" width="8.5703125" style="70" customWidth="1"/>
    <col min="12294" max="12294" width="6.7109375" style="70" customWidth="1"/>
    <col min="12295" max="12295" width="11.7109375" style="70" customWidth="1"/>
    <col min="12296" max="12296" width="7.42578125" style="70" customWidth="1"/>
    <col min="12297" max="12297" width="12" style="70" bestFit="1" customWidth="1"/>
    <col min="12298" max="12298" width="6.7109375" style="70" bestFit="1" customWidth="1"/>
    <col min="12299" max="12299" width="11.7109375" style="70" customWidth="1"/>
    <col min="12300" max="12300" width="6.7109375" style="70" bestFit="1" customWidth="1"/>
    <col min="12301" max="12301" width="12" style="70" customWidth="1"/>
    <col min="12302" max="12302" width="6.5703125" style="70" customWidth="1"/>
    <col min="12303" max="12303" width="12" style="70" customWidth="1"/>
    <col min="12304" max="12304" width="21" style="70" customWidth="1"/>
    <col min="12305" max="12305" width="20.7109375" style="70" bestFit="1" customWidth="1"/>
    <col min="12306" max="12306" width="12.5703125" style="70" customWidth="1"/>
    <col min="12307" max="12544" width="9.140625" style="70"/>
    <col min="12545" max="12545" width="4.140625" style="70" customWidth="1"/>
    <col min="12546" max="12546" width="36.5703125" style="70" customWidth="1"/>
    <col min="12547" max="12547" width="14.28515625" style="70" customWidth="1"/>
    <col min="12548" max="12548" width="7.140625" style="70" customWidth="1"/>
    <col min="12549" max="12549" width="8.5703125" style="70" customWidth="1"/>
    <col min="12550" max="12550" width="6.7109375" style="70" customWidth="1"/>
    <col min="12551" max="12551" width="11.7109375" style="70" customWidth="1"/>
    <col min="12552" max="12552" width="7.42578125" style="70" customWidth="1"/>
    <col min="12553" max="12553" width="12" style="70" bestFit="1" customWidth="1"/>
    <col min="12554" max="12554" width="6.7109375" style="70" bestFit="1" customWidth="1"/>
    <col min="12555" max="12555" width="11.7109375" style="70" customWidth="1"/>
    <col min="12556" max="12556" width="6.7109375" style="70" bestFit="1" customWidth="1"/>
    <col min="12557" max="12557" width="12" style="70" customWidth="1"/>
    <col min="12558" max="12558" width="6.5703125" style="70" customWidth="1"/>
    <col min="12559" max="12559" width="12" style="70" customWidth="1"/>
    <col min="12560" max="12560" width="21" style="70" customWidth="1"/>
    <col min="12561" max="12561" width="20.7109375" style="70" bestFit="1" customWidth="1"/>
    <col min="12562" max="12562" width="12.5703125" style="70" customWidth="1"/>
    <col min="12563" max="12800" width="9.140625" style="70"/>
    <col min="12801" max="12801" width="4.140625" style="70" customWidth="1"/>
    <col min="12802" max="12802" width="36.5703125" style="70" customWidth="1"/>
    <col min="12803" max="12803" width="14.28515625" style="70" customWidth="1"/>
    <col min="12804" max="12804" width="7.140625" style="70" customWidth="1"/>
    <col min="12805" max="12805" width="8.5703125" style="70" customWidth="1"/>
    <col min="12806" max="12806" width="6.7109375" style="70" customWidth="1"/>
    <col min="12807" max="12807" width="11.7109375" style="70" customWidth="1"/>
    <col min="12808" max="12808" width="7.42578125" style="70" customWidth="1"/>
    <col min="12809" max="12809" width="12" style="70" bestFit="1" customWidth="1"/>
    <col min="12810" max="12810" width="6.7109375" style="70" bestFit="1" customWidth="1"/>
    <col min="12811" max="12811" width="11.7109375" style="70" customWidth="1"/>
    <col min="12812" max="12812" width="6.7109375" style="70" bestFit="1" customWidth="1"/>
    <col min="12813" max="12813" width="12" style="70" customWidth="1"/>
    <col min="12814" max="12814" width="6.5703125" style="70" customWidth="1"/>
    <col min="12815" max="12815" width="12" style="70" customWidth="1"/>
    <col min="12816" max="12816" width="21" style="70" customWidth="1"/>
    <col min="12817" max="12817" width="20.7109375" style="70" bestFit="1" customWidth="1"/>
    <col min="12818" max="12818" width="12.5703125" style="70" customWidth="1"/>
    <col min="12819" max="13056" width="9.140625" style="70"/>
    <col min="13057" max="13057" width="4.140625" style="70" customWidth="1"/>
    <col min="13058" max="13058" width="36.5703125" style="70" customWidth="1"/>
    <col min="13059" max="13059" width="14.28515625" style="70" customWidth="1"/>
    <col min="13060" max="13060" width="7.140625" style="70" customWidth="1"/>
    <col min="13061" max="13061" width="8.5703125" style="70" customWidth="1"/>
    <col min="13062" max="13062" width="6.7109375" style="70" customWidth="1"/>
    <col min="13063" max="13063" width="11.7109375" style="70" customWidth="1"/>
    <col min="13064" max="13064" width="7.42578125" style="70" customWidth="1"/>
    <col min="13065" max="13065" width="12" style="70" bestFit="1" customWidth="1"/>
    <col min="13066" max="13066" width="6.7109375" style="70" bestFit="1" customWidth="1"/>
    <col min="13067" max="13067" width="11.7109375" style="70" customWidth="1"/>
    <col min="13068" max="13068" width="6.7109375" style="70" bestFit="1" customWidth="1"/>
    <col min="13069" max="13069" width="12" style="70" customWidth="1"/>
    <col min="13070" max="13070" width="6.5703125" style="70" customWidth="1"/>
    <col min="13071" max="13071" width="12" style="70" customWidth="1"/>
    <col min="13072" max="13072" width="21" style="70" customWidth="1"/>
    <col min="13073" max="13073" width="20.7109375" style="70" bestFit="1" customWidth="1"/>
    <col min="13074" max="13074" width="12.5703125" style="70" customWidth="1"/>
    <col min="13075" max="13312" width="9.140625" style="70"/>
    <col min="13313" max="13313" width="4.140625" style="70" customWidth="1"/>
    <col min="13314" max="13314" width="36.5703125" style="70" customWidth="1"/>
    <col min="13315" max="13315" width="14.28515625" style="70" customWidth="1"/>
    <col min="13316" max="13316" width="7.140625" style="70" customWidth="1"/>
    <col min="13317" max="13317" width="8.5703125" style="70" customWidth="1"/>
    <col min="13318" max="13318" width="6.7109375" style="70" customWidth="1"/>
    <col min="13319" max="13319" width="11.7109375" style="70" customWidth="1"/>
    <col min="13320" max="13320" width="7.42578125" style="70" customWidth="1"/>
    <col min="13321" max="13321" width="12" style="70" bestFit="1" customWidth="1"/>
    <col min="13322" max="13322" width="6.7109375" style="70" bestFit="1" customWidth="1"/>
    <col min="13323" max="13323" width="11.7109375" style="70" customWidth="1"/>
    <col min="13324" max="13324" width="6.7109375" style="70" bestFit="1" customWidth="1"/>
    <col min="13325" max="13325" width="12" style="70" customWidth="1"/>
    <col min="13326" max="13326" width="6.5703125" style="70" customWidth="1"/>
    <col min="13327" max="13327" width="12" style="70" customWidth="1"/>
    <col min="13328" max="13328" width="21" style="70" customWidth="1"/>
    <col min="13329" max="13329" width="20.7109375" style="70" bestFit="1" customWidth="1"/>
    <col min="13330" max="13330" width="12.5703125" style="70" customWidth="1"/>
    <col min="13331" max="13568" width="9.140625" style="70"/>
    <col min="13569" max="13569" width="4.140625" style="70" customWidth="1"/>
    <col min="13570" max="13570" width="36.5703125" style="70" customWidth="1"/>
    <col min="13571" max="13571" width="14.28515625" style="70" customWidth="1"/>
    <col min="13572" max="13572" width="7.140625" style="70" customWidth="1"/>
    <col min="13573" max="13573" width="8.5703125" style="70" customWidth="1"/>
    <col min="13574" max="13574" width="6.7109375" style="70" customWidth="1"/>
    <col min="13575" max="13575" width="11.7109375" style="70" customWidth="1"/>
    <col min="13576" max="13576" width="7.42578125" style="70" customWidth="1"/>
    <col min="13577" max="13577" width="12" style="70" bestFit="1" customWidth="1"/>
    <col min="13578" max="13578" width="6.7109375" style="70" bestFit="1" customWidth="1"/>
    <col min="13579" max="13579" width="11.7109375" style="70" customWidth="1"/>
    <col min="13580" max="13580" width="6.7109375" style="70" bestFit="1" customWidth="1"/>
    <col min="13581" max="13581" width="12" style="70" customWidth="1"/>
    <col min="13582" max="13582" width="6.5703125" style="70" customWidth="1"/>
    <col min="13583" max="13583" width="12" style="70" customWidth="1"/>
    <col min="13584" max="13584" width="21" style="70" customWidth="1"/>
    <col min="13585" max="13585" width="20.7109375" style="70" bestFit="1" customWidth="1"/>
    <col min="13586" max="13586" width="12.5703125" style="70" customWidth="1"/>
    <col min="13587" max="13824" width="9.140625" style="70"/>
    <col min="13825" max="13825" width="4.140625" style="70" customWidth="1"/>
    <col min="13826" max="13826" width="36.5703125" style="70" customWidth="1"/>
    <col min="13827" max="13827" width="14.28515625" style="70" customWidth="1"/>
    <col min="13828" max="13828" width="7.140625" style="70" customWidth="1"/>
    <col min="13829" max="13829" width="8.5703125" style="70" customWidth="1"/>
    <col min="13830" max="13830" width="6.7109375" style="70" customWidth="1"/>
    <col min="13831" max="13831" width="11.7109375" style="70" customWidth="1"/>
    <col min="13832" max="13832" width="7.42578125" style="70" customWidth="1"/>
    <col min="13833" max="13833" width="12" style="70" bestFit="1" customWidth="1"/>
    <col min="13834" max="13834" width="6.7109375" style="70" bestFit="1" customWidth="1"/>
    <col min="13835" max="13835" width="11.7109375" style="70" customWidth="1"/>
    <col min="13836" max="13836" width="6.7109375" style="70" bestFit="1" customWidth="1"/>
    <col min="13837" max="13837" width="12" style="70" customWidth="1"/>
    <col min="13838" max="13838" width="6.5703125" style="70" customWidth="1"/>
    <col min="13839" max="13839" width="12" style="70" customWidth="1"/>
    <col min="13840" max="13840" width="21" style="70" customWidth="1"/>
    <col min="13841" max="13841" width="20.7109375" style="70" bestFit="1" customWidth="1"/>
    <col min="13842" max="13842" width="12.5703125" style="70" customWidth="1"/>
    <col min="13843" max="14080" width="9.140625" style="70"/>
    <col min="14081" max="14081" width="4.140625" style="70" customWidth="1"/>
    <col min="14082" max="14082" width="36.5703125" style="70" customWidth="1"/>
    <col min="14083" max="14083" width="14.28515625" style="70" customWidth="1"/>
    <col min="14084" max="14084" width="7.140625" style="70" customWidth="1"/>
    <col min="14085" max="14085" width="8.5703125" style="70" customWidth="1"/>
    <col min="14086" max="14086" width="6.7109375" style="70" customWidth="1"/>
    <col min="14087" max="14087" width="11.7109375" style="70" customWidth="1"/>
    <col min="14088" max="14088" width="7.42578125" style="70" customWidth="1"/>
    <col min="14089" max="14089" width="12" style="70" bestFit="1" customWidth="1"/>
    <col min="14090" max="14090" width="6.7109375" style="70" bestFit="1" customWidth="1"/>
    <col min="14091" max="14091" width="11.7109375" style="70" customWidth="1"/>
    <col min="14092" max="14092" width="6.7109375" style="70" bestFit="1" customWidth="1"/>
    <col min="14093" max="14093" width="12" style="70" customWidth="1"/>
    <col min="14094" max="14094" width="6.5703125" style="70" customWidth="1"/>
    <col min="14095" max="14095" width="12" style="70" customWidth="1"/>
    <col min="14096" max="14096" width="21" style="70" customWidth="1"/>
    <col min="14097" max="14097" width="20.7109375" style="70" bestFit="1" customWidth="1"/>
    <col min="14098" max="14098" width="12.5703125" style="70" customWidth="1"/>
    <col min="14099" max="14336" width="9.140625" style="70"/>
    <col min="14337" max="14337" width="4.140625" style="70" customWidth="1"/>
    <col min="14338" max="14338" width="36.5703125" style="70" customWidth="1"/>
    <col min="14339" max="14339" width="14.28515625" style="70" customWidth="1"/>
    <col min="14340" max="14340" width="7.140625" style="70" customWidth="1"/>
    <col min="14341" max="14341" width="8.5703125" style="70" customWidth="1"/>
    <col min="14342" max="14342" width="6.7109375" style="70" customWidth="1"/>
    <col min="14343" max="14343" width="11.7109375" style="70" customWidth="1"/>
    <col min="14344" max="14344" width="7.42578125" style="70" customWidth="1"/>
    <col min="14345" max="14345" width="12" style="70" bestFit="1" customWidth="1"/>
    <col min="14346" max="14346" width="6.7109375" style="70" bestFit="1" customWidth="1"/>
    <col min="14347" max="14347" width="11.7109375" style="70" customWidth="1"/>
    <col min="14348" max="14348" width="6.7109375" style="70" bestFit="1" customWidth="1"/>
    <col min="14349" max="14349" width="12" style="70" customWidth="1"/>
    <col min="14350" max="14350" width="6.5703125" style="70" customWidth="1"/>
    <col min="14351" max="14351" width="12" style="70" customWidth="1"/>
    <col min="14352" max="14352" width="21" style="70" customWidth="1"/>
    <col min="14353" max="14353" width="20.7109375" style="70" bestFit="1" customWidth="1"/>
    <col min="14354" max="14354" width="12.5703125" style="70" customWidth="1"/>
    <col min="14355" max="14592" width="9.140625" style="70"/>
    <col min="14593" max="14593" width="4.140625" style="70" customWidth="1"/>
    <col min="14594" max="14594" width="36.5703125" style="70" customWidth="1"/>
    <col min="14595" max="14595" width="14.28515625" style="70" customWidth="1"/>
    <col min="14596" max="14596" width="7.140625" style="70" customWidth="1"/>
    <col min="14597" max="14597" width="8.5703125" style="70" customWidth="1"/>
    <col min="14598" max="14598" width="6.7109375" style="70" customWidth="1"/>
    <col min="14599" max="14599" width="11.7109375" style="70" customWidth="1"/>
    <col min="14600" max="14600" width="7.42578125" style="70" customWidth="1"/>
    <col min="14601" max="14601" width="12" style="70" bestFit="1" customWidth="1"/>
    <col min="14602" max="14602" width="6.7109375" style="70" bestFit="1" customWidth="1"/>
    <col min="14603" max="14603" width="11.7109375" style="70" customWidth="1"/>
    <col min="14604" max="14604" width="6.7109375" style="70" bestFit="1" customWidth="1"/>
    <col min="14605" max="14605" width="12" style="70" customWidth="1"/>
    <col min="14606" max="14606" width="6.5703125" style="70" customWidth="1"/>
    <col min="14607" max="14607" width="12" style="70" customWidth="1"/>
    <col min="14608" max="14608" width="21" style="70" customWidth="1"/>
    <col min="14609" max="14609" width="20.7109375" style="70" bestFit="1" customWidth="1"/>
    <col min="14610" max="14610" width="12.5703125" style="70" customWidth="1"/>
    <col min="14611" max="14848" width="9.140625" style="70"/>
    <col min="14849" max="14849" width="4.140625" style="70" customWidth="1"/>
    <col min="14850" max="14850" width="36.5703125" style="70" customWidth="1"/>
    <col min="14851" max="14851" width="14.28515625" style="70" customWidth="1"/>
    <col min="14852" max="14852" width="7.140625" style="70" customWidth="1"/>
    <col min="14853" max="14853" width="8.5703125" style="70" customWidth="1"/>
    <col min="14854" max="14854" width="6.7109375" style="70" customWidth="1"/>
    <col min="14855" max="14855" width="11.7109375" style="70" customWidth="1"/>
    <col min="14856" max="14856" width="7.42578125" style="70" customWidth="1"/>
    <col min="14857" max="14857" width="12" style="70" bestFit="1" customWidth="1"/>
    <col min="14858" max="14858" width="6.7109375" style="70" bestFit="1" customWidth="1"/>
    <col min="14859" max="14859" width="11.7109375" style="70" customWidth="1"/>
    <col min="14860" max="14860" width="6.7109375" style="70" bestFit="1" customWidth="1"/>
    <col min="14861" max="14861" width="12" style="70" customWidth="1"/>
    <col min="14862" max="14862" width="6.5703125" style="70" customWidth="1"/>
    <col min="14863" max="14863" width="12" style="70" customWidth="1"/>
    <col min="14864" max="14864" width="21" style="70" customWidth="1"/>
    <col min="14865" max="14865" width="20.7109375" style="70" bestFit="1" customWidth="1"/>
    <col min="14866" max="14866" width="12.5703125" style="70" customWidth="1"/>
    <col min="14867" max="15104" width="9.140625" style="70"/>
    <col min="15105" max="15105" width="4.140625" style="70" customWidth="1"/>
    <col min="15106" max="15106" width="36.5703125" style="70" customWidth="1"/>
    <col min="15107" max="15107" width="14.28515625" style="70" customWidth="1"/>
    <col min="15108" max="15108" width="7.140625" style="70" customWidth="1"/>
    <col min="15109" max="15109" width="8.5703125" style="70" customWidth="1"/>
    <col min="15110" max="15110" width="6.7109375" style="70" customWidth="1"/>
    <col min="15111" max="15111" width="11.7109375" style="70" customWidth="1"/>
    <col min="15112" max="15112" width="7.42578125" style="70" customWidth="1"/>
    <col min="15113" max="15113" width="12" style="70" bestFit="1" customWidth="1"/>
    <col min="15114" max="15114" width="6.7109375" style="70" bestFit="1" customWidth="1"/>
    <col min="15115" max="15115" width="11.7109375" style="70" customWidth="1"/>
    <col min="15116" max="15116" width="6.7109375" style="70" bestFit="1" customWidth="1"/>
    <col min="15117" max="15117" width="12" style="70" customWidth="1"/>
    <col min="15118" max="15118" width="6.5703125" style="70" customWidth="1"/>
    <col min="15119" max="15119" width="12" style="70" customWidth="1"/>
    <col min="15120" max="15120" width="21" style="70" customWidth="1"/>
    <col min="15121" max="15121" width="20.7109375" style="70" bestFit="1" customWidth="1"/>
    <col min="15122" max="15122" width="12.5703125" style="70" customWidth="1"/>
    <col min="15123" max="15360" width="9.140625" style="70"/>
    <col min="15361" max="15361" width="4.140625" style="70" customWidth="1"/>
    <col min="15362" max="15362" width="36.5703125" style="70" customWidth="1"/>
    <col min="15363" max="15363" width="14.28515625" style="70" customWidth="1"/>
    <col min="15364" max="15364" width="7.140625" style="70" customWidth="1"/>
    <col min="15365" max="15365" width="8.5703125" style="70" customWidth="1"/>
    <col min="15366" max="15366" width="6.7109375" style="70" customWidth="1"/>
    <col min="15367" max="15367" width="11.7109375" style="70" customWidth="1"/>
    <col min="15368" max="15368" width="7.42578125" style="70" customWidth="1"/>
    <col min="15369" max="15369" width="12" style="70" bestFit="1" customWidth="1"/>
    <col min="15370" max="15370" width="6.7109375" style="70" bestFit="1" customWidth="1"/>
    <col min="15371" max="15371" width="11.7109375" style="70" customWidth="1"/>
    <col min="15372" max="15372" width="6.7109375" style="70" bestFit="1" customWidth="1"/>
    <col min="15373" max="15373" width="12" style="70" customWidth="1"/>
    <col min="15374" max="15374" width="6.5703125" style="70" customWidth="1"/>
    <col min="15375" max="15375" width="12" style="70" customWidth="1"/>
    <col min="15376" max="15376" width="21" style="70" customWidth="1"/>
    <col min="15377" max="15377" width="20.7109375" style="70" bestFit="1" customWidth="1"/>
    <col min="15378" max="15378" width="12.5703125" style="70" customWidth="1"/>
    <col min="15379" max="15616" width="9.140625" style="70"/>
    <col min="15617" max="15617" width="4.140625" style="70" customWidth="1"/>
    <col min="15618" max="15618" width="36.5703125" style="70" customWidth="1"/>
    <col min="15619" max="15619" width="14.28515625" style="70" customWidth="1"/>
    <col min="15620" max="15620" width="7.140625" style="70" customWidth="1"/>
    <col min="15621" max="15621" width="8.5703125" style="70" customWidth="1"/>
    <col min="15622" max="15622" width="6.7109375" style="70" customWidth="1"/>
    <col min="15623" max="15623" width="11.7109375" style="70" customWidth="1"/>
    <col min="15624" max="15624" width="7.42578125" style="70" customWidth="1"/>
    <col min="15625" max="15625" width="12" style="70" bestFit="1" customWidth="1"/>
    <col min="15626" max="15626" width="6.7109375" style="70" bestFit="1" customWidth="1"/>
    <col min="15627" max="15627" width="11.7109375" style="70" customWidth="1"/>
    <col min="15628" max="15628" width="6.7109375" style="70" bestFit="1" customWidth="1"/>
    <col min="15629" max="15629" width="12" style="70" customWidth="1"/>
    <col min="15630" max="15630" width="6.5703125" style="70" customWidth="1"/>
    <col min="15631" max="15631" width="12" style="70" customWidth="1"/>
    <col min="15632" max="15632" width="21" style="70" customWidth="1"/>
    <col min="15633" max="15633" width="20.7109375" style="70" bestFit="1" customWidth="1"/>
    <col min="15634" max="15634" width="12.5703125" style="70" customWidth="1"/>
    <col min="15635" max="15872" width="9.140625" style="70"/>
    <col min="15873" max="15873" width="4.140625" style="70" customWidth="1"/>
    <col min="15874" max="15874" width="36.5703125" style="70" customWidth="1"/>
    <col min="15875" max="15875" width="14.28515625" style="70" customWidth="1"/>
    <col min="15876" max="15876" width="7.140625" style="70" customWidth="1"/>
    <col min="15877" max="15877" width="8.5703125" style="70" customWidth="1"/>
    <col min="15878" max="15878" width="6.7109375" style="70" customWidth="1"/>
    <col min="15879" max="15879" width="11.7109375" style="70" customWidth="1"/>
    <col min="15880" max="15880" width="7.42578125" style="70" customWidth="1"/>
    <col min="15881" max="15881" width="12" style="70" bestFit="1" customWidth="1"/>
    <col min="15882" max="15882" width="6.7109375" style="70" bestFit="1" customWidth="1"/>
    <col min="15883" max="15883" width="11.7109375" style="70" customWidth="1"/>
    <col min="15884" max="15884" width="6.7109375" style="70" bestFit="1" customWidth="1"/>
    <col min="15885" max="15885" width="12" style="70" customWidth="1"/>
    <col min="15886" max="15886" width="6.5703125" style="70" customWidth="1"/>
    <col min="15887" max="15887" width="12" style="70" customWidth="1"/>
    <col min="15888" max="15888" width="21" style="70" customWidth="1"/>
    <col min="15889" max="15889" width="20.7109375" style="70" bestFit="1" customWidth="1"/>
    <col min="15890" max="15890" width="12.5703125" style="70" customWidth="1"/>
    <col min="15891" max="16128" width="9.140625" style="70"/>
    <col min="16129" max="16129" width="4.140625" style="70" customWidth="1"/>
    <col min="16130" max="16130" width="36.5703125" style="70" customWidth="1"/>
    <col min="16131" max="16131" width="14.28515625" style="70" customWidth="1"/>
    <col min="16132" max="16132" width="7.140625" style="70" customWidth="1"/>
    <col min="16133" max="16133" width="8.5703125" style="70" customWidth="1"/>
    <col min="16134" max="16134" width="6.7109375" style="70" customWidth="1"/>
    <col min="16135" max="16135" width="11.7109375" style="70" customWidth="1"/>
    <col min="16136" max="16136" width="7.42578125" style="70" customWidth="1"/>
    <col min="16137" max="16137" width="12" style="70" bestFit="1" customWidth="1"/>
    <col min="16138" max="16138" width="6.7109375" style="70" bestFit="1" customWidth="1"/>
    <col min="16139" max="16139" width="11.7109375" style="70" customWidth="1"/>
    <col min="16140" max="16140" width="6.7109375" style="70" bestFit="1" customWidth="1"/>
    <col min="16141" max="16141" width="12" style="70" customWidth="1"/>
    <col min="16142" max="16142" width="6.5703125" style="70" customWidth="1"/>
    <col min="16143" max="16143" width="12" style="70" customWidth="1"/>
    <col min="16144" max="16144" width="21" style="70" customWidth="1"/>
    <col min="16145" max="16145" width="20.7109375" style="70" bestFit="1" customWidth="1"/>
    <col min="16146" max="16146" width="12.5703125" style="70" customWidth="1"/>
    <col min="16147" max="16384" width="9.140625" style="70"/>
  </cols>
  <sheetData>
    <row r="1" spans="1:15" ht="18">
      <c r="B1" s="570"/>
      <c r="C1" s="570"/>
      <c r="D1" s="570"/>
      <c r="E1" s="3115" t="s">
        <v>1718</v>
      </c>
      <c r="F1" s="3115"/>
      <c r="G1" s="3115"/>
      <c r="H1" s="3115"/>
      <c r="I1" s="3115"/>
      <c r="J1" s="570"/>
      <c r="K1" s="570"/>
      <c r="L1" s="570"/>
      <c r="M1" s="570"/>
      <c r="N1" s="570"/>
      <c r="O1" s="570"/>
    </row>
    <row r="2" spans="1:15" ht="18" customHeight="1">
      <c r="O2" s="1581" t="s">
        <v>89</v>
      </c>
    </row>
    <row r="3" spans="1:15" ht="34.5" customHeight="1">
      <c r="B3" s="3095" t="s">
        <v>1719</v>
      </c>
      <c r="C3" s="3095"/>
      <c r="D3" s="3095"/>
      <c r="E3" s="3095"/>
      <c r="F3" s="3095"/>
      <c r="G3" s="3095"/>
      <c r="H3" s="3095"/>
      <c r="I3" s="3095"/>
      <c r="J3" s="3095"/>
      <c r="K3" s="3095"/>
      <c r="L3" s="572"/>
      <c r="M3" s="572"/>
      <c r="N3" s="572"/>
      <c r="O3" s="572"/>
    </row>
    <row r="4" spans="1:15" ht="9" customHeight="1">
      <c r="A4" s="573"/>
      <c r="B4" s="573"/>
      <c r="C4" s="573"/>
      <c r="D4" s="573"/>
      <c r="E4" s="573"/>
      <c r="F4" s="573"/>
      <c r="G4" s="573"/>
      <c r="H4" s="573"/>
      <c r="I4" s="573"/>
      <c r="J4" s="573"/>
      <c r="K4" s="573"/>
      <c r="L4" s="573"/>
      <c r="M4" s="573"/>
      <c r="N4" s="573"/>
      <c r="O4" s="573"/>
    </row>
    <row r="5" spans="1:15" ht="60.75" customHeight="1">
      <c r="A5" s="3117" t="s">
        <v>1568</v>
      </c>
      <c r="B5" s="3117" t="s">
        <v>3</v>
      </c>
      <c r="C5" s="3436" t="s">
        <v>1720</v>
      </c>
      <c r="D5" s="3346" t="s">
        <v>5</v>
      </c>
      <c r="E5" s="3117" t="s">
        <v>9</v>
      </c>
      <c r="F5" s="3117" t="s">
        <v>1721</v>
      </c>
      <c r="G5" s="3117"/>
      <c r="H5" s="3117" t="s">
        <v>1722</v>
      </c>
      <c r="I5" s="3117"/>
      <c r="J5" s="3117" t="s">
        <v>1723</v>
      </c>
      <c r="K5" s="3117"/>
      <c r="L5" s="3117" t="s">
        <v>1724</v>
      </c>
      <c r="M5" s="3117"/>
      <c r="N5" s="3117" t="s">
        <v>1725</v>
      </c>
      <c r="O5" s="3117"/>
    </row>
    <row r="6" spans="1:15" ht="15">
      <c r="A6" s="3117"/>
      <c r="B6" s="3117"/>
      <c r="C6" s="3436"/>
      <c r="D6" s="3346"/>
      <c r="E6" s="3117"/>
      <c r="F6" s="574" t="s">
        <v>8</v>
      </c>
      <c r="G6" s="574" t="s">
        <v>10</v>
      </c>
      <c r="H6" s="574" t="s">
        <v>8</v>
      </c>
      <c r="I6" s="574" t="s">
        <v>10</v>
      </c>
      <c r="J6" s="574" t="s">
        <v>8</v>
      </c>
      <c r="K6" s="574" t="s">
        <v>10</v>
      </c>
      <c r="L6" s="574" t="s">
        <v>8</v>
      </c>
      <c r="M6" s="574" t="s">
        <v>1668</v>
      </c>
      <c r="N6" s="574" t="s">
        <v>8</v>
      </c>
      <c r="O6" s="574" t="s">
        <v>1668</v>
      </c>
    </row>
    <row r="7" spans="1:15" s="576" customFormat="1" ht="15">
      <c r="A7" s="575">
        <v>1</v>
      </c>
      <c r="B7" s="575">
        <v>2</v>
      </c>
      <c r="C7" s="575">
        <v>3</v>
      </c>
      <c r="D7" s="575">
        <v>4</v>
      </c>
      <c r="E7" s="575">
        <v>5</v>
      </c>
      <c r="F7" s="575">
        <v>6</v>
      </c>
      <c r="G7" s="575">
        <v>7</v>
      </c>
      <c r="H7" s="575">
        <v>8</v>
      </c>
      <c r="I7" s="575">
        <v>9</v>
      </c>
      <c r="J7" s="575">
        <v>10</v>
      </c>
      <c r="K7" s="575">
        <v>11</v>
      </c>
      <c r="L7" s="575">
        <v>12</v>
      </c>
      <c r="M7" s="575">
        <v>13</v>
      </c>
      <c r="N7" s="575">
        <v>14</v>
      </c>
      <c r="O7" s="575">
        <v>15</v>
      </c>
    </row>
    <row r="8" spans="1:15" ht="15" customHeight="1">
      <c r="A8" s="907">
        <v>1</v>
      </c>
      <c r="B8" s="1633" t="s">
        <v>1726</v>
      </c>
      <c r="C8" s="1616">
        <v>7130800012</v>
      </c>
      <c r="D8" s="1806" t="s">
        <v>12</v>
      </c>
      <c r="E8" s="1132">
        <f>VLOOKUP(C8,'SOR RATE'!A:D,4,0)</f>
        <v>2298.46</v>
      </c>
      <c r="F8" s="907">
        <v>17</v>
      </c>
      <c r="G8" s="1132">
        <f>F8*E8</f>
        <v>39073.82</v>
      </c>
      <c r="H8" s="907">
        <v>17</v>
      </c>
      <c r="I8" s="1132">
        <f>H8*E8</f>
        <v>39073.82</v>
      </c>
      <c r="J8" s="907">
        <v>17</v>
      </c>
      <c r="K8" s="1132">
        <f>J8*E8</f>
        <v>39073.82</v>
      </c>
      <c r="L8" s="907">
        <v>17</v>
      </c>
      <c r="M8" s="1132">
        <f>L8*E8</f>
        <v>39073.82</v>
      </c>
      <c r="N8" s="907">
        <v>17</v>
      </c>
      <c r="O8" s="1132">
        <f>N8*E8</f>
        <v>39073.82</v>
      </c>
    </row>
    <row r="9" spans="1:15" ht="16.5" customHeight="1">
      <c r="A9" s="907">
        <v>2</v>
      </c>
      <c r="B9" s="1633" t="s">
        <v>1727</v>
      </c>
      <c r="C9" s="1616">
        <v>7130810461</v>
      </c>
      <c r="D9" s="1806" t="s">
        <v>12</v>
      </c>
      <c r="E9" s="1132">
        <f>VLOOKUP(C9,'SOR RATE'!A:D,4,0)</f>
        <v>1124.6099999999999</v>
      </c>
      <c r="F9" s="907">
        <v>17</v>
      </c>
      <c r="G9" s="1132">
        <f>F9*E9</f>
        <v>19118.37</v>
      </c>
      <c r="H9" s="907">
        <v>17</v>
      </c>
      <c r="I9" s="1132">
        <f>H9*E9</f>
        <v>19118.37</v>
      </c>
      <c r="J9" s="907">
        <v>17</v>
      </c>
      <c r="K9" s="1132">
        <f>J9*E9</f>
        <v>19118.37</v>
      </c>
      <c r="L9" s="907">
        <v>17</v>
      </c>
      <c r="M9" s="1132">
        <f>L9*E9</f>
        <v>19118.37</v>
      </c>
      <c r="N9" s="907">
        <v>17</v>
      </c>
      <c r="O9" s="1132">
        <f>N9*E9</f>
        <v>19118.37</v>
      </c>
    </row>
    <row r="10" spans="1:15" ht="30.75" customHeight="1">
      <c r="A10" s="1644">
        <v>3</v>
      </c>
      <c r="B10" s="1807" t="s">
        <v>1728</v>
      </c>
      <c r="C10" s="1616">
        <v>7130820106</v>
      </c>
      <c r="D10" s="92" t="s">
        <v>12</v>
      </c>
      <c r="E10" s="1132">
        <f>VLOOKUP(C10,'SOR RATE'!A:D,4,0)</f>
        <v>15.42</v>
      </c>
      <c r="F10" s="907">
        <v>92</v>
      </c>
      <c r="G10" s="1132">
        <f>F10*E10</f>
        <v>1418.64</v>
      </c>
      <c r="H10" s="907">
        <v>92</v>
      </c>
      <c r="I10" s="1132">
        <f>H10*E10</f>
        <v>1418.64</v>
      </c>
      <c r="J10" s="907">
        <v>92</v>
      </c>
      <c r="K10" s="1132">
        <f>J10*E10</f>
        <v>1418.64</v>
      </c>
      <c r="L10" s="907">
        <v>92</v>
      </c>
      <c r="M10" s="1132">
        <f>L10*E10</f>
        <v>1418.64</v>
      </c>
      <c r="N10" s="907">
        <v>92</v>
      </c>
      <c r="O10" s="1132">
        <f>N10*E10</f>
        <v>1418.64</v>
      </c>
    </row>
    <row r="11" spans="1:15" ht="29.25" customHeight="1">
      <c r="A11" s="907">
        <v>4</v>
      </c>
      <c r="B11" s="1807" t="s">
        <v>1729</v>
      </c>
      <c r="C11" s="1616">
        <v>7130820216</v>
      </c>
      <c r="D11" s="1806" t="s">
        <v>12</v>
      </c>
      <c r="E11" s="1132">
        <f>VLOOKUP(C11,'SOR RATE'!A:D,4,0)</f>
        <v>52.15</v>
      </c>
      <c r="F11" s="907">
        <v>30</v>
      </c>
      <c r="G11" s="1132">
        <f>F11*E11</f>
        <v>1564.5</v>
      </c>
      <c r="H11" s="907">
        <v>30</v>
      </c>
      <c r="I11" s="1132">
        <f>H11*E11</f>
        <v>1564.5</v>
      </c>
      <c r="J11" s="907">
        <v>30</v>
      </c>
      <c r="K11" s="1132">
        <f>J11*E11</f>
        <v>1564.5</v>
      </c>
      <c r="L11" s="907">
        <v>30</v>
      </c>
      <c r="M11" s="1132">
        <f>L11*E11</f>
        <v>1564.5</v>
      </c>
      <c r="N11" s="907">
        <v>30</v>
      </c>
      <c r="O11" s="1132">
        <f>N11*E11</f>
        <v>1564.5</v>
      </c>
    </row>
    <row r="12" spans="1:15" ht="16.5" customHeight="1">
      <c r="A12" s="907">
        <v>5</v>
      </c>
      <c r="B12" s="1633" t="s">
        <v>1730</v>
      </c>
      <c r="C12" s="1616">
        <v>7130820201</v>
      </c>
      <c r="D12" s="1806" t="s">
        <v>12</v>
      </c>
      <c r="E12" s="1132">
        <f>VLOOKUP(C12,'SOR RATE'!A:D,4,0)</f>
        <v>46.15</v>
      </c>
      <c r="F12" s="907">
        <v>23</v>
      </c>
      <c r="G12" s="1132">
        <f>F12*E12</f>
        <v>1061.45</v>
      </c>
      <c r="H12" s="907">
        <v>23</v>
      </c>
      <c r="I12" s="1132">
        <f>H12*E12</f>
        <v>1061.45</v>
      </c>
      <c r="J12" s="907">
        <v>23</v>
      </c>
      <c r="K12" s="1132">
        <f>J12*E12</f>
        <v>1061.45</v>
      </c>
      <c r="L12" s="907">
        <v>23</v>
      </c>
      <c r="M12" s="1132">
        <f>L12*E12</f>
        <v>1061.45</v>
      </c>
      <c r="N12" s="907">
        <v>23</v>
      </c>
      <c r="O12" s="1132">
        <f>N12*E12</f>
        <v>1061.45</v>
      </c>
    </row>
    <row r="13" spans="1:15" ht="14.25">
      <c r="A13" s="3266">
        <v>6</v>
      </c>
      <c r="B13" s="1808" t="s">
        <v>1731</v>
      </c>
      <c r="C13" s="1808"/>
      <c r="D13" s="1809"/>
      <c r="E13" s="1809"/>
      <c r="F13" s="1809"/>
      <c r="G13" s="1809"/>
      <c r="H13" s="1809"/>
      <c r="I13" s="1809"/>
      <c r="J13" s="1809"/>
      <c r="K13" s="1809"/>
      <c r="L13" s="1809"/>
      <c r="M13" s="1809"/>
      <c r="N13" s="1809"/>
      <c r="O13" s="1810"/>
    </row>
    <row r="14" spans="1:15" ht="14.25">
      <c r="A14" s="3267"/>
      <c r="B14" s="1633" t="s">
        <v>1732</v>
      </c>
      <c r="C14" s="1616">
        <v>7130830057</v>
      </c>
      <c r="D14" s="1806" t="s">
        <v>21</v>
      </c>
      <c r="E14" s="1132">
        <f>VLOOKUP(C14,'SOR RATE'!A:D,4,0)/1000</f>
        <v>46.676089999999995</v>
      </c>
      <c r="F14" s="907">
        <v>4120</v>
      </c>
      <c r="G14" s="1132">
        <f>F14*E14</f>
        <v>192305.49079999997</v>
      </c>
      <c r="H14" s="1811">
        <v>3090</v>
      </c>
      <c r="I14" s="1132">
        <f>H14*E14</f>
        <v>144229.11809999999</v>
      </c>
      <c r="J14" s="1811" t="s">
        <v>1534</v>
      </c>
      <c r="K14" s="1132"/>
      <c r="L14" s="1811" t="s">
        <v>1534</v>
      </c>
      <c r="M14" s="1132"/>
      <c r="N14" s="1811" t="s">
        <v>1534</v>
      </c>
      <c r="O14" s="1132"/>
    </row>
    <row r="15" spans="1:15" ht="14.25">
      <c r="A15" s="3267"/>
      <c r="B15" s="1633" t="s">
        <v>1733</v>
      </c>
      <c r="C15" s="1616">
        <v>7130830055</v>
      </c>
      <c r="D15" s="1806" t="s">
        <v>21</v>
      </c>
      <c r="E15" s="1132">
        <f>VLOOKUP(C15,'SOR RATE'!A:D,4,0)/1000</f>
        <v>28.020759999999999</v>
      </c>
      <c r="F15" s="1811" t="s">
        <v>1534</v>
      </c>
      <c r="G15" s="1132"/>
      <c r="H15" s="1811" t="s">
        <v>1534</v>
      </c>
      <c r="I15" s="1132"/>
      <c r="J15" s="1811">
        <v>4120</v>
      </c>
      <c r="K15" s="1132">
        <f t="shared" ref="K15:K22" si="0">J15*E15</f>
        <v>115445.5312</v>
      </c>
      <c r="L15" s="907">
        <v>3090</v>
      </c>
      <c r="M15" s="1132">
        <f t="shared" ref="M15:M22" si="1">L15*E15</f>
        <v>86584.148399999991</v>
      </c>
      <c r="N15" s="1811" t="s">
        <v>1534</v>
      </c>
      <c r="O15" s="1132"/>
    </row>
    <row r="16" spans="1:15" ht="14.25">
      <c r="A16" s="3268"/>
      <c r="B16" s="1633" t="s">
        <v>1734</v>
      </c>
      <c r="C16" s="1616">
        <v>7130830053</v>
      </c>
      <c r="D16" s="1806" t="s">
        <v>21</v>
      </c>
      <c r="E16" s="1132">
        <f>VLOOKUP(C16,'SOR RATE'!A:D,4,0)/1000</f>
        <v>19.941980000000001</v>
      </c>
      <c r="F16" s="907">
        <v>1030</v>
      </c>
      <c r="G16" s="1132">
        <f t="shared" ref="G16:G22" si="2">F16*E16</f>
        <v>20540.239400000002</v>
      </c>
      <c r="H16" s="1621">
        <v>2060</v>
      </c>
      <c r="I16" s="1132">
        <f t="shared" ref="I16:I22" si="3">H16*E16</f>
        <v>41080.478800000004</v>
      </c>
      <c r="J16" s="1621">
        <v>1030</v>
      </c>
      <c r="K16" s="1132">
        <f t="shared" si="0"/>
        <v>20540.239400000002</v>
      </c>
      <c r="L16" s="1621">
        <v>2060</v>
      </c>
      <c r="M16" s="1132">
        <f t="shared" si="1"/>
        <v>41080.478800000004</v>
      </c>
      <c r="N16" s="1621">
        <v>5150</v>
      </c>
      <c r="O16" s="1132">
        <f t="shared" ref="O16:O22" si="4">N16*E16</f>
        <v>102701.197</v>
      </c>
    </row>
    <row r="17" spans="1:17" ht="14.25">
      <c r="A17" s="3266">
        <v>7</v>
      </c>
      <c r="B17" s="1633" t="s">
        <v>24</v>
      </c>
      <c r="C17" s="1616">
        <v>7130860032</v>
      </c>
      <c r="D17" s="1806" t="s">
        <v>12</v>
      </c>
      <c r="E17" s="1132">
        <f>VLOOKUP(C17,'SOR RATE'!A:D,4,0)</f>
        <v>566.19000000000005</v>
      </c>
      <c r="F17" s="907">
        <v>9</v>
      </c>
      <c r="G17" s="1132">
        <f t="shared" si="2"/>
        <v>5095.7100000000009</v>
      </c>
      <c r="H17" s="907">
        <v>9</v>
      </c>
      <c r="I17" s="1132">
        <f t="shared" si="3"/>
        <v>5095.7100000000009</v>
      </c>
      <c r="J17" s="907">
        <v>9</v>
      </c>
      <c r="K17" s="1132">
        <f t="shared" si="0"/>
        <v>5095.7100000000009</v>
      </c>
      <c r="L17" s="907">
        <v>9</v>
      </c>
      <c r="M17" s="1132">
        <f t="shared" si="1"/>
        <v>5095.7100000000009</v>
      </c>
      <c r="N17" s="907">
        <v>9</v>
      </c>
      <c r="O17" s="1132">
        <f t="shared" si="4"/>
        <v>5095.7100000000009</v>
      </c>
    </row>
    <row r="18" spans="1:17" ht="14.25">
      <c r="A18" s="3267"/>
      <c r="B18" s="1633" t="s">
        <v>1735</v>
      </c>
      <c r="C18" s="1616">
        <v>7130860077</v>
      </c>
      <c r="D18" s="1806" t="s">
        <v>26</v>
      </c>
      <c r="E18" s="1132">
        <f>VLOOKUP(C18,'SOR RATE'!A:D,4,0)/1000</f>
        <v>93.76643</v>
      </c>
      <c r="F18" s="907">
        <v>54</v>
      </c>
      <c r="G18" s="1132">
        <f t="shared" si="2"/>
        <v>5063.3872199999996</v>
      </c>
      <c r="H18" s="907">
        <v>54</v>
      </c>
      <c r="I18" s="1132">
        <f t="shared" si="3"/>
        <v>5063.3872199999996</v>
      </c>
      <c r="J18" s="907">
        <v>54</v>
      </c>
      <c r="K18" s="1132">
        <f t="shared" si="0"/>
        <v>5063.3872199999996</v>
      </c>
      <c r="L18" s="907">
        <v>54</v>
      </c>
      <c r="M18" s="1132">
        <f t="shared" si="1"/>
        <v>5063.3872199999996</v>
      </c>
      <c r="N18" s="907">
        <v>54</v>
      </c>
      <c r="O18" s="1132">
        <f t="shared" si="4"/>
        <v>5063.3872199999996</v>
      </c>
    </row>
    <row r="19" spans="1:17" ht="14.25">
      <c r="A19" s="3267"/>
      <c r="B19" s="1633" t="s">
        <v>74</v>
      </c>
      <c r="C19" s="1616">
        <v>7130810026</v>
      </c>
      <c r="D19" s="1806" t="s">
        <v>15</v>
      </c>
      <c r="E19" s="1132">
        <f>VLOOKUP(C19,'SOR RATE'!A201:D201,4,0)</f>
        <v>198.14</v>
      </c>
      <c r="F19" s="907">
        <v>9</v>
      </c>
      <c r="G19" s="1132">
        <f t="shared" si="2"/>
        <v>1783.2599999999998</v>
      </c>
      <c r="H19" s="907">
        <v>9</v>
      </c>
      <c r="I19" s="1132">
        <f t="shared" si="3"/>
        <v>1783.2599999999998</v>
      </c>
      <c r="J19" s="907">
        <v>9</v>
      </c>
      <c r="K19" s="1132">
        <f t="shared" si="0"/>
        <v>1783.2599999999998</v>
      </c>
      <c r="L19" s="907">
        <v>9</v>
      </c>
      <c r="M19" s="1132">
        <f t="shared" si="1"/>
        <v>1783.2599999999998</v>
      </c>
      <c r="N19" s="907">
        <v>9</v>
      </c>
      <c r="O19" s="1132">
        <f t="shared" si="4"/>
        <v>1783.2599999999998</v>
      </c>
    </row>
    <row r="20" spans="1:17" ht="14.25">
      <c r="A20" s="3268"/>
      <c r="B20" s="1633" t="s">
        <v>1736</v>
      </c>
      <c r="C20" s="1616">
        <v>7130820117</v>
      </c>
      <c r="D20" s="1806" t="s">
        <v>12</v>
      </c>
      <c r="E20" s="1132">
        <f>VLOOKUP(C20,'SOR RATE'!A:D,4,0)</f>
        <v>12.42</v>
      </c>
      <c r="F20" s="907">
        <v>9</v>
      </c>
      <c r="G20" s="1132">
        <f t="shared" si="2"/>
        <v>111.78</v>
      </c>
      <c r="H20" s="907">
        <v>9</v>
      </c>
      <c r="I20" s="1132">
        <f t="shared" si="3"/>
        <v>111.78</v>
      </c>
      <c r="J20" s="907">
        <v>9</v>
      </c>
      <c r="K20" s="1132">
        <f t="shared" si="0"/>
        <v>111.78</v>
      </c>
      <c r="L20" s="907">
        <v>9</v>
      </c>
      <c r="M20" s="1132">
        <f t="shared" si="1"/>
        <v>111.78</v>
      </c>
      <c r="N20" s="907">
        <v>9</v>
      </c>
      <c r="O20" s="1132">
        <f t="shared" si="4"/>
        <v>111.78</v>
      </c>
    </row>
    <row r="21" spans="1:17" ht="15" customHeight="1">
      <c r="A21" s="907">
        <v>8</v>
      </c>
      <c r="B21" s="1633" t="s">
        <v>1737</v>
      </c>
      <c r="C21" s="1616">
        <v>7130820018</v>
      </c>
      <c r="D21" s="1806" t="s">
        <v>15</v>
      </c>
      <c r="E21" s="1132">
        <f>VLOOKUP(C21,'SOR RATE'!A:D,4,0)</f>
        <v>4.66</v>
      </c>
      <c r="F21" s="907">
        <v>32</v>
      </c>
      <c r="G21" s="1132">
        <f t="shared" si="2"/>
        <v>149.12</v>
      </c>
      <c r="H21" s="907">
        <v>32</v>
      </c>
      <c r="I21" s="1132">
        <f t="shared" si="3"/>
        <v>149.12</v>
      </c>
      <c r="J21" s="907">
        <v>32</v>
      </c>
      <c r="K21" s="1132">
        <f t="shared" si="0"/>
        <v>149.12</v>
      </c>
      <c r="L21" s="907">
        <v>32</v>
      </c>
      <c r="M21" s="1132">
        <f t="shared" si="1"/>
        <v>149.12</v>
      </c>
      <c r="N21" s="907">
        <v>32</v>
      </c>
      <c r="O21" s="1132">
        <f t="shared" si="4"/>
        <v>149.12</v>
      </c>
    </row>
    <row r="22" spans="1:17" ht="14.25">
      <c r="A22" s="1644">
        <v>9</v>
      </c>
      <c r="B22" s="1812" t="s">
        <v>34</v>
      </c>
      <c r="C22" s="1616">
        <v>7130830006</v>
      </c>
      <c r="D22" s="1806" t="s">
        <v>26</v>
      </c>
      <c r="E22" s="1132">
        <f>VLOOKUP(C22,'SOR RATE'!A:D,4,0)</f>
        <v>201.5</v>
      </c>
      <c r="F22" s="907">
        <v>3.5</v>
      </c>
      <c r="G22" s="1132">
        <f t="shared" si="2"/>
        <v>705.25</v>
      </c>
      <c r="H22" s="907">
        <v>3.5</v>
      </c>
      <c r="I22" s="1132">
        <f t="shared" si="3"/>
        <v>705.25</v>
      </c>
      <c r="J22" s="907">
        <v>3.5</v>
      </c>
      <c r="K22" s="1132">
        <f t="shared" si="0"/>
        <v>705.25</v>
      </c>
      <c r="L22" s="907">
        <v>3.5</v>
      </c>
      <c r="M22" s="1132">
        <f t="shared" si="1"/>
        <v>705.25</v>
      </c>
      <c r="N22" s="907">
        <v>3.5</v>
      </c>
      <c r="O22" s="1132">
        <f t="shared" si="4"/>
        <v>705.25</v>
      </c>
    </row>
    <row r="23" spans="1:17" ht="46.5" customHeight="1">
      <c r="A23" s="3266">
        <v>10</v>
      </c>
      <c r="B23" s="1807" t="s">
        <v>45</v>
      </c>
      <c r="C23" s="1813"/>
      <c r="D23" s="1814"/>
      <c r="E23" s="1132"/>
      <c r="F23" s="907"/>
      <c r="G23" s="1132"/>
      <c r="H23" s="907"/>
      <c r="I23" s="1132"/>
      <c r="J23" s="907"/>
      <c r="K23" s="1132"/>
      <c r="L23" s="907"/>
      <c r="M23" s="1132"/>
      <c r="N23" s="907"/>
      <c r="O23" s="1132"/>
    </row>
    <row r="24" spans="1:17" ht="18" customHeight="1">
      <c r="A24" s="3268"/>
      <c r="B24" s="1633" t="s">
        <v>1738</v>
      </c>
      <c r="C24" s="1616">
        <v>7130640008</v>
      </c>
      <c r="D24" s="1815" t="s">
        <v>33</v>
      </c>
      <c r="E24" s="1132">
        <f>VLOOKUP(C24,'SOR RATE'!A:D,4,0)</f>
        <v>158</v>
      </c>
      <c r="F24" s="907">
        <f>17+(9*2)</f>
        <v>35</v>
      </c>
      <c r="G24" s="1132">
        <f>F24*E24</f>
        <v>5530</v>
      </c>
      <c r="H24" s="907">
        <f>17+(9*2)</f>
        <v>35</v>
      </c>
      <c r="I24" s="1132">
        <f>H24*E24</f>
        <v>5530</v>
      </c>
      <c r="J24" s="907">
        <f>17+(9*2)</f>
        <v>35</v>
      </c>
      <c r="K24" s="1132">
        <f>J24*E24</f>
        <v>5530</v>
      </c>
      <c r="L24" s="907">
        <f>17+(9*2)</f>
        <v>35</v>
      </c>
      <c r="M24" s="1132">
        <f>L24*E24</f>
        <v>5530</v>
      </c>
      <c r="N24" s="907">
        <f>17+(9*2)</f>
        <v>35</v>
      </c>
      <c r="O24" s="1132">
        <f>N24*E24</f>
        <v>5530</v>
      </c>
      <c r="P24" s="3434" t="s">
        <v>47</v>
      </c>
      <c r="Q24" s="3435"/>
    </row>
    <row r="25" spans="1:17" ht="14.25">
      <c r="A25" s="3266">
        <v>11</v>
      </c>
      <c r="B25" s="1816" t="s">
        <v>1739</v>
      </c>
      <c r="C25" s="1616"/>
      <c r="D25" s="1806" t="s">
        <v>26</v>
      </c>
      <c r="E25" s="1132"/>
      <c r="F25" s="907">
        <v>35</v>
      </c>
      <c r="G25" s="1132"/>
      <c r="H25" s="907">
        <v>35</v>
      </c>
      <c r="I25" s="1132"/>
      <c r="J25" s="907">
        <v>35</v>
      </c>
      <c r="K25" s="1132"/>
      <c r="L25" s="907">
        <v>35</v>
      </c>
      <c r="M25" s="1132"/>
      <c r="N25" s="907">
        <v>35</v>
      </c>
      <c r="O25" s="1132"/>
    </row>
    <row r="26" spans="1:17" ht="14.25">
      <c r="A26" s="3267"/>
      <c r="B26" s="1624" t="s">
        <v>505</v>
      </c>
      <c r="C26" s="1616">
        <v>7130620573</v>
      </c>
      <c r="D26" s="1806" t="s">
        <v>26</v>
      </c>
      <c r="E26" s="1132">
        <f>VLOOKUP(C26,'SOR RATE'!A:D,4,0)</f>
        <v>87.23</v>
      </c>
      <c r="F26" s="907">
        <v>10</v>
      </c>
      <c r="G26" s="1132">
        <f t="shared" ref="G26:G32" si="5">F26*E26</f>
        <v>872.30000000000007</v>
      </c>
      <c r="H26" s="907">
        <v>10</v>
      </c>
      <c r="I26" s="1132">
        <f t="shared" ref="I26:I32" si="6">H26*E26</f>
        <v>872.30000000000007</v>
      </c>
      <c r="J26" s="907">
        <v>10</v>
      </c>
      <c r="K26" s="1132">
        <f t="shared" ref="K26:K32" si="7">J26*E26</f>
        <v>872.30000000000007</v>
      </c>
      <c r="L26" s="907">
        <v>10</v>
      </c>
      <c r="M26" s="1132">
        <f t="shared" ref="M26:M32" si="8">L26*E26</f>
        <v>872.30000000000007</v>
      </c>
      <c r="N26" s="907">
        <v>10</v>
      </c>
      <c r="O26" s="1132">
        <f t="shared" ref="O26:O32" si="9">N26*E26</f>
        <v>872.30000000000007</v>
      </c>
    </row>
    <row r="27" spans="1:17" ht="14.25">
      <c r="A27" s="3267"/>
      <c r="B27" s="1624" t="s">
        <v>79</v>
      </c>
      <c r="C27" s="1616">
        <v>7130620609</v>
      </c>
      <c r="D27" s="1806" t="s">
        <v>26</v>
      </c>
      <c r="E27" s="1132">
        <f>VLOOKUP(C27,'SOR RATE'!A:D,4,0)</f>
        <v>87.23</v>
      </c>
      <c r="F27" s="907">
        <v>5</v>
      </c>
      <c r="G27" s="1132">
        <f t="shared" si="5"/>
        <v>436.15000000000003</v>
      </c>
      <c r="H27" s="907">
        <v>5</v>
      </c>
      <c r="I27" s="1132">
        <f t="shared" si="6"/>
        <v>436.15000000000003</v>
      </c>
      <c r="J27" s="907">
        <v>5</v>
      </c>
      <c r="K27" s="1132">
        <f t="shared" si="7"/>
        <v>436.15000000000003</v>
      </c>
      <c r="L27" s="907">
        <v>5</v>
      </c>
      <c r="M27" s="1132">
        <f t="shared" si="8"/>
        <v>436.15000000000003</v>
      </c>
      <c r="N27" s="907">
        <v>5</v>
      </c>
      <c r="O27" s="1132">
        <f t="shared" si="9"/>
        <v>436.15000000000003</v>
      </c>
    </row>
    <row r="28" spans="1:17" ht="14.25">
      <c r="A28" s="3268"/>
      <c r="B28" s="1624" t="s">
        <v>112</v>
      </c>
      <c r="C28" s="1616">
        <v>7130620625</v>
      </c>
      <c r="D28" s="1806" t="s">
        <v>26</v>
      </c>
      <c r="E28" s="1132">
        <f>VLOOKUP(C28,'SOR RATE'!A:D,4,0)</f>
        <v>84.32</v>
      </c>
      <c r="F28" s="907">
        <v>20</v>
      </c>
      <c r="G28" s="1132">
        <f t="shared" si="5"/>
        <v>1686.3999999999999</v>
      </c>
      <c r="H28" s="907">
        <v>20</v>
      </c>
      <c r="I28" s="1132">
        <f t="shared" si="6"/>
        <v>1686.3999999999999</v>
      </c>
      <c r="J28" s="907">
        <v>20</v>
      </c>
      <c r="K28" s="1132">
        <f t="shared" si="7"/>
        <v>1686.3999999999999</v>
      </c>
      <c r="L28" s="907">
        <v>20</v>
      </c>
      <c r="M28" s="1132">
        <f t="shared" si="8"/>
        <v>1686.3999999999999</v>
      </c>
      <c r="N28" s="907">
        <v>20</v>
      </c>
      <c r="O28" s="1132">
        <f t="shared" si="9"/>
        <v>1686.3999999999999</v>
      </c>
    </row>
    <row r="29" spans="1:17" ht="28.5">
      <c r="A29" s="1644">
        <v>12</v>
      </c>
      <c r="B29" s="1807" t="s">
        <v>1740</v>
      </c>
      <c r="C29" s="1616">
        <v>7130870013</v>
      </c>
      <c r="D29" s="1817" t="s">
        <v>12</v>
      </c>
      <c r="E29" s="1132">
        <f>VLOOKUP(C29,'SOR RATE'!A:D,4,0)</f>
        <v>152.88999999999999</v>
      </c>
      <c r="F29" s="907">
        <v>5</v>
      </c>
      <c r="G29" s="1132">
        <f t="shared" si="5"/>
        <v>764.44999999999993</v>
      </c>
      <c r="H29" s="907">
        <v>5</v>
      </c>
      <c r="I29" s="1132">
        <f t="shared" si="6"/>
        <v>764.44999999999993</v>
      </c>
      <c r="J29" s="907">
        <v>5</v>
      </c>
      <c r="K29" s="1132">
        <f t="shared" si="7"/>
        <v>764.44999999999993</v>
      </c>
      <c r="L29" s="907">
        <v>5</v>
      </c>
      <c r="M29" s="1132">
        <f t="shared" si="8"/>
        <v>764.44999999999993</v>
      </c>
      <c r="N29" s="907">
        <v>5</v>
      </c>
      <c r="O29" s="1132">
        <f t="shared" si="9"/>
        <v>764.44999999999993</v>
      </c>
    </row>
    <row r="30" spans="1:17" ht="14.25">
      <c r="A30" s="907">
        <v>13</v>
      </c>
      <c r="B30" s="1633" t="s">
        <v>28</v>
      </c>
      <c r="C30" s="1616">
        <v>7130211158</v>
      </c>
      <c r="D30" s="1806" t="s">
        <v>29</v>
      </c>
      <c r="E30" s="1132">
        <f>VLOOKUP(C30,'SOR RATE'!A:D,4,0)</f>
        <v>193.62</v>
      </c>
      <c r="F30" s="907">
        <v>2</v>
      </c>
      <c r="G30" s="1132">
        <f t="shared" si="5"/>
        <v>387.24</v>
      </c>
      <c r="H30" s="907">
        <v>2</v>
      </c>
      <c r="I30" s="1132">
        <f t="shared" si="6"/>
        <v>387.24</v>
      </c>
      <c r="J30" s="907">
        <v>2</v>
      </c>
      <c r="K30" s="1132">
        <f t="shared" si="7"/>
        <v>387.24</v>
      </c>
      <c r="L30" s="907">
        <v>2</v>
      </c>
      <c r="M30" s="1132">
        <f t="shared" si="8"/>
        <v>387.24</v>
      </c>
      <c r="N30" s="907">
        <v>2</v>
      </c>
      <c r="O30" s="1132">
        <f t="shared" si="9"/>
        <v>387.24</v>
      </c>
    </row>
    <row r="31" spans="1:17" ht="14.25">
      <c r="A31" s="907">
        <v>14</v>
      </c>
      <c r="B31" s="1633" t="s">
        <v>30</v>
      </c>
      <c r="C31" s="1616">
        <v>7130210809</v>
      </c>
      <c r="D31" s="1806" t="s">
        <v>29</v>
      </c>
      <c r="E31" s="1132">
        <f>VLOOKUP(C31,'SOR RATE'!A:D,4,0)</f>
        <v>432.63</v>
      </c>
      <c r="F31" s="907">
        <v>2</v>
      </c>
      <c r="G31" s="1132">
        <f t="shared" si="5"/>
        <v>865.26</v>
      </c>
      <c r="H31" s="907">
        <v>2</v>
      </c>
      <c r="I31" s="1132">
        <f t="shared" si="6"/>
        <v>865.26</v>
      </c>
      <c r="J31" s="907">
        <v>2</v>
      </c>
      <c r="K31" s="1132">
        <f t="shared" si="7"/>
        <v>865.26</v>
      </c>
      <c r="L31" s="907">
        <v>2</v>
      </c>
      <c r="M31" s="1132">
        <f t="shared" si="8"/>
        <v>865.26</v>
      </c>
      <c r="N31" s="907">
        <v>2</v>
      </c>
      <c r="O31" s="1132">
        <f t="shared" si="9"/>
        <v>865.26</v>
      </c>
    </row>
    <row r="32" spans="1:17" ht="14.25">
      <c r="A32" s="907">
        <v>15</v>
      </c>
      <c r="B32" s="1633" t="s">
        <v>1741</v>
      </c>
      <c r="C32" s="1616">
        <v>7130870043</v>
      </c>
      <c r="D32" s="1806" t="s">
        <v>26</v>
      </c>
      <c r="E32" s="1132">
        <f>VLOOKUP(C32,'SOR RATE'!A:D,4,0)/1000</f>
        <v>80.521839999999997</v>
      </c>
      <c r="F32" s="907">
        <v>6</v>
      </c>
      <c r="G32" s="1132">
        <f t="shared" si="5"/>
        <v>483.13103999999998</v>
      </c>
      <c r="H32" s="907">
        <v>6</v>
      </c>
      <c r="I32" s="1132">
        <f t="shared" si="6"/>
        <v>483.13103999999998</v>
      </c>
      <c r="J32" s="907">
        <v>6</v>
      </c>
      <c r="K32" s="1132">
        <f t="shared" si="7"/>
        <v>483.13103999999998</v>
      </c>
      <c r="L32" s="907">
        <v>6</v>
      </c>
      <c r="M32" s="1132">
        <f t="shared" si="8"/>
        <v>483.13103999999998</v>
      </c>
      <c r="N32" s="907">
        <v>6</v>
      </c>
      <c r="O32" s="1132">
        <f t="shared" si="9"/>
        <v>483.13103999999998</v>
      </c>
    </row>
    <row r="33" spans="1:18" ht="30">
      <c r="A33" s="957">
        <v>16</v>
      </c>
      <c r="B33" s="1639" t="s">
        <v>48</v>
      </c>
      <c r="C33" s="1616"/>
      <c r="D33" s="1806"/>
      <c r="E33" s="907"/>
      <c r="F33" s="907"/>
      <c r="G33" s="1642">
        <f>SUM(G8:G32)</f>
        <v>299015.94846000004</v>
      </c>
      <c r="H33" s="1642"/>
      <c r="I33" s="1642">
        <f>SUM(I8:I32)</f>
        <v>271479.81516000006</v>
      </c>
      <c r="J33" s="1642"/>
      <c r="K33" s="1642">
        <f>SUM(K8:K32)</f>
        <v>222155.98885999998</v>
      </c>
      <c r="L33" s="1642"/>
      <c r="M33" s="1642">
        <f>SUM(M8:M32)</f>
        <v>213834.84545999998</v>
      </c>
      <c r="N33" s="1642"/>
      <c r="O33" s="1642">
        <f>SUM(O8:O32)</f>
        <v>188871.41526000001</v>
      </c>
      <c r="Q33" s="102"/>
    </row>
    <row r="34" spans="1:18" ht="30">
      <c r="A34" s="1643">
        <v>17</v>
      </c>
      <c r="B34" s="1639" t="s">
        <v>49</v>
      </c>
      <c r="C34" s="1616"/>
      <c r="D34" s="907"/>
      <c r="E34" s="907"/>
      <c r="F34" s="1818"/>
      <c r="G34" s="1642">
        <f>G33/1.18</f>
        <v>253403.34615254242</v>
      </c>
      <c r="H34" s="1642"/>
      <c r="I34" s="1642">
        <f>I33/1.18</f>
        <v>230067.63996610176</v>
      </c>
      <c r="J34" s="1642"/>
      <c r="K34" s="1642">
        <f>K33/1.18</f>
        <v>188267.78716949152</v>
      </c>
      <c r="L34" s="1642"/>
      <c r="M34" s="1642">
        <f>M33/1.18</f>
        <v>181215.97072881355</v>
      </c>
      <c r="N34" s="1642"/>
      <c r="O34" s="1642">
        <f>O33/1.18</f>
        <v>160060.52140677968</v>
      </c>
      <c r="Q34" s="102"/>
    </row>
    <row r="35" spans="1:18" ht="29.25" customHeight="1">
      <c r="A35" s="1644">
        <v>18</v>
      </c>
      <c r="B35" s="1619" t="s">
        <v>50</v>
      </c>
      <c r="C35" s="1645"/>
      <c r="D35" s="1645"/>
      <c r="E35" s="1616">
        <v>7.4999999999999997E-2</v>
      </c>
      <c r="F35" s="1819"/>
      <c r="G35" s="1132">
        <f>G33*E35</f>
        <v>22426.196134500002</v>
      </c>
      <c r="H35" s="1132"/>
      <c r="I35" s="1132">
        <f>I33*E35</f>
        <v>20360.986137000004</v>
      </c>
      <c r="J35" s="1132"/>
      <c r="K35" s="1132">
        <f>K33*E35</f>
        <v>16661.699164499998</v>
      </c>
      <c r="L35" s="1132"/>
      <c r="M35" s="1132">
        <f>M33*E35</f>
        <v>16037.613409499998</v>
      </c>
      <c r="N35" s="1132"/>
      <c r="O35" s="1132">
        <f>O33*E35</f>
        <v>14165.3561445</v>
      </c>
      <c r="Q35" s="526"/>
      <c r="R35" s="804"/>
    </row>
    <row r="36" spans="1:18" ht="33" customHeight="1">
      <c r="A36" s="1291">
        <v>19</v>
      </c>
      <c r="B36" s="1290" t="s">
        <v>1742</v>
      </c>
      <c r="C36" s="1625"/>
      <c r="D36" s="1817" t="s">
        <v>12</v>
      </c>
      <c r="E36" s="1202">
        <f>229.365334460327*1.043</f>
        <v>239.22804384212105</v>
      </c>
      <c r="F36" s="1291">
        <v>17</v>
      </c>
      <c r="G36" s="1202">
        <f>F36*E36</f>
        <v>4066.8767453160581</v>
      </c>
      <c r="H36" s="1291">
        <v>17</v>
      </c>
      <c r="I36" s="1202">
        <f>H36*E36</f>
        <v>4066.8767453160581</v>
      </c>
      <c r="J36" s="1291">
        <v>17</v>
      </c>
      <c r="K36" s="1202">
        <f>J36*E36</f>
        <v>4066.8767453160581</v>
      </c>
      <c r="L36" s="1291">
        <v>17</v>
      </c>
      <c r="M36" s="1202">
        <f>L36*E36</f>
        <v>4066.8767453160581</v>
      </c>
      <c r="N36" s="1291">
        <v>17</v>
      </c>
      <c r="O36" s="1202">
        <f>N36*E36</f>
        <v>4066.8767453160581</v>
      </c>
      <c r="Q36" s="526"/>
      <c r="R36" s="1824"/>
    </row>
    <row r="37" spans="1:18" ht="18">
      <c r="A37" s="1291">
        <v>20</v>
      </c>
      <c r="B37" s="1290" t="s">
        <v>1743</v>
      </c>
      <c r="C37" s="1625"/>
      <c r="D37" s="1817"/>
      <c r="E37" s="1202"/>
      <c r="F37" s="1291"/>
      <c r="G37" s="1202">
        <v>62667.45</v>
      </c>
      <c r="H37" s="1291"/>
      <c r="I37" s="1202">
        <f>+G37</f>
        <v>62667.45</v>
      </c>
      <c r="J37" s="1291"/>
      <c r="K37" s="1202">
        <f>+I37</f>
        <v>62667.45</v>
      </c>
      <c r="L37" s="1291"/>
      <c r="M37" s="1202">
        <f>+K37</f>
        <v>62667.45</v>
      </c>
      <c r="N37" s="1291"/>
      <c r="O37" s="1202">
        <f>+M37</f>
        <v>62667.45</v>
      </c>
      <c r="P37" s="577"/>
    </row>
    <row r="38" spans="1:18" ht="30" customHeight="1">
      <c r="A38" s="1291">
        <v>21</v>
      </c>
      <c r="B38" s="1290" t="s">
        <v>1791</v>
      </c>
      <c r="C38" s="1625"/>
      <c r="D38" s="1291"/>
      <c r="E38" s="735">
        <v>0.04</v>
      </c>
      <c r="F38" s="1291"/>
      <c r="G38" s="1132">
        <f>G34*E38</f>
        <v>10136.133846101697</v>
      </c>
      <c r="H38" s="1291"/>
      <c r="I38" s="1132">
        <f>I34*E38</f>
        <v>9202.7055986440701</v>
      </c>
      <c r="J38" s="1291"/>
      <c r="K38" s="1132">
        <f>K34*E38</f>
        <v>7530.7114867796608</v>
      </c>
      <c r="L38" s="1291"/>
      <c r="M38" s="1132">
        <f>M34*E38</f>
        <v>7248.6388291525427</v>
      </c>
      <c r="N38" s="1291"/>
      <c r="O38" s="1132">
        <f>O34*E38</f>
        <v>6402.4208562711874</v>
      </c>
      <c r="P38" s="737" t="s">
        <v>1827</v>
      </c>
      <c r="Q38" s="82"/>
    </row>
    <row r="39" spans="1:18" ht="45.75" customHeight="1">
      <c r="A39" s="1291">
        <v>22</v>
      </c>
      <c r="B39" s="1820" t="s">
        <v>1744</v>
      </c>
      <c r="C39" s="1625"/>
      <c r="D39" s="1817"/>
      <c r="E39" s="1202"/>
      <c r="F39" s="1291"/>
      <c r="G39" s="1676">
        <f>(G33+G35+G36+G37+G38)*0.125</f>
        <v>49789.075648239734</v>
      </c>
      <c r="H39" s="1676"/>
      <c r="I39" s="1676">
        <f>(I33+I35+I36+I37+I38)*0.125</f>
        <v>45972.229205120035</v>
      </c>
      <c r="J39" s="1676"/>
      <c r="K39" s="1676">
        <f>(K33+K35+K36+K37+K38)*0.125</f>
        <v>39135.340782074461</v>
      </c>
      <c r="L39" s="1676"/>
      <c r="M39" s="1676">
        <f>(M33+M35+M36+M37+M38)*0.125</f>
        <v>37981.928055496071</v>
      </c>
      <c r="N39" s="1676"/>
      <c r="O39" s="1676">
        <f>(O33+O35+O36+O37+O38)*0.125</f>
        <v>34521.689875760901</v>
      </c>
      <c r="P39" s="376"/>
      <c r="Q39" s="628"/>
    </row>
    <row r="40" spans="1:18" ht="31.5" customHeight="1">
      <c r="A40" s="955">
        <v>23</v>
      </c>
      <c r="B40" s="1821" t="s">
        <v>219</v>
      </c>
      <c r="C40" s="1625"/>
      <c r="D40" s="1817"/>
      <c r="E40" s="1202"/>
      <c r="F40" s="1291"/>
      <c r="G40" s="1072">
        <f>SUM(G34:G39)</f>
        <v>402489.07852669997</v>
      </c>
      <c r="H40" s="955"/>
      <c r="I40" s="1072">
        <f>SUM(I34:I39)</f>
        <v>372337.8876521819</v>
      </c>
      <c r="J40" s="955"/>
      <c r="K40" s="1072">
        <f>SUM(K34:K39)</f>
        <v>318329.86534816166</v>
      </c>
      <c r="L40" s="955"/>
      <c r="M40" s="1072">
        <f>SUM(M34:M39)</f>
        <v>309218.47776827822</v>
      </c>
      <c r="N40" s="955"/>
      <c r="O40" s="1072">
        <f>SUM(O34:O39)</f>
        <v>281884.31502862781</v>
      </c>
      <c r="P40" s="132"/>
    </row>
    <row r="41" spans="1:18" ht="16.5" customHeight="1">
      <c r="A41" s="1291">
        <v>24</v>
      </c>
      <c r="B41" s="1822" t="s">
        <v>85</v>
      </c>
      <c r="C41" s="1625"/>
      <c r="D41" s="1817"/>
      <c r="E41" s="1202">
        <v>0.09</v>
      </c>
      <c r="F41" s="1291"/>
      <c r="G41" s="1202">
        <f>G40*E41</f>
        <v>36224.017067402994</v>
      </c>
      <c r="H41" s="1291"/>
      <c r="I41" s="1202">
        <f>I40*E41</f>
        <v>33510.409888696369</v>
      </c>
      <c r="J41" s="1291"/>
      <c r="K41" s="1202">
        <f>K40*E41</f>
        <v>28649.68788133455</v>
      </c>
      <c r="L41" s="1291"/>
      <c r="M41" s="1202">
        <f>M40*E41</f>
        <v>27829.662999145039</v>
      </c>
      <c r="N41" s="1291"/>
      <c r="O41" s="1202">
        <f>O40*E41</f>
        <v>25369.588352576502</v>
      </c>
      <c r="P41" s="132"/>
    </row>
    <row r="42" spans="1:18" ht="16.5" customHeight="1">
      <c r="A42" s="1291">
        <v>25</v>
      </c>
      <c r="B42" s="1822" t="s">
        <v>86</v>
      </c>
      <c r="C42" s="1625"/>
      <c r="D42" s="1817"/>
      <c r="E42" s="1202">
        <v>0.09</v>
      </c>
      <c r="F42" s="1291"/>
      <c r="G42" s="1202">
        <f>G40*E42</f>
        <v>36224.017067402994</v>
      </c>
      <c r="H42" s="1291"/>
      <c r="I42" s="1202">
        <f>I40*E42</f>
        <v>33510.409888696369</v>
      </c>
      <c r="J42" s="1291"/>
      <c r="K42" s="1202">
        <f>K40*E42</f>
        <v>28649.68788133455</v>
      </c>
      <c r="L42" s="1291"/>
      <c r="M42" s="1202">
        <f>M40*E42</f>
        <v>27829.662999145039</v>
      </c>
      <c r="N42" s="1291"/>
      <c r="O42" s="1202">
        <f>O40*E42</f>
        <v>25369.588352576502</v>
      </c>
      <c r="P42" s="578"/>
    </row>
    <row r="43" spans="1:18" ht="32.25" customHeight="1">
      <c r="A43" s="1291">
        <v>26</v>
      </c>
      <c r="B43" s="1820" t="s">
        <v>87</v>
      </c>
      <c r="C43" s="1625"/>
      <c r="D43" s="1817"/>
      <c r="E43" s="1202"/>
      <c r="F43" s="1291"/>
      <c r="G43" s="1202">
        <f>G40+G41+G42</f>
        <v>474937.11266150599</v>
      </c>
      <c r="H43" s="1202"/>
      <c r="I43" s="1202">
        <f>I40+I41+I42</f>
        <v>439358.70742957469</v>
      </c>
      <c r="J43" s="1202"/>
      <c r="K43" s="1202">
        <f>K40+K41+K42</f>
        <v>375629.2411108308</v>
      </c>
      <c r="L43" s="1202"/>
      <c r="M43" s="1202">
        <f>M40+M41+M42</f>
        <v>364877.80376656831</v>
      </c>
      <c r="N43" s="1202"/>
      <c r="O43" s="1202">
        <f>O40+O41+O42</f>
        <v>332623.49173378077</v>
      </c>
      <c r="P43" s="579"/>
    </row>
    <row r="44" spans="1:18" ht="33" customHeight="1">
      <c r="A44" s="955">
        <v>27</v>
      </c>
      <c r="B44" s="1823" t="s">
        <v>59</v>
      </c>
      <c r="C44" s="1625"/>
      <c r="D44" s="1817"/>
      <c r="E44" s="1202"/>
      <c r="F44" s="1291"/>
      <c r="G44" s="1072">
        <f>ROUND(G43,0)</f>
        <v>474937</v>
      </c>
      <c r="H44" s="955"/>
      <c r="I44" s="1072">
        <f>ROUND(I43,0)</f>
        <v>439359</v>
      </c>
      <c r="J44" s="955"/>
      <c r="K44" s="1072">
        <f>ROUND(K43,0)</f>
        <v>375629</v>
      </c>
      <c r="L44" s="955"/>
      <c r="M44" s="1072">
        <f>ROUND(M43,0)</f>
        <v>364878</v>
      </c>
      <c r="N44" s="955"/>
      <c r="O44" s="1072">
        <f>ROUND(O43,0)</f>
        <v>332623</v>
      </c>
    </row>
    <row r="45" spans="1:18" ht="15">
      <c r="A45" s="580"/>
      <c r="B45" s="373"/>
      <c r="C45" s="581"/>
      <c r="D45" s="582"/>
      <c r="E45" s="583"/>
      <c r="F45" s="582"/>
      <c r="G45" s="584"/>
      <c r="H45" s="580"/>
      <c r="I45" s="584"/>
      <c r="J45" s="580"/>
      <c r="K45" s="584"/>
      <c r="L45" s="580"/>
      <c r="M45" s="584"/>
      <c r="N45" s="580"/>
      <c r="O45" s="584"/>
    </row>
    <row r="46" spans="1:18" ht="15.75" customHeight="1">
      <c r="A46" s="585"/>
      <c r="B46" s="3437" t="s">
        <v>1745</v>
      </c>
      <c r="C46" s="3437"/>
      <c r="D46" s="3437"/>
      <c r="E46" s="104"/>
      <c r="F46" s="104"/>
      <c r="G46" s="586"/>
      <c r="H46" s="102"/>
      <c r="I46" s="102"/>
      <c r="J46" s="102"/>
      <c r="K46" s="102"/>
      <c r="L46" s="102"/>
      <c r="M46" s="102"/>
      <c r="N46" s="102"/>
      <c r="O46" s="102"/>
    </row>
    <row r="47" spans="1:18" ht="15.75" customHeight="1">
      <c r="A47" s="113" t="s">
        <v>62</v>
      </c>
      <c r="B47" s="105" t="s">
        <v>63</v>
      </c>
      <c r="C47" s="111"/>
      <c r="H47" s="587"/>
      <c r="I47" s="587"/>
      <c r="J47" s="587"/>
      <c r="K47" s="587"/>
      <c r="L47" s="587"/>
      <c r="M47" s="587"/>
      <c r="N47" s="587"/>
      <c r="O47" s="587"/>
    </row>
    <row r="48" spans="1:18" ht="15.75">
      <c r="A48" s="588"/>
      <c r="B48" s="589"/>
      <c r="C48" s="590"/>
      <c r="D48" s="589"/>
      <c r="E48" s="589"/>
      <c r="F48" s="589"/>
      <c r="G48" s="589"/>
      <c r="I48" s="591"/>
      <c r="J48" s="589"/>
      <c r="K48" s="589"/>
      <c r="L48" s="589"/>
      <c r="M48" s="589"/>
      <c r="N48" s="589"/>
      <c r="O48" s="589"/>
    </row>
    <row r="49" spans="1:16" ht="15.75">
      <c r="A49" s="588"/>
      <c r="B49" s="589"/>
      <c r="C49" s="590"/>
      <c r="D49" s="589"/>
      <c r="E49" s="589"/>
      <c r="F49" s="589"/>
      <c r="G49" s="589"/>
      <c r="H49" s="591"/>
      <c r="I49" s="591"/>
      <c r="J49" s="589"/>
      <c r="K49" s="589"/>
      <c r="L49" s="589"/>
      <c r="M49" s="589"/>
      <c r="N49" s="589"/>
      <c r="O49" s="589"/>
      <c r="P49" s="589"/>
    </row>
    <row r="50" spans="1:16" ht="15.75">
      <c r="A50" s="588"/>
      <c r="B50" s="589"/>
      <c r="C50" s="590"/>
      <c r="D50" s="589"/>
      <c r="E50" s="589"/>
      <c r="F50" s="589"/>
      <c r="G50" s="589"/>
      <c r="H50" s="591"/>
      <c r="I50" s="591"/>
      <c r="J50" s="589"/>
      <c r="K50" s="589"/>
      <c r="L50" s="589"/>
      <c r="M50" s="589"/>
      <c r="N50" s="589"/>
      <c r="O50" s="589"/>
      <c r="P50" s="589"/>
    </row>
    <row r="51" spans="1:16" ht="15.75">
      <c r="A51" s="588"/>
      <c r="B51" s="589"/>
      <c r="C51" s="590"/>
      <c r="D51" s="589"/>
      <c r="E51" s="589"/>
      <c r="F51" s="589"/>
      <c r="G51" s="589"/>
      <c r="H51" s="591"/>
      <c r="I51" s="591"/>
      <c r="J51" s="589"/>
      <c r="K51" s="589"/>
      <c r="L51" s="589"/>
      <c r="M51" s="589"/>
      <c r="N51" s="589"/>
      <c r="O51" s="589"/>
      <c r="P51" s="589"/>
    </row>
    <row r="52" spans="1:16" ht="15.75">
      <c r="A52" s="588"/>
      <c r="B52" s="589"/>
      <c r="C52" s="590"/>
      <c r="D52" s="589"/>
      <c r="E52" s="589"/>
      <c r="F52" s="589"/>
      <c r="G52" s="589"/>
      <c r="H52" s="591"/>
      <c r="I52" s="591"/>
      <c r="J52" s="589"/>
      <c r="K52" s="589"/>
      <c r="L52" s="589"/>
      <c r="M52" s="589"/>
      <c r="N52" s="589"/>
      <c r="O52" s="589"/>
    </row>
    <row r="53" spans="1:16" ht="15.75">
      <c r="A53" s="588"/>
      <c r="B53" s="589"/>
      <c r="C53" s="590"/>
      <c r="D53" s="589"/>
      <c r="E53" s="589"/>
      <c r="F53" s="589"/>
      <c r="G53" s="589"/>
      <c r="H53" s="589"/>
      <c r="I53" s="589"/>
      <c r="J53" s="589"/>
      <c r="K53" s="589"/>
      <c r="L53" s="589"/>
      <c r="M53" s="589"/>
      <c r="N53" s="589"/>
      <c r="O53" s="589"/>
    </row>
    <row r="54" spans="1:16" ht="15.75">
      <c r="A54" s="588"/>
      <c r="B54" s="589"/>
      <c r="C54" s="590"/>
      <c r="D54" s="589"/>
      <c r="E54" s="589"/>
      <c r="F54" s="589"/>
      <c r="G54" s="589"/>
      <c r="H54" s="589"/>
      <c r="I54" s="589"/>
      <c r="J54" s="589"/>
      <c r="K54" s="589"/>
      <c r="L54" s="589"/>
      <c r="M54" s="589"/>
      <c r="N54" s="589"/>
      <c r="O54" s="589"/>
    </row>
    <row r="55" spans="1:16" ht="15.75">
      <c r="A55" s="588"/>
      <c r="B55" s="589"/>
      <c r="C55" s="590"/>
      <c r="D55" s="589"/>
      <c r="E55" s="589"/>
      <c r="F55" s="589"/>
      <c r="G55" s="589"/>
      <c r="H55" s="589"/>
      <c r="I55" s="589"/>
      <c r="J55" s="589"/>
      <c r="K55" s="589"/>
      <c r="L55" s="589"/>
      <c r="M55" s="589"/>
      <c r="N55" s="589"/>
      <c r="O55" s="589"/>
    </row>
    <row r="56" spans="1:16" ht="15.75">
      <c r="A56" s="588"/>
      <c r="B56" s="592"/>
      <c r="C56" s="593"/>
      <c r="D56" s="594"/>
      <c r="E56" s="595"/>
      <c r="F56" s="589"/>
      <c r="G56" s="589"/>
      <c r="H56" s="589"/>
      <c r="I56" s="589"/>
      <c r="J56" s="589"/>
      <c r="K56" s="589"/>
      <c r="L56" s="589"/>
      <c r="M56" s="589"/>
      <c r="N56" s="589"/>
      <c r="O56" s="589"/>
    </row>
    <row r="57" spans="1:16" ht="15.75">
      <c r="A57" s="588"/>
      <c r="B57" s="592"/>
      <c r="C57" s="593"/>
      <c r="D57" s="594"/>
      <c r="E57" s="595"/>
      <c r="F57" s="589"/>
      <c r="G57" s="589"/>
      <c r="H57" s="589"/>
      <c r="I57" s="589"/>
      <c r="J57" s="589"/>
      <c r="K57" s="589"/>
      <c r="L57" s="589"/>
      <c r="M57" s="589"/>
      <c r="N57" s="589"/>
      <c r="O57" s="589"/>
    </row>
    <row r="58" spans="1:16" ht="15.75">
      <c r="A58" s="588"/>
      <c r="B58" s="589"/>
      <c r="C58" s="590"/>
      <c r="D58" s="589"/>
      <c r="E58" s="589"/>
      <c r="F58" s="589"/>
      <c r="G58" s="589"/>
      <c r="H58" s="589"/>
      <c r="I58" s="589"/>
      <c r="J58" s="589"/>
      <c r="K58" s="589"/>
      <c r="L58" s="589"/>
      <c r="M58" s="589"/>
      <c r="N58" s="589"/>
      <c r="O58" s="589"/>
    </row>
    <row r="59" spans="1:16" ht="15.75">
      <c r="A59" s="588"/>
      <c r="B59" s="589"/>
      <c r="C59" s="590"/>
      <c r="D59" s="589"/>
      <c r="E59" s="589"/>
      <c r="F59" s="589"/>
      <c r="G59" s="589"/>
      <c r="H59" s="589"/>
      <c r="I59" s="589"/>
      <c r="J59" s="589"/>
      <c r="K59" s="589"/>
      <c r="L59" s="589"/>
      <c r="M59" s="589"/>
      <c r="N59" s="589"/>
      <c r="O59" s="589"/>
    </row>
    <row r="60" spans="1:16" ht="15.75">
      <c r="A60" s="588"/>
      <c r="B60" s="589"/>
      <c r="C60" s="590"/>
      <c r="D60" s="589"/>
      <c r="E60" s="589"/>
      <c r="F60" s="589"/>
      <c r="G60" s="589"/>
      <c r="H60" s="589"/>
      <c r="I60" s="589"/>
      <c r="J60" s="589"/>
      <c r="K60" s="589"/>
      <c r="L60" s="589"/>
      <c r="M60" s="589"/>
      <c r="N60" s="589"/>
      <c r="O60" s="589"/>
    </row>
    <row r="61" spans="1:16" ht="15.75">
      <c r="A61" s="588"/>
      <c r="B61" s="589"/>
      <c r="C61" s="590"/>
      <c r="D61" s="589"/>
      <c r="E61" s="589"/>
      <c r="F61" s="589"/>
      <c r="G61" s="589"/>
      <c r="H61" s="589"/>
      <c r="I61" s="589"/>
      <c r="J61" s="589"/>
      <c r="K61" s="589"/>
      <c r="L61" s="589"/>
      <c r="M61" s="589"/>
      <c r="N61" s="589"/>
      <c r="O61" s="589"/>
    </row>
    <row r="62" spans="1:16" ht="15.75">
      <c r="A62" s="588"/>
      <c r="B62" s="589"/>
      <c r="C62" s="590"/>
      <c r="D62" s="589"/>
      <c r="E62" s="589"/>
      <c r="F62" s="589"/>
      <c r="G62" s="589"/>
      <c r="H62" s="589"/>
      <c r="I62" s="589"/>
      <c r="J62" s="589"/>
      <c r="K62" s="589"/>
      <c r="L62" s="589"/>
      <c r="M62" s="589"/>
      <c r="N62" s="589"/>
      <c r="O62" s="589"/>
    </row>
    <row r="63" spans="1:16" ht="15.75">
      <c r="A63" s="588"/>
      <c r="B63" s="589"/>
      <c r="C63" s="590"/>
      <c r="D63" s="589"/>
      <c r="E63" s="589"/>
      <c r="F63" s="589"/>
      <c r="G63" s="589"/>
      <c r="H63" s="589"/>
      <c r="I63" s="589"/>
      <c r="J63" s="589"/>
      <c r="K63" s="589"/>
      <c r="L63" s="589"/>
      <c r="M63" s="589"/>
      <c r="N63" s="589"/>
      <c r="O63" s="589"/>
    </row>
    <row r="64" spans="1:16" ht="15.75">
      <c r="A64" s="588"/>
      <c r="B64" s="589"/>
      <c r="C64" s="590"/>
      <c r="D64" s="589"/>
      <c r="E64" s="589"/>
      <c r="F64" s="589"/>
      <c r="G64" s="589"/>
      <c r="H64" s="589"/>
      <c r="I64" s="589"/>
      <c r="J64" s="589"/>
      <c r="K64" s="589"/>
      <c r="L64" s="589"/>
      <c r="M64" s="589"/>
      <c r="N64" s="589"/>
      <c r="O64" s="589"/>
    </row>
    <row r="65" spans="1:15" ht="15.75">
      <c r="A65" s="588"/>
      <c r="B65" s="589"/>
      <c r="C65" s="590"/>
      <c r="D65" s="589"/>
      <c r="E65" s="589"/>
      <c r="F65" s="589"/>
      <c r="G65" s="589"/>
      <c r="H65" s="589"/>
      <c r="I65" s="589"/>
      <c r="J65" s="589"/>
      <c r="K65" s="589"/>
      <c r="L65" s="589"/>
      <c r="M65" s="589"/>
      <c r="N65" s="589"/>
      <c r="O65" s="589"/>
    </row>
    <row r="66" spans="1:15" ht="15.75">
      <c r="A66" s="588"/>
      <c r="B66" s="589"/>
      <c r="C66" s="590"/>
      <c r="D66" s="589"/>
      <c r="E66" s="589"/>
      <c r="F66" s="589"/>
      <c r="G66" s="589"/>
      <c r="H66" s="589"/>
      <c r="I66" s="589"/>
      <c r="J66" s="589"/>
      <c r="K66" s="589"/>
      <c r="L66" s="589"/>
      <c r="M66" s="589"/>
      <c r="N66" s="589"/>
      <c r="O66" s="589"/>
    </row>
    <row r="67" spans="1:15" ht="15.75">
      <c r="A67" s="588"/>
      <c r="B67" s="589"/>
      <c r="C67" s="590"/>
      <c r="D67" s="589"/>
      <c r="E67" s="589"/>
      <c r="F67" s="589"/>
      <c r="G67" s="589"/>
      <c r="H67" s="589"/>
      <c r="I67" s="589"/>
      <c r="J67" s="589"/>
      <c r="K67" s="589"/>
      <c r="L67" s="589"/>
      <c r="M67" s="589"/>
      <c r="N67" s="589"/>
      <c r="O67" s="589"/>
    </row>
  </sheetData>
  <mergeCells count="18">
    <mergeCell ref="A25:A28"/>
    <mergeCell ref="B46:D46"/>
    <mergeCell ref="L5:M5"/>
    <mergeCell ref="N5:O5"/>
    <mergeCell ref="A13:A16"/>
    <mergeCell ref="A17:A20"/>
    <mergeCell ref="A23:A24"/>
    <mergeCell ref="P24:Q24"/>
    <mergeCell ref="E1:I1"/>
    <mergeCell ref="B3:K3"/>
    <mergeCell ref="A5:A6"/>
    <mergeCell ref="B5:B6"/>
    <mergeCell ref="C5:C6"/>
    <mergeCell ref="D5:D6"/>
    <mergeCell ref="E5:E6"/>
    <mergeCell ref="F5:G5"/>
    <mergeCell ref="H5:I5"/>
    <mergeCell ref="J5:K5"/>
  </mergeCells>
  <conditionalFormatting sqref="B33">
    <cfRule type="cellIs" dxfId="48" priority="2" stopIfTrue="1" operator="equal">
      <formula>"?"</formula>
    </cfRule>
  </conditionalFormatting>
  <conditionalFormatting sqref="B34">
    <cfRule type="cellIs" dxfId="47" priority="1" stopIfTrue="1" operator="equal">
      <formula>"?"</formula>
    </cfRule>
  </conditionalFormatting>
  <printOptions horizontalCentered="1" gridLines="1"/>
  <pageMargins left="0.44" right="0" top="0.95" bottom="0.43" header="0" footer="0.18"/>
  <pageSetup paperSize="9" scale="85" fitToHeight="2" orientation="landscape"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9"/>
  <sheetViews>
    <sheetView zoomScale="95" zoomScaleNormal="95" workbookViewId="0">
      <pane xSplit="2" ySplit="7" topLeftCell="F44" activePane="bottomRight" state="frozen"/>
      <selection pane="topRight" activeCell="C1" sqref="C1"/>
      <selection pane="bottomLeft" activeCell="A8" sqref="A8"/>
      <selection pane="bottomRight" activeCell="L35" sqref="L35"/>
    </sheetView>
  </sheetViews>
  <sheetFormatPr defaultRowHeight="12.75"/>
  <cols>
    <col min="1" max="1" width="5.42578125" style="596" customWidth="1"/>
    <col min="2" max="2" width="41.5703125" style="598" customWidth="1"/>
    <col min="3" max="3" width="14.42578125" style="599" customWidth="1"/>
    <col min="4" max="4" width="6.5703125" style="598" bestFit="1" customWidth="1"/>
    <col min="5" max="5" width="10.28515625" style="598" bestFit="1" customWidth="1"/>
    <col min="6" max="6" width="7.85546875" style="598" bestFit="1" customWidth="1"/>
    <col min="7" max="7" width="13.85546875" style="598" bestFit="1" customWidth="1"/>
    <col min="8" max="8" width="9.85546875" style="598" customWidth="1"/>
    <col min="9" max="9" width="13.85546875" style="598" bestFit="1" customWidth="1"/>
    <col min="10" max="10" width="11.28515625" style="598" bestFit="1" customWidth="1"/>
    <col min="11" max="11" width="13.85546875" style="598" bestFit="1" customWidth="1"/>
    <col min="12" max="12" width="21" style="598" customWidth="1"/>
    <col min="13" max="13" width="8.42578125" style="598" customWidth="1"/>
    <col min="14" max="14" width="12" style="598" customWidth="1"/>
    <col min="15" max="256" width="9.140625" style="598"/>
    <col min="257" max="257" width="5.42578125" style="598" customWidth="1"/>
    <col min="258" max="258" width="41.5703125" style="598" customWidth="1"/>
    <col min="259" max="259" width="14.42578125" style="598" customWidth="1"/>
    <col min="260" max="260" width="6.5703125" style="598" bestFit="1" customWidth="1"/>
    <col min="261" max="261" width="10.28515625" style="598" bestFit="1" customWidth="1"/>
    <col min="262" max="262" width="7.85546875" style="598" bestFit="1" customWidth="1"/>
    <col min="263" max="263" width="13.85546875" style="598" bestFit="1" customWidth="1"/>
    <col min="264" max="264" width="9.85546875" style="598" customWidth="1"/>
    <col min="265" max="265" width="13.85546875" style="598" bestFit="1" customWidth="1"/>
    <col min="266" max="266" width="11.28515625" style="598" bestFit="1" customWidth="1"/>
    <col min="267" max="267" width="13.85546875" style="598" bestFit="1" customWidth="1"/>
    <col min="268" max="268" width="21" style="598" customWidth="1"/>
    <col min="269" max="269" width="20.7109375" style="598" bestFit="1" customWidth="1"/>
    <col min="270" max="512" width="9.140625" style="598"/>
    <col min="513" max="513" width="5.42578125" style="598" customWidth="1"/>
    <col min="514" max="514" width="41.5703125" style="598" customWidth="1"/>
    <col min="515" max="515" width="14.42578125" style="598" customWidth="1"/>
    <col min="516" max="516" width="6.5703125" style="598" bestFit="1" customWidth="1"/>
    <col min="517" max="517" width="10.28515625" style="598" bestFit="1" customWidth="1"/>
    <col min="518" max="518" width="7.85546875" style="598" bestFit="1" customWidth="1"/>
    <col min="519" max="519" width="13.85546875" style="598" bestFit="1" customWidth="1"/>
    <col min="520" max="520" width="9.85546875" style="598" customWidth="1"/>
    <col min="521" max="521" width="13.85546875" style="598" bestFit="1" customWidth="1"/>
    <col min="522" max="522" width="11.28515625" style="598" bestFit="1" customWidth="1"/>
    <col min="523" max="523" width="13.85546875" style="598" bestFit="1" customWidth="1"/>
    <col min="524" max="524" width="21" style="598" customWidth="1"/>
    <col min="525" max="525" width="20.7109375" style="598" bestFit="1" customWidth="1"/>
    <col min="526" max="768" width="9.140625" style="598"/>
    <col min="769" max="769" width="5.42578125" style="598" customWidth="1"/>
    <col min="770" max="770" width="41.5703125" style="598" customWidth="1"/>
    <col min="771" max="771" width="14.42578125" style="598" customWidth="1"/>
    <col min="772" max="772" width="6.5703125" style="598" bestFit="1" customWidth="1"/>
    <col min="773" max="773" width="10.28515625" style="598" bestFit="1" customWidth="1"/>
    <col min="774" max="774" width="7.85546875" style="598" bestFit="1" customWidth="1"/>
    <col min="775" max="775" width="13.85546875" style="598" bestFit="1" customWidth="1"/>
    <col min="776" max="776" width="9.85546875" style="598" customWidth="1"/>
    <col min="777" max="777" width="13.85546875" style="598" bestFit="1" customWidth="1"/>
    <col min="778" max="778" width="11.28515625" style="598" bestFit="1" customWidth="1"/>
    <col min="779" max="779" width="13.85546875" style="598" bestFit="1" customWidth="1"/>
    <col min="780" max="780" width="21" style="598" customWidth="1"/>
    <col min="781" max="781" width="20.7109375" style="598" bestFit="1" customWidth="1"/>
    <col min="782" max="1024" width="9.140625" style="598"/>
    <col min="1025" max="1025" width="5.42578125" style="598" customWidth="1"/>
    <col min="1026" max="1026" width="41.5703125" style="598" customWidth="1"/>
    <col min="1027" max="1027" width="14.42578125" style="598" customWidth="1"/>
    <col min="1028" max="1028" width="6.5703125" style="598" bestFit="1" customWidth="1"/>
    <col min="1029" max="1029" width="10.28515625" style="598" bestFit="1" customWidth="1"/>
    <col min="1030" max="1030" width="7.85546875" style="598" bestFit="1" customWidth="1"/>
    <col min="1031" max="1031" width="13.85546875" style="598" bestFit="1" customWidth="1"/>
    <col min="1032" max="1032" width="9.85546875" style="598" customWidth="1"/>
    <col min="1033" max="1033" width="13.85546875" style="598" bestFit="1" customWidth="1"/>
    <col min="1034" max="1034" width="11.28515625" style="598" bestFit="1" customWidth="1"/>
    <col min="1035" max="1035" width="13.85546875" style="598" bestFit="1" customWidth="1"/>
    <col min="1036" max="1036" width="21" style="598" customWidth="1"/>
    <col min="1037" max="1037" width="20.7109375" style="598" bestFit="1" customWidth="1"/>
    <col min="1038" max="1280" width="9.140625" style="598"/>
    <col min="1281" max="1281" width="5.42578125" style="598" customWidth="1"/>
    <col min="1282" max="1282" width="41.5703125" style="598" customWidth="1"/>
    <col min="1283" max="1283" width="14.42578125" style="598" customWidth="1"/>
    <col min="1284" max="1284" width="6.5703125" style="598" bestFit="1" customWidth="1"/>
    <col min="1285" max="1285" width="10.28515625" style="598" bestFit="1" customWidth="1"/>
    <col min="1286" max="1286" width="7.85546875" style="598" bestFit="1" customWidth="1"/>
    <col min="1287" max="1287" width="13.85546875" style="598" bestFit="1" customWidth="1"/>
    <col min="1288" max="1288" width="9.85546875" style="598" customWidth="1"/>
    <col min="1289" max="1289" width="13.85546875" style="598" bestFit="1" customWidth="1"/>
    <col min="1290" max="1290" width="11.28515625" style="598" bestFit="1" customWidth="1"/>
    <col min="1291" max="1291" width="13.85546875" style="598" bestFit="1" customWidth="1"/>
    <col min="1292" max="1292" width="21" style="598" customWidth="1"/>
    <col min="1293" max="1293" width="20.7109375" style="598" bestFit="1" customWidth="1"/>
    <col min="1294" max="1536" width="9.140625" style="598"/>
    <col min="1537" max="1537" width="5.42578125" style="598" customWidth="1"/>
    <col min="1538" max="1538" width="41.5703125" style="598" customWidth="1"/>
    <col min="1539" max="1539" width="14.42578125" style="598" customWidth="1"/>
    <col min="1540" max="1540" width="6.5703125" style="598" bestFit="1" customWidth="1"/>
    <col min="1541" max="1541" width="10.28515625" style="598" bestFit="1" customWidth="1"/>
    <col min="1542" max="1542" width="7.85546875" style="598" bestFit="1" customWidth="1"/>
    <col min="1543" max="1543" width="13.85546875" style="598" bestFit="1" customWidth="1"/>
    <col min="1544" max="1544" width="9.85546875" style="598" customWidth="1"/>
    <col min="1545" max="1545" width="13.85546875" style="598" bestFit="1" customWidth="1"/>
    <col min="1546" max="1546" width="11.28515625" style="598" bestFit="1" customWidth="1"/>
    <col min="1547" max="1547" width="13.85546875" style="598" bestFit="1" customWidth="1"/>
    <col min="1548" max="1548" width="21" style="598" customWidth="1"/>
    <col min="1549" max="1549" width="20.7109375" style="598" bestFit="1" customWidth="1"/>
    <col min="1550" max="1792" width="9.140625" style="598"/>
    <col min="1793" max="1793" width="5.42578125" style="598" customWidth="1"/>
    <col min="1794" max="1794" width="41.5703125" style="598" customWidth="1"/>
    <col min="1795" max="1795" width="14.42578125" style="598" customWidth="1"/>
    <col min="1796" max="1796" width="6.5703125" style="598" bestFit="1" customWidth="1"/>
    <col min="1797" max="1797" width="10.28515625" style="598" bestFit="1" customWidth="1"/>
    <col min="1798" max="1798" width="7.85546875" style="598" bestFit="1" customWidth="1"/>
    <col min="1799" max="1799" width="13.85546875" style="598" bestFit="1" customWidth="1"/>
    <col min="1800" max="1800" width="9.85546875" style="598" customWidth="1"/>
    <col min="1801" max="1801" width="13.85546875" style="598" bestFit="1" customWidth="1"/>
    <col min="1802" max="1802" width="11.28515625" style="598" bestFit="1" customWidth="1"/>
    <col min="1803" max="1803" width="13.85546875" style="598" bestFit="1" customWidth="1"/>
    <col min="1804" max="1804" width="21" style="598" customWidth="1"/>
    <col min="1805" max="1805" width="20.7109375" style="598" bestFit="1" customWidth="1"/>
    <col min="1806" max="2048" width="9.140625" style="598"/>
    <col min="2049" max="2049" width="5.42578125" style="598" customWidth="1"/>
    <col min="2050" max="2050" width="41.5703125" style="598" customWidth="1"/>
    <col min="2051" max="2051" width="14.42578125" style="598" customWidth="1"/>
    <col min="2052" max="2052" width="6.5703125" style="598" bestFit="1" customWidth="1"/>
    <col min="2053" max="2053" width="10.28515625" style="598" bestFit="1" customWidth="1"/>
    <col min="2054" max="2054" width="7.85546875" style="598" bestFit="1" customWidth="1"/>
    <col min="2055" max="2055" width="13.85546875" style="598" bestFit="1" customWidth="1"/>
    <col min="2056" max="2056" width="9.85546875" style="598" customWidth="1"/>
    <col min="2057" max="2057" width="13.85546875" style="598" bestFit="1" customWidth="1"/>
    <col min="2058" max="2058" width="11.28515625" style="598" bestFit="1" customWidth="1"/>
    <col min="2059" max="2059" width="13.85546875" style="598" bestFit="1" customWidth="1"/>
    <col min="2060" max="2060" width="21" style="598" customWidth="1"/>
    <col min="2061" max="2061" width="20.7109375" style="598" bestFit="1" customWidth="1"/>
    <col min="2062" max="2304" width="9.140625" style="598"/>
    <col min="2305" max="2305" width="5.42578125" style="598" customWidth="1"/>
    <col min="2306" max="2306" width="41.5703125" style="598" customWidth="1"/>
    <col min="2307" max="2307" width="14.42578125" style="598" customWidth="1"/>
    <col min="2308" max="2308" width="6.5703125" style="598" bestFit="1" customWidth="1"/>
    <col min="2309" max="2309" width="10.28515625" style="598" bestFit="1" customWidth="1"/>
    <col min="2310" max="2310" width="7.85546875" style="598" bestFit="1" customWidth="1"/>
    <col min="2311" max="2311" width="13.85546875" style="598" bestFit="1" customWidth="1"/>
    <col min="2312" max="2312" width="9.85546875" style="598" customWidth="1"/>
    <col min="2313" max="2313" width="13.85546875" style="598" bestFit="1" customWidth="1"/>
    <col min="2314" max="2314" width="11.28515625" style="598" bestFit="1" customWidth="1"/>
    <col min="2315" max="2315" width="13.85546875" style="598" bestFit="1" customWidth="1"/>
    <col min="2316" max="2316" width="21" style="598" customWidth="1"/>
    <col min="2317" max="2317" width="20.7109375" style="598" bestFit="1" customWidth="1"/>
    <col min="2318" max="2560" width="9.140625" style="598"/>
    <col min="2561" max="2561" width="5.42578125" style="598" customWidth="1"/>
    <col min="2562" max="2562" width="41.5703125" style="598" customWidth="1"/>
    <col min="2563" max="2563" width="14.42578125" style="598" customWidth="1"/>
    <col min="2564" max="2564" width="6.5703125" style="598" bestFit="1" customWidth="1"/>
    <col min="2565" max="2565" width="10.28515625" style="598" bestFit="1" customWidth="1"/>
    <col min="2566" max="2566" width="7.85546875" style="598" bestFit="1" customWidth="1"/>
    <col min="2567" max="2567" width="13.85546875" style="598" bestFit="1" customWidth="1"/>
    <col min="2568" max="2568" width="9.85546875" style="598" customWidth="1"/>
    <col min="2569" max="2569" width="13.85546875" style="598" bestFit="1" customWidth="1"/>
    <col min="2570" max="2570" width="11.28515625" style="598" bestFit="1" customWidth="1"/>
    <col min="2571" max="2571" width="13.85546875" style="598" bestFit="1" customWidth="1"/>
    <col min="2572" max="2572" width="21" style="598" customWidth="1"/>
    <col min="2573" max="2573" width="20.7109375" style="598" bestFit="1" customWidth="1"/>
    <col min="2574" max="2816" width="9.140625" style="598"/>
    <col min="2817" max="2817" width="5.42578125" style="598" customWidth="1"/>
    <col min="2818" max="2818" width="41.5703125" style="598" customWidth="1"/>
    <col min="2819" max="2819" width="14.42578125" style="598" customWidth="1"/>
    <col min="2820" max="2820" width="6.5703125" style="598" bestFit="1" customWidth="1"/>
    <col min="2821" max="2821" width="10.28515625" style="598" bestFit="1" customWidth="1"/>
    <col min="2822" max="2822" width="7.85546875" style="598" bestFit="1" customWidth="1"/>
    <col min="2823" max="2823" width="13.85546875" style="598" bestFit="1" customWidth="1"/>
    <col min="2824" max="2824" width="9.85546875" style="598" customWidth="1"/>
    <col min="2825" max="2825" width="13.85546875" style="598" bestFit="1" customWidth="1"/>
    <col min="2826" max="2826" width="11.28515625" style="598" bestFit="1" customWidth="1"/>
    <col min="2827" max="2827" width="13.85546875" style="598" bestFit="1" customWidth="1"/>
    <col min="2828" max="2828" width="21" style="598" customWidth="1"/>
    <col min="2829" max="2829" width="20.7109375" style="598" bestFit="1" customWidth="1"/>
    <col min="2830" max="3072" width="9.140625" style="598"/>
    <col min="3073" max="3073" width="5.42578125" style="598" customWidth="1"/>
    <col min="3074" max="3074" width="41.5703125" style="598" customWidth="1"/>
    <col min="3075" max="3075" width="14.42578125" style="598" customWidth="1"/>
    <col min="3076" max="3076" width="6.5703125" style="598" bestFit="1" customWidth="1"/>
    <col min="3077" max="3077" width="10.28515625" style="598" bestFit="1" customWidth="1"/>
    <col min="3078" max="3078" width="7.85546875" style="598" bestFit="1" customWidth="1"/>
    <col min="3079" max="3079" width="13.85546875" style="598" bestFit="1" customWidth="1"/>
    <col min="3080" max="3080" width="9.85546875" style="598" customWidth="1"/>
    <col min="3081" max="3081" width="13.85546875" style="598" bestFit="1" customWidth="1"/>
    <col min="3082" max="3082" width="11.28515625" style="598" bestFit="1" customWidth="1"/>
    <col min="3083" max="3083" width="13.85546875" style="598" bestFit="1" customWidth="1"/>
    <col min="3084" max="3084" width="21" style="598" customWidth="1"/>
    <col min="3085" max="3085" width="20.7109375" style="598" bestFit="1" customWidth="1"/>
    <col min="3086" max="3328" width="9.140625" style="598"/>
    <col min="3329" max="3329" width="5.42578125" style="598" customWidth="1"/>
    <col min="3330" max="3330" width="41.5703125" style="598" customWidth="1"/>
    <col min="3331" max="3331" width="14.42578125" style="598" customWidth="1"/>
    <col min="3332" max="3332" width="6.5703125" style="598" bestFit="1" customWidth="1"/>
    <col min="3333" max="3333" width="10.28515625" style="598" bestFit="1" customWidth="1"/>
    <col min="3334" max="3334" width="7.85546875" style="598" bestFit="1" customWidth="1"/>
    <col min="3335" max="3335" width="13.85546875" style="598" bestFit="1" customWidth="1"/>
    <col min="3336" max="3336" width="9.85546875" style="598" customWidth="1"/>
    <col min="3337" max="3337" width="13.85546875" style="598" bestFit="1" customWidth="1"/>
    <col min="3338" max="3338" width="11.28515625" style="598" bestFit="1" customWidth="1"/>
    <col min="3339" max="3339" width="13.85546875" style="598" bestFit="1" customWidth="1"/>
    <col min="3340" max="3340" width="21" style="598" customWidth="1"/>
    <col min="3341" max="3341" width="20.7109375" style="598" bestFit="1" customWidth="1"/>
    <col min="3342" max="3584" width="9.140625" style="598"/>
    <col min="3585" max="3585" width="5.42578125" style="598" customWidth="1"/>
    <col min="3586" max="3586" width="41.5703125" style="598" customWidth="1"/>
    <col min="3587" max="3587" width="14.42578125" style="598" customWidth="1"/>
    <col min="3588" max="3588" width="6.5703125" style="598" bestFit="1" customWidth="1"/>
    <col min="3589" max="3589" width="10.28515625" style="598" bestFit="1" customWidth="1"/>
    <col min="3590" max="3590" width="7.85546875" style="598" bestFit="1" customWidth="1"/>
    <col min="3591" max="3591" width="13.85546875" style="598" bestFit="1" customWidth="1"/>
    <col min="3592" max="3592" width="9.85546875" style="598" customWidth="1"/>
    <col min="3593" max="3593" width="13.85546875" style="598" bestFit="1" customWidth="1"/>
    <col min="3594" max="3594" width="11.28515625" style="598" bestFit="1" customWidth="1"/>
    <col min="3595" max="3595" width="13.85546875" style="598" bestFit="1" customWidth="1"/>
    <col min="3596" max="3596" width="21" style="598" customWidth="1"/>
    <col min="3597" max="3597" width="20.7109375" style="598" bestFit="1" customWidth="1"/>
    <col min="3598" max="3840" width="9.140625" style="598"/>
    <col min="3841" max="3841" width="5.42578125" style="598" customWidth="1"/>
    <col min="3842" max="3842" width="41.5703125" style="598" customWidth="1"/>
    <col min="3843" max="3843" width="14.42578125" style="598" customWidth="1"/>
    <col min="3844" max="3844" width="6.5703125" style="598" bestFit="1" customWidth="1"/>
    <col min="3845" max="3845" width="10.28515625" style="598" bestFit="1" customWidth="1"/>
    <col min="3846" max="3846" width="7.85546875" style="598" bestFit="1" customWidth="1"/>
    <col min="3847" max="3847" width="13.85546875" style="598" bestFit="1" customWidth="1"/>
    <col min="3848" max="3848" width="9.85546875" style="598" customWidth="1"/>
    <col min="3849" max="3849" width="13.85546875" style="598" bestFit="1" customWidth="1"/>
    <col min="3850" max="3850" width="11.28515625" style="598" bestFit="1" customWidth="1"/>
    <col min="3851" max="3851" width="13.85546875" style="598" bestFit="1" customWidth="1"/>
    <col min="3852" max="3852" width="21" style="598" customWidth="1"/>
    <col min="3853" max="3853" width="20.7109375" style="598" bestFit="1" customWidth="1"/>
    <col min="3854" max="4096" width="9.140625" style="598"/>
    <col min="4097" max="4097" width="5.42578125" style="598" customWidth="1"/>
    <col min="4098" max="4098" width="41.5703125" style="598" customWidth="1"/>
    <col min="4099" max="4099" width="14.42578125" style="598" customWidth="1"/>
    <col min="4100" max="4100" width="6.5703125" style="598" bestFit="1" customWidth="1"/>
    <col min="4101" max="4101" width="10.28515625" style="598" bestFit="1" customWidth="1"/>
    <col min="4102" max="4102" width="7.85546875" style="598" bestFit="1" customWidth="1"/>
    <col min="4103" max="4103" width="13.85546875" style="598" bestFit="1" customWidth="1"/>
    <col min="4104" max="4104" width="9.85546875" style="598" customWidth="1"/>
    <col min="4105" max="4105" width="13.85546875" style="598" bestFit="1" customWidth="1"/>
    <col min="4106" max="4106" width="11.28515625" style="598" bestFit="1" customWidth="1"/>
    <col min="4107" max="4107" width="13.85546875" style="598" bestFit="1" customWidth="1"/>
    <col min="4108" max="4108" width="21" style="598" customWidth="1"/>
    <col min="4109" max="4109" width="20.7109375" style="598" bestFit="1" customWidth="1"/>
    <col min="4110" max="4352" width="9.140625" style="598"/>
    <col min="4353" max="4353" width="5.42578125" style="598" customWidth="1"/>
    <col min="4354" max="4354" width="41.5703125" style="598" customWidth="1"/>
    <col min="4355" max="4355" width="14.42578125" style="598" customWidth="1"/>
    <col min="4356" max="4356" width="6.5703125" style="598" bestFit="1" customWidth="1"/>
    <col min="4357" max="4357" width="10.28515625" style="598" bestFit="1" customWidth="1"/>
    <col min="4358" max="4358" width="7.85546875" style="598" bestFit="1" customWidth="1"/>
    <col min="4359" max="4359" width="13.85546875" style="598" bestFit="1" customWidth="1"/>
    <col min="4360" max="4360" width="9.85546875" style="598" customWidth="1"/>
    <col min="4361" max="4361" width="13.85546875" style="598" bestFit="1" customWidth="1"/>
    <col min="4362" max="4362" width="11.28515625" style="598" bestFit="1" customWidth="1"/>
    <col min="4363" max="4363" width="13.85546875" style="598" bestFit="1" customWidth="1"/>
    <col min="4364" max="4364" width="21" style="598" customWidth="1"/>
    <col min="4365" max="4365" width="20.7109375" style="598" bestFit="1" customWidth="1"/>
    <col min="4366" max="4608" width="9.140625" style="598"/>
    <col min="4609" max="4609" width="5.42578125" style="598" customWidth="1"/>
    <col min="4610" max="4610" width="41.5703125" style="598" customWidth="1"/>
    <col min="4611" max="4611" width="14.42578125" style="598" customWidth="1"/>
    <col min="4612" max="4612" width="6.5703125" style="598" bestFit="1" customWidth="1"/>
    <col min="4613" max="4613" width="10.28515625" style="598" bestFit="1" customWidth="1"/>
    <col min="4614" max="4614" width="7.85546875" style="598" bestFit="1" customWidth="1"/>
    <col min="4615" max="4615" width="13.85546875" style="598" bestFit="1" customWidth="1"/>
    <col min="4616" max="4616" width="9.85546875" style="598" customWidth="1"/>
    <col min="4617" max="4617" width="13.85546875" style="598" bestFit="1" customWidth="1"/>
    <col min="4618" max="4618" width="11.28515625" style="598" bestFit="1" customWidth="1"/>
    <col min="4619" max="4619" width="13.85546875" style="598" bestFit="1" customWidth="1"/>
    <col min="4620" max="4620" width="21" style="598" customWidth="1"/>
    <col min="4621" max="4621" width="20.7109375" style="598" bestFit="1" customWidth="1"/>
    <col min="4622" max="4864" width="9.140625" style="598"/>
    <col min="4865" max="4865" width="5.42578125" style="598" customWidth="1"/>
    <col min="4866" max="4866" width="41.5703125" style="598" customWidth="1"/>
    <col min="4867" max="4867" width="14.42578125" style="598" customWidth="1"/>
    <col min="4868" max="4868" width="6.5703125" style="598" bestFit="1" customWidth="1"/>
    <col min="4869" max="4869" width="10.28515625" style="598" bestFit="1" customWidth="1"/>
    <col min="4870" max="4870" width="7.85546875" style="598" bestFit="1" customWidth="1"/>
    <col min="4871" max="4871" width="13.85546875" style="598" bestFit="1" customWidth="1"/>
    <col min="4872" max="4872" width="9.85546875" style="598" customWidth="1"/>
    <col min="4873" max="4873" width="13.85546875" style="598" bestFit="1" customWidth="1"/>
    <col min="4874" max="4874" width="11.28515625" style="598" bestFit="1" customWidth="1"/>
    <col min="4875" max="4875" width="13.85546875" style="598" bestFit="1" customWidth="1"/>
    <col min="4876" max="4876" width="21" style="598" customWidth="1"/>
    <col min="4877" max="4877" width="20.7109375" style="598" bestFit="1" customWidth="1"/>
    <col min="4878" max="5120" width="9.140625" style="598"/>
    <col min="5121" max="5121" width="5.42578125" style="598" customWidth="1"/>
    <col min="5122" max="5122" width="41.5703125" style="598" customWidth="1"/>
    <col min="5123" max="5123" width="14.42578125" style="598" customWidth="1"/>
    <col min="5124" max="5124" width="6.5703125" style="598" bestFit="1" customWidth="1"/>
    <col min="5125" max="5125" width="10.28515625" style="598" bestFit="1" customWidth="1"/>
    <col min="5126" max="5126" width="7.85546875" style="598" bestFit="1" customWidth="1"/>
    <col min="5127" max="5127" width="13.85546875" style="598" bestFit="1" customWidth="1"/>
    <col min="5128" max="5128" width="9.85546875" style="598" customWidth="1"/>
    <col min="5129" max="5129" width="13.85546875" style="598" bestFit="1" customWidth="1"/>
    <col min="5130" max="5130" width="11.28515625" style="598" bestFit="1" customWidth="1"/>
    <col min="5131" max="5131" width="13.85546875" style="598" bestFit="1" customWidth="1"/>
    <col min="5132" max="5132" width="21" style="598" customWidth="1"/>
    <col min="5133" max="5133" width="20.7109375" style="598" bestFit="1" customWidth="1"/>
    <col min="5134" max="5376" width="9.140625" style="598"/>
    <col min="5377" max="5377" width="5.42578125" style="598" customWidth="1"/>
    <col min="5378" max="5378" width="41.5703125" style="598" customWidth="1"/>
    <col min="5379" max="5379" width="14.42578125" style="598" customWidth="1"/>
    <col min="5380" max="5380" width="6.5703125" style="598" bestFit="1" customWidth="1"/>
    <col min="5381" max="5381" width="10.28515625" style="598" bestFit="1" customWidth="1"/>
    <col min="5382" max="5382" width="7.85546875" style="598" bestFit="1" customWidth="1"/>
    <col min="5383" max="5383" width="13.85546875" style="598" bestFit="1" customWidth="1"/>
    <col min="5384" max="5384" width="9.85546875" style="598" customWidth="1"/>
    <col min="5385" max="5385" width="13.85546875" style="598" bestFit="1" customWidth="1"/>
    <col min="5386" max="5386" width="11.28515625" style="598" bestFit="1" customWidth="1"/>
    <col min="5387" max="5387" width="13.85546875" style="598" bestFit="1" customWidth="1"/>
    <col min="5388" max="5388" width="21" style="598" customWidth="1"/>
    <col min="5389" max="5389" width="20.7109375" style="598" bestFit="1" customWidth="1"/>
    <col min="5390" max="5632" width="9.140625" style="598"/>
    <col min="5633" max="5633" width="5.42578125" style="598" customWidth="1"/>
    <col min="5634" max="5634" width="41.5703125" style="598" customWidth="1"/>
    <col min="5635" max="5635" width="14.42578125" style="598" customWidth="1"/>
    <col min="5636" max="5636" width="6.5703125" style="598" bestFit="1" customWidth="1"/>
    <col min="5637" max="5637" width="10.28515625" style="598" bestFit="1" customWidth="1"/>
    <col min="5638" max="5638" width="7.85546875" style="598" bestFit="1" customWidth="1"/>
    <col min="5639" max="5639" width="13.85546875" style="598" bestFit="1" customWidth="1"/>
    <col min="5640" max="5640" width="9.85546875" style="598" customWidth="1"/>
    <col min="5641" max="5641" width="13.85546875" style="598" bestFit="1" customWidth="1"/>
    <col min="5642" max="5642" width="11.28515625" style="598" bestFit="1" customWidth="1"/>
    <col min="5643" max="5643" width="13.85546875" style="598" bestFit="1" customWidth="1"/>
    <col min="5644" max="5644" width="21" style="598" customWidth="1"/>
    <col min="5645" max="5645" width="20.7109375" style="598" bestFit="1" customWidth="1"/>
    <col min="5646" max="5888" width="9.140625" style="598"/>
    <col min="5889" max="5889" width="5.42578125" style="598" customWidth="1"/>
    <col min="5890" max="5890" width="41.5703125" style="598" customWidth="1"/>
    <col min="5891" max="5891" width="14.42578125" style="598" customWidth="1"/>
    <col min="5892" max="5892" width="6.5703125" style="598" bestFit="1" customWidth="1"/>
    <col min="5893" max="5893" width="10.28515625" style="598" bestFit="1" customWidth="1"/>
    <col min="5894" max="5894" width="7.85546875" style="598" bestFit="1" customWidth="1"/>
    <col min="5895" max="5895" width="13.85546875" style="598" bestFit="1" customWidth="1"/>
    <col min="5896" max="5896" width="9.85546875" style="598" customWidth="1"/>
    <col min="5897" max="5897" width="13.85546875" style="598" bestFit="1" customWidth="1"/>
    <col min="5898" max="5898" width="11.28515625" style="598" bestFit="1" customWidth="1"/>
    <col min="5899" max="5899" width="13.85546875" style="598" bestFit="1" customWidth="1"/>
    <col min="5900" max="5900" width="21" style="598" customWidth="1"/>
    <col min="5901" max="5901" width="20.7109375" style="598" bestFit="1" customWidth="1"/>
    <col min="5902" max="6144" width="9.140625" style="598"/>
    <col min="6145" max="6145" width="5.42578125" style="598" customWidth="1"/>
    <col min="6146" max="6146" width="41.5703125" style="598" customWidth="1"/>
    <col min="6147" max="6147" width="14.42578125" style="598" customWidth="1"/>
    <col min="6148" max="6148" width="6.5703125" style="598" bestFit="1" customWidth="1"/>
    <col min="6149" max="6149" width="10.28515625" style="598" bestFit="1" customWidth="1"/>
    <col min="6150" max="6150" width="7.85546875" style="598" bestFit="1" customWidth="1"/>
    <col min="6151" max="6151" width="13.85546875" style="598" bestFit="1" customWidth="1"/>
    <col min="6152" max="6152" width="9.85546875" style="598" customWidth="1"/>
    <col min="6153" max="6153" width="13.85546875" style="598" bestFit="1" customWidth="1"/>
    <col min="6154" max="6154" width="11.28515625" style="598" bestFit="1" customWidth="1"/>
    <col min="6155" max="6155" width="13.85546875" style="598" bestFit="1" customWidth="1"/>
    <col min="6156" max="6156" width="21" style="598" customWidth="1"/>
    <col min="6157" max="6157" width="20.7109375" style="598" bestFit="1" customWidth="1"/>
    <col min="6158" max="6400" width="9.140625" style="598"/>
    <col min="6401" max="6401" width="5.42578125" style="598" customWidth="1"/>
    <col min="6402" max="6402" width="41.5703125" style="598" customWidth="1"/>
    <col min="6403" max="6403" width="14.42578125" style="598" customWidth="1"/>
    <col min="6404" max="6404" width="6.5703125" style="598" bestFit="1" customWidth="1"/>
    <col min="6405" max="6405" width="10.28515625" style="598" bestFit="1" customWidth="1"/>
    <col min="6406" max="6406" width="7.85546875" style="598" bestFit="1" customWidth="1"/>
    <col min="6407" max="6407" width="13.85546875" style="598" bestFit="1" customWidth="1"/>
    <col min="6408" max="6408" width="9.85546875" style="598" customWidth="1"/>
    <col min="6409" max="6409" width="13.85546875" style="598" bestFit="1" customWidth="1"/>
    <col min="6410" max="6410" width="11.28515625" style="598" bestFit="1" customWidth="1"/>
    <col min="6411" max="6411" width="13.85546875" style="598" bestFit="1" customWidth="1"/>
    <col min="6412" max="6412" width="21" style="598" customWidth="1"/>
    <col min="6413" max="6413" width="20.7109375" style="598" bestFit="1" customWidth="1"/>
    <col min="6414" max="6656" width="9.140625" style="598"/>
    <col min="6657" max="6657" width="5.42578125" style="598" customWidth="1"/>
    <col min="6658" max="6658" width="41.5703125" style="598" customWidth="1"/>
    <col min="6659" max="6659" width="14.42578125" style="598" customWidth="1"/>
    <col min="6660" max="6660" width="6.5703125" style="598" bestFit="1" customWidth="1"/>
    <col min="6661" max="6661" width="10.28515625" style="598" bestFit="1" customWidth="1"/>
    <col min="6662" max="6662" width="7.85546875" style="598" bestFit="1" customWidth="1"/>
    <col min="6663" max="6663" width="13.85546875" style="598" bestFit="1" customWidth="1"/>
    <col min="6664" max="6664" width="9.85546875" style="598" customWidth="1"/>
    <col min="6665" max="6665" width="13.85546875" style="598" bestFit="1" customWidth="1"/>
    <col min="6666" max="6666" width="11.28515625" style="598" bestFit="1" customWidth="1"/>
    <col min="6667" max="6667" width="13.85546875" style="598" bestFit="1" customWidth="1"/>
    <col min="6668" max="6668" width="21" style="598" customWidth="1"/>
    <col min="6669" max="6669" width="20.7109375" style="598" bestFit="1" customWidth="1"/>
    <col min="6670" max="6912" width="9.140625" style="598"/>
    <col min="6913" max="6913" width="5.42578125" style="598" customWidth="1"/>
    <col min="6914" max="6914" width="41.5703125" style="598" customWidth="1"/>
    <col min="6915" max="6915" width="14.42578125" style="598" customWidth="1"/>
    <col min="6916" max="6916" width="6.5703125" style="598" bestFit="1" customWidth="1"/>
    <col min="6917" max="6917" width="10.28515625" style="598" bestFit="1" customWidth="1"/>
    <col min="6918" max="6918" width="7.85546875" style="598" bestFit="1" customWidth="1"/>
    <col min="6919" max="6919" width="13.85546875" style="598" bestFit="1" customWidth="1"/>
    <col min="6920" max="6920" width="9.85546875" style="598" customWidth="1"/>
    <col min="6921" max="6921" width="13.85546875" style="598" bestFit="1" customWidth="1"/>
    <col min="6922" max="6922" width="11.28515625" style="598" bestFit="1" customWidth="1"/>
    <col min="6923" max="6923" width="13.85546875" style="598" bestFit="1" customWidth="1"/>
    <col min="6924" max="6924" width="21" style="598" customWidth="1"/>
    <col min="6925" max="6925" width="20.7109375" style="598" bestFit="1" customWidth="1"/>
    <col min="6926" max="7168" width="9.140625" style="598"/>
    <col min="7169" max="7169" width="5.42578125" style="598" customWidth="1"/>
    <col min="7170" max="7170" width="41.5703125" style="598" customWidth="1"/>
    <col min="7171" max="7171" width="14.42578125" style="598" customWidth="1"/>
    <col min="7172" max="7172" width="6.5703125" style="598" bestFit="1" customWidth="1"/>
    <col min="7173" max="7173" width="10.28515625" style="598" bestFit="1" customWidth="1"/>
    <col min="7174" max="7174" width="7.85546875" style="598" bestFit="1" customWidth="1"/>
    <col min="7175" max="7175" width="13.85546875" style="598" bestFit="1" customWidth="1"/>
    <col min="7176" max="7176" width="9.85546875" style="598" customWidth="1"/>
    <col min="7177" max="7177" width="13.85546875" style="598" bestFit="1" customWidth="1"/>
    <col min="7178" max="7178" width="11.28515625" style="598" bestFit="1" customWidth="1"/>
    <col min="7179" max="7179" width="13.85546875" style="598" bestFit="1" customWidth="1"/>
    <col min="7180" max="7180" width="21" style="598" customWidth="1"/>
    <col min="7181" max="7181" width="20.7109375" style="598" bestFit="1" customWidth="1"/>
    <col min="7182" max="7424" width="9.140625" style="598"/>
    <col min="7425" max="7425" width="5.42578125" style="598" customWidth="1"/>
    <col min="7426" max="7426" width="41.5703125" style="598" customWidth="1"/>
    <col min="7427" max="7427" width="14.42578125" style="598" customWidth="1"/>
    <col min="7428" max="7428" width="6.5703125" style="598" bestFit="1" customWidth="1"/>
    <col min="7429" max="7429" width="10.28515625" style="598" bestFit="1" customWidth="1"/>
    <col min="7430" max="7430" width="7.85546875" style="598" bestFit="1" customWidth="1"/>
    <col min="7431" max="7431" width="13.85546875" style="598" bestFit="1" customWidth="1"/>
    <col min="7432" max="7432" width="9.85546875" style="598" customWidth="1"/>
    <col min="7433" max="7433" width="13.85546875" style="598" bestFit="1" customWidth="1"/>
    <col min="7434" max="7434" width="11.28515625" style="598" bestFit="1" customWidth="1"/>
    <col min="7435" max="7435" width="13.85546875" style="598" bestFit="1" customWidth="1"/>
    <col min="7436" max="7436" width="21" style="598" customWidth="1"/>
    <col min="7437" max="7437" width="20.7109375" style="598" bestFit="1" customWidth="1"/>
    <col min="7438" max="7680" width="9.140625" style="598"/>
    <col min="7681" max="7681" width="5.42578125" style="598" customWidth="1"/>
    <col min="7682" max="7682" width="41.5703125" style="598" customWidth="1"/>
    <col min="7683" max="7683" width="14.42578125" style="598" customWidth="1"/>
    <col min="7684" max="7684" width="6.5703125" style="598" bestFit="1" customWidth="1"/>
    <col min="7685" max="7685" width="10.28515625" style="598" bestFit="1" customWidth="1"/>
    <col min="7686" max="7686" width="7.85546875" style="598" bestFit="1" customWidth="1"/>
    <col min="7687" max="7687" width="13.85546875" style="598" bestFit="1" customWidth="1"/>
    <col min="7688" max="7688" width="9.85546875" style="598" customWidth="1"/>
    <col min="7689" max="7689" width="13.85546875" style="598" bestFit="1" customWidth="1"/>
    <col min="7690" max="7690" width="11.28515625" style="598" bestFit="1" customWidth="1"/>
    <col min="7691" max="7691" width="13.85546875" style="598" bestFit="1" customWidth="1"/>
    <col min="7692" max="7692" width="21" style="598" customWidth="1"/>
    <col min="7693" max="7693" width="20.7109375" style="598" bestFit="1" customWidth="1"/>
    <col min="7694" max="7936" width="9.140625" style="598"/>
    <col min="7937" max="7937" width="5.42578125" style="598" customWidth="1"/>
    <col min="7938" max="7938" width="41.5703125" style="598" customWidth="1"/>
    <col min="7939" max="7939" width="14.42578125" style="598" customWidth="1"/>
    <col min="7940" max="7940" width="6.5703125" style="598" bestFit="1" customWidth="1"/>
    <col min="7941" max="7941" width="10.28515625" style="598" bestFit="1" customWidth="1"/>
    <col min="7942" max="7942" width="7.85546875" style="598" bestFit="1" customWidth="1"/>
    <col min="7943" max="7943" width="13.85546875" style="598" bestFit="1" customWidth="1"/>
    <col min="7944" max="7944" width="9.85546875" style="598" customWidth="1"/>
    <col min="7945" max="7945" width="13.85546875" style="598" bestFit="1" customWidth="1"/>
    <col min="7946" max="7946" width="11.28515625" style="598" bestFit="1" customWidth="1"/>
    <col min="7947" max="7947" width="13.85546875" style="598" bestFit="1" customWidth="1"/>
    <col min="7948" max="7948" width="21" style="598" customWidth="1"/>
    <col min="7949" max="7949" width="20.7109375" style="598" bestFit="1" customWidth="1"/>
    <col min="7950" max="8192" width="9.140625" style="598"/>
    <col min="8193" max="8193" width="5.42578125" style="598" customWidth="1"/>
    <col min="8194" max="8194" width="41.5703125" style="598" customWidth="1"/>
    <col min="8195" max="8195" width="14.42578125" style="598" customWidth="1"/>
    <col min="8196" max="8196" width="6.5703125" style="598" bestFit="1" customWidth="1"/>
    <col min="8197" max="8197" width="10.28515625" style="598" bestFit="1" customWidth="1"/>
    <col min="8198" max="8198" width="7.85546875" style="598" bestFit="1" customWidth="1"/>
    <col min="8199" max="8199" width="13.85546875" style="598" bestFit="1" customWidth="1"/>
    <col min="8200" max="8200" width="9.85546875" style="598" customWidth="1"/>
    <col min="8201" max="8201" width="13.85546875" style="598" bestFit="1" customWidth="1"/>
    <col min="8202" max="8202" width="11.28515625" style="598" bestFit="1" customWidth="1"/>
    <col min="8203" max="8203" width="13.85546875" style="598" bestFit="1" customWidth="1"/>
    <col min="8204" max="8204" width="21" style="598" customWidth="1"/>
    <col min="8205" max="8205" width="20.7109375" style="598" bestFit="1" customWidth="1"/>
    <col min="8206" max="8448" width="9.140625" style="598"/>
    <col min="8449" max="8449" width="5.42578125" style="598" customWidth="1"/>
    <col min="8450" max="8450" width="41.5703125" style="598" customWidth="1"/>
    <col min="8451" max="8451" width="14.42578125" style="598" customWidth="1"/>
    <col min="8452" max="8452" width="6.5703125" style="598" bestFit="1" customWidth="1"/>
    <col min="8453" max="8453" width="10.28515625" style="598" bestFit="1" customWidth="1"/>
    <col min="8454" max="8454" width="7.85546875" style="598" bestFit="1" customWidth="1"/>
    <col min="8455" max="8455" width="13.85546875" style="598" bestFit="1" customWidth="1"/>
    <col min="8456" max="8456" width="9.85546875" style="598" customWidth="1"/>
    <col min="8457" max="8457" width="13.85546875" style="598" bestFit="1" customWidth="1"/>
    <col min="8458" max="8458" width="11.28515625" style="598" bestFit="1" customWidth="1"/>
    <col min="8459" max="8459" width="13.85546875" style="598" bestFit="1" customWidth="1"/>
    <col min="8460" max="8460" width="21" style="598" customWidth="1"/>
    <col min="8461" max="8461" width="20.7109375" style="598" bestFit="1" customWidth="1"/>
    <col min="8462" max="8704" width="9.140625" style="598"/>
    <col min="8705" max="8705" width="5.42578125" style="598" customWidth="1"/>
    <col min="8706" max="8706" width="41.5703125" style="598" customWidth="1"/>
    <col min="8707" max="8707" width="14.42578125" style="598" customWidth="1"/>
    <col min="8708" max="8708" width="6.5703125" style="598" bestFit="1" customWidth="1"/>
    <col min="8709" max="8709" width="10.28515625" style="598" bestFit="1" customWidth="1"/>
    <col min="8710" max="8710" width="7.85546875" style="598" bestFit="1" customWidth="1"/>
    <col min="8711" max="8711" width="13.85546875" style="598" bestFit="1" customWidth="1"/>
    <col min="8712" max="8712" width="9.85546875" style="598" customWidth="1"/>
    <col min="8713" max="8713" width="13.85546875" style="598" bestFit="1" customWidth="1"/>
    <col min="8714" max="8714" width="11.28515625" style="598" bestFit="1" customWidth="1"/>
    <col min="8715" max="8715" width="13.85546875" style="598" bestFit="1" customWidth="1"/>
    <col min="8716" max="8716" width="21" style="598" customWidth="1"/>
    <col min="8717" max="8717" width="20.7109375" style="598" bestFit="1" customWidth="1"/>
    <col min="8718" max="8960" width="9.140625" style="598"/>
    <col min="8961" max="8961" width="5.42578125" style="598" customWidth="1"/>
    <col min="8962" max="8962" width="41.5703125" style="598" customWidth="1"/>
    <col min="8963" max="8963" width="14.42578125" style="598" customWidth="1"/>
    <col min="8964" max="8964" width="6.5703125" style="598" bestFit="1" customWidth="1"/>
    <col min="8965" max="8965" width="10.28515625" style="598" bestFit="1" customWidth="1"/>
    <col min="8966" max="8966" width="7.85546875" style="598" bestFit="1" customWidth="1"/>
    <col min="8967" max="8967" width="13.85546875" style="598" bestFit="1" customWidth="1"/>
    <col min="8968" max="8968" width="9.85546875" style="598" customWidth="1"/>
    <col min="8969" max="8969" width="13.85546875" style="598" bestFit="1" customWidth="1"/>
    <col min="8970" max="8970" width="11.28515625" style="598" bestFit="1" customWidth="1"/>
    <col min="8971" max="8971" width="13.85546875" style="598" bestFit="1" customWidth="1"/>
    <col min="8972" max="8972" width="21" style="598" customWidth="1"/>
    <col min="8973" max="8973" width="20.7109375" style="598" bestFit="1" customWidth="1"/>
    <col min="8974" max="9216" width="9.140625" style="598"/>
    <col min="9217" max="9217" width="5.42578125" style="598" customWidth="1"/>
    <col min="9218" max="9218" width="41.5703125" style="598" customWidth="1"/>
    <col min="9219" max="9219" width="14.42578125" style="598" customWidth="1"/>
    <col min="9220" max="9220" width="6.5703125" style="598" bestFit="1" customWidth="1"/>
    <col min="9221" max="9221" width="10.28515625" style="598" bestFit="1" customWidth="1"/>
    <col min="9222" max="9222" width="7.85546875" style="598" bestFit="1" customWidth="1"/>
    <col min="9223" max="9223" width="13.85546875" style="598" bestFit="1" customWidth="1"/>
    <col min="9224" max="9224" width="9.85546875" style="598" customWidth="1"/>
    <col min="9225" max="9225" width="13.85546875" style="598" bestFit="1" customWidth="1"/>
    <col min="9226" max="9226" width="11.28515625" style="598" bestFit="1" customWidth="1"/>
    <col min="9227" max="9227" width="13.85546875" style="598" bestFit="1" customWidth="1"/>
    <col min="9228" max="9228" width="21" style="598" customWidth="1"/>
    <col min="9229" max="9229" width="20.7109375" style="598" bestFit="1" customWidth="1"/>
    <col min="9230" max="9472" width="9.140625" style="598"/>
    <col min="9473" max="9473" width="5.42578125" style="598" customWidth="1"/>
    <col min="9474" max="9474" width="41.5703125" style="598" customWidth="1"/>
    <col min="9475" max="9475" width="14.42578125" style="598" customWidth="1"/>
    <col min="9476" max="9476" width="6.5703125" style="598" bestFit="1" customWidth="1"/>
    <col min="9477" max="9477" width="10.28515625" style="598" bestFit="1" customWidth="1"/>
    <col min="9478" max="9478" width="7.85546875" style="598" bestFit="1" customWidth="1"/>
    <col min="9479" max="9479" width="13.85546875" style="598" bestFit="1" customWidth="1"/>
    <col min="9480" max="9480" width="9.85546875" style="598" customWidth="1"/>
    <col min="9481" max="9481" width="13.85546875" style="598" bestFit="1" customWidth="1"/>
    <col min="9482" max="9482" width="11.28515625" style="598" bestFit="1" customWidth="1"/>
    <col min="9483" max="9483" width="13.85546875" style="598" bestFit="1" customWidth="1"/>
    <col min="9484" max="9484" width="21" style="598" customWidth="1"/>
    <col min="9485" max="9485" width="20.7109375" style="598" bestFit="1" customWidth="1"/>
    <col min="9486" max="9728" width="9.140625" style="598"/>
    <col min="9729" max="9729" width="5.42578125" style="598" customWidth="1"/>
    <col min="9730" max="9730" width="41.5703125" style="598" customWidth="1"/>
    <col min="9731" max="9731" width="14.42578125" style="598" customWidth="1"/>
    <col min="9732" max="9732" width="6.5703125" style="598" bestFit="1" customWidth="1"/>
    <col min="9733" max="9733" width="10.28515625" style="598" bestFit="1" customWidth="1"/>
    <col min="9734" max="9734" width="7.85546875" style="598" bestFit="1" customWidth="1"/>
    <col min="9735" max="9735" width="13.85546875" style="598" bestFit="1" customWidth="1"/>
    <col min="9736" max="9736" width="9.85546875" style="598" customWidth="1"/>
    <col min="9737" max="9737" width="13.85546875" style="598" bestFit="1" customWidth="1"/>
    <col min="9738" max="9738" width="11.28515625" style="598" bestFit="1" customWidth="1"/>
    <col min="9739" max="9739" width="13.85546875" style="598" bestFit="1" customWidth="1"/>
    <col min="9740" max="9740" width="21" style="598" customWidth="1"/>
    <col min="9741" max="9741" width="20.7109375" style="598" bestFit="1" customWidth="1"/>
    <col min="9742" max="9984" width="9.140625" style="598"/>
    <col min="9985" max="9985" width="5.42578125" style="598" customWidth="1"/>
    <col min="9986" max="9986" width="41.5703125" style="598" customWidth="1"/>
    <col min="9987" max="9987" width="14.42578125" style="598" customWidth="1"/>
    <col min="9988" max="9988" width="6.5703125" style="598" bestFit="1" customWidth="1"/>
    <col min="9989" max="9989" width="10.28515625" style="598" bestFit="1" customWidth="1"/>
    <col min="9990" max="9990" width="7.85546875" style="598" bestFit="1" customWidth="1"/>
    <col min="9991" max="9991" width="13.85546875" style="598" bestFit="1" customWidth="1"/>
    <col min="9992" max="9992" width="9.85546875" style="598" customWidth="1"/>
    <col min="9993" max="9993" width="13.85546875" style="598" bestFit="1" customWidth="1"/>
    <col min="9994" max="9994" width="11.28515625" style="598" bestFit="1" customWidth="1"/>
    <col min="9995" max="9995" width="13.85546875" style="598" bestFit="1" customWidth="1"/>
    <col min="9996" max="9996" width="21" style="598" customWidth="1"/>
    <col min="9997" max="9997" width="20.7109375" style="598" bestFit="1" customWidth="1"/>
    <col min="9998" max="10240" width="9.140625" style="598"/>
    <col min="10241" max="10241" width="5.42578125" style="598" customWidth="1"/>
    <col min="10242" max="10242" width="41.5703125" style="598" customWidth="1"/>
    <col min="10243" max="10243" width="14.42578125" style="598" customWidth="1"/>
    <col min="10244" max="10244" width="6.5703125" style="598" bestFit="1" customWidth="1"/>
    <col min="10245" max="10245" width="10.28515625" style="598" bestFit="1" customWidth="1"/>
    <col min="10246" max="10246" width="7.85546875" style="598" bestFit="1" customWidth="1"/>
    <col min="10247" max="10247" width="13.85546875" style="598" bestFit="1" customWidth="1"/>
    <col min="10248" max="10248" width="9.85546875" style="598" customWidth="1"/>
    <col min="10249" max="10249" width="13.85546875" style="598" bestFit="1" customWidth="1"/>
    <col min="10250" max="10250" width="11.28515625" style="598" bestFit="1" customWidth="1"/>
    <col min="10251" max="10251" width="13.85546875" style="598" bestFit="1" customWidth="1"/>
    <col min="10252" max="10252" width="21" style="598" customWidth="1"/>
    <col min="10253" max="10253" width="20.7109375" style="598" bestFit="1" customWidth="1"/>
    <col min="10254" max="10496" width="9.140625" style="598"/>
    <col min="10497" max="10497" width="5.42578125" style="598" customWidth="1"/>
    <col min="10498" max="10498" width="41.5703125" style="598" customWidth="1"/>
    <col min="10499" max="10499" width="14.42578125" style="598" customWidth="1"/>
    <col min="10500" max="10500" width="6.5703125" style="598" bestFit="1" customWidth="1"/>
    <col min="10501" max="10501" width="10.28515625" style="598" bestFit="1" customWidth="1"/>
    <col min="10502" max="10502" width="7.85546875" style="598" bestFit="1" customWidth="1"/>
    <col min="10503" max="10503" width="13.85546875" style="598" bestFit="1" customWidth="1"/>
    <col min="10504" max="10504" width="9.85546875" style="598" customWidth="1"/>
    <col min="10505" max="10505" width="13.85546875" style="598" bestFit="1" customWidth="1"/>
    <col min="10506" max="10506" width="11.28515625" style="598" bestFit="1" customWidth="1"/>
    <col min="10507" max="10507" width="13.85546875" style="598" bestFit="1" customWidth="1"/>
    <col min="10508" max="10508" width="21" style="598" customWidth="1"/>
    <col min="10509" max="10509" width="20.7109375" style="598" bestFit="1" customWidth="1"/>
    <col min="10510" max="10752" width="9.140625" style="598"/>
    <col min="10753" max="10753" width="5.42578125" style="598" customWidth="1"/>
    <col min="10754" max="10754" width="41.5703125" style="598" customWidth="1"/>
    <col min="10755" max="10755" width="14.42578125" style="598" customWidth="1"/>
    <col min="10756" max="10756" width="6.5703125" style="598" bestFit="1" customWidth="1"/>
    <col min="10757" max="10757" width="10.28515625" style="598" bestFit="1" customWidth="1"/>
    <col min="10758" max="10758" width="7.85546875" style="598" bestFit="1" customWidth="1"/>
    <col min="10759" max="10759" width="13.85546875" style="598" bestFit="1" customWidth="1"/>
    <col min="10760" max="10760" width="9.85546875" style="598" customWidth="1"/>
    <col min="10761" max="10761" width="13.85546875" style="598" bestFit="1" customWidth="1"/>
    <col min="10762" max="10762" width="11.28515625" style="598" bestFit="1" customWidth="1"/>
    <col min="10763" max="10763" width="13.85546875" style="598" bestFit="1" customWidth="1"/>
    <col min="10764" max="10764" width="21" style="598" customWidth="1"/>
    <col min="10765" max="10765" width="20.7109375" style="598" bestFit="1" customWidth="1"/>
    <col min="10766" max="11008" width="9.140625" style="598"/>
    <col min="11009" max="11009" width="5.42578125" style="598" customWidth="1"/>
    <col min="11010" max="11010" width="41.5703125" style="598" customWidth="1"/>
    <col min="11011" max="11011" width="14.42578125" style="598" customWidth="1"/>
    <col min="11012" max="11012" width="6.5703125" style="598" bestFit="1" customWidth="1"/>
    <col min="11013" max="11013" width="10.28515625" style="598" bestFit="1" customWidth="1"/>
    <col min="11014" max="11014" width="7.85546875" style="598" bestFit="1" customWidth="1"/>
    <col min="11015" max="11015" width="13.85546875" style="598" bestFit="1" customWidth="1"/>
    <col min="11016" max="11016" width="9.85546875" style="598" customWidth="1"/>
    <col min="11017" max="11017" width="13.85546875" style="598" bestFit="1" customWidth="1"/>
    <col min="11018" max="11018" width="11.28515625" style="598" bestFit="1" customWidth="1"/>
    <col min="11019" max="11019" width="13.85546875" style="598" bestFit="1" customWidth="1"/>
    <col min="11020" max="11020" width="21" style="598" customWidth="1"/>
    <col min="11021" max="11021" width="20.7109375" style="598" bestFit="1" customWidth="1"/>
    <col min="11022" max="11264" width="9.140625" style="598"/>
    <col min="11265" max="11265" width="5.42578125" style="598" customWidth="1"/>
    <col min="11266" max="11266" width="41.5703125" style="598" customWidth="1"/>
    <col min="11267" max="11267" width="14.42578125" style="598" customWidth="1"/>
    <col min="11268" max="11268" width="6.5703125" style="598" bestFit="1" customWidth="1"/>
    <col min="11269" max="11269" width="10.28515625" style="598" bestFit="1" customWidth="1"/>
    <col min="11270" max="11270" width="7.85546875" style="598" bestFit="1" customWidth="1"/>
    <col min="11271" max="11271" width="13.85546875" style="598" bestFit="1" customWidth="1"/>
    <col min="11272" max="11272" width="9.85546875" style="598" customWidth="1"/>
    <col min="11273" max="11273" width="13.85546875" style="598" bestFit="1" customWidth="1"/>
    <col min="11274" max="11274" width="11.28515625" style="598" bestFit="1" customWidth="1"/>
    <col min="11275" max="11275" width="13.85546875" style="598" bestFit="1" customWidth="1"/>
    <col min="11276" max="11276" width="21" style="598" customWidth="1"/>
    <col min="11277" max="11277" width="20.7109375" style="598" bestFit="1" customWidth="1"/>
    <col min="11278" max="11520" width="9.140625" style="598"/>
    <col min="11521" max="11521" width="5.42578125" style="598" customWidth="1"/>
    <col min="11522" max="11522" width="41.5703125" style="598" customWidth="1"/>
    <col min="11523" max="11523" width="14.42578125" style="598" customWidth="1"/>
    <col min="11524" max="11524" width="6.5703125" style="598" bestFit="1" customWidth="1"/>
    <col min="11525" max="11525" width="10.28515625" style="598" bestFit="1" customWidth="1"/>
    <col min="11526" max="11526" width="7.85546875" style="598" bestFit="1" customWidth="1"/>
    <col min="11527" max="11527" width="13.85546875" style="598" bestFit="1" customWidth="1"/>
    <col min="11528" max="11528" width="9.85546875" style="598" customWidth="1"/>
    <col min="11529" max="11529" width="13.85546875" style="598" bestFit="1" customWidth="1"/>
    <col min="11530" max="11530" width="11.28515625" style="598" bestFit="1" customWidth="1"/>
    <col min="11531" max="11531" width="13.85546875" style="598" bestFit="1" customWidth="1"/>
    <col min="11532" max="11532" width="21" style="598" customWidth="1"/>
    <col min="11533" max="11533" width="20.7109375" style="598" bestFit="1" customWidth="1"/>
    <col min="11534" max="11776" width="9.140625" style="598"/>
    <col min="11777" max="11777" width="5.42578125" style="598" customWidth="1"/>
    <col min="11778" max="11778" width="41.5703125" style="598" customWidth="1"/>
    <col min="11779" max="11779" width="14.42578125" style="598" customWidth="1"/>
    <col min="11780" max="11780" width="6.5703125" style="598" bestFit="1" customWidth="1"/>
    <col min="11781" max="11781" width="10.28515625" style="598" bestFit="1" customWidth="1"/>
    <col min="11782" max="11782" width="7.85546875" style="598" bestFit="1" customWidth="1"/>
    <col min="11783" max="11783" width="13.85546875" style="598" bestFit="1" customWidth="1"/>
    <col min="11784" max="11784" width="9.85546875" style="598" customWidth="1"/>
    <col min="11785" max="11785" width="13.85546875" style="598" bestFit="1" customWidth="1"/>
    <col min="11786" max="11786" width="11.28515625" style="598" bestFit="1" customWidth="1"/>
    <col min="11787" max="11787" width="13.85546875" style="598" bestFit="1" customWidth="1"/>
    <col min="11788" max="11788" width="21" style="598" customWidth="1"/>
    <col min="11789" max="11789" width="20.7109375" style="598" bestFit="1" customWidth="1"/>
    <col min="11790" max="12032" width="9.140625" style="598"/>
    <col min="12033" max="12033" width="5.42578125" style="598" customWidth="1"/>
    <col min="12034" max="12034" width="41.5703125" style="598" customWidth="1"/>
    <col min="12035" max="12035" width="14.42578125" style="598" customWidth="1"/>
    <col min="12036" max="12036" width="6.5703125" style="598" bestFit="1" customWidth="1"/>
    <col min="12037" max="12037" width="10.28515625" style="598" bestFit="1" customWidth="1"/>
    <col min="12038" max="12038" width="7.85546875" style="598" bestFit="1" customWidth="1"/>
    <col min="12039" max="12039" width="13.85546875" style="598" bestFit="1" customWidth="1"/>
    <col min="12040" max="12040" width="9.85546875" style="598" customWidth="1"/>
    <col min="12041" max="12041" width="13.85546875" style="598" bestFit="1" customWidth="1"/>
    <col min="12042" max="12042" width="11.28515625" style="598" bestFit="1" customWidth="1"/>
    <col min="12043" max="12043" width="13.85546875" style="598" bestFit="1" customWidth="1"/>
    <col min="12044" max="12044" width="21" style="598" customWidth="1"/>
    <col min="12045" max="12045" width="20.7109375" style="598" bestFit="1" customWidth="1"/>
    <col min="12046" max="12288" width="9.140625" style="598"/>
    <col min="12289" max="12289" width="5.42578125" style="598" customWidth="1"/>
    <col min="12290" max="12290" width="41.5703125" style="598" customWidth="1"/>
    <col min="12291" max="12291" width="14.42578125" style="598" customWidth="1"/>
    <col min="12292" max="12292" width="6.5703125" style="598" bestFit="1" customWidth="1"/>
    <col min="12293" max="12293" width="10.28515625" style="598" bestFit="1" customWidth="1"/>
    <col min="12294" max="12294" width="7.85546875" style="598" bestFit="1" customWidth="1"/>
    <col min="12295" max="12295" width="13.85546875" style="598" bestFit="1" customWidth="1"/>
    <col min="12296" max="12296" width="9.85546875" style="598" customWidth="1"/>
    <col min="12297" max="12297" width="13.85546875" style="598" bestFit="1" customWidth="1"/>
    <col min="12298" max="12298" width="11.28515625" style="598" bestFit="1" customWidth="1"/>
    <col min="12299" max="12299" width="13.85546875" style="598" bestFit="1" customWidth="1"/>
    <col min="12300" max="12300" width="21" style="598" customWidth="1"/>
    <col min="12301" max="12301" width="20.7109375" style="598" bestFit="1" customWidth="1"/>
    <col min="12302" max="12544" width="9.140625" style="598"/>
    <col min="12545" max="12545" width="5.42578125" style="598" customWidth="1"/>
    <col min="12546" max="12546" width="41.5703125" style="598" customWidth="1"/>
    <col min="12547" max="12547" width="14.42578125" style="598" customWidth="1"/>
    <col min="12548" max="12548" width="6.5703125" style="598" bestFit="1" customWidth="1"/>
    <col min="12549" max="12549" width="10.28515625" style="598" bestFit="1" customWidth="1"/>
    <col min="12550" max="12550" width="7.85546875" style="598" bestFit="1" customWidth="1"/>
    <col min="12551" max="12551" width="13.85546875" style="598" bestFit="1" customWidth="1"/>
    <col min="12552" max="12552" width="9.85546875" style="598" customWidth="1"/>
    <col min="12553" max="12553" width="13.85546875" style="598" bestFit="1" customWidth="1"/>
    <col min="12554" max="12554" width="11.28515625" style="598" bestFit="1" customWidth="1"/>
    <col min="12555" max="12555" width="13.85546875" style="598" bestFit="1" customWidth="1"/>
    <col min="12556" max="12556" width="21" style="598" customWidth="1"/>
    <col min="12557" max="12557" width="20.7109375" style="598" bestFit="1" customWidth="1"/>
    <col min="12558" max="12800" width="9.140625" style="598"/>
    <col min="12801" max="12801" width="5.42578125" style="598" customWidth="1"/>
    <col min="12802" max="12802" width="41.5703125" style="598" customWidth="1"/>
    <col min="12803" max="12803" width="14.42578125" style="598" customWidth="1"/>
    <col min="12804" max="12804" width="6.5703125" style="598" bestFit="1" customWidth="1"/>
    <col min="12805" max="12805" width="10.28515625" style="598" bestFit="1" customWidth="1"/>
    <col min="12806" max="12806" width="7.85546875" style="598" bestFit="1" customWidth="1"/>
    <col min="12807" max="12807" width="13.85546875" style="598" bestFit="1" customWidth="1"/>
    <col min="12808" max="12808" width="9.85546875" style="598" customWidth="1"/>
    <col min="12809" max="12809" width="13.85546875" style="598" bestFit="1" customWidth="1"/>
    <col min="12810" max="12810" width="11.28515625" style="598" bestFit="1" customWidth="1"/>
    <col min="12811" max="12811" width="13.85546875" style="598" bestFit="1" customWidth="1"/>
    <col min="12812" max="12812" width="21" style="598" customWidth="1"/>
    <col min="12813" max="12813" width="20.7109375" style="598" bestFit="1" customWidth="1"/>
    <col min="12814" max="13056" width="9.140625" style="598"/>
    <col min="13057" max="13057" width="5.42578125" style="598" customWidth="1"/>
    <col min="13058" max="13058" width="41.5703125" style="598" customWidth="1"/>
    <col min="13059" max="13059" width="14.42578125" style="598" customWidth="1"/>
    <col min="13060" max="13060" width="6.5703125" style="598" bestFit="1" customWidth="1"/>
    <col min="13061" max="13061" width="10.28515625" style="598" bestFit="1" customWidth="1"/>
    <col min="13062" max="13062" width="7.85546875" style="598" bestFit="1" customWidth="1"/>
    <col min="13063" max="13063" width="13.85546875" style="598" bestFit="1" customWidth="1"/>
    <col min="13064" max="13064" width="9.85546875" style="598" customWidth="1"/>
    <col min="13065" max="13065" width="13.85546875" style="598" bestFit="1" customWidth="1"/>
    <col min="13066" max="13066" width="11.28515625" style="598" bestFit="1" customWidth="1"/>
    <col min="13067" max="13067" width="13.85546875" style="598" bestFit="1" customWidth="1"/>
    <col min="13068" max="13068" width="21" style="598" customWidth="1"/>
    <col min="13069" max="13069" width="20.7109375" style="598" bestFit="1" customWidth="1"/>
    <col min="13070" max="13312" width="9.140625" style="598"/>
    <col min="13313" max="13313" width="5.42578125" style="598" customWidth="1"/>
    <col min="13314" max="13314" width="41.5703125" style="598" customWidth="1"/>
    <col min="13315" max="13315" width="14.42578125" style="598" customWidth="1"/>
    <col min="13316" max="13316" width="6.5703125" style="598" bestFit="1" customWidth="1"/>
    <col min="13317" max="13317" width="10.28515625" style="598" bestFit="1" customWidth="1"/>
    <col min="13318" max="13318" width="7.85546875" style="598" bestFit="1" customWidth="1"/>
    <col min="13319" max="13319" width="13.85546875" style="598" bestFit="1" customWidth="1"/>
    <col min="13320" max="13320" width="9.85546875" style="598" customWidth="1"/>
    <col min="13321" max="13321" width="13.85546875" style="598" bestFit="1" customWidth="1"/>
    <col min="13322" max="13322" width="11.28515625" style="598" bestFit="1" customWidth="1"/>
    <col min="13323" max="13323" width="13.85546875" style="598" bestFit="1" customWidth="1"/>
    <col min="13324" max="13324" width="21" style="598" customWidth="1"/>
    <col min="13325" max="13325" width="20.7109375" style="598" bestFit="1" customWidth="1"/>
    <col min="13326" max="13568" width="9.140625" style="598"/>
    <col min="13569" max="13569" width="5.42578125" style="598" customWidth="1"/>
    <col min="13570" max="13570" width="41.5703125" style="598" customWidth="1"/>
    <col min="13571" max="13571" width="14.42578125" style="598" customWidth="1"/>
    <col min="13572" max="13572" width="6.5703125" style="598" bestFit="1" customWidth="1"/>
    <col min="13573" max="13573" width="10.28515625" style="598" bestFit="1" customWidth="1"/>
    <col min="13574" max="13574" width="7.85546875" style="598" bestFit="1" customWidth="1"/>
    <col min="13575" max="13575" width="13.85546875" style="598" bestFit="1" customWidth="1"/>
    <col min="13576" max="13576" width="9.85546875" style="598" customWidth="1"/>
    <col min="13577" max="13577" width="13.85546875" style="598" bestFit="1" customWidth="1"/>
    <col min="13578" max="13578" width="11.28515625" style="598" bestFit="1" customWidth="1"/>
    <col min="13579" max="13579" width="13.85546875" style="598" bestFit="1" customWidth="1"/>
    <col min="13580" max="13580" width="21" style="598" customWidth="1"/>
    <col min="13581" max="13581" width="20.7109375" style="598" bestFit="1" customWidth="1"/>
    <col min="13582" max="13824" width="9.140625" style="598"/>
    <col min="13825" max="13825" width="5.42578125" style="598" customWidth="1"/>
    <col min="13826" max="13826" width="41.5703125" style="598" customWidth="1"/>
    <col min="13827" max="13827" width="14.42578125" style="598" customWidth="1"/>
    <col min="13828" max="13828" width="6.5703125" style="598" bestFit="1" customWidth="1"/>
    <col min="13829" max="13829" width="10.28515625" style="598" bestFit="1" customWidth="1"/>
    <col min="13830" max="13830" width="7.85546875" style="598" bestFit="1" customWidth="1"/>
    <col min="13831" max="13831" width="13.85546875" style="598" bestFit="1" customWidth="1"/>
    <col min="13832" max="13832" width="9.85546875" style="598" customWidth="1"/>
    <col min="13833" max="13833" width="13.85546875" style="598" bestFit="1" customWidth="1"/>
    <col min="13834" max="13834" width="11.28515625" style="598" bestFit="1" customWidth="1"/>
    <col min="13835" max="13835" width="13.85546875" style="598" bestFit="1" customWidth="1"/>
    <col min="13836" max="13836" width="21" style="598" customWidth="1"/>
    <col min="13837" max="13837" width="20.7109375" style="598" bestFit="1" customWidth="1"/>
    <col min="13838" max="14080" width="9.140625" style="598"/>
    <col min="14081" max="14081" width="5.42578125" style="598" customWidth="1"/>
    <col min="14082" max="14082" width="41.5703125" style="598" customWidth="1"/>
    <col min="14083" max="14083" width="14.42578125" style="598" customWidth="1"/>
    <col min="14084" max="14084" width="6.5703125" style="598" bestFit="1" customWidth="1"/>
    <col min="14085" max="14085" width="10.28515625" style="598" bestFit="1" customWidth="1"/>
    <col min="14086" max="14086" width="7.85546875" style="598" bestFit="1" customWidth="1"/>
    <col min="14087" max="14087" width="13.85546875" style="598" bestFit="1" customWidth="1"/>
    <col min="14088" max="14088" width="9.85546875" style="598" customWidth="1"/>
    <col min="14089" max="14089" width="13.85546875" style="598" bestFit="1" customWidth="1"/>
    <col min="14090" max="14090" width="11.28515625" style="598" bestFit="1" customWidth="1"/>
    <col min="14091" max="14091" width="13.85546875" style="598" bestFit="1" customWidth="1"/>
    <col min="14092" max="14092" width="21" style="598" customWidth="1"/>
    <col min="14093" max="14093" width="20.7109375" style="598" bestFit="1" customWidth="1"/>
    <col min="14094" max="14336" width="9.140625" style="598"/>
    <col min="14337" max="14337" width="5.42578125" style="598" customWidth="1"/>
    <col min="14338" max="14338" width="41.5703125" style="598" customWidth="1"/>
    <col min="14339" max="14339" width="14.42578125" style="598" customWidth="1"/>
    <col min="14340" max="14340" width="6.5703125" style="598" bestFit="1" customWidth="1"/>
    <col min="14341" max="14341" width="10.28515625" style="598" bestFit="1" customWidth="1"/>
    <col min="14342" max="14342" width="7.85546875" style="598" bestFit="1" customWidth="1"/>
    <col min="14343" max="14343" width="13.85546875" style="598" bestFit="1" customWidth="1"/>
    <col min="14344" max="14344" width="9.85546875" style="598" customWidth="1"/>
    <col min="14345" max="14345" width="13.85546875" style="598" bestFit="1" customWidth="1"/>
    <col min="14346" max="14346" width="11.28515625" style="598" bestFit="1" customWidth="1"/>
    <col min="14347" max="14347" width="13.85546875" style="598" bestFit="1" customWidth="1"/>
    <col min="14348" max="14348" width="21" style="598" customWidth="1"/>
    <col min="14349" max="14349" width="20.7109375" style="598" bestFit="1" customWidth="1"/>
    <col min="14350" max="14592" width="9.140625" style="598"/>
    <col min="14593" max="14593" width="5.42578125" style="598" customWidth="1"/>
    <col min="14594" max="14594" width="41.5703125" style="598" customWidth="1"/>
    <col min="14595" max="14595" width="14.42578125" style="598" customWidth="1"/>
    <col min="14596" max="14596" width="6.5703125" style="598" bestFit="1" customWidth="1"/>
    <col min="14597" max="14597" width="10.28515625" style="598" bestFit="1" customWidth="1"/>
    <col min="14598" max="14598" width="7.85546875" style="598" bestFit="1" customWidth="1"/>
    <col min="14599" max="14599" width="13.85546875" style="598" bestFit="1" customWidth="1"/>
    <col min="14600" max="14600" width="9.85546875" style="598" customWidth="1"/>
    <col min="14601" max="14601" width="13.85546875" style="598" bestFit="1" customWidth="1"/>
    <col min="14602" max="14602" width="11.28515625" style="598" bestFit="1" customWidth="1"/>
    <col min="14603" max="14603" width="13.85546875" style="598" bestFit="1" customWidth="1"/>
    <col min="14604" max="14604" width="21" style="598" customWidth="1"/>
    <col min="14605" max="14605" width="20.7109375" style="598" bestFit="1" customWidth="1"/>
    <col min="14606" max="14848" width="9.140625" style="598"/>
    <col min="14849" max="14849" width="5.42578125" style="598" customWidth="1"/>
    <col min="14850" max="14850" width="41.5703125" style="598" customWidth="1"/>
    <col min="14851" max="14851" width="14.42578125" style="598" customWidth="1"/>
    <col min="14852" max="14852" width="6.5703125" style="598" bestFit="1" customWidth="1"/>
    <col min="14853" max="14853" width="10.28515625" style="598" bestFit="1" customWidth="1"/>
    <col min="14854" max="14854" width="7.85546875" style="598" bestFit="1" customWidth="1"/>
    <col min="14855" max="14855" width="13.85546875" style="598" bestFit="1" customWidth="1"/>
    <col min="14856" max="14856" width="9.85546875" style="598" customWidth="1"/>
    <col min="14857" max="14857" width="13.85546875" style="598" bestFit="1" customWidth="1"/>
    <col min="14858" max="14858" width="11.28515625" style="598" bestFit="1" customWidth="1"/>
    <col min="14859" max="14859" width="13.85546875" style="598" bestFit="1" customWidth="1"/>
    <col min="14860" max="14860" width="21" style="598" customWidth="1"/>
    <col min="14861" max="14861" width="20.7109375" style="598" bestFit="1" customWidth="1"/>
    <col min="14862" max="15104" width="9.140625" style="598"/>
    <col min="15105" max="15105" width="5.42578125" style="598" customWidth="1"/>
    <col min="15106" max="15106" width="41.5703125" style="598" customWidth="1"/>
    <col min="15107" max="15107" width="14.42578125" style="598" customWidth="1"/>
    <col min="15108" max="15108" width="6.5703125" style="598" bestFit="1" customWidth="1"/>
    <col min="15109" max="15109" width="10.28515625" style="598" bestFit="1" customWidth="1"/>
    <col min="15110" max="15110" width="7.85546875" style="598" bestFit="1" customWidth="1"/>
    <col min="15111" max="15111" width="13.85546875" style="598" bestFit="1" customWidth="1"/>
    <col min="15112" max="15112" width="9.85546875" style="598" customWidth="1"/>
    <col min="15113" max="15113" width="13.85546875" style="598" bestFit="1" customWidth="1"/>
    <col min="15114" max="15114" width="11.28515625" style="598" bestFit="1" customWidth="1"/>
    <col min="15115" max="15115" width="13.85546875" style="598" bestFit="1" customWidth="1"/>
    <col min="15116" max="15116" width="21" style="598" customWidth="1"/>
    <col min="15117" max="15117" width="20.7109375" style="598" bestFit="1" customWidth="1"/>
    <col min="15118" max="15360" width="9.140625" style="598"/>
    <col min="15361" max="15361" width="5.42578125" style="598" customWidth="1"/>
    <col min="15362" max="15362" width="41.5703125" style="598" customWidth="1"/>
    <col min="15363" max="15363" width="14.42578125" style="598" customWidth="1"/>
    <col min="15364" max="15364" width="6.5703125" style="598" bestFit="1" customWidth="1"/>
    <col min="15365" max="15365" width="10.28515625" style="598" bestFit="1" customWidth="1"/>
    <col min="15366" max="15366" width="7.85546875" style="598" bestFit="1" customWidth="1"/>
    <col min="15367" max="15367" width="13.85546875" style="598" bestFit="1" customWidth="1"/>
    <col min="15368" max="15368" width="9.85546875" style="598" customWidth="1"/>
    <col min="15369" max="15369" width="13.85546875" style="598" bestFit="1" customWidth="1"/>
    <col min="15370" max="15370" width="11.28515625" style="598" bestFit="1" customWidth="1"/>
    <col min="15371" max="15371" width="13.85546875" style="598" bestFit="1" customWidth="1"/>
    <col min="15372" max="15372" width="21" style="598" customWidth="1"/>
    <col min="15373" max="15373" width="20.7109375" style="598" bestFit="1" customWidth="1"/>
    <col min="15374" max="15616" width="9.140625" style="598"/>
    <col min="15617" max="15617" width="5.42578125" style="598" customWidth="1"/>
    <col min="15618" max="15618" width="41.5703125" style="598" customWidth="1"/>
    <col min="15619" max="15619" width="14.42578125" style="598" customWidth="1"/>
    <col min="15620" max="15620" width="6.5703125" style="598" bestFit="1" customWidth="1"/>
    <col min="15621" max="15621" width="10.28515625" style="598" bestFit="1" customWidth="1"/>
    <col min="15622" max="15622" width="7.85546875" style="598" bestFit="1" customWidth="1"/>
    <col min="15623" max="15623" width="13.85546875" style="598" bestFit="1" customWidth="1"/>
    <col min="15624" max="15624" width="9.85546875" style="598" customWidth="1"/>
    <col min="15625" max="15625" width="13.85546875" style="598" bestFit="1" customWidth="1"/>
    <col min="15626" max="15626" width="11.28515625" style="598" bestFit="1" customWidth="1"/>
    <col min="15627" max="15627" width="13.85546875" style="598" bestFit="1" customWidth="1"/>
    <col min="15628" max="15628" width="21" style="598" customWidth="1"/>
    <col min="15629" max="15629" width="20.7109375" style="598" bestFit="1" customWidth="1"/>
    <col min="15630" max="15872" width="9.140625" style="598"/>
    <col min="15873" max="15873" width="5.42578125" style="598" customWidth="1"/>
    <col min="15874" max="15874" width="41.5703125" style="598" customWidth="1"/>
    <col min="15875" max="15875" width="14.42578125" style="598" customWidth="1"/>
    <col min="15876" max="15876" width="6.5703125" style="598" bestFit="1" customWidth="1"/>
    <col min="15877" max="15877" width="10.28515625" style="598" bestFit="1" customWidth="1"/>
    <col min="15878" max="15878" width="7.85546875" style="598" bestFit="1" customWidth="1"/>
    <col min="15879" max="15879" width="13.85546875" style="598" bestFit="1" customWidth="1"/>
    <col min="15880" max="15880" width="9.85546875" style="598" customWidth="1"/>
    <col min="15881" max="15881" width="13.85546875" style="598" bestFit="1" customWidth="1"/>
    <col min="15882" max="15882" width="11.28515625" style="598" bestFit="1" customWidth="1"/>
    <col min="15883" max="15883" width="13.85546875" style="598" bestFit="1" customWidth="1"/>
    <col min="15884" max="15884" width="21" style="598" customWidth="1"/>
    <col min="15885" max="15885" width="20.7109375" style="598" bestFit="1" customWidth="1"/>
    <col min="15886" max="16128" width="9.140625" style="598"/>
    <col min="16129" max="16129" width="5.42578125" style="598" customWidth="1"/>
    <col min="16130" max="16130" width="41.5703125" style="598" customWidth="1"/>
    <col min="16131" max="16131" width="14.42578125" style="598" customWidth="1"/>
    <col min="16132" max="16132" width="6.5703125" style="598" bestFit="1" customWidth="1"/>
    <col min="16133" max="16133" width="10.28515625" style="598" bestFit="1" customWidth="1"/>
    <col min="16134" max="16134" width="7.85546875" style="598" bestFit="1" customWidth="1"/>
    <col min="16135" max="16135" width="13.85546875" style="598" bestFit="1" customWidth="1"/>
    <col min="16136" max="16136" width="9.85546875" style="598" customWidth="1"/>
    <col min="16137" max="16137" width="13.85546875" style="598" bestFit="1" customWidth="1"/>
    <col min="16138" max="16138" width="11.28515625" style="598" bestFit="1" customWidth="1"/>
    <col min="16139" max="16139" width="13.85546875" style="598" bestFit="1" customWidth="1"/>
    <col min="16140" max="16140" width="21" style="598" customWidth="1"/>
    <col min="16141" max="16141" width="20.7109375" style="598" bestFit="1" customWidth="1"/>
    <col min="16142" max="16384" width="9.140625" style="598"/>
  </cols>
  <sheetData>
    <row r="1" spans="1:15" ht="18">
      <c r="B1" s="597"/>
      <c r="C1" s="597"/>
      <c r="D1" s="3115" t="s">
        <v>1746</v>
      </c>
      <c r="E1" s="3115"/>
      <c r="F1" s="3115"/>
      <c r="G1" s="3115"/>
      <c r="H1" s="3115"/>
      <c r="I1" s="597"/>
      <c r="J1" s="597"/>
      <c r="K1" s="597"/>
    </row>
    <row r="2" spans="1:15" ht="18" customHeight="1">
      <c r="K2" s="960" t="s">
        <v>89</v>
      </c>
    </row>
    <row r="3" spans="1:15" ht="36.75" customHeight="1">
      <c r="B3" s="3095" t="s">
        <v>1747</v>
      </c>
      <c r="C3" s="3095"/>
      <c r="D3" s="3095"/>
      <c r="E3" s="3095"/>
      <c r="F3" s="3095"/>
      <c r="G3" s="3095"/>
      <c r="H3" s="3095"/>
      <c r="I3" s="3095"/>
      <c r="J3" s="600"/>
      <c r="K3" s="600"/>
    </row>
    <row r="4" spans="1:15" ht="9.75" customHeight="1">
      <c r="A4" s="600"/>
      <c r="B4" s="600"/>
      <c r="C4" s="600"/>
      <c r="D4" s="600"/>
      <c r="E4" s="600"/>
      <c r="F4" s="600"/>
      <c r="G4" s="600"/>
      <c r="H4" s="600"/>
      <c r="I4" s="600"/>
      <c r="J4" s="600"/>
      <c r="K4" s="600"/>
    </row>
    <row r="5" spans="1:15" ht="51" customHeight="1">
      <c r="A5" s="3124" t="s">
        <v>1748</v>
      </c>
      <c r="B5" s="3124" t="s">
        <v>3</v>
      </c>
      <c r="C5" s="3029" t="s">
        <v>1720</v>
      </c>
      <c r="D5" s="3124" t="s">
        <v>5</v>
      </c>
      <c r="E5" s="3124" t="s">
        <v>9</v>
      </c>
      <c r="F5" s="3124" t="s">
        <v>1721</v>
      </c>
      <c r="G5" s="3124"/>
      <c r="H5" s="3124" t="s">
        <v>1723</v>
      </c>
      <c r="I5" s="3124"/>
      <c r="J5" s="3124" t="s">
        <v>1749</v>
      </c>
      <c r="K5" s="3124"/>
    </row>
    <row r="6" spans="1:15" ht="15.75">
      <c r="A6" s="3124"/>
      <c r="B6" s="3124"/>
      <c r="C6" s="3029"/>
      <c r="D6" s="3124"/>
      <c r="E6" s="3124"/>
      <c r="F6" s="601" t="s">
        <v>8</v>
      </c>
      <c r="G6" s="601" t="s">
        <v>10</v>
      </c>
      <c r="H6" s="601" t="s">
        <v>8</v>
      </c>
      <c r="I6" s="601" t="s">
        <v>10</v>
      </c>
      <c r="J6" s="601" t="s">
        <v>8</v>
      </c>
      <c r="K6" s="601" t="s">
        <v>10</v>
      </c>
    </row>
    <row r="7" spans="1:15" ht="15.75">
      <c r="A7" s="602" t="s">
        <v>1470</v>
      </c>
      <c r="B7" s="602" t="s">
        <v>1425</v>
      </c>
      <c r="C7" s="602" t="s">
        <v>184</v>
      </c>
      <c r="D7" s="602" t="s">
        <v>1695</v>
      </c>
      <c r="E7" s="602" t="s">
        <v>1750</v>
      </c>
      <c r="F7" s="602" t="s">
        <v>1471</v>
      </c>
      <c r="G7" s="602" t="s">
        <v>1751</v>
      </c>
      <c r="H7" s="602" t="s">
        <v>1752</v>
      </c>
      <c r="I7" s="602" t="s">
        <v>1753</v>
      </c>
      <c r="J7" s="602" t="s">
        <v>1754</v>
      </c>
      <c r="K7" s="602" t="s">
        <v>1755</v>
      </c>
    </row>
    <row r="8" spans="1:15" ht="15">
      <c r="A8" s="1080">
        <v>1</v>
      </c>
      <c r="B8" s="1825" t="s">
        <v>1756</v>
      </c>
      <c r="C8" s="1826">
        <v>7130800012</v>
      </c>
      <c r="D8" s="1080" t="s">
        <v>12</v>
      </c>
      <c r="E8" s="1081">
        <f>VLOOKUP(C8,'SOR RATE'!A:D,4,0)</f>
        <v>2298.46</v>
      </c>
      <c r="F8" s="1080">
        <v>17</v>
      </c>
      <c r="G8" s="1081">
        <f>F8*E8</f>
        <v>39073.82</v>
      </c>
      <c r="H8" s="1080">
        <v>17</v>
      </c>
      <c r="I8" s="1081">
        <f>H8*E8</f>
        <v>39073.82</v>
      </c>
      <c r="J8" s="1080">
        <v>17</v>
      </c>
      <c r="K8" s="1081">
        <f>J8*E8</f>
        <v>39073.82</v>
      </c>
    </row>
    <row r="9" spans="1:15" ht="15">
      <c r="A9" s="1080">
        <v>2</v>
      </c>
      <c r="B9" s="1825" t="s">
        <v>1757</v>
      </c>
      <c r="C9" s="1826">
        <v>7130810441</v>
      </c>
      <c r="D9" s="1080" t="s">
        <v>12</v>
      </c>
      <c r="E9" s="1081">
        <f>VLOOKUP(C9,'SOR RATE'!A:D,4,0)</f>
        <v>969.23</v>
      </c>
      <c r="F9" s="1080">
        <v>22</v>
      </c>
      <c r="G9" s="1081">
        <f>F9*E9</f>
        <v>21323.06</v>
      </c>
      <c r="H9" s="1080">
        <v>22</v>
      </c>
      <c r="I9" s="1081">
        <f>H9*E9</f>
        <v>21323.06</v>
      </c>
      <c r="J9" s="1080">
        <v>22</v>
      </c>
      <c r="K9" s="1081">
        <f>J9*E9</f>
        <v>21323.06</v>
      </c>
    </row>
    <row r="10" spans="1:15" ht="15">
      <c r="A10" s="1080">
        <v>3</v>
      </c>
      <c r="B10" s="1825" t="s">
        <v>1758</v>
      </c>
      <c r="C10" s="1826">
        <v>7130820106</v>
      </c>
      <c r="D10" s="1080" t="s">
        <v>12</v>
      </c>
      <c r="E10" s="1081">
        <f>VLOOKUP(C10,'SOR RATE'!A:D,4,0)</f>
        <v>15.42</v>
      </c>
      <c r="F10" s="1080">
        <v>66</v>
      </c>
      <c r="G10" s="1081">
        <f>F10*E10</f>
        <v>1017.72</v>
      </c>
      <c r="H10" s="1080">
        <v>66</v>
      </c>
      <c r="I10" s="1081">
        <f>H10*E10</f>
        <v>1017.72</v>
      </c>
      <c r="J10" s="1080">
        <v>66</v>
      </c>
      <c r="K10" s="1081">
        <f>J10*E10</f>
        <v>1017.72</v>
      </c>
    </row>
    <row r="11" spans="1:15" ht="18">
      <c r="A11" s="1080">
        <v>4</v>
      </c>
      <c r="B11" s="1825" t="s">
        <v>1759</v>
      </c>
      <c r="C11" s="1826">
        <v>7130820201</v>
      </c>
      <c r="D11" s="1080" t="s">
        <v>12</v>
      </c>
      <c r="E11" s="1081">
        <f>VLOOKUP(C11,'SOR RATE'!A:D,4,0)</f>
        <v>46.15</v>
      </c>
      <c r="F11" s="1080">
        <v>17</v>
      </c>
      <c r="G11" s="1081">
        <f>F11*E11</f>
        <v>784.55</v>
      </c>
      <c r="H11" s="1080">
        <v>17</v>
      </c>
      <c r="I11" s="1081">
        <f>H11*E11</f>
        <v>784.55</v>
      </c>
      <c r="J11" s="1080">
        <v>17</v>
      </c>
      <c r="K11" s="1081">
        <f>J11*E11</f>
        <v>784.55</v>
      </c>
    </row>
    <row r="12" spans="1:15" ht="16.5" customHeight="1">
      <c r="A12" s="1080">
        <v>5</v>
      </c>
      <c r="B12" s="1827" t="s">
        <v>1729</v>
      </c>
      <c r="C12" s="1826">
        <v>7130820216</v>
      </c>
      <c r="D12" s="1080" t="s">
        <v>12</v>
      </c>
      <c r="E12" s="1081">
        <f>VLOOKUP(C12,'SOR RATE'!A:D,4,0)</f>
        <v>52.15</v>
      </c>
      <c r="F12" s="1080">
        <v>25</v>
      </c>
      <c r="G12" s="1081">
        <f>F12*E12</f>
        <v>1303.75</v>
      </c>
      <c r="H12" s="1080">
        <v>25</v>
      </c>
      <c r="I12" s="1081">
        <f>H12*E12</f>
        <v>1303.75</v>
      </c>
      <c r="J12" s="1080">
        <v>25</v>
      </c>
      <c r="K12" s="1081">
        <f>J12*E12</f>
        <v>1303.75</v>
      </c>
    </row>
    <row r="13" spans="1:15" s="70" customFormat="1" ht="17.25" customHeight="1">
      <c r="A13" s="3337">
        <v>6</v>
      </c>
      <c r="B13" s="1828" t="s">
        <v>1731</v>
      </c>
      <c r="C13" s="1828"/>
      <c r="D13" s="1829"/>
      <c r="E13" s="1829"/>
      <c r="F13" s="1829"/>
      <c r="G13" s="1829"/>
      <c r="H13" s="1829"/>
      <c r="I13" s="1829"/>
      <c r="J13" s="1829"/>
      <c r="K13" s="1830"/>
      <c r="L13" s="603"/>
      <c r="M13" s="603"/>
      <c r="N13" s="603"/>
      <c r="O13" s="603"/>
    </row>
    <row r="14" spans="1:15" s="70" customFormat="1" ht="15">
      <c r="A14" s="3338"/>
      <c r="B14" s="1825" t="s">
        <v>1732</v>
      </c>
      <c r="C14" s="1826">
        <v>7130830057</v>
      </c>
      <c r="D14" s="1080" t="s">
        <v>21</v>
      </c>
      <c r="E14" s="1081">
        <f>VLOOKUP(C14,'SOR RATE'!A:D,4,0)/1000</f>
        <v>46.676089999999995</v>
      </c>
      <c r="F14" s="1080">
        <v>3090</v>
      </c>
      <c r="G14" s="1081">
        <f>F14*E14</f>
        <v>144229.11809999999</v>
      </c>
      <c r="H14" s="1831" t="s">
        <v>1534</v>
      </c>
      <c r="I14" s="1081"/>
      <c r="J14" s="1831" t="s">
        <v>1534</v>
      </c>
      <c r="K14" s="1081"/>
      <c r="L14" s="604"/>
      <c r="M14" s="604"/>
      <c r="N14" s="604"/>
      <c r="O14" s="604"/>
    </row>
    <row r="15" spans="1:15" s="70" customFormat="1" ht="15">
      <c r="A15" s="3338"/>
      <c r="B15" s="1825" t="s">
        <v>1733</v>
      </c>
      <c r="C15" s="1826">
        <v>7130830055</v>
      </c>
      <c r="D15" s="1080" t="s">
        <v>21</v>
      </c>
      <c r="E15" s="1081">
        <f>VLOOKUP(C15,'SOR RATE'!A:D,4,0)/1000</f>
        <v>28.020759999999999</v>
      </c>
      <c r="F15" s="1831" t="s">
        <v>1534</v>
      </c>
      <c r="G15" s="1081"/>
      <c r="H15" s="1831">
        <v>3090</v>
      </c>
      <c r="I15" s="1081">
        <f t="shared" ref="I15:I20" si="0">H15*E15</f>
        <v>86584.148399999991</v>
      </c>
      <c r="J15" s="1831" t="s">
        <v>1534</v>
      </c>
      <c r="K15" s="1081"/>
      <c r="L15" s="605"/>
      <c r="M15" s="606"/>
      <c r="N15" s="607"/>
      <c r="O15" s="607"/>
    </row>
    <row r="16" spans="1:15" s="70" customFormat="1" ht="15">
      <c r="A16" s="3339"/>
      <c r="B16" s="1825" t="s">
        <v>1734</v>
      </c>
      <c r="C16" s="1826">
        <v>7130830053</v>
      </c>
      <c r="D16" s="1080" t="s">
        <v>21</v>
      </c>
      <c r="E16" s="1081">
        <f>VLOOKUP(C16,'SOR RATE'!A:D,4,0)/1000</f>
        <v>19.941980000000001</v>
      </c>
      <c r="F16" s="1080">
        <v>1030</v>
      </c>
      <c r="G16" s="1081">
        <f>F16*E16</f>
        <v>20540.239400000002</v>
      </c>
      <c r="H16" s="1832">
        <v>1030</v>
      </c>
      <c r="I16" s="1081">
        <f t="shared" si="0"/>
        <v>20540.239400000002</v>
      </c>
      <c r="J16" s="1832">
        <v>4120</v>
      </c>
      <c r="K16" s="1081">
        <f>J16*E16</f>
        <v>82160.957600000009</v>
      </c>
      <c r="L16" s="606"/>
      <c r="M16" s="606"/>
      <c r="N16" s="606"/>
      <c r="O16" s="606"/>
    </row>
    <row r="17" spans="1:13" ht="15">
      <c r="A17" s="3337">
        <v>7</v>
      </c>
      <c r="B17" s="1825" t="s">
        <v>24</v>
      </c>
      <c r="C17" s="1826">
        <v>7130860032</v>
      </c>
      <c r="D17" s="1080" t="s">
        <v>12</v>
      </c>
      <c r="E17" s="1081">
        <f>VLOOKUP(C17,'SOR RATE'!A:D,4,0)</f>
        <v>566.19000000000005</v>
      </c>
      <c r="F17" s="1080">
        <v>9</v>
      </c>
      <c r="G17" s="1081">
        <f>F17*E17</f>
        <v>5095.7100000000009</v>
      </c>
      <c r="H17" s="1080">
        <v>9</v>
      </c>
      <c r="I17" s="1081">
        <f t="shared" si="0"/>
        <v>5095.7100000000009</v>
      </c>
      <c r="J17" s="1080">
        <v>9</v>
      </c>
      <c r="K17" s="1081">
        <f>J17*E17</f>
        <v>5095.7100000000009</v>
      </c>
    </row>
    <row r="18" spans="1:13" ht="15">
      <c r="A18" s="3338"/>
      <c r="B18" s="1825" t="s">
        <v>1735</v>
      </c>
      <c r="C18" s="1826">
        <v>7130860077</v>
      </c>
      <c r="D18" s="1080" t="s">
        <v>26</v>
      </c>
      <c r="E18" s="1081">
        <f>VLOOKUP(C18,'SOR RATE'!A:D,4,0)/1000</f>
        <v>93.76643</v>
      </c>
      <c r="F18" s="1080">
        <v>54</v>
      </c>
      <c r="G18" s="1081">
        <f>F18*E18</f>
        <v>5063.3872199999996</v>
      </c>
      <c r="H18" s="1080">
        <v>54</v>
      </c>
      <c r="I18" s="1081">
        <f t="shared" si="0"/>
        <v>5063.3872199999996</v>
      </c>
      <c r="J18" s="1080">
        <v>54</v>
      </c>
      <c r="K18" s="1081">
        <f>J18*E18</f>
        <v>5063.3872199999996</v>
      </c>
    </row>
    <row r="19" spans="1:13" ht="15">
      <c r="A19" s="3338"/>
      <c r="B19" s="1825" t="s">
        <v>74</v>
      </c>
      <c r="C19" s="1826">
        <v>7130810026</v>
      </c>
      <c r="D19" s="1833" t="s">
        <v>15</v>
      </c>
      <c r="E19" s="1081">
        <f>VLOOKUP(C19,'SOR RATE'!A201:D201,4,0)</f>
        <v>198.14</v>
      </c>
      <c r="F19" s="1080">
        <v>9</v>
      </c>
      <c r="G19" s="1081">
        <f>F19*E19</f>
        <v>1783.2599999999998</v>
      </c>
      <c r="H19" s="1080">
        <v>9</v>
      </c>
      <c r="I19" s="1081">
        <f t="shared" si="0"/>
        <v>1783.2599999999998</v>
      </c>
      <c r="J19" s="1080">
        <v>9</v>
      </c>
      <c r="K19" s="1081">
        <f>J19*E19</f>
        <v>1783.2599999999998</v>
      </c>
    </row>
    <row r="20" spans="1:13" ht="15">
      <c r="A20" s="3339"/>
      <c r="B20" s="1825" t="s">
        <v>1736</v>
      </c>
      <c r="C20" s="1826">
        <v>7130820117</v>
      </c>
      <c r="D20" s="1080" t="s">
        <v>12</v>
      </c>
      <c r="E20" s="1081">
        <f>VLOOKUP(C20,'SOR RATE'!A:D,4,0)</f>
        <v>12.42</v>
      </c>
      <c r="F20" s="1080">
        <v>9</v>
      </c>
      <c r="G20" s="1081">
        <f>F20*E20</f>
        <v>111.78</v>
      </c>
      <c r="H20" s="1080">
        <v>9</v>
      </c>
      <c r="I20" s="1081">
        <f t="shared" si="0"/>
        <v>111.78</v>
      </c>
      <c r="J20" s="1080">
        <v>9</v>
      </c>
      <c r="K20" s="1081">
        <f>J20*E20</f>
        <v>111.78</v>
      </c>
    </row>
    <row r="21" spans="1:13" ht="48" customHeight="1">
      <c r="A21" s="3337">
        <v>8</v>
      </c>
      <c r="B21" s="1827" t="s">
        <v>1760</v>
      </c>
      <c r="D21" s="918"/>
      <c r="E21" s="1081"/>
      <c r="F21" s="1080">
        <f>17+9</f>
        <v>26</v>
      </c>
      <c r="G21" s="1081"/>
      <c r="H21" s="1080">
        <f>17+9</f>
        <v>26</v>
      </c>
      <c r="I21" s="1081"/>
      <c r="J21" s="1080">
        <f>17+9</f>
        <v>26</v>
      </c>
      <c r="K21" s="1081"/>
    </row>
    <row r="22" spans="1:13" ht="27.75" customHeight="1">
      <c r="A22" s="3339"/>
      <c r="B22" s="1825" t="s">
        <v>1738</v>
      </c>
      <c r="C22" s="1826">
        <v>7130640008</v>
      </c>
      <c r="D22" s="1834" t="s">
        <v>33</v>
      </c>
      <c r="E22" s="1081">
        <f>VLOOKUP(C22,'SOR RATE'!A:D,4,0)</f>
        <v>158</v>
      </c>
      <c r="F22" s="1080">
        <f>17+(9*2)</f>
        <v>35</v>
      </c>
      <c r="G22" s="1081">
        <f>F22*E22</f>
        <v>5530</v>
      </c>
      <c r="H22" s="1080">
        <f>17+(9*2)</f>
        <v>35</v>
      </c>
      <c r="I22" s="1081">
        <f>H22*E22</f>
        <v>5530</v>
      </c>
      <c r="J22" s="1080">
        <f>17+(9*2)</f>
        <v>35</v>
      </c>
      <c r="K22" s="1081">
        <f>J22*E22</f>
        <v>5530</v>
      </c>
      <c r="L22" s="3438" t="s">
        <v>47</v>
      </c>
      <c r="M22" s="3439"/>
    </row>
    <row r="23" spans="1:13" ht="30">
      <c r="A23" s="1835">
        <v>9</v>
      </c>
      <c r="B23" s="1827" t="s">
        <v>1740</v>
      </c>
      <c r="C23" s="1826">
        <v>7130870013</v>
      </c>
      <c r="D23" s="1835" t="s">
        <v>12</v>
      </c>
      <c r="E23" s="1081">
        <f>VLOOKUP(C23,'SOR RATE'!A:D,4,0)</f>
        <v>152.88999999999999</v>
      </c>
      <c r="F23" s="1835">
        <v>5</v>
      </c>
      <c r="G23" s="1081">
        <f>F23*E23</f>
        <v>764.44999999999993</v>
      </c>
      <c r="H23" s="1835">
        <v>5</v>
      </c>
      <c r="I23" s="1081">
        <f>H23*E23</f>
        <v>764.44999999999993</v>
      </c>
      <c r="J23" s="1835">
        <v>5</v>
      </c>
      <c r="K23" s="1081">
        <f>J23*E23</f>
        <v>764.44999999999993</v>
      </c>
    </row>
    <row r="24" spans="1:13" ht="15.75" customHeight="1">
      <c r="A24" s="1080">
        <v>10</v>
      </c>
      <c r="B24" s="1825" t="s">
        <v>1737</v>
      </c>
      <c r="C24" s="1826">
        <v>7130820018</v>
      </c>
      <c r="D24" s="1080" t="s">
        <v>15</v>
      </c>
      <c r="E24" s="1081">
        <f>VLOOKUP(C24,'SOR RATE'!A:D,4,0)</f>
        <v>4.66</v>
      </c>
      <c r="F24" s="1080">
        <v>44</v>
      </c>
      <c r="G24" s="1081">
        <f>F24*E24</f>
        <v>205.04000000000002</v>
      </c>
      <c r="H24" s="1080">
        <v>44</v>
      </c>
      <c r="I24" s="1081">
        <f>H24*E24</f>
        <v>205.04000000000002</v>
      </c>
      <c r="J24" s="1080">
        <v>44</v>
      </c>
      <c r="K24" s="1081">
        <f>J24*E24</f>
        <v>205.04000000000002</v>
      </c>
    </row>
    <row r="25" spans="1:13" ht="15">
      <c r="A25" s="3337">
        <v>11</v>
      </c>
      <c r="B25" s="1825" t="s">
        <v>1443</v>
      </c>
      <c r="C25" s="1826"/>
      <c r="D25" s="1080" t="s">
        <v>26</v>
      </c>
      <c r="E25" s="1081"/>
      <c r="F25" s="1080">
        <v>35</v>
      </c>
      <c r="G25" s="1081"/>
      <c r="H25" s="1080">
        <v>35</v>
      </c>
      <c r="I25" s="1081"/>
      <c r="J25" s="1080">
        <v>35</v>
      </c>
      <c r="K25" s="1081"/>
    </row>
    <row r="26" spans="1:13" ht="18" customHeight="1">
      <c r="A26" s="3338"/>
      <c r="B26" s="916" t="s">
        <v>505</v>
      </c>
      <c r="C26" s="1826">
        <v>7130620573</v>
      </c>
      <c r="D26" s="1080" t="s">
        <v>26</v>
      </c>
      <c r="E26" s="1081">
        <f>VLOOKUP(C26,'SOR RATE'!A:D,4,0)</f>
        <v>87.23</v>
      </c>
      <c r="F26" s="1080">
        <v>10</v>
      </c>
      <c r="G26" s="1081">
        <f t="shared" ref="G26:G32" si="1">F26*E26</f>
        <v>872.30000000000007</v>
      </c>
      <c r="H26" s="1080">
        <v>10</v>
      </c>
      <c r="I26" s="1081">
        <f t="shared" ref="I26:I32" si="2">H26*E26</f>
        <v>872.30000000000007</v>
      </c>
      <c r="J26" s="1080">
        <v>10</v>
      </c>
      <c r="K26" s="1081">
        <f t="shared" ref="K26:K32" si="3">J26*E26</f>
        <v>872.30000000000007</v>
      </c>
    </row>
    <row r="27" spans="1:13" ht="15.75" customHeight="1">
      <c r="A27" s="3338"/>
      <c r="B27" s="916" t="s">
        <v>79</v>
      </c>
      <c r="C27" s="1826">
        <v>7130620609</v>
      </c>
      <c r="D27" s="1080" t="s">
        <v>26</v>
      </c>
      <c r="E27" s="1081">
        <f>VLOOKUP(C27,'SOR RATE'!A:D,4,0)</f>
        <v>87.23</v>
      </c>
      <c r="F27" s="1080">
        <v>5</v>
      </c>
      <c r="G27" s="1081">
        <f t="shared" si="1"/>
        <v>436.15000000000003</v>
      </c>
      <c r="H27" s="1080">
        <v>5</v>
      </c>
      <c r="I27" s="1081">
        <f t="shared" si="2"/>
        <v>436.15000000000003</v>
      </c>
      <c r="J27" s="1080">
        <v>5</v>
      </c>
      <c r="K27" s="1081">
        <f t="shared" si="3"/>
        <v>436.15000000000003</v>
      </c>
    </row>
    <row r="28" spans="1:13" ht="17.25" customHeight="1">
      <c r="A28" s="3339"/>
      <c r="B28" s="916" t="s">
        <v>112</v>
      </c>
      <c r="C28" s="1826">
        <v>7130620625</v>
      </c>
      <c r="D28" s="1080" t="s">
        <v>26</v>
      </c>
      <c r="E28" s="1081">
        <f>VLOOKUP(C28,'SOR RATE'!A:D,4,0)</f>
        <v>84.32</v>
      </c>
      <c r="F28" s="1080">
        <v>20</v>
      </c>
      <c r="G28" s="1081">
        <f t="shared" si="1"/>
        <v>1686.3999999999999</v>
      </c>
      <c r="H28" s="1080">
        <v>20</v>
      </c>
      <c r="I28" s="1081">
        <f t="shared" si="2"/>
        <v>1686.3999999999999</v>
      </c>
      <c r="J28" s="1080">
        <v>20</v>
      </c>
      <c r="K28" s="1081">
        <f t="shared" si="3"/>
        <v>1686.3999999999999</v>
      </c>
    </row>
    <row r="29" spans="1:13" ht="15">
      <c r="A29" s="1080">
        <v>12</v>
      </c>
      <c r="B29" s="1825" t="s">
        <v>34</v>
      </c>
      <c r="C29" s="1826">
        <v>7130830006</v>
      </c>
      <c r="D29" s="1080" t="s">
        <v>26</v>
      </c>
      <c r="E29" s="1081">
        <f>VLOOKUP(C29,'SOR RATE'!A:D,4,0)</f>
        <v>201.5</v>
      </c>
      <c r="F29" s="1080">
        <v>3.5</v>
      </c>
      <c r="G29" s="1081">
        <f t="shared" si="1"/>
        <v>705.25</v>
      </c>
      <c r="H29" s="1080">
        <v>3.5</v>
      </c>
      <c r="I29" s="1081">
        <f t="shared" si="2"/>
        <v>705.25</v>
      </c>
      <c r="J29" s="1080">
        <v>3.5</v>
      </c>
      <c r="K29" s="1081">
        <f t="shared" si="3"/>
        <v>705.25</v>
      </c>
    </row>
    <row r="30" spans="1:13" ht="15.75" customHeight="1">
      <c r="A30" s="1080">
        <v>13</v>
      </c>
      <c r="B30" s="1825" t="s">
        <v>30</v>
      </c>
      <c r="C30" s="1826">
        <v>7130210809</v>
      </c>
      <c r="D30" s="1080" t="s">
        <v>29</v>
      </c>
      <c r="E30" s="1081">
        <f>VLOOKUP(C30,'SOR RATE'!A:D,4,0)</f>
        <v>432.63</v>
      </c>
      <c r="F30" s="1080">
        <v>2</v>
      </c>
      <c r="G30" s="1081">
        <f t="shared" si="1"/>
        <v>865.26</v>
      </c>
      <c r="H30" s="1080">
        <v>2</v>
      </c>
      <c r="I30" s="1081">
        <f t="shared" si="2"/>
        <v>865.26</v>
      </c>
      <c r="J30" s="1080">
        <v>2</v>
      </c>
      <c r="K30" s="1081">
        <f t="shared" si="3"/>
        <v>865.26</v>
      </c>
    </row>
    <row r="31" spans="1:13" ht="15">
      <c r="A31" s="1080">
        <v>14</v>
      </c>
      <c r="B31" s="1825" t="s">
        <v>78</v>
      </c>
      <c r="C31" s="1826">
        <v>7130211158</v>
      </c>
      <c r="D31" s="1080" t="s">
        <v>29</v>
      </c>
      <c r="E31" s="1081">
        <f>VLOOKUP(C31,'SOR RATE'!A:D,4,0)</f>
        <v>193.62</v>
      </c>
      <c r="F31" s="1080">
        <v>2</v>
      </c>
      <c r="G31" s="1081">
        <f t="shared" si="1"/>
        <v>387.24</v>
      </c>
      <c r="H31" s="1080">
        <v>2</v>
      </c>
      <c r="I31" s="1081">
        <f t="shared" si="2"/>
        <v>387.24</v>
      </c>
      <c r="J31" s="1080">
        <v>2</v>
      </c>
      <c r="K31" s="1081">
        <f t="shared" si="3"/>
        <v>387.24</v>
      </c>
    </row>
    <row r="32" spans="1:13" ht="15">
      <c r="A32" s="1080">
        <v>15</v>
      </c>
      <c r="B32" s="1825" t="s">
        <v>1761</v>
      </c>
      <c r="C32" s="1826">
        <v>7130870043</v>
      </c>
      <c r="D32" s="1080" t="s">
        <v>26</v>
      </c>
      <c r="E32" s="1081">
        <f>VLOOKUP(C32,'SOR RATE'!A:D,4,0)/1000</f>
        <v>80.521839999999997</v>
      </c>
      <c r="F32" s="1080">
        <v>6</v>
      </c>
      <c r="G32" s="1081">
        <f t="shared" si="1"/>
        <v>483.13103999999998</v>
      </c>
      <c r="H32" s="1080">
        <v>6</v>
      </c>
      <c r="I32" s="1081">
        <f t="shared" si="2"/>
        <v>483.13103999999998</v>
      </c>
      <c r="J32" s="1080">
        <v>6</v>
      </c>
      <c r="K32" s="1081">
        <f t="shared" si="3"/>
        <v>483.13103999999998</v>
      </c>
    </row>
    <row r="33" spans="1:14" ht="34.5" customHeight="1">
      <c r="A33" s="959">
        <v>16</v>
      </c>
      <c r="B33" s="1074" t="s">
        <v>48</v>
      </c>
      <c r="C33" s="1836"/>
      <c r="D33" s="959"/>
      <c r="E33" s="959"/>
      <c r="F33" s="959"/>
      <c r="G33" s="1837">
        <f>SUM(G8:G32)</f>
        <v>252261.61575999999</v>
      </c>
      <c r="H33" s="1837"/>
      <c r="I33" s="1837">
        <f>SUM(I8:I32)</f>
        <v>194616.64606</v>
      </c>
      <c r="J33" s="1837"/>
      <c r="K33" s="1837">
        <f>SUM(K8:K32)</f>
        <v>169653.21586000003</v>
      </c>
      <c r="L33" s="608"/>
      <c r="M33" s="108"/>
    </row>
    <row r="34" spans="1:14" ht="34.5" customHeight="1">
      <c r="A34" s="1838">
        <v>17</v>
      </c>
      <c r="B34" s="1074" t="s">
        <v>49</v>
      </c>
      <c r="C34" s="1836"/>
      <c r="D34" s="959"/>
      <c r="E34" s="959"/>
      <c r="F34" s="959"/>
      <c r="G34" s="1837">
        <f>G33/1.18</f>
        <v>213781.03030508474</v>
      </c>
      <c r="H34" s="1837"/>
      <c r="I34" s="1837">
        <f>I33/1.18</f>
        <v>164929.36106779662</v>
      </c>
      <c r="J34" s="1837"/>
      <c r="K34" s="1837">
        <f>K33/1.18</f>
        <v>143773.91174576274</v>
      </c>
      <c r="L34" s="85"/>
      <c r="M34" s="108"/>
    </row>
    <row r="35" spans="1:14" ht="32.25" customHeight="1">
      <c r="A35" s="1835">
        <v>18</v>
      </c>
      <c r="B35" s="1051" t="s">
        <v>50</v>
      </c>
      <c r="C35" s="1839"/>
      <c r="D35" s="1839"/>
      <c r="E35" s="1826">
        <v>7.4999999999999997E-2</v>
      </c>
      <c r="F35" s="1826"/>
      <c r="G35" s="1081">
        <f>G33*E35</f>
        <v>18919.621181999999</v>
      </c>
      <c r="H35" s="1081"/>
      <c r="I35" s="1081">
        <f>I33*E35</f>
        <v>14596.248454499999</v>
      </c>
      <c r="J35" s="1081"/>
      <c r="K35" s="1081">
        <f>K33*E35</f>
        <v>12723.991189500002</v>
      </c>
      <c r="L35" s="803"/>
      <c r="M35" s="364"/>
    </row>
    <row r="36" spans="1:14" ht="33" customHeight="1">
      <c r="A36" s="380" t="s">
        <v>1762</v>
      </c>
      <c r="B36" s="1051" t="s">
        <v>1763</v>
      </c>
      <c r="C36" s="1052"/>
      <c r="D36" s="380" t="s">
        <v>12</v>
      </c>
      <c r="E36" s="1202">
        <f>229.365334460327*1.043</f>
        <v>239.22804384212105</v>
      </c>
      <c r="F36" s="1053">
        <v>17</v>
      </c>
      <c r="G36" s="1054">
        <f>F36*E36</f>
        <v>4066.8767453160581</v>
      </c>
      <c r="H36" s="1053">
        <v>17</v>
      </c>
      <c r="I36" s="1054">
        <f>H36*E36</f>
        <v>4066.8767453160581</v>
      </c>
      <c r="J36" s="1053">
        <v>17</v>
      </c>
      <c r="K36" s="1054">
        <f>J36*E36</f>
        <v>4066.8767453160581</v>
      </c>
      <c r="L36" s="608"/>
      <c r="M36" s="526"/>
      <c r="N36" s="804"/>
    </row>
    <row r="37" spans="1:14" ht="21" customHeight="1">
      <c r="A37" s="380">
        <v>20</v>
      </c>
      <c r="B37" s="1840" t="s">
        <v>1764</v>
      </c>
      <c r="C37" s="1052"/>
      <c r="D37" s="918"/>
      <c r="E37" s="1054"/>
      <c r="F37" s="918"/>
      <c r="G37" s="1054">
        <v>59428.93</v>
      </c>
      <c r="H37" s="918"/>
      <c r="I37" s="1054">
        <f>+G37</f>
        <v>59428.93</v>
      </c>
      <c r="J37" s="918"/>
      <c r="K37" s="1054">
        <f>+I37</f>
        <v>59428.93</v>
      </c>
      <c r="L37" s="608"/>
      <c r="M37" s="526"/>
      <c r="N37" s="1824"/>
    </row>
    <row r="38" spans="1:14" ht="33" customHeight="1">
      <c r="A38" s="918">
        <v>21</v>
      </c>
      <c r="B38" s="1840" t="s">
        <v>1807</v>
      </c>
      <c r="C38" s="1052"/>
      <c r="D38" s="918"/>
      <c r="E38" s="1054"/>
      <c r="F38" s="918"/>
      <c r="G38" s="1081">
        <f>G34*0.04</f>
        <v>8551.2412122033893</v>
      </c>
      <c r="H38" s="1054"/>
      <c r="I38" s="1081">
        <f>I34*0.04</f>
        <v>6597.1744427118647</v>
      </c>
      <c r="J38" s="1054"/>
      <c r="K38" s="1081">
        <f>K34*0.04</f>
        <v>5750.9564698305103</v>
      </c>
      <c r="L38" s="737" t="s">
        <v>1827</v>
      </c>
      <c r="M38" s="82"/>
    </row>
    <row r="39" spans="1:14" ht="46.5" customHeight="1">
      <c r="A39" s="918">
        <v>22</v>
      </c>
      <c r="B39" s="1841" t="s">
        <v>1744</v>
      </c>
      <c r="C39" s="1052"/>
      <c r="D39" s="918"/>
      <c r="E39" s="1054"/>
      <c r="F39" s="918"/>
      <c r="G39" s="1081">
        <f>(G33+G35+G36+G37+G38)*0.125</f>
        <v>42903.535612439933</v>
      </c>
      <c r="H39" s="1054"/>
      <c r="I39" s="1081">
        <f>(I33+I35+I36+I37+I38)*0.125</f>
        <v>34913.234462815992</v>
      </c>
      <c r="J39" s="1054"/>
      <c r="K39" s="1081">
        <f>(K33+K35+K36+K37+K38)*0.125</f>
        <v>31452.996283080822</v>
      </c>
      <c r="L39" s="609"/>
      <c r="M39" s="82"/>
    </row>
    <row r="40" spans="1:14" ht="31.5" customHeight="1">
      <c r="A40" s="958">
        <v>23</v>
      </c>
      <c r="B40" s="1842" t="s">
        <v>219</v>
      </c>
      <c r="C40" s="1052"/>
      <c r="D40" s="918"/>
      <c r="E40" s="1054"/>
      <c r="F40" s="918"/>
      <c r="G40" s="356">
        <f>SUM(G34:G39)</f>
        <v>347651.23505704413</v>
      </c>
      <c r="H40" s="958"/>
      <c r="I40" s="356">
        <f>SUM(I34:I39)</f>
        <v>284531.8251731405</v>
      </c>
      <c r="J40" s="958"/>
      <c r="K40" s="356">
        <f>SUM(K34:K39)</f>
        <v>257197.6624334901</v>
      </c>
      <c r="L40" s="608"/>
    </row>
    <row r="41" spans="1:14" ht="18" customHeight="1">
      <c r="A41" s="918">
        <v>24</v>
      </c>
      <c r="B41" s="1051" t="s">
        <v>85</v>
      </c>
      <c r="C41" s="1052"/>
      <c r="D41" s="918"/>
      <c r="E41" s="1054">
        <v>0.09</v>
      </c>
      <c r="F41" s="918"/>
      <c r="G41" s="1054">
        <f>G40*E41</f>
        <v>31288.611155133971</v>
      </c>
      <c r="H41" s="918"/>
      <c r="I41" s="1054">
        <f>I40*E41</f>
        <v>25607.864265582644</v>
      </c>
      <c r="J41" s="918"/>
      <c r="K41" s="1054">
        <f>K40*E41</f>
        <v>23147.789619014107</v>
      </c>
      <c r="L41" s="608"/>
    </row>
    <row r="42" spans="1:14" ht="18" customHeight="1">
      <c r="A42" s="918">
        <v>25</v>
      </c>
      <c r="B42" s="1051" t="s">
        <v>86</v>
      </c>
      <c r="C42" s="1052"/>
      <c r="D42" s="918"/>
      <c r="E42" s="1054">
        <v>0.09</v>
      </c>
      <c r="F42" s="918"/>
      <c r="G42" s="1054">
        <f>G40*E42</f>
        <v>31288.611155133971</v>
      </c>
      <c r="H42" s="918"/>
      <c r="I42" s="1054">
        <f>I40*E42</f>
        <v>25607.864265582644</v>
      </c>
      <c r="J42" s="918"/>
      <c r="K42" s="1054">
        <f>K40*E42</f>
        <v>23147.789619014107</v>
      </c>
      <c r="L42" s="578"/>
    </row>
    <row r="43" spans="1:14" ht="31.5" customHeight="1">
      <c r="A43" s="918">
        <v>26</v>
      </c>
      <c r="B43" s="1841" t="s">
        <v>87</v>
      </c>
      <c r="C43" s="1052"/>
      <c r="D43" s="918"/>
      <c r="E43" s="1054"/>
      <c r="F43" s="918"/>
      <c r="G43" s="1054">
        <f>G40+G41+G42</f>
        <v>410228.4573673121</v>
      </c>
      <c r="H43" s="1054"/>
      <c r="I43" s="1054">
        <f>I40+I41+I42</f>
        <v>335747.55370430578</v>
      </c>
      <c r="J43" s="1054"/>
      <c r="K43" s="1054">
        <f>K40+K41+K42</f>
        <v>303493.24167151836</v>
      </c>
      <c r="L43" s="608"/>
    </row>
    <row r="44" spans="1:14" ht="34.5" customHeight="1">
      <c r="A44" s="958">
        <v>27</v>
      </c>
      <c r="B44" s="1082" t="s">
        <v>59</v>
      </c>
      <c r="C44" s="917"/>
      <c r="D44" s="958"/>
      <c r="E44" s="356"/>
      <c r="F44" s="958"/>
      <c r="G44" s="1837">
        <f>ROUND(G43,0)</f>
        <v>410228</v>
      </c>
      <c r="H44" s="958"/>
      <c r="I44" s="1837">
        <f>ROUND(I43,0)</f>
        <v>335748</v>
      </c>
      <c r="J44" s="958"/>
      <c r="K44" s="1837">
        <f>ROUND(K43,0)</f>
        <v>303493</v>
      </c>
      <c r="L44" s="608"/>
    </row>
    <row r="46" spans="1:14" ht="15.75">
      <c r="A46" s="610"/>
      <c r="B46" s="611" t="s">
        <v>1765</v>
      </c>
      <c r="C46" s="612"/>
      <c r="D46" s="613"/>
      <c r="E46" s="613"/>
      <c r="F46" s="613"/>
      <c r="G46" s="813"/>
      <c r="I46" s="813"/>
      <c r="K46" s="813"/>
    </row>
    <row r="47" spans="1:14" ht="18">
      <c r="A47" s="614" t="s">
        <v>62</v>
      </c>
      <c r="B47" s="105" t="s">
        <v>63</v>
      </c>
      <c r="D47" s="613"/>
      <c r="E47" s="613"/>
      <c r="F47" s="613"/>
      <c r="G47" s="613"/>
    </row>
    <row r="48" spans="1:14" ht="18">
      <c r="A48" s="614"/>
      <c r="B48" s="105"/>
      <c r="D48" s="613"/>
      <c r="E48" s="613"/>
      <c r="F48" s="613"/>
      <c r="G48" s="613"/>
    </row>
    <row r="49" spans="1:11" ht="18">
      <c r="A49" s="614"/>
      <c r="B49" s="105"/>
      <c r="D49" s="613"/>
      <c r="E49" s="613"/>
      <c r="F49" s="613"/>
      <c r="G49" s="613"/>
    </row>
    <row r="50" spans="1:11" ht="18">
      <c r="A50" s="614"/>
      <c r="B50" s="105"/>
      <c r="D50" s="613"/>
      <c r="E50" s="613"/>
      <c r="F50" s="613"/>
      <c r="G50" s="613"/>
    </row>
    <row r="62" spans="1:11" ht="15">
      <c r="I62" s="615"/>
      <c r="J62" s="615"/>
      <c r="K62" s="615"/>
    </row>
    <row r="63" spans="1:11" ht="15">
      <c r="I63" s="615"/>
      <c r="J63" s="615"/>
      <c r="K63" s="615"/>
    </row>
    <row r="64" spans="1:11" ht="15">
      <c r="I64" s="615"/>
      <c r="J64" s="615"/>
      <c r="K64" s="615"/>
    </row>
    <row r="65" spans="9:12" ht="15">
      <c r="I65" s="615"/>
      <c r="J65" s="615"/>
      <c r="K65" s="615"/>
    </row>
    <row r="66" spans="9:12" ht="15">
      <c r="I66" s="615"/>
      <c r="J66" s="615"/>
      <c r="K66" s="615"/>
    </row>
    <row r="67" spans="9:12" ht="15">
      <c r="I67" s="615"/>
      <c r="J67" s="615"/>
      <c r="K67" s="615"/>
    </row>
    <row r="68" spans="9:12" ht="15">
      <c r="I68" s="615"/>
      <c r="J68" s="615"/>
      <c r="K68" s="615"/>
    </row>
    <row r="69" spans="9:12" ht="15">
      <c r="I69" s="615"/>
      <c r="J69" s="615"/>
      <c r="K69" s="615"/>
    </row>
    <row r="70" spans="9:12" ht="15">
      <c r="I70" s="615"/>
      <c r="J70" s="615"/>
      <c r="K70" s="615"/>
    </row>
    <row r="71" spans="9:12" ht="15">
      <c r="I71" s="615"/>
      <c r="J71" s="615"/>
      <c r="K71" s="615"/>
    </row>
    <row r="72" spans="9:12" ht="15">
      <c r="I72" s="615"/>
      <c r="J72" s="615"/>
      <c r="K72" s="615"/>
    </row>
    <row r="73" spans="9:12" ht="15">
      <c r="I73" s="615"/>
      <c r="J73" s="615"/>
      <c r="K73" s="615"/>
    </row>
    <row r="74" spans="9:12" ht="15">
      <c r="I74" s="615"/>
      <c r="J74" s="615"/>
      <c r="K74" s="615"/>
    </row>
    <row r="75" spans="9:12" ht="15.75">
      <c r="I75" s="616"/>
      <c r="J75" s="616"/>
      <c r="K75" s="616"/>
    </row>
    <row r="76" spans="9:12" ht="15">
      <c r="I76" s="108"/>
      <c r="J76" s="615"/>
      <c r="K76" s="615"/>
      <c r="L76" s="615"/>
    </row>
    <row r="77" spans="9:12" ht="15">
      <c r="I77" s="108"/>
      <c r="J77" s="615"/>
      <c r="K77" s="615"/>
      <c r="L77" s="615"/>
    </row>
    <row r="78" spans="9:12" ht="15">
      <c r="I78" s="108"/>
      <c r="J78" s="615"/>
      <c r="K78" s="615"/>
      <c r="L78" s="615"/>
    </row>
    <row r="79" spans="9:12" ht="15">
      <c r="I79" s="108"/>
      <c r="J79" s="615"/>
      <c r="K79" s="615"/>
      <c r="L79" s="615"/>
    </row>
    <row r="80" spans="9:12" ht="15">
      <c r="I80" s="108"/>
      <c r="J80" s="615"/>
      <c r="K80" s="615"/>
      <c r="L80" s="615"/>
    </row>
    <row r="81" spans="9:12" ht="15">
      <c r="I81" s="108"/>
      <c r="J81" s="615"/>
      <c r="K81" s="615"/>
      <c r="L81" s="615"/>
    </row>
    <row r="82" spans="9:12" ht="15">
      <c r="I82" s="108"/>
      <c r="J82" s="615"/>
      <c r="K82" s="615"/>
      <c r="L82" s="615"/>
    </row>
    <row r="83" spans="9:12" ht="15">
      <c r="I83" s="108"/>
      <c r="J83" s="615"/>
      <c r="K83" s="615"/>
      <c r="L83" s="615"/>
    </row>
    <row r="84" spans="9:12" ht="15">
      <c r="I84" s="108"/>
      <c r="J84" s="615"/>
      <c r="K84" s="615"/>
      <c r="L84" s="615"/>
    </row>
    <row r="85" spans="9:12" ht="15">
      <c r="I85" s="108"/>
      <c r="J85" s="615"/>
      <c r="K85" s="615"/>
      <c r="L85" s="615"/>
    </row>
    <row r="86" spans="9:12" ht="15">
      <c r="I86" s="108"/>
      <c r="J86" s="615"/>
      <c r="K86" s="615"/>
      <c r="L86" s="615"/>
    </row>
    <row r="87" spans="9:12" ht="15">
      <c r="I87" s="108"/>
      <c r="J87" s="615"/>
      <c r="K87" s="615"/>
      <c r="L87" s="615"/>
    </row>
    <row r="88" spans="9:12" ht="15">
      <c r="I88" s="108"/>
      <c r="J88" s="615"/>
      <c r="K88" s="615"/>
      <c r="L88" s="615"/>
    </row>
    <row r="89" spans="9:12" ht="15">
      <c r="I89" s="108"/>
      <c r="J89" s="615"/>
      <c r="K89" s="615"/>
      <c r="L89" s="615"/>
    </row>
    <row r="90" spans="9:12" ht="15">
      <c r="I90" s="108"/>
      <c r="J90" s="615"/>
      <c r="K90" s="615"/>
      <c r="L90" s="615"/>
    </row>
    <row r="91" spans="9:12" ht="15">
      <c r="I91" s="108"/>
      <c r="J91" s="615"/>
      <c r="K91" s="615"/>
      <c r="L91" s="615"/>
    </row>
    <row r="92" spans="9:12" ht="15">
      <c r="I92" s="108"/>
      <c r="J92" s="615"/>
      <c r="K92" s="615"/>
      <c r="L92" s="615"/>
    </row>
    <row r="93" spans="9:12" ht="15">
      <c r="I93" s="108"/>
      <c r="J93" s="615"/>
      <c r="K93" s="615"/>
      <c r="L93" s="615"/>
    </row>
    <row r="94" spans="9:12" ht="15">
      <c r="I94" s="108"/>
      <c r="J94" s="615"/>
      <c r="K94" s="615"/>
      <c r="L94" s="615"/>
    </row>
    <row r="95" spans="9:12">
      <c r="J95" s="617"/>
      <c r="K95" s="617"/>
      <c r="L95" s="617"/>
    </row>
    <row r="96" spans="9:12">
      <c r="J96" s="617"/>
      <c r="K96" s="617"/>
      <c r="L96" s="617"/>
    </row>
    <row r="97" spans="10:12">
      <c r="J97" s="617"/>
      <c r="K97" s="617"/>
      <c r="L97" s="617"/>
    </row>
    <row r="98" spans="10:12">
      <c r="J98" s="617"/>
      <c r="K98" s="617"/>
      <c r="L98" s="617"/>
    </row>
    <row r="99" spans="10:12">
      <c r="J99" s="617"/>
      <c r="K99" s="617"/>
      <c r="L99" s="617"/>
    </row>
    <row r="100" spans="10:12">
      <c r="J100" s="617"/>
      <c r="K100" s="617"/>
      <c r="L100" s="617"/>
    </row>
    <row r="101" spans="10:12">
      <c r="J101" s="617"/>
      <c r="K101" s="617"/>
      <c r="L101" s="617"/>
    </row>
    <row r="102" spans="10:12">
      <c r="J102" s="617"/>
      <c r="K102" s="617"/>
      <c r="L102" s="617"/>
    </row>
    <row r="103" spans="10:12">
      <c r="J103" s="617"/>
      <c r="K103" s="617"/>
      <c r="L103" s="617"/>
    </row>
    <row r="104" spans="10:12">
      <c r="J104" s="617"/>
      <c r="K104" s="617"/>
      <c r="L104" s="617"/>
    </row>
    <row r="105" spans="10:12">
      <c r="J105" s="617"/>
      <c r="K105" s="617"/>
      <c r="L105" s="617"/>
    </row>
    <row r="106" spans="10:12">
      <c r="J106" s="617"/>
      <c r="K106" s="617"/>
      <c r="L106" s="617"/>
    </row>
    <row r="107" spans="10:12">
      <c r="J107" s="617"/>
      <c r="K107" s="617"/>
      <c r="L107" s="617"/>
    </row>
    <row r="108" spans="10:12">
      <c r="J108" s="617"/>
      <c r="K108" s="617"/>
      <c r="L108" s="617"/>
    </row>
    <row r="109" spans="10:12">
      <c r="J109" s="617"/>
      <c r="K109" s="617"/>
      <c r="L109" s="617"/>
    </row>
  </sheetData>
  <mergeCells count="15">
    <mergeCell ref="J5:K5"/>
    <mergeCell ref="A13:A16"/>
    <mergeCell ref="A17:A20"/>
    <mergeCell ref="A21:A22"/>
    <mergeCell ref="L22:M22"/>
    <mergeCell ref="A25:A28"/>
    <mergeCell ref="D1:H1"/>
    <mergeCell ref="B3:I3"/>
    <mergeCell ref="A5:A6"/>
    <mergeCell ref="B5:B6"/>
    <mergeCell ref="C5:C6"/>
    <mergeCell ref="D5:D6"/>
    <mergeCell ref="E5:E6"/>
    <mergeCell ref="F5:G5"/>
    <mergeCell ref="H5:I5"/>
  </mergeCells>
  <conditionalFormatting sqref="B33">
    <cfRule type="cellIs" dxfId="46" priority="2" stopIfTrue="1" operator="equal">
      <formula>"?"</formula>
    </cfRule>
  </conditionalFormatting>
  <conditionalFormatting sqref="B34">
    <cfRule type="cellIs" dxfId="45" priority="1" stopIfTrue="1" operator="equal">
      <formula>"?"</formula>
    </cfRule>
  </conditionalFormatting>
  <printOptions horizontalCentered="1" gridLines="1"/>
  <pageMargins left="0.67" right="0.16" top="0.7" bottom="0.3" header="0.41" footer="0.16"/>
  <pageSetup paperSize="9" scale="91" fitToHeight="2" orientation="landscape"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9"/>
  <sheetViews>
    <sheetView zoomScale="90" zoomScaleNormal="90" workbookViewId="0">
      <pane xSplit="2" ySplit="9" topLeftCell="C45" activePane="bottomRight" state="frozen"/>
      <selection pane="topRight" activeCell="C1" sqref="C1"/>
      <selection pane="bottomLeft" activeCell="A10" sqref="A10"/>
      <selection pane="bottomRight" activeCell="L40" sqref="L40"/>
    </sheetView>
  </sheetViews>
  <sheetFormatPr defaultRowHeight="12.75"/>
  <cols>
    <col min="1" max="1" width="5.5703125" style="137" customWidth="1"/>
    <col min="2" max="2" width="41.7109375" style="70" customWidth="1"/>
    <col min="3" max="3" width="15.5703125" style="70" customWidth="1"/>
    <col min="4" max="4" width="6.42578125" style="70" customWidth="1"/>
    <col min="5" max="5" width="10.28515625" style="70" bestFit="1" customWidth="1"/>
    <col min="6" max="6" width="7.85546875" style="70" bestFit="1" customWidth="1"/>
    <col min="7" max="7" width="18.85546875" style="70" customWidth="1"/>
    <col min="8" max="8" width="7.85546875" style="70" bestFit="1" customWidth="1"/>
    <col min="9" max="9" width="13.85546875" style="70" bestFit="1" customWidth="1"/>
    <col min="10" max="10" width="7.85546875" style="70" bestFit="1" customWidth="1"/>
    <col min="11" max="11" width="13.85546875" style="70" bestFit="1" customWidth="1"/>
    <col min="12" max="12" width="24.28515625" style="70" customWidth="1"/>
    <col min="13" max="13" width="8.7109375" style="70" customWidth="1"/>
    <col min="14" max="14" width="13.7109375" style="70" customWidth="1"/>
    <col min="15" max="256" width="9.140625" style="70"/>
    <col min="257" max="257" width="5.5703125" style="70" customWidth="1"/>
    <col min="258" max="258" width="41.7109375" style="70" customWidth="1"/>
    <col min="259" max="259" width="15.5703125" style="70" customWidth="1"/>
    <col min="260" max="260" width="6.42578125" style="70" customWidth="1"/>
    <col min="261" max="261" width="10.28515625" style="70" bestFit="1" customWidth="1"/>
    <col min="262" max="262" width="7.85546875" style="70" bestFit="1" customWidth="1"/>
    <col min="263" max="263" width="18.85546875" style="70" customWidth="1"/>
    <col min="264" max="264" width="7.85546875" style="70" bestFit="1" customWidth="1"/>
    <col min="265" max="265" width="13.85546875" style="70" bestFit="1" customWidth="1"/>
    <col min="266" max="266" width="7.85546875" style="70" bestFit="1" customWidth="1"/>
    <col min="267" max="267" width="13.85546875" style="70" bestFit="1" customWidth="1"/>
    <col min="268" max="268" width="24.28515625" style="70" customWidth="1"/>
    <col min="269" max="269" width="24.7109375" style="70" customWidth="1"/>
    <col min="270" max="270" width="10.85546875" style="70" customWidth="1"/>
    <col min="271" max="512" width="9.140625" style="70"/>
    <col min="513" max="513" width="5.5703125" style="70" customWidth="1"/>
    <col min="514" max="514" width="41.7109375" style="70" customWidth="1"/>
    <col min="515" max="515" width="15.5703125" style="70" customWidth="1"/>
    <col min="516" max="516" width="6.42578125" style="70" customWidth="1"/>
    <col min="517" max="517" width="10.28515625" style="70" bestFit="1" customWidth="1"/>
    <col min="518" max="518" width="7.85546875" style="70" bestFit="1" customWidth="1"/>
    <col min="519" max="519" width="18.85546875" style="70" customWidth="1"/>
    <col min="520" max="520" width="7.85546875" style="70" bestFit="1" customWidth="1"/>
    <col min="521" max="521" width="13.85546875" style="70" bestFit="1" customWidth="1"/>
    <col min="522" max="522" width="7.85546875" style="70" bestFit="1" customWidth="1"/>
    <col min="523" max="523" width="13.85546875" style="70" bestFit="1" customWidth="1"/>
    <col min="524" max="524" width="24.28515625" style="70" customWidth="1"/>
    <col min="525" max="525" width="24.7109375" style="70" customWidth="1"/>
    <col min="526" max="526" width="10.85546875" style="70" customWidth="1"/>
    <col min="527" max="768" width="9.140625" style="70"/>
    <col min="769" max="769" width="5.5703125" style="70" customWidth="1"/>
    <col min="770" max="770" width="41.7109375" style="70" customWidth="1"/>
    <col min="771" max="771" width="15.5703125" style="70" customWidth="1"/>
    <col min="772" max="772" width="6.42578125" style="70" customWidth="1"/>
    <col min="773" max="773" width="10.28515625" style="70" bestFit="1" customWidth="1"/>
    <col min="774" max="774" width="7.85546875" style="70" bestFit="1" customWidth="1"/>
    <col min="775" max="775" width="18.85546875" style="70" customWidth="1"/>
    <col min="776" max="776" width="7.85546875" style="70" bestFit="1" customWidth="1"/>
    <col min="777" max="777" width="13.85546875" style="70" bestFit="1" customWidth="1"/>
    <col min="778" max="778" width="7.85546875" style="70" bestFit="1" customWidth="1"/>
    <col min="779" max="779" width="13.85546875" style="70" bestFit="1" customWidth="1"/>
    <col min="780" max="780" width="24.28515625" style="70" customWidth="1"/>
    <col min="781" max="781" width="24.7109375" style="70" customWidth="1"/>
    <col min="782" max="782" width="10.85546875" style="70" customWidth="1"/>
    <col min="783" max="1024" width="9.140625" style="70"/>
    <col min="1025" max="1025" width="5.5703125" style="70" customWidth="1"/>
    <col min="1026" max="1026" width="41.7109375" style="70" customWidth="1"/>
    <col min="1027" max="1027" width="15.5703125" style="70" customWidth="1"/>
    <col min="1028" max="1028" width="6.42578125" style="70" customWidth="1"/>
    <col min="1029" max="1029" width="10.28515625" style="70" bestFit="1" customWidth="1"/>
    <col min="1030" max="1030" width="7.85546875" style="70" bestFit="1" customWidth="1"/>
    <col min="1031" max="1031" width="18.85546875" style="70" customWidth="1"/>
    <col min="1032" max="1032" width="7.85546875" style="70" bestFit="1" customWidth="1"/>
    <col min="1033" max="1033" width="13.85546875" style="70" bestFit="1" customWidth="1"/>
    <col min="1034" max="1034" width="7.85546875" style="70" bestFit="1" customWidth="1"/>
    <col min="1035" max="1035" width="13.85546875" style="70" bestFit="1" customWidth="1"/>
    <col min="1036" max="1036" width="24.28515625" style="70" customWidth="1"/>
    <col min="1037" max="1037" width="24.7109375" style="70" customWidth="1"/>
    <col min="1038" max="1038" width="10.85546875" style="70" customWidth="1"/>
    <col min="1039" max="1280" width="9.140625" style="70"/>
    <col min="1281" max="1281" width="5.5703125" style="70" customWidth="1"/>
    <col min="1282" max="1282" width="41.7109375" style="70" customWidth="1"/>
    <col min="1283" max="1283" width="15.5703125" style="70" customWidth="1"/>
    <col min="1284" max="1284" width="6.42578125" style="70" customWidth="1"/>
    <col min="1285" max="1285" width="10.28515625" style="70" bestFit="1" customWidth="1"/>
    <col min="1286" max="1286" width="7.85546875" style="70" bestFit="1" customWidth="1"/>
    <col min="1287" max="1287" width="18.85546875" style="70" customWidth="1"/>
    <col min="1288" max="1288" width="7.85546875" style="70" bestFit="1" customWidth="1"/>
    <col min="1289" max="1289" width="13.85546875" style="70" bestFit="1" customWidth="1"/>
    <col min="1290" max="1290" width="7.85546875" style="70" bestFit="1" customWidth="1"/>
    <col min="1291" max="1291" width="13.85546875" style="70" bestFit="1" customWidth="1"/>
    <col min="1292" max="1292" width="24.28515625" style="70" customWidth="1"/>
    <col min="1293" max="1293" width="24.7109375" style="70" customWidth="1"/>
    <col min="1294" max="1294" width="10.85546875" style="70" customWidth="1"/>
    <col min="1295" max="1536" width="9.140625" style="70"/>
    <col min="1537" max="1537" width="5.5703125" style="70" customWidth="1"/>
    <col min="1538" max="1538" width="41.7109375" style="70" customWidth="1"/>
    <col min="1539" max="1539" width="15.5703125" style="70" customWidth="1"/>
    <col min="1540" max="1540" width="6.42578125" style="70" customWidth="1"/>
    <col min="1541" max="1541" width="10.28515625" style="70" bestFit="1" customWidth="1"/>
    <col min="1542" max="1542" width="7.85546875" style="70" bestFit="1" customWidth="1"/>
    <col min="1543" max="1543" width="18.85546875" style="70" customWidth="1"/>
    <col min="1544" max="1544" width="7.85546875" style="70" bestFit="1" customWidth="1"/>
    <col min="1545" max="1545" width="13.85546875" style="70" bestFit="1" customWidth="1"/>
    <col min="1546" max="1546" width="7.85546875" style="70" bestFit="1" customWidth="1"/>
    <col min="1547" max="1547" width="13.85546875" style="70" bestFit="1" customWidth="1"/>
    <col min="1548" max="1548" width="24.28515625" style="70" customWidth="1"/>
    <col min="1549" max="1549" width="24.7109375" style="70" customWidth="1"/>
    <col min="1550" max="1550" width="10.85546875" style="70" customWidth="1"/>
    <col min="1551" max="1792" width="9.140625" style="70"/>
    <col min="1793" max="1793" width="5.5703125" style="70" customWidth="1"/>
    <col min="1794" max="1794" width="41.7109375" style="70" customWidth="1"/>
    <col min="1795" max="1795" width="15.5703125" style="70" customWidth="1"/>
    <col min="1796" max="1796" width="6.42578125" style="70" customWidth="1"/>
    <col min="1797" max="1797" width="10.28515625" style="70" bestFit="1" customWidth="1"/>
    <col min="1798" max="1798" width="7.85546875" style="70" bestFit="1" customWidth="1"/>
    <col min="1799" max="1799" width="18.85546875" style="70" customWidth="1"/>
    <col min="1800" max="1800" width="7.85546875" style="70" bestFit="1" customWidth="1"/>
    <col min="1801" max="1801" width="13.85546875" style="70" bestFit="1" customWidth="1"/>
    <col min="1802" max="1802" width="7.85546875" style="70" bestFit="1" customWidth="1"/>
    <col min="1803" max="1803" width="13.85546875" style="70" bestFit="1" customWidth="1"/>
    <col min="1804" max="1804" width="24.28515625" style="70" customWidth="1"/>
    <col min="1805" max="1805" width="24.7109375" style="70" customWidth="1"/>
    <col min="1806" max="1806" width="10.85546875" style="70" customWidth="1"/>
    <col min="1807" max="2048" width="9.140625" style="70"/>
    <col min="2049" max="2049" width="5.5703125" style="70" customWidth="1"/>
    <col min="2050" max="2050" width="41.7109375" style="70" customWidth="1"/>
    <col min="2051" max="2051" width="15.5703125" style="70" customWidth="1"/>
    <col min="2052" max="2052" width="6.42578125" style="70" customWidth="1"/>
    <col min="2053" max="2053" width="10.28515625" style="70" bestFit="1" customWidth="1"/>
    <col min="2054" max="2054" width="7.85546875" style="70" bestFit="1" customWidth="1"/>
    <col min="2055" max="2055" width="18.85546875" style="70" customWidth="1"/>
    <col min="2056" max="2056" width="7.85546875" style="70" bestFit="1" customWidth="1"/>
    <col min="2057" max="2057" width="13.85546875" style="70" bestFit="1" customWidth="1"/>
    <col min="2058" max="2058" width="7.85546875" style="70" bestFit="1" customWidth="1"/>
    <col min="2059" max="2059" width="13.85546875" style="70" bestFit="1" customWidth="1"/>
    <col min="2060" max="2060" width="24.28515625" style="70" customWidth="1"/>
    <col min="2061" max="2061" width="24.7109375" style="70" customWidth="1"/>
    <col min="2062" max="2062" width="10.85546875" style="70" customWidth="1"/>
    <col min="2063" max="2304" width="9.140625" style="70"/>
    <col min="2305" max="2305" width="5.5703125" style="70" customWidth="1"/>
    <col min="2306" max="2306" width="41.7109375" style="70" customWidth="1"/>
    <col min="2307" max="2307" width="15.5703125" style="70" customWidth="1"/>
    <col min="2308" max="2308" width="6.42578125" style="70" customWidth="1"/>
    <col min="2309" max="2309" width="10.28515625" style="70" bestFit="1" customWidth="1"/>
    <col min="2310" max="2310" width="7.85546875" style="70" bestFit="1" customWidth="1"/>
    <col min="2311" max="2311" width="18.85546875" style="70" customWidth="1"/>
    <col min="2312" max="2312" width="7.85546875" style="70" bestFit="1" customWidth="1"/>
    <col min="2313" max="2313" width="13.85546875" style="70" bestFit="1" customWidth="1"/>
    <col min="2314" max="2314" width="7.85546875" style="70" bestFit="1" customWidth="1"/>
    <col min="2315" max="2315" width="13.85546875" style="70" bestFit="1" customWidth="1"/>
    <col min="2316" max="2316" width="24.28515625" style="70" customWidth="1"/>
    <col min="2317" max="2317" width="24.7109375" style="70" customWidth="1"/>
    <col min="2318" max="2318" width="10.85546875" style="70" customWidth="1"/>
    <col min="2319" max="2560" width="9.140625" style="70"/>
    <col min="2561" max="2561" width="5.5703125" style="70" customWidth="1"/>
    <col min="2562" max="2562" width="41.7109375" style="70" customWidth="1"/>
    <col min="2563" max="2563" width="15.5703125" style="70" customWidth="1"/>
    <col min="2564" max="2564" width="6.42578125" style="70" customWidth="1"/>
    <col min="2565" max="2565" width="10.28515625" style="70" bestFit="1" customWidth="1"/>
    <col min="2566" max="2566" width="7.85546875" style="70" bestFit="1" customWidth="1"/>
    <col min="2567" max="2567" width="18.85546875" style="70" customWidth="1"/>
    <col min="2568" max="2568" width="7.85546875" style="70" bestFit="1" customWidth="1"/>
    <col min="2569" max="2569" width="13.85546875" style="70" bestFit="1" customWidth="1"/>
    <col min="2570" max="2570" width="7.85546875" style="70" bestFit="1" customWidth="1"/>
    <col min="2571" max="2571" width="13.85546875" style="70" bestFit="1" customWidth="1"/>
    <col min="2572" max="2572" width="24.28515625" style="70" customWidth="1"/>
    <col min="2573" max="2573" width="24.7109375" style="70" customWidth="1"/>
    <col min="2574" max="2574" width="10.85546875" style="70" customWidth="1"/>
    <col min="2575" max="2816" width="9.140625" style="70"/>
    <col min="2817" max="2817" width="5.5703125" style="70" customWidth="1"/>
    <col min="2818" max="2818" width="41.7109375" style="70" customWidth="1"/>
    <col min="2819" max="2819" width="15.5703125" style="70" customWidth="1"/>
    <col min="2820" max="2820" width="6.42578125" style="70" customWidth="1"/>
    <col min="2821" max="2821" width="10.28515625" style="70" bestFit="1" customWidth="1"/>
    <col min="2822" max="2822" width="7.85546875" style="70" bestFit="1" customWidth="1"/>
    <col min="2823" max="2823" width="18.85546875" style="70" customWidth="1"/>
    <col min="2824" max="2824" width="7.85546875" style="70" bestFit="1" customWidth="1"/>
    <col min="2825" max="2825" width="13.85546875" style="70" bestFit="1" customWidth="1"/>
    <col min="2826" max="2826" width="7.85546875" style="70" bestFit="1" customWidth="1"/>
    <col min="2827" max="2827" width="13.85546875" style="70" bestFit="1" customWidth="1"/>
    <col min="2828" max="2828" width="24.28515625" style="70" customWidth="1"/>
    <col min="2829" max="2829" width="24.7109375" style="70" customWidth="1"/>
    <col min="2830" max="2830" width="10.85546875" style="70" customWidth="1"/>
    <col min="2831" max="3072" width="9.140625" style="70"/>
    <col min="3073" max="3073" width="5.5703125" style="70" customWidth="1"/>
    <col min="3074" max="3074" width="41.7109375" style="70" customWidth="1"/>
    <col min="3075" max="3075" width="15.5703125" style="70" customWidth="1"/>
    <col min="3076" max="3076" width="6.42578125" style="70" customWidth="1"/>
    <col min="3077" max="3077" width="10.28515625" style="70" bestFit="1" customWidth="1"/>
    <col min="3078" max="3078" width="7.85546875" style="70" bestFit="1" customWidth="1"/>
    <col min="3079" max="3079" width="18.85546875" style="70" customWidth="1"/>
    <col min="3080" max="3080" width="7.85546875" style="70" bestFit="1" customWidth="1"/>
    <col min="3081" max="3081" width="13.85546875" style="70" bestFit="1" customWidth="1"/>
    <col min="3082" max="3082" width="7.85546875" style="70" bestFit="1" customWidth="1"/>
    <col min="3083" max="3083" width="13.85546875" style="70" bestFit="1" customWidth="1"/>
    <col min="3084" max="3084" width="24.28515625" style="70" customWidth="1"/>
    <col min="3085" max="3085" width="24.7109375" style="70" customWidth="1"/>
    <col min="3086" max="3086" width="10.85546875" style="70" customWidth="1"/>
    <col min="3087" max="3328" width="9.140625" style="70"/>
    <col min="3329" max="3329" width="5.5703125" style="70" customWidth="1"/>
    <col min="3330" max="3330" width="41.7109375" style="70" customWidth="1"/>
    <col min="3331" max="3331" width="15.5703125" style="70" customWidth="1"/>
    <col min="3332" max="3332" width="6.42578125" style="70" customWidth="1"/>
    <col min="3333" max="3333" width="10.28515625" style="70" bestFit="1" customWidth="1"/>
    <col min="3334" max="3334" width="7.85546875" style="70" bestFit="1" customWidth="1"/>
    <col min="3335" max="3335" width="18.85546875" style="70" customWidth="1"/>
    <col min="3336" max="3336" width="7.85546875" style="70" bestFit="1" customWidth="1"/>
    <col min="3337" max="3337" width="13.85546875" style="70" bestFit="1" customWidth="1"/>
    <col min="3338" max="3338" width="7.85546875" style="70" bestFit="1" customWidth="1"/>
    <col min="3339" max="3339" width="13.85546875" style="70" bestFit="1" customWidth="1"/>
    <col min="3340" max="3340" width="24.28515625" style="70" customWidth="1"/>
    <col min="3341" max="3341" width="24.7109375" style="70" customWidth="1"/>
    <col min="3342" max="3342" width="10.85546875" style="70" customWidth="1"/>
    <col min="3343" max="3584" width="9.140625" style="70"/>
    <col min="3585" max="3585" width="5.5703125" style="70" customWidth="1"/>
    <col min="3586" max="3586" width="41.7109375" style="70" customWidth="1"/>
    <col min="3587" max="3587" width="15.5703125" style="70" customWidth="1"/>
    <col min="3588" max="3588" width="6.42578125" style="70" customWidth="1"/>
    <col min="3589" max="3589" width="10.28515625" style="70" bestFit="1" customWidth="1"/>
    <col min="3590" max="3590" width="7.85546875" style="70" bestFit="1" customWidth="1"/>
    <col min="3591" max="3591" width="18.85546875" style="70" customWidth="1"/>
    <col min="3592" max="3592" width="7.85546875" style="70" bestFit="1" customWidth="1"/>
    <col min="3593" max="3593" width="13.85546875" style="70" bestFit="1" customWidth="1"/>
    <col min="3594" max="3594" width="7.85546875" style="70" bestFit="1" customWidth="1"/>
    <col min="3595" max="3595" width="13.85546875" style="70" bestFit="1" customWidth="1"/>
    <col min="3596" max="3596" width="24.28515625" style="70" customWidth="1"/>
    <col min="3597" max="3597" width="24.7109375" style="70" customWidth="1"/>
    <col min="3598" max="3598" width="10.85546875" style="70" customWidth="1"/>
    <col min="3599" max="3840" width="9.140625" style="70"/>
    <col min="3841" max="3841" width="5.5703125" style="70" customWidth="1"/>
    <col min="3842" max="3842" width="41.7109375" style="70" customWidth="1"/>
    <col min="3843" max="3843" width="15.5703125" style="70" customWidth="1"/>
    <col min="3844" max="3844" width="6.42578125" style="70" customWidth="1"/>
    <col min="3845" max="3845" width="10.28515625" style="70" bestFit="1" customWidth="1"/>
    <col min="3846" max="3846" width="7.85546875" style="70" bestFit="1" customWidth="1"/>
    <col min="3847" max="3847" width="18.85546875" style="70" customWidth="1"/>
    <col min="3848" max="3848" width="7.85546875" style="70" bestFit="1" customWidth="1"/>
    <col min="3849" max="3849" width="13.85546875" style="70" bestFit="1" customWidth="1"/>
    <col min="3850" max="3850" width="7.85546875" style="70" bestFit="1" customWidth="1"/>
    <col min="3851" max="3851" width="13.85546875" style="70" bestFit="1" customWidth="1"/>
    <col min="3852" max="3852" width="24.28515625" style="70" customWidth="1"/>
    <col min="3853" max="3853" width="24.7109375" style="70" customWidth="1"/>
    <col min="3854" max="3854" width="10.85546875" style="70" customWidth="1"/>
    <col min="3855" max="4096" width="9.140625" style="70"/>
    <col min="4097" max="4097" width="5.5703125" style="70" customWidth="1"/>
    <col min="4098" max="4098" width="41.7109375" style="70" customWidth="1"/>
    <col min="4099" max="4099" width="15.5703125" style="70" customWidth="1"/>
    <col min="4100" max="4100" width="6.42578125" style="70" customWidth="1"/>
    <col min="4101" max="4101" width="10.28515625" style="70" bestFit="1" customWidth="1"/>
    <col min="4102" max="4102" width="7.85546875" style="70" bestFit="1" customWidth="1"/>
    <col min="4103" max="4103" width="18.85546875" style="70" customWidth="1"/>
    <col min="4104" max="4104" width="7.85546875" style="70" bestFit="1" customWidth="1"/>
    <col min="4105" max="4105" width="13.85546875" style="70" bestFit="1" customWidth="1"/>
    <col min="4106" max="4106" width="7.85546875" style="70" bestFit="1" customWidth="1"/>
    <col min="4107" max="4107" width="13.85546875" style="70" bestFit="1" customWidth="1"/>
    <col min="4108" max="4108" width="24.28515625" style="70" customWidth="1"/>
    <col min="4109" max="4109" width="24.7109375" style="70" customWidth="1"/>
    <col min="4110" max="4110" width="10.85546875" style="70" customWidth="1"/>
    <col min="4111" max="4352" width="9.140625" style="70"/>
    <col min="4353" max="4353" width="5.5703125" style="70" customWidth="1"/>
    <col min="4354" max="4354" width="41.7109375" style="70" customWidth="1"/>
    <col min="4355" max="4355" width="15.5703125" style="70" customWidth="1"/>
    <col min="4356" max="4356" width="6.42578125" style="70" customWidth="1"/>
    <col min="4357" max="4357" width="10.28515625" style="70" bestFit="1" customWidth="1"/>
    <col min="4358" max="4358" width="7.85546875" style="70" bestFit="1" customWidth="1"/>
    <col min="4359" max="4359" width="18.85546875" style="70" customWidth="1"/>
    <col min="4360" max="4360" width="7.85546875" style="70" bestFit="1" customWidth="1"/>
    <col min="4361" max="4361" width="13.85546875" style="70" bestFit="1" customWidth="1"/>
    <col min="4362" max="4362" width="7.85546875" style="70" bestFit="1" customWidth="1"/>
    <col min="4363" max="4363" width="13.85546875" style="70" bestFit="1" customWidth="1"/>
    <col min="4364" max="4364" width="24.28515625" style="70" customWidth="1"/>
    <col min="4365" max="4365" width="24.7109375" style="70" customWidth="1"/>
    <col min="4366" max="4366" width="10.85546875" style="70" customWidth="1"/>
    <col min="4367" max="4608" width="9.140625" style="70"/>
    <col min="4609" max="4609" width="5.5703125" style="70" customWidth="1"/>
    <col min="4610" max="4610" width="41.7109375" style="70" customWidth="1"/>
    <col min="4611" max="4611" width="15.5703125" style="70" customWidth="1"/>
    <col min="4612" max="4612" width="6.42578125" style="70" customWidth="1"/>
    <col min="4613" max="4613" width="10.28515625" style="70" bestFit="1" customWidth="1"/>
    <col min="4614" max="4614" width="7.85546875" style="70" bestFit="1" customWidth="1"/>
    <col min="4615" max="4615" width="18.85546875" style="70" customWidth="1"/>
    <col min="4616" max="4616" width="7.85546875" style="70" bestFit="1" customWidth="1"/>
    <col min="4617" max="4617" width="13.85546875" style="70" bestFit="1" customWidth="1"/>
    <col min="4618" max="4618" width="7.85546875" style="70" bestFit="1" customWidth="1"/>
    <col min="4619" max="4619" width="13.85546875" style="70" bestFit="1" customWidth="1"/>
    <col min="4620" max="4620" width="24.28515625" style="70" customWidth="1"/>
    <col min="4621" max="4621" width="24.7109375" style="70" customWidth="1"/>
    <col min="4622" max="4622" width="10.85546875" style="70" customWidth="1"/>
    <col min="4623" max="4864" width="9.140625" style="70"/>
    <col min="4865" max="4865" width="5.5703125" style="70" customWidth="1"/>
    <col min="4866" max="4866" width="41.7109375" style="70" customWidth="1"/>
    <col min="4867" max="4867" width="15.5703125" style="70" customWidth="1"/>
    <col min="4868" max="4868" width="6.42578125" style="70" customWidth="1"/>
    <col min="4869" max="4869" width="10.28515625" style="70" bestFit="1" customWidth="1"/>
    <col min="4870" max="4870" width="7.85546875" style="70" bestFit="1" customWidth="1"/>
    <col min="4871" max="4871" width="18.85546875" style="70" customWidth="1"/>
    <col min="4872" max="4872" width="7.85546875" style="70" bestFit="1" customWidth="1"/>
    <col min="4873" max="4873" width="13.85546875" style="70" bestFit="1" customWidth="1"/>
    <col min="4874" max="4874" width="7.85546875" style="70" bestFit="1" customWidth="1"/>
    <col min="4875" max="4875" width="13.85546875" style="70" bestFit="1" customWidth="1"/>
    <col min="4876" max="4876" width="24.28515625" style="70" customWidth="1"/>
    <col min="4877" max="4877" width="24.7109375" style="70" customWidth="1"/>
    <col min="4878" max="4878" width="10.85546875" style="70" customWidth="1"/>
    <col min="4879" max="5120" width="9.140625" style="70"/>
    <col min="5121" max="5121" width="5.5703125" style="70" customWidth="1"/>
    <col min="5122" max="5122" width="41.7109375" style="70" customWidth="1"/>
    <col min="5123" max="5123" width="15.5703125" style="70" customWidth="1"/>
    <col min="5124" max="5124" width="6.42578125" style="70" customWidth="1"/>
    <col min="5125" max="5125" width="10.28515625" style="70" bestFit="1" customWidth="1"/>
    <col min="5126" max="5126" width="7.85546875" style="70" bestFit="1" customWidth="1"/>
    <col min="5127" max="5127" width="18.85546875" style="70" customWidth="1"/>
    <col min="5128" max="5128" width="7.85546875" style="70" bestFit="1" customWidth="1"/>
    <col min="5129" max="5129" width="13.85546875" style="70" bestFit="1" customWidth="1"/>
    <col min="5130" max="5130" width="7.85546875" style="70" bestFit="1" customWidth="1"/>
    <col min="5131" max="5131" width="13.85546875" style="70" bestFit="1" customWidth="1"/>
    <col min="5132" max="5132" width="24.28515625" style="70" customWidth="1"/>
    <col min="5133" max="5133" width="24.7109375" style="70" customWidth="1"/>
    <col min="5134" max="5134" width="10.85546875" style="70" customWidth="1"/>
    <col min="5135" max="5376" width="9.140625" style="70"/>
    <col min="5377" max="5377" width="5.5703125" style="70" customWidth="1"/>
    <col min="5378" max="5378" width="41.7109375" style="70" customWidth="1"/>
    <col min="5379" max="5379" width="15.5703125" style="70" customWidth="1"/>
    <col min="5380" max="5380" width="6.42578125" style="70" customWidth="1"/>
    <col min="5381" max="5381" width="10.28515625" style="70" bestFit="1" customWidth="1"/>
    <col min="5382" max="5382" width="7.85546875" style="70" bestFit="1" customWidth="1"/>
    <col min="5383" max="5383" width="18.85546875" style="70" customWidth="1"/>
    <col min="5384" max="5384" width="7.85546875" style="70" bestFit="1" customWidth="1"/>
    <col min="5385" max="5385" width="13.85546875" style="70" bestFit="1" customWidth="1"/>
    <col min="5386" max="5386" width="7.85546875" style="70" bestFit="1" customWidth="1"/>
    <col min="5387" max="5387" width="13.85546875" style="70" bestFit="1" customWidth="1"/>
    <col min="5388" max="5388" width="24.28515625" style="70" customWidth="1"/>
    <col min="5389" max="5389" width="24.7109375" style="70" customWidth="1"/>
    <col min="5390" max="5390" width="10.85546875" style="70" customWidth="1"/>
    <col min="5391" max="5632" width="9.140625" style="70"/>
    <col min="5633" max="5633" width="5.5703125" style="70" customWidth="1"/>
    <col min="5634" max="5634" width="41.7109375" style="70" customWidth="1"/>
    <col min="5635" max="5635" width="15.5703125" style="70" customWidth="1"/>
    <col min="5636" max="5636" width="6.42578125" style="70" customWidth="1"/>
    <col min="5637" max="5637" width="10.28515625" style="70" bestFit="1" customWidth="1"/>
    <col min="5638" max="5638" width="7.85546875" style="70" bestFit="1" customWidth="1"/>
    <col min="5639" max="5639" width="18.85546875" style="70" customWidth="1"/>
    <col min="5640" max="5640" width="7.85546875" style="70" bestFit="1" customWidth="1"/>
    <col min="5641" max="5641" width="13.85546875" style="70" bestFit="1" customWidth="1"/>
    <col min="5642" max="5642" width="7.85546875" style="70" bestFit="1" customWidth="1"/>
    <col min="5643" max="5643" width="13.85546875" style="70" bestFit="1" customWidth="1"/>
    <col min="5644" max="5644" width="24.28515625" style="70" customWidth="1"/>
    <col min="5645" max="5645" width="24.7109375" style="70" customWidth="1"/>
    <col min="5646" max="5646" width="10.85546875" style="70" customWidth="1"/>
    <col min="5647" max="5888" width="9.140625" style="70"/>
    <col min="5889" max="5889" width="5.5703125" style="70" customWidth="1"/>
    <col min="5890" max="5890" width="41.7109375" style="70" customWidth="1"/>
    <col min="5891" max="5891" width="15.5703125" style="70" customWidth="1"/>
    <col min="5892" max="5892" width="6.42578125" style="70" customWidth="1"/>
    <col min="5893" max="5893" width="10.28515625" style="70" bestFit="1" customWidth="1"/>
    <col min="5894" max="5894" width="7.85546875" style="70" bestFit="1" customWidth="1"/>
    <col min="5895" max="5895" width="18.85546875" style="70" customWidth="1"/>
    <col min="5896" max="5896" width="7.85546875" style="70" bestFit="1" customWidth="1"/>
    <col min="5897" max="5897" width="13.85546875" style="70" bestFit="1" customWidth="1"/>
    <col min="5898" max="5898" width="7.85546875" style="70" bestFit="1" customWidth="1"/>
    <col min="5899" max="5899" width="13.85546875" style="70" bestFit="1" customWidth="1"/>
    <col min="5900" max="5900" width="24.28515625" style="70" customWidth="1"/>
    <col min="5901" max="5901" width="24.7109375" style="70" customWidth="1"/>
    <col min="5902" max="5902" width="10.85546875" style="70" customWidth="1"/>
    <col min="5903" max="6144" width="9.140625" style="70"/>
    <col min="6145" max="6145" width="5.5703125" style="70" customWidth="1"/>
    <col min="6146" max="6146" width="41.7109375" style="70" customWidth="1"/>
    <col min="6147" max="6147" width="15.5703125" style="70" customWidth="1"/>
    <col min="6148" max="6148" width="6.42578125" style="70" customWidth="1"/>
    <col min="6149" max="6149" width="10.28515625" style="70" bestFit="1" customWidth="1"/>
    <col min="6150" max="6150" width="7.85546875" style="70" bestFit="1" customWidth="1"/>
    <col min="6151" max="6151" width="18.85546875" style="70" customWidth="1"/>
    <col min="6152" max="6152" width="7.85546875" style="70" bestFit="1" customWidth="1"/>
    <col min="6153" max="6153" width="13.85546875" style="70" bestFit="1" customWidth="1"/>
    <col min="6154" max="6154" width="7.85546875" style="70" bestFit="1" customWidth="1"/>
    <col min="6155" max="6155" width="13.85546875" style="70" bestFit="1" customWidth="1"/>
    <col min="6156" max="6156" width="24.28515625" style="70" customWidth="1"/>
    <col min="6157" max="6157" width="24.7109375" style="70" customWidth="1"/>
    <col min="6158" max="6158" width="10.85546875" style="70" customWidth="1"/>
    <col min="6159" max="6400" width="9.140625" style="70"/>
    <col min="6401" max="6401" width="5.5703125" style="70" customWidth="1"/>
    <col min="6402" max="6402" width="41.7109375" style="70" customWidth="1"/>
    <col min="6403" max="6403" width="15.5703125" style="70" customWidth="1"/>
    <col min="6404" max="6404" width="6.42578125" style="70" customWidth="1"/>
    <col min="6405" max="6405" width="10.28515625" style="70" bestFit="1" customWidth="1"/>
    <col min="6406" max="6406" width="7.85546875" style="70" bestFit="1" customWidth="1"/>
    <col min="6407" max="6407" width="18.85546875" style="70" customWidth="1"/>
    <col min="6408" max="6408" width="7.85546875" style="70" bestFit="1" customWidth="1"/>
    <col min="6409" max="6409" width="13.85546875" style="70" bestFit="1" customWidth="1"/>
    <col min="6410" max="6410" width="7.85546875" style="70" bestFit="1" customWidth="1"/>
    <col min="6411" max="6411" width="13.85546875" style="70" bestFit="1" customWidth="1"/>
    <col min="6412" max="6412" width="24.28515625" style="70" customWidth="1"/>
    <col min="6413" max="6413" width="24.7109375" style="70" customWidth="1"/>
    <col min="6414" max="6414" width="10.85546875" style="70" customWidth="1"/>
    <col min="6415" max="6656" width="9.140625" style="70"/>
    <col min="6657" max="6657" width="5.5703125" style="70" customWidth="1"/>
    <col min="6658" max="6658" width="41.7109375" style="70" customWidth="1"/>
    <col min="6659" max="6659" width="15.5703125" style="70" customWidth="1"/>
    <col min="6660" max="6660" width="6.42578125" style="70" customWidth="1"/>
    <col min="6661" max="6661" width="10.28515625" style="70" bestFit="1" customWidth="1"/>
    <col min="6662" max="6662" width="7.85546875" style="70" bestFit="1" customWidth="1"/>
    <col min="6663" max="6663" width="18.85546875" style="70" customWidth="1"/>
    <col min="6664" max="6664" width="7.85546875" style="70" bestFit="1" customWidth="1"/>
    <col min="6665" max="6665" width="13.85546875" style="70" bestFit="1" customWidth="1"/>
    <col min="6666" max="6666" width="7.85546875" style="70" bestFit="1" customWidth="1"/>
    <col min="6667" max="6667" width="13.85546875" style="70" bestFit="1" customWidth="1"/>
    <col min="6668" max="6668" width="24.28515625" style="70" customWidth="1"/>
    <col min="6669" max="6669" width="24.7109375" style="70" customWidth="1"/>
    <col min="6670" max="6670" width="10.85546875" style="70" customWidth="1"/>
    <col min="6671" max="6912" width="9.140625" style="70"/>
    <col min="6913" max="6913" width="5.5703125" style="70" customWidth="1"/>
    <col min="6914" max="6914" width="41.7109375" style="70" customWidth="1"/>
    <col min="6915" max="6915" width="15.5703125" style="70" customWidth="1"/>
    <col min="6916" max="6916" width="6.42578125" style="70" customWidth="1"/>
    <col min="6917" max="6917" width="10.28515625" style="70" bestFit="1" customWidth="1"/>
    <col min="6918" max="6918" width="7.85546875" style="70" bestFit="1" customWidth="1"/>
    <col min="6919" max="6919" width="18.85546875" style="70" customWidth="1"/>
    <col min="6920" max="6920" width="7.85546875" style="70" bestFit="1" customWidth="1"/>
    <col min="6921" max="6921" width="13.85546875" style="70" bestFit="1" customWidth="1"/>
    <col min="6922" max="6922" width="7.85546875" style="70" bestFit="1" customWidth="1"/>
    <col min="6923" max="6923" width="13.85546875" style="70" bestFit="1" customWidth="1"/>
    <col min="6924" max="6924" width="24.28515625" style="70" customWidth="1"/>
    <col min="6925" max="6925" width="24.7109375" style="70" customWidth="1"/>
    <col min="6926" max="6926" width="10.85546875" style="70" customWidth="1"/>
    <col min="6927" max="7168" width="9.140625" style="70"/>
    <col min="7169" max="7169" width="5.5703125" style="70" customWidth="1"/>
    <col min="7170" max="7170" width="41.7109375" style="70" customWidth="1"/>
    <col min="7171" max="7171" width="15.5703125" style="70" customWidth="1"/>
    <col min="7172" max="7172" width="6.42578125" style="70" customWidth="1"/>
    <col min="7173" max="7173" width="10.28515625" style="70" bestFit="1" customWidth="1"/>
    <col min="7174" max="7174" width="7.85546875" style="70" bestFit="1" customWidth="1"/>
    <col min="7175" max="7175" width="18.85546875" style="70" customWidth="1"/>
    <col min="7176" max="7176" width="7.85546875" style="70" bestFit="1" customWidth="1"/>
    <col min="7177" max="7177" width="13.85546875" style="70" bestFit="1" customWidth="1"/>
    <col min="7178" max="7178" width="7.85546875" style="70" bestFit="1" customWidth="1"/>
    <col min="7179" max="7179" width="13.85546875" style="70" bestFit="1" customWidth="1"/>
    <col min="7180" max="7180" width="24.28515625" style="70" customWidth="1"/>
    <col min="7181" max="7181" width="24.7109375" style="70" customWidth="1"/>
    <col min="7182" max="7182" width="10.85546875" style="70" customWidth="1"/>
    <col min="7183" max="7424" width="9.140625" style="70"/>
    <col min="7425" max="7425" width="5.5703125" style="70" customWidth="1"/>
    <col min="7426" max="7426" width="41.7109375" style="70" customWidth="1"/>
    <col min="7427" max="7427" width="15.5703125" style="70" customWidth="1"/>
    <col min="7428" max="7428" width="6.42578125" style="70" customWidth="1"/>
    <col min="7429" max="7429" width="10.28515625" style="70" bestFit="1" customWidth="1"/>
    <col min="7430" max="7430" width="7.85546875" style="70" bestFit="1" customWidth="1"/>
    <col min="7431" max="7431" width="18.85546875" style="70" customWidth="1"/>
    <col min="7432" max="7432" width="7.85546875" style="70" bestFit="1" customWidth="1"/>
    <col min="7433" max="7433" width="13.85546875" style="70" bestFit="1" customWidth="1"/>
    <col min="7434" max="7434" width="7.85546875" style="70" bestFit="1" customWidth="1"/>
    <col min="7435" max="7435" width="13.85546875" style="70" bestFit="1" customWidth="1"/>
    <col min="7436" max="7436" width="24.28515625" style="70" customWidth="1"/>
    <col min="7437" max="7437" width="24.7109375" style="70" customWidth="1"/>
    <col min="7438" max="7438" width="10.85546875" style="70" customWidth="1"/>
    <col min="7439" max="7680" width="9.140625" style="70"/>
    <col min="7681" max="7681" width="5.5703125" style="70" customWidth="1"/>
    <col min="7682" max="7682" width="41.7109375" style="70" customWidth="1"/>
    <col min="7683" max="7683" width="15.5703125" style="70" customWidth="1"/>
    <col min="7684" max="7684" width="6.42578125" style="70" customWidth="1"/>
    <col min="7685" max="7685" width="10.28515625" style="70" bestFit="1" customWidth="1"/>
    <col min="7686" max="7686" width="7.85546875" style="70" bestFit="1" customWidth="1"/>
    <col min="7687" max="7687" width="18.85546875" style="70" customWidth="1"/>
    <col min="7688" max="7688" width="7.85546875" style="70" bestFit="1" customWidth="1"/>
    <col min="7689" max="7689" width="13.85546875" style="70" bestFit="1" customWidth="1"/>
    <col min="7690" max="7690" width="7.85546875" style="70" bestFit="1" customWidth="1"/>
    <col min="7691" max="7691" width="13.85546875" style="70" bestFit="1" customWidth="1"/>
    <col min="7692" max="7692" width="24.28515625" style="70" customWidth="1"/>
    <col min="7693" max="7693" width="24.7109375" style="70" customWidth="1"/>
    <col min="7694" max="7694" width="10.85546875" style="70" customWidth="1"/>
    <col min="7695" max="7936" width="9.140625" style="70"/>
    <col min="7937" max="7937" width="5.5703125" style="70" customWidth="1"/>
    <col min="7938" max="7938" width="41.7109375" style="70" customWidth="1"/>
    <col min="7939" max="7939" width="15.5703125" style="70" customWidth="1"/>
    <col min="7940" max="7940" width="6.42578125" style="70" customWidth="1"/>
    <col min="7941" max="7941" width="10.28515625" style="70" bestFit="1" customWidth="1"/>
    <col min="7942" max="7942" width="7.85546875" style="70" bestFit="1" customWidth="1"/>
    <col min="7943" max="7943" width="18.85546875" style="70" customWidth="1"/>
    <col min="7944" max="7944" width="7.85546875" style="70" bestFit="1" customWidth="1"/>
    <col min="7945" max="7945" width="13.85546875" style="70" bestFit="1" customWidth="1"/>
    <col min="7946" max="7946" width="7.85546875" style="70" bestFit="1" customWidth="1"/>
    <col min="7947" max="7947" width="13.85546875" style="70" bestFit="1" customWidth="1"/>
    <col min="7948" max="7948" width="24.28515625" style="70" customWidth="1"/>
    <col min="7949" max="7949" width="24.7109375" style="70" customWidth="1"/>
    <col min="7950" max="7950" width="10.85546875" style="70" customWidth="1"/>
    <col min="7951" max="8192" width="9.140625" style="70"/>
    <col min="8193" max="8193" width="5.5703125" style="70" customWidth="1"/>
    <col min="8194" max="8194" width="41.7109375" style="70" customWidth="1"/>
    <col min="8195" max="8195" width="15.5703125" style="70" customWidth="1"/>
    <col min="8196" max="8196" width="6.42578125" style="70" customWidth="1"/>
    <col min="8197" max="8197" width="10.28515625" style="70" bestFit="1" customWidth="1"/>
    <col min="8198" max="8198" width="7.85546875" style="70" bestFit="1" customWidth="1"/>
    <col min="8199" max="8199" width="18.85546875" style="70" customWidth="1"/>
    <col min="8200" max="8200" width="7.85546875" style="70" bestFit="1" customWidth="1"/>
    <col min="8201" max="8201" width="13.85546875" style="70" bestFit="1" customWidth="1"/>
    <col min="8202" max="8202" width="7.85546875" style="70" bestFit="1" customWidth="1"/>
    <col min="8203" max="8203" width="13.85546875" style="70" bestFit="1" customWidth="1"/>
    <col min="8204" max="8204" width="24.28515625" style="70" customWidth="1"/>
    <col min="8205" max="8205" width="24.7109375" style="70" customWidth="1"/>
    <col min="8206" max="8206" width="10.85546875" style="70" customWidth="1"/>
    <col min="8207" max="8448" width="9.140625" style="70"/>
    <col min="8449" max="8449" width="5.5703125" style="70" customWidth="1"/>
    <col min="8450" max="8450" width="41.7109375" style="70" customWidth="1"/>
    <col min="8451" max="8451" width="15.5703125" style="70" customWidth="1"/>
    <col min="8452" max="8452" width="6.42578125" style="70" customWidth="1"/>
    <col min="8453" max="8453" width="10.28515625" style="70" bestFit="1" customWidth="1"/>
    <col min="8454" max="8454" width="7.85546875" style="70" bestFit="1" customWidth="1"/>
    <col min="8455" max="8455" width="18.85546875" style="70" customWidth="1"/>
    <col min="8456" max="8456" width="7.85546875" style="70" bestFit="1" customWidth="1"/>
    <col min="8457" max="8457" width="13.85546875" style="70" bestFit="1" customWidth="1"/>
    <col min="8458" max="8458" width="7.85546875" style="70" bestFit="1" customWidth="1"/>
    <col min="8459" max="8459" width="13.85546875" style="70" bestFit="1" customWidth="1"/>
    <col min="8460" max="8460" width="24.28515625" style="70" customWidth="1"/>
    <col min="8461" max="8461" width="24.7109375" style="70" customWidth="1"/>
    <col min="8462" max="8462" width="10.85546875" style="70" customWidth="1"/>
    <col min="8463" max="8704" width="9.140625" style="70"/>
    <col min="8705" max="8705" width="5.5703125" style="70" customWidth="1"/>
    <col min="8706" max="8706" width="41.7109375" style="70" customWidth="1"/>
    <col min="8707" max="8707" width="15.5703125" style="70" customWidth="1"/>
    <col min="8708" max="8708" width="6.42578125" style="70" customWidth="1"/>
    <col min="8709" max="8709" width="10.28515625" style="70" bestFit="1" customWidth="1"/>
    <col min="8710" max="8710" width="7.85546875" style="70" bestFit="1" customWidth="1"/>
    <col min="8711" max="8711" width="18.85546875" style="70" customWidth="1"/>
    <col min="8712" max="8712" width="7.85546875" style="70" bestFit="1" customWidth="1"/>
    <col min="8713" max="8713" width="13.85546875" style="70" bestFit="1" customWidth="1"/>
    <col min="8714" max="8714" width="7.85546875" style="70" bestFit="1" customWidth="1"/>
    <col min="8715" max="8715" width="13.85546875" style="70" bestFit="1" customWidth="1"/>
    <col min="8716" max="8716" width="24.28515625" style="70" customWidth="1"/>
    <col min="8717" max="8717" width="24.7109375" style="70" customWidth="1"/>
    <col min="8718" max="8718" width="10.85546875" style="70" customWidth="1"/>
    <col min="8719" max="8960" width="9.140625" style="70"/>
    <col min="8961" max="8961" width="5.5703125" style="70" customWidth="1"/>
    <col min="8962" max="8962" width="41.7109375" style="70" customWidth="1"/>
    <col min="8963" max="8963" width="15.5703125" style="70" customWidth="1"/>
    <col min="8964" max="8964" width="6.42578125" style="70" customWidth="1"/>
    <col min="8965" max="8965" width="10.28515625" style="70" bestFit="1" customWidth="1"/>
    <col min="8966" max="8966" width="7.85546875" style="70" bestFit="1" customWidth="1"/>
    <col min="8967" max="8967" width="18.85546875" style="70" customWidth="1"/>
    <col min="8968" max="8968" width="7.85546875" style="70" bestFit="1" customWidth="1"/>
    <col min="8969" max="8969" width="13.85546875" style="70" bestFit="1" customWidth="1"/>
    <col min="8970" max="8970" width="7.85546875" style="70" bestFit="1" customWidth="1"/>
    <col min="8971" max="8971" width="13.85546875" style="70" bestFit="1" customWidth="1"/>
    <col min="8972" max="8972" width="24.28515625" style="70" customWidth="1"/>
    <col min="8973" max="8973" width="24.7109375" style="70" customWidth="1"/>
    <col min="8974" max="8974" width="10.85546875" style="70" customWidth="1"/>
    <col min="8975" max="9216" width="9.140625" style="70"/>
    <col min="9217" max="9217" width="5.5703125" style="70" customWidth="1"/>
    <col min="9218" max="9218" width="41.7109375" style="70" customWidth="1"/>
    <col min="9219" max="9219" width="15.5703125" style="70" customWidth="1"/>
    <col min="9220" max="9220" width="6.42578125" style="70" customWidth="1"/>
    <col min="9221" max="9221" width="10.28515625" style="70" bestFit="1" customWidth="1"/>
    <col min="9222" max="9222" width="7.85546875" style="70" bestFit="1" customWidth="1"/>
    <col min="9223" max="9223" width="18.85546875" style="70" customWidth="1"/>
    <col min="9224" max="9224" width="7.85546875" style="70" bestFit="1" customWidth="1"/>
    <col min="9225" max="9225" width="13.85546875" style="70" bestFit="1" customWidth="1"/>
    <col min="9226" max="9226" width="7.85546875" style="70" bestFit="1" customWidth="1"/>
    <col min="9227" max="9227" width="13.85546875" style="70" bestFit="1" customWidth="1"/>
    <col min="9228" max="9228" width="24.28515625" style="70" customWidth="1"/>
    <col min="9229" max="9229" width="24.7109375" style="70" customWidth="1"/>
    <col min="9230" max="9230" width="10.85546875" style="70" customWidth="1"/>
    <col min="9231" max="9472" width="9.140625" style="70"/>
    <col min="9473" max="9473" width="5.5703125" style="70" customWidth="1"/>
    <col min="9474" max="9474" width="41.7109375" style="70" customWidth="1"/>
    <col min="9475" max="9475" width="15.5703125" style="70" customWidth="1"/>
    <col min="9476" max="9476" width="6.42578125" style="70" customWidth="1"/>
    <col min="9477" max="9477" width="10.28515625" style="70" bestFit="1" customWidth="1"/>
    <col min="9478" max="9478" width="7.85546875" style="70" bestFit="1" customWidth="1"/>
    <col min="9479" max="9479" width="18.85546875" style="70" customWidth="1"/>
    <col min="9480" max="9480" width="7.85546875" style="70" bestFit="1" customWidth="1"/>
    <col min="9481" max="9481" width="13.85546875" style="70" bestFit="1" customWidth="1"/>
    <col min="9482" max="9482" width="7.85546875" style="70" bestFit="1" customWidth="1"/>
    <col min="9483" max="9483" width="13.85546875" style="70" bestFit="1" customWidth="1"/>
    <col min="9484" max="9484" width="24.28515625" style="70" customWidth="1"/>
    <col min="9485" max="9485" width="24.7109375" style="70" customWidth="1"/>
    <col min="9486" max="9486" width="10.85546875" style="70" customWidth="1"/>
    <col min="9487" max="9728" width="9.140625" style="70"/>
    <col min="9729" max="9729" width="5.5703125" style="70" customWidth="1"/>
    <col min="9730" max="9730" width="41.7109375" style="70" customWidth="1"/>
    <col min="9731" max="9731" width="15.5703125" style="70" customWidth="1"/>
    <col min="9732" max="9732" width="6.42578125" style="70" customWidth="1"/>
    <col min="9733" max="9733" width="10.28515625" style="70" bestFit="1" customWidth="1"/>
    <col min="9734" max="9734" width="7.85546875" style="70" bestFit="1" customWidth="1"/>
    <col min="9735" max="9735" width="18.85546875" style="70" customWidth="1"/>
    <col min="9736" max="9736" width="7.85546875" style="70" bestFit="1" customWidth="1"/>
    <col min="9737" max="9737" width="13.85546875" style="70" bestFit="1" customWidth="1"/>
    <col min="9738" max="9738" width="7.85546875" style="70" bestFit="1" customWidth="1"/>
    <col min="9739" max="9739" width="13.85546875" style="70" bestFit="1" customWidth="1"/>
    <col min="9740" max="9740" width="24.28515625" style="70" customWidth="1"/>
    <col min="9741" max="9741" width="24.7109375" style="70" customWidth="1"/>
    <col min="9742" max="9742" width="10.85546875" style="70" customWidth="1"/>
    <col min="9743" max="9984" width="9.140625" style="70"/>
    <col min="9985" max="9985" width="5.5703125" style="70" customWidth="1"/>
    <col min="9986" max="9986" width="41.7109375" style="70" customWidth="1"/>
    <col min="9987" max="9987" width="15.5703125" style="70" customWidth="1"/>
    <col min="9988" max="9988" width="6.42578125" style="70" customWidth="1"/>
    <col min="9989" max="9989" width="10.28515625" style="70" bestFit="1" customWidth="1"/>
    <col min="9990" max="9990" width="7.85546875" style="70" bestFit="1" customWidth="1"/>
    <col min="9991" max="9991" width="18.85546875" style="70" customWidth="1"/>
    <col min="9992" max="9992" width="7.85546875" style="70" bestFit="1" customWidth="1"/>
    <col min="9993" max="9993" width="13.85546875" style="70" bestFit="1" customWidth="1"/>
    <col min="9994" max="9994" width="7.85546875" style="70" bestFit="1" customWidth="1"/>
    <col min="9995" max="9995" width="13.85546875" style="70" bestFit="1" customWidth="1"/>
    <col min="9996" max="9996" width="24.28515625" style="70" customWidth="1"/>
    <col min="9997" max="9997" width="24.7109375" style="70" customWidth="1"/>
    <col min="9998" max="9998" width="10.85546875" style="70" customWidth="1"/>
    <col min="9999" max="10240" width="9.140625" style="70"/>
    <col min="10241" max="10241" width="5.5703125" style="70" customWidth="1"/>
    <col min="10242" max="10242" width="41.7109375" style="70" customWidth="1"/>
    <col min="10243" max="10243" width="15.5703125" style="70" customWidth="1"/>
    <col min="10244" max="10244" width="6.42578125" style="70" customWidth="1"/>
    <col min="10245" max="10245" width="10.28515625" style="70" bestFit="1" customWidth="1"/>
    <col min="10246" max="10246" width="7.85546875" style="70" bestFit="1" customWidth="1"/>
    <col min="10247" max="10247" width="18.85546875" style="70" customWidth="1"/>
    <col min="10248" max="10248" width="7.85546875" style="70" bestFit="1" customWidth="1"/>
    <col min="10249" max="10249" width="13.85546875" style="70" bestFit="1" customWidth="1"/>
    <col min="10250" max="10250" width="7.85546875" style="70" bestFit="1" customWidth="1"/>
    <col min="10251" max="10251" width="13.85546875" style="70" bestFit="1" customWidth="1"/>
    <col min="10252" max="10252" width="24.28515625" style="70" customWidth="1"/>
    <col min="10253" max="10253" width="24.7109375" style="70" customWidth="1"/>
    <col min="10254" max="10254" width="10.85546875" style="70" customWidth="1"/>
    <col min="10255" max="10496" width="9.140625" style="70"/>
    <col min="10497" max="10497" width="5.5703125" style="70" customWidth="1"/>
    <col min="10498" max="10498" width="41.7109375" style="70" customWidth="1"/>
    <col min="10499" max="10499" width="15.5703125" style="70" customWidth="1"/>
    <col min="10500" max="10500" width="6.42578125" style="70" customWidth="1"/>
    <col min="10501" max="10501" width="10.28515625" style="70" bestFit="1" customWidth="1"/>
    <col min="10502" max="10502" width="7.85546875" style="70" bestFit="1" customWidth="1"/>
    <col min="10503" max="10503" width="18.85546875" style="70" customWidth="1"/>
    <col min="10504" max="10504" width="7.85546875" style="70" bestFit="1" customWidth="1"/>
    <col min="10505" max="10505" width="13.85546875" style="70" bestFit="1" customWidth="1"/>
    <col min="10506" max="10506" width="7.85546875" style="70" bestFit="1" customWidth="1"/>
    <col min="10507" max="10507" width="13.85546875" style="70" bestFit="1" customWidth="1"/>
    <col min="10508" max="10508" width="24.28515625" style="70" customWidth="1"/>
    <col min="10509" max="10509" width="24.7109375" style="70" customWidth="1"/>
    <col min="10510" max="10510" width="10.85546875" style="70" customWidth="1"/>
    <col min="10511" max="10752" width="9.140625" style="70"/>
    <col min="10753" max="10753" width="5.5703125" style="70" customWidth="1"/>
    <col min="10754" max="10754" width="41.7109375" style="70" customWidth="1"/>
    <col min="10755" max="10755" width="15.5703125" style="70" customWidth="1"/>
    <col min="10756" max="10756" width="6.42578125" style="70" customWidth="1"/>
    <col min="10757" max="10757" width="10.28515625" style="70" bestFit="1" customWidth="1"/>
    <col min="10758" max="10758" width="7.85546875" style="70" bestFit="1" customWidth="1"/>
    <col min="10759" max="10759" width="18.85546875" style="70" customWidth="1"/>
    <col min="10760" max="10760" width="7.85546875" style="70" bestFit="1" customWidth="1"/>
    <col min="10761" max="10761" width="13.85546875" style="70" bestFit="1" customWidth="1"/>
    <col min="10762" max="10762" width="7.85546875" style="70" bestFit="1" customWidth="1"/>
    <col min="10763" max="10763" width="13.85546875" style="70" bestFit="1" customWidth="1"/>
    <col min="10764" max="10764" width="24.28515625" style="70" customWidth="1"/>
    <col min="10765" max="10765" width="24.7109375" style="70" customWidth="1"/>
    <col min="10766" max="10766" width="10.85546875" style="70" customWidth="1"/>
    <col min="10767" max="11008" width="9.140625" style="70"/>
    <col min="11009" max="11009" width="5.5703125" style="70" customWidth="1"/>
    <col min="11010" max="11010" width="41.7109375" style="70" customWidth="1"/>
    <col min="11011" max="11011" width="15.5703125" style="70" customWidth="1"/>
    <col min="11012" max="11012" width="6.42578125" style="70" customWidth="1"/>
    <col min="11013" max="11013" width="10.28515625" style="70" bestFit="1" customWidth="1"/>
    <col min="11014" max="11014" width="7.85546875" style="70" bestFit="1" customWidth="1"/>
    <col min="11015" max="11015" width="18.85546875" style="70" customWidth="1"/>
    <col min="11016" max="11016" width="7.85546875" style="70" bestFit="1" customWidth="1"/>
    <col min="11017" max="11017" width="13.85546875" style="70" bestFit="1" customWidth="1"/>
    <col min="11018" max="11018" width="7.85546875" style="70" bestFit="1" customWidth="1"/>
    <col min="11019" max="11019" width="13.85546875" style="70" bestFit="1" customWidth="1"/>
    <col min="11020" max="11020" width="24.28515625" style="70" customWidth="1"/>
    <col min="11021" max="11021" width="24.7109375" style="70" customWidth="1"/>
    <col min="11022" max="11022" width="10.85546875" style="70" customWidth="1"/>
    <col min="11023" max="11264" width="9.140625" style="70"/>
    <col min="11265" max="11265" width="5.5703125" style="70" customWidth="1"/>
    <col min="11266" max="11266" width="41.7109375" style="70" customWidth="1"/>
    <col min="11267" max="11267" width="15.5703125" style="70" customWidth="1"/>
    <col min="11268" max="11268" width="6.42578125" style="70" customWidth="1"/>
    <col min="11269" max="11269" width="10.28515625" style="70" bestFit="1" customWidth="1"/>
    <col min="11270" max="11270" width="7.85546875" style="70" bestFit="1" customWidth="1"/>
    <col min="11271" max="11271" width="18.85546875" style="70" customWidth="1"/>
    <col min="11272" max="11272" width="7.85546875" style="70" bestFit="1" customWidth="1"/>
    <col min="11273" max="11273" width="13.85546875" style="70" bestFit="1" customWidth="1"/>
    <col min="11274" max="11274" width="7.85546875" style="70" bestFit="1" customWidth="1"/>
    <col min="11275" max="11275" width="13.85546875" style="70" bestFit="1" customWidth="1"/>
    <col min="11276" max="11276" width="24.28515625" style="70" customWidth="1"/>
    <col min="11277" max="11277" width="24.7109375" style="70" customWidth="1"/>
    <col min="11278" max="11278" width="10.85546875" style="70" customWidth="1"/>
    <col min="11279" max="11520" width="9.140625" style="70"/>
    <col min="11521" max="11521" width="5.5703125" style="70" customWidth="1"/>
    <col min="11522" max="11522" width="41.7109375" style="70" customWidth="1"/>
    <col min="11523" max="11523" width="15.5703125" style="70" customWidth="1"/>
    <col min="11524" max="11524" width="6.42578125" style="70" customWidth="1"/>
    <col min="11525" max="11525" width="10.28515625" style="70" bestFit="1" customWidth="1"/>
    <col min="11526" max="11526" width="7.85546875" style="70" bestFit="1" customWidth="1"/>
    <col min="11527" max="11527" width="18.85546875" style="70" customWidth="1"/>
    <col min="11528" max="11528" width="7.85546875" style="70" bestFit="1" customWidth="1"/>
    <col min="11529" max="11529" width="13.85546875" style="70" bestFit="1" customWidth="1"/>
    <col min="11530" max="11530" width="7.85546875" style="70" bestFit="1" customWidth="1"/>
    <col min="11531" max="11531" width="13.85546875" style="70" bestFit="1" customWidth="1"/>
    <col min="11532" max="11532" width="24.28515625" style="70" customWidth="1"/>
    <col min="11533" max="11533" width="24.7109375" style="70" customWidth="1"/>
    <col min="11534" max="11534" width="10.85546875" style="70" customWidth="1"/>
    <col min="11535" max="11776" width="9.140625" style="70"/>
    <col min="11777" max="11777" width="5.5703125" style="70" customWidth="1"/>
    <col min="11778" max="11778" width="41.7109375" style="70" customWidth="1"/>
    <col min="11779" max="11779" width="15.5703125" style="70" customWidth="1"/>
    <col min="11780" max="11780" width="6.42578125" style="70" customWidth="1"/>
    <col min="11781" max="11781" width="10.28515625" style="70" bestFit="1" customWidth="1"/>
    <col min="11782" max="11782" width="7.85546875" style="70" bestFit="1" customWidth="1"/>
    <col min="11783" max="11783" width="18.85546875" style="70" customWidth="1"/>
    <col min="11784" max="11784" width="7.85546875" style="70" bestFit="1" customWidth="1"/>
    <col min="11785" max="11785" width="13.85546875" style="70" bestFit="1" customWidth="1"/>
    <col min="11786" max="11786" width="7.85546875" style="70" bestFit="1" customWidth="1"/>
    <col min="11787" max="11787" width="13.85546875" style="70" bestFit="1" customWidth="1"/>
    <col min="11788" max="11788" width="24.28515625" style="70" customWidth="1"/>
    <col min="11789" max="11789" width="24.7109375" style="70" customWidth="1"/>
    <col min="11790" max="11790" width="10.85546875" style="70" customWidth="1"/>
    <col min="11791" max="12032" width="9.140625" style="70"/>
    <col min="12033" max="12033" width="5.5703125" style="70" customWidth="1"/>
    <col min="12034" max="12034" width="41.7109375" style="70" customWidth="1"/>
    <col min="12035" max="12035" width="15.5703125" style="70" customWidth="1"/>
    <col min="12036" max="12036" width="6.42578125" style="70" customWidth="1"/>
    <col min="12037" max="12037" width="10.28515625" style="70" bestFit="1" customWidth="1"/>
    <col min="12038" max="12038" width="7.85546875" style="70" bestFit="1" customWidth="1"/>
    <col min="12039" max="12039" width="18.85546875" style="70" customWidth="1"/>
    <col min="12040" max="12040" width="7.85546875" style="70" bestFit="1" customWidth="1"/>
    <col min="12041" max="12041" width="13.85546875" style="70" bestFit="1" customWidth="1"/>
    <col min="12042" max="12042" width="7.85546875" style="70" bestFit="1" customWidth="1"/>
    <col min="12043" max="12043" width="13.85546875" style="70" bestFit="1" customWidth="1"/>
    <col min="12044" max="12044" width="24.28515625" style="70" customWidth="1"/>
    <col min="12045" max="12045" width="24.7109375" style="70" customWidth="1"/>
    <col min="12046" max="12046" width="10.85546875" style="70" customWidth="1"/>
    <col min="12047" max="12288" width="9.140625" style="70"/>
    <col min="12289" max="12289" width="5.5703125" style="70" customWidth="1"/>
    <col min="12290" max="12290" width="41.7109375" style="70" customWidth="1"/>
    <col min="12291" max="12291" width="15.5703125" style="70" customWidth="1"/>
    <col min="12292" max="12292" width="6.42578125" style="70" customWidth="1"/>
    <col min="12293" max="12293" width="10.28515625" style="70" bestFit="1" customWidth="1"/>
    <col min="12294" max="12294" width="7.85546875" style="70" bestFit="1" customWidth="1"/>
    <col min="12295" max="12295" width="18.85546875" style="70" customWidth="1"/>
    <col min="12296" max="12296" width="7.85546875" style="70" bestFit="1" customWidth="1"/>
    <col min="12297" max="12297" width="13.85546875" style="70" bestFit="1" customWidth="1"/>
    <col min="12298" max="12298" width="7.85546875" style="70" bestFit="1" customWidth="1"/>
    <col min="12299" max="12299" width="13.85546875" style="70" bestFit="1" customWidth="1"/>
    <col min="12300" max="12300" width="24.28515625" style="70" customWidth="1"/>
    <col min="12301" max="12301" width="24.7109375" style="70" customWidth="1"/>
    <col min="12302" max="12302" width="10.85546875" style="70" customWidth="1"/>
    <col min="12303" max="12544" width="9.140625" style="70"/>
    <col min="12545" max="12545" width="5.5703125" style="70" customWidth="1"/>
    <col min="12546" max="12546" width="41.7109375" style="70" customWidth="1"/>
    <col min="12547" max="12547" width="15.5703125" style="70" customWidth="1"/>
    <col min="12548" max="12548" width="6.42578125" style="70" customWidth="1"/>
    <col min="12549" max="12549" width="10.28515625" style="70" bestFit="1" customWidth="1"/>
    <col min="12550" max="12550" width="7.85546875" style="70" bestFit="1" customWidth="1"/>
    <col min="12551" max="12551" width="18.85546875" style="70" customWidth="1"/>
    <col min="12552" max="12552" width="7.85546875" style="70" bestFit="1" customWidth="1"/>
    <col min="12553" max="12553" width="13.85546875" style="70" bestFit="1" customWidth="1"/>
    <col min="12554" max="12554" width="7.85546875" style="70" bestFit="1" customWidth="1"/>
    <col min="12555" max="12555" width="13.85546875" style="70" bestFit="1" customWidth="1"/>
    <col min="12556" max="12556" width="24.28515625" style="70" customWidth="1"/>
    <col min="12557" max="12557" width="24.7109375" style="70" customWidth="1"/>
    <col min="12558" max="12558" width="10.85546875" style="70" customWidth="1"/>
    <col min="12559" max="12800" width="9.140625" style="70"/>
    <col min="12801" max="12801" width="5.5703125" style="70" customWidth="1"/>
    <col min="12802" max="12802" width="41.7109375" style="70" customWidth="1"/>
    <col min="12803" max="12803" width="15.5703125" style="70" customWidth="1"/>
    <col min="12804" max="12804" width="6.42578125" style="70" customWidth="1"/>
    <col min="12805" max="12805" width="10.28515625" style="70" bestFit="1" customWidth="1"/>
    <col min="12806" max="12806" width="7.85546875" style="70" bestFit="1" customWidth="1"/>
    <col min="12807" max="12807" width="18.85546875" style="70" customWidth="1"/>
    <col min="12808" max="12808" width="7.85546875" style="70" bestFit="1" customWidth="1"/>
    <col min="12809" max="12809" width="13.85546875" style="70" bestFit="1" customWidth="1"/>
    <col min="12810" max="12810" width="7.85546875" style="70" bestFit="1" customWidth="1"/>
    <col min="12811" max="12811" width="13.85546875" style="70" bestFit="1" customWidth="1"/>
    <col min="12812" max="12812" width="24.28515625" style="70" customWidth="1"/>
    <col min="12813" max="12813" width="24.7109375" style="70" customWidth="1"/>
    <col min="12814" max="12814" width="10.85546875" style="70" customWidth="1"/>
    <col min="12815" max="13056" width="9.140625" style="70"/>
    <col min="13057" max="13057" width="5.5703125" style="70" customWidth="1"/>
    <col min="13058" max="13058" width="41.7109375" style="70" customWidth="1"/>
    <col min="13059" max="13059" width="15.5703125" style="70" customWidth="1"/>
    <col min="13060" max="13060" width="6.42578125" style="70" customWidth="1"/>
    <col min="13061" max="13061" width="10.28515625" style="70" bestFit="1" customWidth="1"/>
    <col min="13062" max="13062" width="7.85546875" style="70" bestFit="1" customWidth="1"/>
    <col min="13063" max="13063" width="18.85546875" style="70" customWidth="1"/>
    <col min="13064" max="13064" width="7.85546875" style="70" bestFit="1" customWidth="1"/>
    <col min="13065" max="13065" width="13.85546875" style="70" bestFit="1" customWidth="1"/>
    <col min="13066" max="13066" width="7.85546875" style="70" bestFit="1" customWidth="1"/>
    <col min="13067" max="13067" width="13.85546875" style="70" bestFit="1" customWidth="1"/>
    <col min="13068" max="13068" width="24.28515625" style="70" customWidth="1"/>
    <col min="13069" max="13069" width="24.7109375" style="70" customWidth="1"/>
    <col min="13070" max="13070" width="10.85546875" style="70" customWidth="1"/>
    <col min="13071" max="13312" width="9.140625" style="70"/>
    <col min="13313" max="13313" width="5.5703125" style="70" customWidth="1"/>
    <col min="13314" max="13314" width="41.7109375" style="70" customWidth="1"/>
    <col min="13315" max="13315" width="15.5703125" style="70" customWidth="1"/>
    <col min="13316" max="13316" width="6.42578125" style="70" customWidth="1"/>
    <col min="13317" max="13317" width="10.28515625" style="70" bestFit="1" customWidth="1"/>
    <col min="13318" max="13318" width="7.85546875" style="70" bestFit="1" customWidth="1"/>
    <col min="13319" max="13319" width="18.85546875" style="70" customWidth="1"/>
    <col min="13320" max="13320" width="7.85546875" style="70" bestFit="1" customWidth="1"/>
    <col min="13321" max="13321" width="13.85546875" style="70" bestFit="1" customWidth="1"/>
    <col min="13322" max="13322" width="7.85546875" style="70" bestFit="1" customWidth="1"/>
    <col min="13323" max="13323" width="13.85546875" style="70" bestFit="1" customWidth="1"/>
    <col min="13324" max="13324" width="24.28515625" style="70" customWidth="1"/>
    <col min="13325" max="13325" width="24.7109375" style="70" customWidth="1"/>
    <col min="13326" max="13326" width="10.85546875" style="70" customWidth="1"/>
    <col min="13327" max="13568" width="9.140625" style="70"/>
    <col min="13569" max="13569" width="5.5703125" style="70" customWidth="1"/>
    <col min="13570" max="13570" width="41.7109375" style="70" customWidth="1"/>
    <col min="13571" max="13571" width="15.5703125" style="70" customWidth="1"/>
    <col min="13572" max="13572" width="6.42578125" style="70" customWidth="1"/>
    <col min="13573" max="13573" width="10.28515625" style="70" bestFit="1" customWidth="1"/>
    <col min="13574" max="13574" width="7.85546875" style="70" bestFit="1" customWidth="1"/>
    <col min="13575" max="13575" width="18.85546875" style="70" customWidth="1"/>
    <col min="13576" max="13576" width="7.85546875" style="70" bestFit="1" customWidth="1"/>
    <col min="13577" max="13577" width="13.85546875" style="70" bestFit="1" customWidth="1"/>
    <col min="13578" max="13578" width="7.85546875" style="70" bestFit="1" customWidth="1"/>
    <col min="13579" max="13579" width="13.85546875" style="70" bestFit="1" customWidth="1"/>
    <col min="13580" max="13580" width="24.28515625" style="70" customWidth="1"/>
    <col min="13581" max="13581" width="24.7109375" style="70" customWidth="1"/>
    <col min="13582" max="13582" width="10.85546875" style="70" customWidth="1"/>
    <col min="13583" max="13824" width="9.140625" style="70"/>
    <col min="13825" max="13825" width="5.5703125" style="70" customWidth="1"/>
    <col min="13826" max="13826" width="41.7109375" style="70" customWidth="1"/>
    <col min="13827" max="13827" width="15.5703125" style="70" customWidth="1"/>
    <col min="13828" max="13828" width="6.42578125" style="70" customWidth="1"/>
    <col min="13829" max="13829" width="10.28515625" style="70" bestFit="1" customWidth="1"/>
    <col min="13830" max="13830" width="7.85546875" style="70" bestFit="1" customWidth="1"/>
    <col min="13831" max="13831" width="18.85546875" style="70" customWidth="1"/>
    <col min="13832" max="13832" width="7.85546875" style="70" bestFit="1" customWidth="1"/>
    <col min="13833" max="13833" width="13.85546875" style="70" bestFit="1" customWidth="1"/>
    <col min="13834" max="13834" width="7.85546875" style="70" bestFit="1" customWidth="1"/>
    <col min="13835" max="13835" width="13.85546875" style="70" bestFit="1" customWidth="1"/>
    <col min="13836" max="13836" width="24.28515625" style="70" customWidth="1"/>
    <col min="13837" max="13837" width="24.7109375" style="70" customWidth="1"/>
    <col min="13838" max="13838" width="10.85546875" style="70" customWidth="1"/>
    <col min="13839" max="14080" width="9.140625" style="70"/>
    <col min="14081" max="14081" width="5.5703125" style="70" customWidth="1"/>
    <col min="14082" max="14082" width="41.7109375" style="70" customWidth="1"/>
    <col min="14083" max="14083" width="15.5703125" style="70" customWidth="1"/>
    <col min="14084" max="14084" width="6.42578125" style="70" customWidth="1"/>
    <col min="14085" max="14085" width="10.28515625" style="70" bestFit="1" customWidth="1"/>
    <col min="14086" max="14086" width="7.85546875" style="70" bestFit="1" customWidth="1"/>
    <col min="14087" max="14087" width="18.85546875" style="70" customWidth="1"/>
    <col min="14088" max="14088" width="7.85546875" style="70" bestFit="1" customWidth="1"/>
    <col min="14089" max="14089" width="13.85546875" style="70" bestFit="1" customWidth="1"/>
    <col min="14090" max="14090" width="7.85546875" style="70" bestFit="1" customWidth="1"/>
    <col min="14091" max="14091" width="13.85546875" style="70" bestFit="1" customWidth="1"/>
    <col min="14092" max="14092" width="24.28515625" style="70" customWidth="1"/>
    <col min="14093" max="14093" width="24.7109375" style="70" customWidth="1"/>
    <col min="14094" max="14094" width="10.85546875" style="70" customWidth="1"/>
    <col min="14095" max="14336" width="9.140625" style="70"/>
    <col min="14337" max="14337" width="5.5703125" style="70" customWidth="1"/>
    <col min="14338" max="14338" width="41.7109375" style="70" customWidth="1"/>
    <col min="14339" max="14339" width="15.5703125" style="70" customWidth="1"/>
    <col min="14340" max="14340" width="6.42578125" style="70" customWidth="1"/>
    <col min="14341" max="14341" width="10.28515625" style="70" bestFit="1" customWidth="1"/>
    <col min="14342" max="14342" width="7.85546875" style="70" bestFit="1" customWidth="1"/>
    <col min="14343" max="14343" width="18.85546875" style="70" customWidth="1"/>
    <col min="14344" max="14344" width="7.85546875" style="70" bestFit="1" customWidth="1"/>
    <col min="14345" max="14345" width="13.85546875" style="70" bestFit="1" customWidth="1"/>
    <col min="14346" max="14346" width="7.85546875" style="70" bestFit="1" customWidth="1"/>
    <col min="14347" max="14347" width="13.85546875" style="70" bestFit="1" customWidth="1"/>
    <col min="14348" max="14348" width="24.28515625" style="70" customWidth="1"/>
    <col min="14349" max="14349" width="24.7109375" style="70" customWidth="1"/>
    <col min="14350" max="14350" width="10.85546875" style="70" customWidth="1"/>
    <col min="14351" max="14592" width="9.140625" style="70"/>
    <col min="14593" max="14593" width="5.5703125" style="70" customWidth="1"/>
    <col min="14594" max="14594" width="41.7109375" style="70" customWidth="1"/>
    <col min="14595" max="14595" width="15.5703125" style="70" customWidth="1"/>
    <col min="14596" max="14596" width="6.42578125" style="70" customWidth="1"/>
    <col min="14597" max="14597" width="10.28515625" style="70" bestFit="1" customWidth="1"/>
    <col min="14598" max="14598" width="7.85546875" style="70" bestFit="1" customWidth="1"/>
    <col min="14599" max="14599" width="18.85546875" style="70" customWidth="1"/>
    <col min="14600" max="14600" width="7.85546875" style="70" bestFit="1" customWidth="1"/>
    <col min="14601" max="14601" width="13.85546875" style="70" bestFit="1" customWidth="1"/>
    <col min="14602" max="14602" width="7.85546875" style="70" bestFit="1" customWidth="1"/>
    <col min="14603" max="14603" width="13.85546875" style="70" bestFit="1" customWidth="1"/>
    <col min="14604" max="14604" width="24.28515625" style="70" customWidth="1"/>
    <col min="14605" max="14605" width="24.7109375" style="70" customWidth="1"/>
    <col min="14606" max="14606" width="10.85546875" style="70" customWidth="1"/>
    <col min="14607" max="14848" width="9.140625" style="70"/>
    <col min="14849" max="14849" width="5.5703125" style="70" customWidth="1"/>
    <col min="14850" max="14850" width="41.7109375" style="70" customWidth="1"/>
    <col min="14851" max="14851" width="15.5703125" style="70" customWidth="1"/>
    <col min="14852" max="14852" width="6.42578125" style="70" customWidth="1"/>
    <col min="14853" max="14853" width="10.28515625" style="70" bestFit="1" customWidth="1"/>
    <col min="14854" max="14854" width="7.85546875" style="70" bestFit="1" customWidth="1"/>
    <col min="14855" max="14855" width="18.85546875" style="70" customWidth="1"/>
    <col min="14856" max="14856" width="7.85546875" style="70" bestFit="1" customWidth="1"/>
    <col min="14857" max="14857" width="13.85546875" style="70" bestFit="1" customWidth="1"/>
    <col min="14858" max="14858" width="7.85546875" style="70" bestFit="1" customWidth="1"/>
    <col min="14859" max="14859" width="13.85546875" style="70" bestFit="1" customWidth="1"/>
    <col min="14860" max="14860" width="24.28515625" style="70" customWidth="1"/>
    <col min="14861" max="14861" width="24.7109375" style="70" customWidth="1"/>
    <col min="14862" max="14862" width="10.85546875" style="70" customWidth="1"/>
    <col min="14863" max="15104" width="9.140625" style="70"/>
    <col min="15105" max="15105" width="5.5703125" style="70" customWidth="1"/>
    <col min="15106" max="15106" width="41.7109375" style="70" customWidth="1"/>
    <col min="15107" max="15107" width="15.5703125" style="70" customWidth="1"/>
    <col min="15108" max="15108" width="6.42578125" style="70" customWidth="1"/>
    <col min="15109" max="15109" width="10.28515625" style="70" bestFit="1" customWidth="1"/>
    <col min="15110" max="15110" width="7.85546875" style="70" bestFit="1" customWidth="1"/>
    <col min="15111" max="15111" width="18.85546875" style="70" customWidth="1"/>
    <col min="15112" max="15112" width="7.85546875" style="70" bestFit="1" customWidth="1"/>
    <col min="15113" max="15113" width="13.85546875" style="70" bestFit="1" customWidth="1"/>
    <col min="15114" max="15114" width="7.85546875" style="70" bestFit="1" customWidth="1"/>
    <col min="15115" max="15115" width="13.85546875" style="70" bestFit="1" customWidth="1"/>
    <col min="15116" max="15116" width="24.28515625" style="70" customWidth="1"/>
    <col min="15117" max="15117" width="24.7109375" style="70" customWidth="1"/>
    <col min="15118" max="15118" width="10.85546875" style="70" customWidth="1"/>
    <col min="15119" max="15360" width="9.140625" style="70"/>
    <col min="15361" max="15361" width="5.5703125" style="70" customWidth="1"/>
    <col min="15362" max="15362" width="41.7109375" style="70" customWidth="1"/>
    <col min="15363" max="15363" width="15.5703125" style="70" customWidth="1"/>
    <col min="15364" max="15364" width="6.42578125" style="70" customWidth="1"/>
    <col min="15365" max="15365" width="10.28515625" style="70" bestFit="1" customWidth="1"/>
    <col min="15366" max="15366" width="7.85546875" style="70" bestFit="1" customWidth="1"/>
    <col min="15367" max="15367" width="18.85546875" style="70" customWidth="1"/>
    <col min="15368" max="15368" width="7.85546875" style="70" bestFit="1" customWidth="1"/>
    <col min="15369" max="15369" width="13.85546875" style="70" bestFit="1" customWidth="1"/>
    <col min="15370" max="15370" width="7.85546875" style="70" bestFit="1" customWidth="1"/>
    <col min="15371" max="15371" width="13.85546875" style="70" bestFit="1" customWidth="1"/>
    <col min="15372" max="15372" width="24.28515625" style="70" customWidth="1"/>
    <col min="15373" max="15373" width="24.7109375" style="70" customWidth="1"/>
    <col min="15374" max="15374" width="10.85546875" style="70" customWidth="1"/>
    <col min="15375" max="15616" width="9.140625" style="70"/>
    <col min="15617" max="15617" width="5.5703125" style="70" customWidth="1"/>
    <col min="15618" max="15618" width="41.7109375" style="70" customWidth="1"/>
    <col min="15619" max="15619" width="15.5703125" style="70" customWidth="1"/>
    <col min="15620" max="15620" width="6.42578125" style="70" customWidth="1"/>
    <col min="15621" max="15621" width="10.28515625" style="70" bestFit="1" customWidth="1"/>
    <col min="15622" max="15622" width="7.85546875" style="70" bestFit="1" customWidth="1"/>
    <col min="15623" max="15623" width="18.85546875" style="70" customWidth="1"/>
    <col min="15624" max="15624" width="7.85546875" style="70" bestFit="1" customWidth="1"/>
    <col min="15625" max="15625" width="13.85546875" style="70" bestFit="1" customWidth="1"/>
    <col min="15626" max="15626" width="7.85546875" style="70" bestFit="1" customWidth="1"/>
    <col min="15627" max="15627" width="13.85546875" style="70" bestFit="1" customWidth="1"/>
    <col min="15628" max="15628" width="24.28515625" style="70" customWidth="1"/>
    <col min="15629" max="15629" width="24.7109375" style="70" customWidth="1"/>
    <col min="15630" max="15630" width="10.85546875" style="70" customWidth="1"/>
    <col min="15631" max="15872" width="9.140625" style="70"/>
    <col min="15873" max="15873" width="5.5703125" style="70" customWidth="1"/>
    <col min="15874" max="15874" width="41.7109375" style="70" customWidth="1"/>
    <col min="15875" max="15875" width="15.5703125" style="70" customWidth="1"/>
    <col min="15876" max="15876" width="6.42578125" style="70" customWidth="1"/>
    <col min="15877" max="15877" width="10.28515625" style="70" bestFit="1" customWidth="1"/>
    <col min="15878" max="15878" width="7.85546875" style="70" bestFit="1" customWidth="1"/>
    <col min="15879" max="15879" width="18.85546875" style="70" customWidth="1"/>
    <col min="15880" max="15880" width="7.85546875" style="70" bestFit="1" customWidth="1"/>
    <col min="15881" max="15881" width="13.85546875" style="70" bestFit="1" customWidth="1"/>
    <col min="15882" max="15882" width="7.85546875" style="70" bestFit="1" customWidth="1"/>
    <col min="15883" max="15883" width="13.85546875" style="70" bestFit="1" customWidth="1"/>
    <col min="15884" max="15884" width="24.28515625" style="70" customWidth="1"/>
    <col min="15885" max="15885" width="24.7109375" style="70" customWidth="1"/>
    <col min="15886" max="15886" width="10.85546875" style="70" customWidth="1"/>
    <col min="15887" max="16128" width="9.140625" style="70"/>
    <col min="16129" max="16129" width="5.5703125" style="70" customWidth="1"/>
    <col min="16130" max="16130" width="41.7109375" style="70" customWidth="1"/>
    <col min="16131" max="16131" width="15.5703125" style="70" customWidth="1"/>
    <col min="16132" max="16132" width="6.42578125" style="70" customWidth="1"/>
    <col min="16133" max="16133" width="10.28515625" style="70" bestFit="1" customWidth="1"/>
    <col min="16134" max="16134" width="7.85546875" style="70" bestFit="1" customWidth="1"/>
    <col min="16135" max="16135" width="18.85546875" style="70" customWidth="1"/>
    <col min="16136" max="16136" width="7.85546875" style="70" bestFit="1" customWidth="1"/>
    <col min="16137" max="16137" width="13.85546875" style="70" bestFit="1" customWidth="1"/>
    <col min="16138" max="16138" width="7.85546875" style="70" bestFit="1" customWidth="1"/>
    <col min="16139" max="16139" width="13.85546875" style="70" bestFit="1" customWidth="1"/>
    <col min="16140" max="16140" width="24.28515625" style="70" customWidth="1"/>
    <col min="16141" max="16141" width="24.7109375" style="70" customWidth="1"/>
    <col min="16142" max="16142" width="10.85546875" style="70" customWidth="1"/>
    <col min="16143" max="16384" width="9.140625" style="70"/>
  </cols>
  <sheetData>
    <row r="1" spans="1:11" ht="18">
      <c r="B1" s="597"/>
      <c r="C1" s="3115" t="s">
        <v>1766</v>
      </c>
      <c r="D1" s="3115"/>
      <c r="E1" s="3115"/>
      <c r="F1" s="3115"/>
      <c r="G1" s="3115"/>
      <c r="H1" s="3115"/>
      <c r="I1" s="597"/>
      <c r="J1" s="597"/>
      <c r="K1" s="597"/>
    </row>
    <row r="2" spans="1:11" ht="15.75" customHeight="1">
      <c r="A2" s="618"/>
      <c r="B2" s="618"/>
      <c r="C2" s="618"/>
      <c r="D2" s="618"/>
      <c r="E2" s="618"/>
      <c r="F2" s="618"/>
      <c r="G2" s="618"/>
      <c r="H2" s="618"/>
      <c r="I2" s="618"/>
      <c r="J2" s="618"/>
      <c r="K2" s="960" t="s">
        <v>89</v>
      </c>
    </row>
    <row r="3" spans="1:11" ht="32.25" customHeight="1">
      <c r="B3" s="3095" t="s">
        <v>1767</v>
      </c>
      <c r="C3" s="3095"/>
      <c r="D3" s="3095"/>
      <c r="E3" s="3095"/>
      <c r="F3" s="3095"/>
      <c r="G3" s="3095"/>
      <c r="H3" s="3095"/>
      <c r="I3" s="3095"/>
      <c r="J3" s="619"/>
      <c r="K3" s="619"/>
    </row>
    <row r="4" spans="1:11" ht="10.5" customHeight="1">
      <c r="A4" s="600"/>
      <c r="B4" s="600"/>
      <c r="C4" s="600"/>
      <c r="D4" s="600"/>
      <c r="E4" s="600"/>
      <c r="F4" s="600"/>
      <c r="G4" s="600"/>
      <c r="H4" s="600"/>
      <c r="I4" s="600"/>
      <c r="J4" s="600"/>
      <c r="K4" s="600"/>
    </row>
    <row r="5" spans="1:11" ht="33.75" customHeight="1">
      <c r="A5" s="3373" t="s">
        <v>2</v>
      </c>
      <c r="B5" s="3336" t="s">
        <v>3</v>
      </c>
      <c r="C5" s="3441" t="s">
        <v>1720</v>
      </c>
      <c r="D5" s="3336" t="s">
        <v>5</v>
      </c>
      <c r="E5" s="3124" t="s">
        <v>9</v>
      </c>
      <c r="F5" s="3124" t="s">
        <v>1768</v>
      </c>
      <c r="G5" s="3124"/>
      <c r="H5" s="3124" t="s">
        <v>1723</v>
      </c>
      <c r="I5" s="3124"/>
      <c r="J5" s="3124" t="s">
        <v>1749</v>
      </c>
      <c r="K5" s="3124"/>
    </row>
    <row r="6" spans="1:11" ht="34.5" customHeight="1">
      <c r="A6" s="3440"/>
      <c r="B6" s="3336"/>
      <c r="C6" s="3442"/>
      <c r="D6" s="3336"/>
      <c r="E6" s="3124"/>
      <c r="F6" s="3124"/>
      <c r="G6" s="3124"/>
      <c r="H6" s="3124"/>
      <c r="I6" s="3124"/>
      <c r="J6" s="3124"/>
      <c r="K6" s="3124"/>
    </row>
    <row r="7" spans="1:11" ht="12.75" customHeight="1">
      <c r="A7" s="3440"/>
      <c r="B7" s="3336"/>
      <c r="C7" s="3442"/>
      <c r="D7" s="3336"/>
      <c r="E7" s="3124"/>
      <c r="F7" s="3124"/>
      <c r="G7" s="3124"/>
      <c r="H7" s="3124"/>
      <c r="I7" s="3124"/>
      <c r="J7" s="3124"/>
      <c r="K7" s="3124"/>
    </row>
    <row r="8" spans="1:11" ht="18.75" customHeight="1">
      <c r="A8" s="3374"/>
      <c r="B8" s="3336"/>
      <c r="C8" s="3443"/>
      <c r="D8" s="3336"/>
      <c r="E8" s="3124"/>
      <c r="F8" s="601" t="s">
        <v>143</v>
      </c>
      <c r="G8" s="601" t="s">
        <v>10</v>
      </c>
      <c r="H8" s="601" t="s">
        <v>143</v>
      </c>
      <c r="I8" s="601" t="s">
        <v>10</v>
      </c>
      <c r="J8" s="601" t="s">
        <v>143</v>
      </c>
      <c r="K8" s="601" t="s">
        <v>10</v>
      </c>
    </row>
    <row r="9" spans="1:11" ht="15.75">
      <c r="A9" s="620" t="s">
        <v>1470</v>
      </c>
      <c r="B9" s="620" t="s">
        <v>1425</v>
      </c>
      <c r="C9" s="620" t="s">
        <v>184</v>
      </c>
      <c r="D9" s="620" t="s">
        <v>1695</v>
      </c>
      <c r="E9" s="620" t="s">
        <v>1750</v>
      </c>
      <c r="F9" s="620" t="s">
        <v>1471</v>
      </c>
      <c r="G9" s="620" t="s">
        <v>1751</v>
      </c>
      <c r="H9" s="620" t="s">
        <v>1752</v>
      </c>
      <c r="I9" s="620" t="s">
        <v>1753</v>
      </c>
      <c r="J9" s="620" t="s">
        <v>1754</v>
      </c>
      <c r="K9" s="620" t="s">
        <v>1755</v>
      </c>
    </row>
    <row r="10" spans="1:11" ht="15.75" customHeight="1">
      <c r="A10" s="1080">
        <v>1</v>
      </c>
      <c r="B10" s="1825" t="s">
        <v>1756</v>
      </c>
      <c r="C10" s="1826">
        <v>7130800012</v>
      </c>
      <c r="D10" s="1080" t="s">
        <v>12</v>
      </c>
      <c r="E10" s="1081">
        <f>VLOOKUP(C10,'SOR RATE'!A:D,4,0)</f>
        <v>2298.46</v>
      </c>
      <c r="F10" s="1080">
        <v>17</v>
      </c>
      <c r="G10" s="1081">
        <f>F10*E10</f>
        <v>39073.82</v>
      </c>
      <c r="H10" s="1080">
        <v>17</v>
      </c>
      <c r="I10" s="1081">
        <f>H10*E10</f>
        <v>39073.82</v>
      </c>
      <c r="J10" s="1080">
        <v>17</v>
      </c>
      <c r="K10" s="1081">
        <f>J10*E10</f>
        <v>39073.82</v>
      </c>
    </row>
    <row r="11" spans="1:11" ht="15">
      <c r="A11" s="1080">
        <v>2</v>
      </c>
      <c r="B11" s="1825" t="s">
        <v>1769</v>
      </c>
      <c r="C11" s="1826">
        <v>7130810413</v>
      </c>
      <c r="D11" s="1080" t="s">
        <v>12</v>
      </c>
      <c r="E11" s="1081">
        <f>VLOOKUP(C11,'SOR RATE'!A:D,4,0)</f>
        <v>813.82</v>
      </c>
      <c r="F11" s="1080">
        <v>22</v>
      </c>
      <c r="G11" s="1081">
        <f>F11*E11</f>
        <v>17904.04</v>
      </c>
      <c r="H11" s="1080">
        <v>22</v>
      </c>
      <c r="I11" s="1081">
        <f>H11*E11</f>
        <v>17904.04</v>
      </c>
      <c r="J11" s="1080">
        <v>22</v>
      </c>
      <c r="K11" s="1081">
        <f>J11*E11</f>
        <v>17904.04</v>
      </c>
    </row>
    <row r="12" spans="1:11" ht="15">
      <c r="A12" s="1080">
        <v>3</v>
      </c>
      <c r="B12" s="1825" t="s">
        <v>1758</v>
      </c>
      <c r="C12" s="1826">
        <v>7130820106</v>
      </c>
      <c r="D12" s="1080" t="s">
        <v>12</v>
      </c>
      <c r="E12" s="1081">
        <f>VLOOKUP(C12,'SOR RATE'!A:D,4,0)</f>
        <v>15.42</v>
      </c>
      <c r="F12" s="1080">
        <v>44</v>
      </c>
      <c r="G12" s="1081">
        <f>F12*E12</f>
        <v>678.48</v>
      </c>
      <c r="H12" s="1080">
        <v>44</v>
      </c>
      <c r="I12" s="1081">
        <f>H12*E12</f>
        <v>678.48</v>
      </c>
      <c r="J12" s="1080">
        <v>44</v>
      </c>
      <c r="K12" s="1081">
        <f>J12*E12</f>
        <v>678.48</v>
      </c>
    </row>
    <row r="13" spans="1:11" ht="15">
      <c r="A13" s="1080">
        <v>4</v>
      </c>
      <c r="B13" s="1825" t="s">
        <v>1770</v>
      </c>
      <c r="C13" s="1826">
        <v>7130820201</v>
      </c>
      <c r="D13" s="1080" t="s">
        <v>12</v>
      </c>
      <c r="E13" s="1081">
        <f>VLOOKUP(C13,'SOR RATE'!A:D,4,0)</f>
        <v>46.15</v>
      </c>
      <c r="F13" s="1080">
        <v>22</v>
      </c>
      <c r="G13" s="1081">
        <f>F13*E13</f>
        <v>1015.3</v>
      </c>
      <c r="H13" s="1080">
        <v>22</v>
      </c>
      <c r="I13" s="1081">
        <f>H13*E13</f>
        <v>1015.3</v>
      </c>
      <c r="J13" s="1080">
        <v>22</v>
      </c>
      <c r="K13" s="1081">
        <f>J13*E13</f>
        <v>1015.3</v>
      </c>
    </row>
    <row r="14" spans="1:11" ht="15">
      <c r="A14" s="1080">
        <v>5</v>
      </c>
      <c r="B14" s="1825" t="s">
        <v>1771</v>
      </c>
      <c r="C14" s="1826">
        <v>7130820216</v>
      </c>
      <c r="D14" s="1080" t="s">
        <v>12</v>
      </c>
      <c r="E14" s="1081">
        <f>VLOOKUP(C14,'SOR RATE'!A:D,4,0)</f>
        <v>52.15</v>
      </c>
      <c r="F14" s="1080">
        <v>25</v>
      </c>
      <c r="G14" s="1081">
        <f>F14*E14</f>
        <v>1303.75</v>
      </c>
      <c r="H14" s="1080">
        <v>25</v>
      </c>
      <c r="I14" s="1081">
        <f>H14*E14</f>
        <v>1303.75</v>
      </c>
      <c r="J14" s="1080">
        <v>25</v>
      </c>
      <c r="K14" s="1081">
        <f>J14*E14</f>
        <v>1303.75</v>
      </c>
    </row>
    <row r="15" spans="1:11" ht="15.75">
      <c r="A15" s="3337">
        <v>6</v>
      </c>
      <c r="B15" s="1828" t="s">
        <v>1731</v>
      </c>
      <c r="C15" s="1843"/>
      <c r="D15" s="1844"/>
      <c r="E15" s="1844"/>
      <c r="F15" s="1844"/>
      <c r="G15" s="1844"/>
      <c r="H15" s="1844"/>
      <c r="I15" s="1844"/>
      <c r="J15" s="1844"/>
      <c r="K15" s="1845"/>
    </row>
    <row r="16" spans="1:11" ht="15">
      <c r="A16" s="3338"/>
      <c r="B16" s="1825" t="s">
        <v>1732</v>
      </c>
      <c r="C16" s="1826">
        <v>7130830057</v>
      </c>
      <c r="D16" s="1080" t="s">
        <v>21</v>
      </c>
      <c r="E16" s="1081">
        <f>VLOOKUP(C16,'SOR RATE'!A:D,4,0)/1000</f>
        <v>46.676089999999995</v>
      </c>
      <c r="F16" s="1080">
        <v>1030</v>
      </c>
      <c r="G16" s="1081">
        <f t="shared" ref="G16:G22" si="0">F16*E16</f>
        <v>48076.372699999993</v>
      </c>
      <c r="H16" s="1831" t="s">
        <v>1534</v>
      </c>
      <c r="I16" s="1081"/>
      <c r="J16" s="1831" t="s">
        <v>1534</v>
      </c>
      <c r="K16" s="1081"/>
    </row>
    <row r="17" spans="1:13" ht="15">
      <c r="A17" s="3338"/>
      <c r="B17" s="1825" t="s">
        <v>1733</v>
      </c>
      <c r="C17" s="1826">
        <v>7130830055</v>
      </c>
      <c r="D17" s="1080" t="s">
        <v>21</v>
      </c>
      <c r="E17" s="1081">
        <f>VLOOKUP(C17,'SOR RATE'!A:D,4,0)/1000</f>
        <v>28.020759999999999</v>
      </c>
      <c r="F17" s="1080">
        <v>1030</v>
      </c>
      <c r="G17" s="1081">
        <f t="shared" si="0"/>
        <v>28861.382799999999</v>
      </c>
      <c r="H17" s="1846">
        <v>2060</v>
      </c>
      <c r="I17" s="1081">
        <f t="shared" ref="I17:I22" si="1">H17*E17</f>
        <v>57722.765599999999</v>
      </c>
      <c r="J17" s="1831" t="s">
        <v>1534</v>
      </c>
      <c r="K17" s="1081"/>
    </row>
    <row r="18" spans="1:13" ht="15">
      <c r="A18" s="3339"/>
      <c r="B18" s="1825" t="s">
        <v>1734</v>
      </c>
      <c r="C18" s="1826">
        <v>7130830053</v>
      </c>
      <c r="D18" s="1080" t="s">
        <v>21</v>
      </c>
      <c r="E18" s="1081">
        <f>VLOOKUP(C18,'SOR RATE'!A:D,4,0)/1000</f>
        <v>19.941980000000001</v>
      </c>
      <c r="F18" s="1080">
        <v>1030</v>
      </c>
      <c r="G18" s="1081">
        <f t="shared" si="0"/>
        <v>20540.239400000002</v>
      </c>
      <c r="H18" s="1832">
        <v>1030</v>
      </c>
      <c r="I18" s="1081">
        <f t="shared" si="1"/>
        <v>20540.239400000002</v>
      </c>
      <c r="J18" s="1832">
        <v>3090</v>
      </c>
      <c r="K18" s="1081">
        <f>J18*E18</f>
        <v>61620.718200000003</v>
      </c>
    </row>
    <row r="19" spans="1:13" ht="15">
      <c r="A19" s="3337">
        <v>7</v>
      </c>
      <c r="B19" s="1825" t="s">
        <v>24</v>
      </c>
      <c r="C19" s="1826">
        <v>7130860032</v>
      </c>
      <c r="D19" s="1080" t="s">
        <v>12</v>
      </c>
      <c r="E19" s="1081">
        <f>VLOOKUP(C19,'SOR RATE'!A:D,4,0)</f>
        <v>566.19000000000005</v>
      </c>
      <c r="F19" s="1080">
        <v>9</v>
      </c>
      <c r="G19" s="1081">
        <f t="shared" si="0"/>
        <v>5095.7100000000009</v>
      </c>
      <c r="H19" s="1080">
        <v>9</v>
      </c>
      <c r="I19" s="1081">
        <f t="shared" si="1"/>
        <v>5095.7100000000009</v>
      </c>
      <c r="J19" s="1080">
        <v>9</v>
      </c>
      <c r="K19" s="1081">
        <f>J19*E19</f>
        <v>5095.7100000000009</v>
      </c>
    </row>
    <row r="20" spans="1:13" ht="15">
      <c r="A20" s="3338"/>
      <c r="B20" s="1825" t="s">
        <v>1735</v>
      </c>
      <c r="C20" s="1826">
        <v>7130860077</v>
      </c>
      <c r="D20" s="1080" t="s">
        <v>26</v>
      </c>
      <c r="E20" s="1081">
        <f>VLOOKUP(C20,'SOR RATE'!A:D,4,0)/1000</f>
        <v>93.76643</v>
      </c>
      <c r="F20" s="1080">
        <v>54</v>
      </c>
      <c r="G20" s="1081">
        <f t="shared" si="0"/>
        <v>5063.3872199999996</v>
      </c>
      <c r="H20" s="1080">
        <v>54</v>
      </c>
      <c r="I20" s="1081">
        <f t="shared" si="1"/>
        <v>5063.3872199999996</v>
      </c>
      <c r="J20" s="1080">
        <v>54</v>
      </c>
      <c r="K20" s="1081">
        <f>J20*E20</f>
        <v>5063.3872199999996</v>
      </c>
    </row>
    <row r="21" spans="1:13" ht="15">
      <c r="A21" s="3338"/>
      <c r="B21" s="1825" t="s">
        <v>74</v>
      </c>
      <c r="C21" s="1826">
        <v>7130810026</v>
      </c>
      <c r="D21" s="1833" t="s">
        <v>15</v>
      </c>
      <c r="E21" s="1081">
        <f>VLOOKUP(C21,'SOR RATE'!A201:D201,4,0)</f>
        <v>198.14</v>
      </c>
      <c r="F21" s="1080">
        <v>9</v>
      </c>
      <c r="G21" s="1081">
        <f t="shared" si="0"/>
        <v>1783.2599999999998</v>
      </c>
      <c r="H21" s="1080">
        <v>9</v>
      </c>
      <c r="I21" s="1081">
        <f t="shared" si="1"/>
        <v>1783.2599999999998</v>
      </c>
      <c r="J21" s="1080">
        <v>9</v>
      </c>
      <c r="K21" s="1081">
        <f>J21*E21</f>
        <v>1783.2599999999998</v>
      </c>
    </row>
    <row r="22" spans="1:13" ht="15">
      <c r="A22" s="3339"/>
      <c r="B22" s="1825" t="s">
        <v>1736</v>
      </c>
      <c r="C22" s="1826">
        <v>7130820117</v>
      </c>
      <c r="D22" s="1080" t="s">
        <v>12</v>
      </c>
      <c r="E22" s="1081">
        <f>VLOOKUP(C22,'SOR RATE'!A:D,4,0)</f>
        <v>12.42</v>
      </c>
      <c r="F22" s="1080">
        <v>9</v>
      </c>
      <c r="G22" s="1081">
        <f t="shared" si="0"/>
        <v>111.78</v>
      </c>
      <c r="H22" s="1080">
        <v>9</v>
      </c>
      <c r="I22" s="1081">
        <f t="shared" si="1"/>
        <v>111.78</v>
      </c>
      <c r="J22" s="1080">
        <v>9</v>
      </c>
      <c r="K22" s="1081">
        <f>J22*E22</f>
        <v>111.78</v>
      </c>
    </row>
    <row r="23" spans="1:13" ht="50.25" customHeight="1">
      <c r="A23" s="3337">
        <v>8</v>
      </c>
      <c r="B23" s="1827" t="s">
        <v>45</v>
      </c>
      <c r="D23" s="1847"/>
      <c r="E23" s="1848"/>
      <c r="F23" s="1080">
        <f>17+9</f>
        <v>26</v>
      </c>
      <c r="G23" s="1848"/>
      <c r="H23" s="1080">
        <f>17+9</f>
        <v>26</v>
      </c>
      <c r="I23" s="1848"/>
      <c r="J23" s="1080">
        <f>17+9</f>
        <v>26</v>
      </c>
      <c r="K23" s="1848"/>
    </row>
    <row r="24" spans="1:13" ht="30.75" customHeight="1">
      <c r="A24" s="3339"/>
      <c r="B24" s="1825" t="s">
        <v>1738</v>
      </c>
      <c r="C24" s="1826">
        <v>7130640008</v>
      </c>
      <c r="D24" s="1834" t="s">
        <v>33</v>
      </c>
      <c r="E24" s="1081">
        <f>VLOOKUP(C24,'SOR RATE'!A:D,4,0)</f>
        <v>158</v>
      </c>
      <c r="F24" s="1080">
        <f>17+(9*2)</f>
        <v>35</v>
      </c>
      <c r="G24" s="1081">
        <f>F24*E24</f>
        <v>5530</v>
      </c>
      <c r="H24" s="1080">
        <f>17+(9*2)</f>
        <v>35</v>
      </c>
      <c r="I24" s="1081">
        <f>H24*E24</f>
        <v>5530</v>
      </c>
      <c r="J24" s="1080">
        <f>17+(9*2)</f>
        <v>35</v>
      </c>
      <c r="K24" s="1081">
        <f>J24*E24</f>
        <v>5530</v>
      </c>
      <c r="L24" s="3438" t="s">
        <v>47</v>
      </c>
      <c r="M24" s="3439"/>
    </row>
    <row r="25" spans="1:13" ht="30">
      <c r="A25" s="1835">
        <v>9</v>
      </c>
      <c r="B25" s="1827" t="s">
        <v>1740</v>
      </c>
      <c r="C25" s="1826">
        <v>7130870013</v>
      </c>
      <c r="D25" s="1835" t="s">
        <v>12</v>
      </c>
      <c r="E25" s="1081">
        <f>VLOOKUP(C25,'SOR RATE'!A:D,4,0)</f>
        <v>152.88999999999999</v>
      </c>
      <c r="F25" s="1835">
        <v>5</v>
      </c>
      <c r="G25" s="1081">
        <f>F25*E25</f>
        <v>764.44999999999993</v>
      </c>
      <c r="H25" s="1835">
        <v>5</v>
      </c>
      <c r="I25" s="1081">
        <f>H25*E25</f>
        <v>764.44999999999993</v>
      </c>
      <c r="J25" s="1835">
        <v>5</v>
      </c>
      <c r="K25" s="1081">
        <f>J25*E25</f>
        <v>764.44999999999993</v>
      </c>
    </row>
    <row r="26" spans="1:13" ht="15">
      <c r="A26" s="1080">
        <v>10</v>
      </c>
      <c r="B26" s="1825" t="s">
        <v>1772</v>
      </c>
      <c r="C26" s="1826">
        <v>7130820018</v>
      </c>
      <c r="D26" s="1080" t="s">
        <v>15</v>
      </c>
      <c r="E26" s="1081">
        <f>VLOOKUP(C26,'SOR RATE'!A:D,4,0)</f>
        <v>4.66</v>
      </c>
      <c r="F26" s="1080">
        <v>44</v>
      </c>
      <c r="G26" s="1081">
        <f>F26*E26</f>
        <v>205.04000000000002</v>
      </c>
      <c r="H26" s="1080">
        <v>44</v>
      </c>
      <c r="I26" s="1081">
        <f>H26*E26</f>
        <v>205.04000000000002</v>
      </c>
      <c r="J26" s="1080">
        <v>44</v>
      </c>
      <c r="K26" s="1081">
        <f>J26*E26</f>
        <v>205.04000000000002</v>
      </c>
    </row>
    <row r="27" spans="1:13" ht="15">
      <c r="A27" s="3337">
        <v>11</v>
      </c>
      <c r="B27" s="1825" t="s">
        <v>1443</v>
      </c>
      <c r="C27" s="1832"/>
      <c r="D27" s="1080" t="s">
        <v>26</v>
      </c>
      <c r="E27" s="1081"/>
      <c r="F27" s="1080">
        <v>16</v>
      </c>
      <c r="G27" s="1081"/>
      <c r="H27" s="1080">
        <v>16</v>
      </c>
      <c r="I27" s="1081"/>
      <c r="J27" s="1080">
        <v>16</v>
      </c>
      <c r="K27" s="1081"/>
    </row>
    <row r="28" spans="1:13" ht="15">
      <c r="A28" s="3338"/>
      <c r="B28" s="916" t="s">
        <v>505</v>
      </c>
      <c r="C28" s="1826">
        <v>7130620573</v>
      </c>
      <c r="D28" s="1080" t="s">
        <v>26</v>
      </c>
      <c r="E28" s="1081">
        <f>VLOOKUP(C28,'SOR RATE'!A:D,4,0)</f>
        <v>87.23</v>
      </c>
      <c r="F28" s="1080">
        <v>3.5</v>
      </c>
      <c r="G28" s="1081">
        <f t="shared" ref="G28:G34" si="2">F28*E28</f>
        <v>305.30500000000001</v>
      </c>
      <c r="H28" s="1080">
        <v>3.5</v>
      </c>
      <c r="I28" s="1081">
        <f t="shared" ref="I28:I34" si="3">H28*E28</f>
        <v>305.30500000000001</v>
      </c>
      <c r="J28" s="1080">
        <v>3.5</v>
      </c>
      <c r="K28" s="1081">
        <f t="shared" ref="K28:K34" si="4">J28*E28</f>
        <v>305.30500000000001</v>
      </c>
    </row>
    <row r="29" spans="1:13" ht="15">
      <c r="A29" s="3338"/>
      <c r="B29" s="916" t="s">
        <v>79</v>
      </c>
      <c r="C29" s="1826">
        <v>7130620609</v>
      </c>
      <c r="D29" s="1080" t="s">
        <v>26</v>
      </c>
      <c r="E29" s="1081">
        <f>VLOOKUP(C29,'SOR RATE'!A:D,4,0)</f>
        <v>87.23</v>
      </c>
      <c r="F29" s="1080">
        <v>1.5</v>
      </c>
      <c r="G29" s="1081">
        <f t="shared" si="2"/>
        <v>130.845</v>
      </c>
      <c r="H29" s="1080">
        <v>1.5</v>
      </c>
      <c r="I29" s="1081">
        <f t="shared" si="3"/>
        <v>130.845</v>
      </c>
      <c r="J29" s="1080">
        <v>1.5</v>
      </c>
      <c r="K29" s="1081">
        <f t="shared" si="4"/>
        <v>130.845</v>
      </c>
    </row>
    <row r="30" spans="1:13" ht="15" customHeight="1">
      <c r="A30" s="3339"/>
      <c r="B30" s="916" t="s">
        <v>112</v>
      </c>
      <c r="C30" s="1826">
        <v>7130620625</v>
      </c>
      <c r="D30" s="1080" t="s">
        <v>26</v>
      </c>
      <c r="E30" s="1081">
        <f>VLOOKUP(C30,'SOR RATE'!A:D,4,0)</f>
        <v>84.32</v>
      </c>
      <c r="F30" s="1080">
        <v>11</v>
      </c>
      <c r="G30" s="1081">
        <f t="shared" si="2"/>
        <v>927.52</v>
      </c>
      <c r="H30" s="1080">
        <v>11</v>
      </c>
      <c r="I30" s="1081">
        <f t="shared" si="3"/>
        <v>927.52</v>
      </c>
      <c r="J30" s="1080">
        <v>11</v>
      </c>
      <c r="K30" s="1081">
        <f t="shared" si="4"/>
        <v>927.52</v>
      </c>
    </row>
    <row r="31" spans="1:13" ht="15">
      <c r="A31" s="1080">
        <v>12</v>
      </c>
      <c r="B31" s="1825" t="s">
        <v>110</v>
      </c>
      <c r="C31" s="1826">
        <v>7130830006</v>
      </c>
      <c r="D31" s="1080" t="s">
        <v>26</v>
      </c>
      <c r="E31" s="1081">
        <f>VLOOKUP(C31,'SOR RATE'!A:D,4,0)</f>
        <v>201.5</v>
      </c>
      <c r="F31" s="1080">
        <v>3.5</v>
      </c>
      <c r="G31" s="1081">
        <f t="shared" si="2"/>
        <v>705.25</v>
      </c>
      <c r="H31" s="1080">
        <v>3.5</v>
      </c>
      <c r="I31" s="1081">
        <f t="shared" si="3"/>
        <v>705.25</v>
      </c>
      <c r="J31" s="1080">
        <v>3.5</v>
      </c>
      <c r="K31" s="1081">
        <f t="shared" si="4"/>
        <v>705.25</v>
      </c>
    </row>
    <row r="32" spans="1:13" ht="15">
      <c r="A32" s="1080">
        <v>13</v>
      </c>
      <c r="B32" s="1825" t="s">
        <v>30</v>
      </c>
      <c r="C32" s="1826">
        <v>7130210809</v>
      </c>
      <c r="D32" s="1080" t="s">
        <v>29</v>
      </c>
      <c r="E32" s="1081">
        <f>VLOOKUP(C32,'SOR RATE'!A:D,4,0)</f>
        <v>432.63</v>
      </c>
      <c r="F32" s="1080">
        <v>1.5</v>
      </c>
      <c r="G32" s="1081">
        <f t="shared" si="2"/>
        <v>648.94499999999994</v>
      </c>
      <c r="H32" s="1080">
        <v>1.5</v>
      </c>
      <c r="I32" s="1081">
        <f t="shared" si="3"/>
        <v>648.94499999999994</v>
      </c>
      <c r="J32" s="1080">
        <v>1.5</v>
      </c>
      <c r="K32" s="1081">
        <f t="shared" si="4"/>
        <v>648.94499999999994</v>
      </c>
    </row>
    <row r="33" spans="1:14" ht="15">
      <c r="A33" s="1080">
        <v>14</v>
      </c>
      <c r="B33" s="1825" t="s">
        <v>78</v>
      </c>
      <c r="C33" s="1826">
        <v>7130211158</v>
      </c>
      <c r="D33" s="1080" t="s">
        <v>29</v>
      </c>
      <c r="E33" s="1081">
        <f>VLOOKUP(C33,'SOR RATE'!A:D,4,0)</f>
        <v>193.62</v>
      </c>
      <c r="F33" s="1080">
        <v>1.5</v>
      </c>
      <c r="G33" s="1081">
        <f t="shared" si="2"/>
        <v>290.43</v>
      </c>
      <c r="H33" s="1080">
        <v>1.5</v>
      </c>
      <c r="I33" s="1081">
        <f t="shared" si="3"/>
        <v>290.43</v>
      </c>
      <c r="J33" s="1080">
        <v>1.5</v>
      </c>
      <c r="K33" s="1081">
        <f t="shared" si="4"/>
        <v>290.43</v>
      </c>
    </row>
    <row r="34" spans="1:14" ht="15">
      <c r="A34" s="1080">
        <v>15</v>
      </c>
      <c r="B34" s="1825" t="s">
        <v>1773</v>
      </c>
      <c r="C34" s="1826">
        <v>7130870043</v>
      </c>
      <c r="D34" s="1080" t="s">
        <v>26</v>
      </c>
      <c r="E34" s="1081">
        <f>VLOOKUP(C34,'SOR RATE'!A:D,4,0)/1000</f>
        <v>80.521839999999997</v>
      </c>
      <c r="F34" s="1080">
        <v>6</v>
      </c>
      <c r="G34" s="1081">
        <f t="shared" si="2"/>
        <v>483.13103999999998</v>
      </c>
      <c r="H34" s="1080">
        <v>6</v>
      </c>
      <c r="I34" s="1081">
        <f t="shared" si="3"/>
        <v>483.13103999999998</v>
      </c>
      <c r="J34" s="1080">
        <v>6</v>
      </c>
      <c r="K34" s="1081">
        <f t="shared" si="4"/>
        <v>483.13103999999998</v>
      </c>
    </row>
    <row r="35" spans="1:14" ht="32.25" customHeight="1">
      <c r="A35" s="959">
        <v>16</v>
      </c>
      <c r="B35" s="1074" t="s">
        <v>48</v>
      </c>
      <c r="C35" s="959"/>
      <c r="D35" s="959"/>
      <c r="E35" s="959"/>
      <c r="F35" s="959"/>
      <c r="G35" s="1837">
        <f>SUM(G10:G34)</f>
        <v>179498.43815999999</v>
      </c>
      <c r="H35" s="1837"/>
      <c r="I35" s="1837">
        <f>SUM(I10:I34)</f>
        <v>160283.44826</v>
      </c>
      <c r="J35" s="1837"/>
      <c r="K35" s="1837">
        <f>SUM(K10:K34)</f>
        <v>143641.16146000003</v>
      </c>
      <c r="L35" s="608"/>
      <c r="M35" s="108"/>
    </row>
    <row r="36" spans="1:14" ht="32.25" customHeight="1">
      <c r="A36" s="1838">
        <v>17</v>
      </c>
      <c r="B36" s="1074" t="s">
        <v>49</v>
      </c>
      <c r="C36" s="959"/>
      <c r="D36" s="959"/>
      <c r="E36" s="959"/>
      <c r="F36" s="959"/>
      <c r="G36" s="1837">
        <f>G35/1.18</f>
        <v>152117.32047457626</v>
      </c>
      <c r="H36" s="1837"/>
      <c r="I36" s="1837">
        <f>I35/1.18</f>
        <v>135833.43072881358</v>
      </c>
      <c r="J36" s="1837"/>
      <c r="K36" s="1837">
        <f>K35/1.18</f>
        <v>121729.79784745767</v>
      </c>
      <c r="L36" s="85"/>
      <c r="M36" s="108"/>
    </row>
    <row r="37" spans="1:14" ht="30.75" customHeight="1">
      <c r="A37" s="1835">
        <v>18</v>
      </c>
      <c r="B37" s="1051" t="s">
        <v>50</v>
      </c>
      <c r="C37" s="1825"/>
      <c r="D37" s="1825"/>
      <c r="E37" s="1080">
        <v>7.4999999999999997E-2</v>
      </c>
      <c r="F37" s="1080"/>
      <c r="G37" s="1081">
        <f>G35*E37</f>
        <v>13462.382861999999</v>
      </c>
      <c r="H37" s="1081"/>
      <c r="I37" s="1081">
        <f>I35*E37</f>
        <v>12021.2586195</v>
      </c>
      <c r="J37" s="1081"/>
      <c r="K37" s="1081">
        <f>K35*E37</f>
        <v>10773.087109500002</v>
      </c>
      <c r="L37" s="87"/>
      <c r="M37" s="364"/>
    </row>
    <row r="38" spans="1:14" ht="33.75" customHeight="1">
      <c r="A38" s="918">
        <v>19</v>
      </c>
      <c r="B38" s="1840" t="s">
        <v>1763</v>
      </c>
      <c r="C38" s="918"/>
      <c r="D38" s="918" t="s">
        <v>12</v>
      </c>
      <c r="E38" s="1054">
        <f>229.365334460327*1.043</f>
        <v>239.22804384212105</v>
      </c>
      <c r="F38" s="918">
        <v>17</v>
      </c>
      <c r="G38" s="1054">
        <f>F38*E38</f>
        <v>4066.8767453160581</v>
      </c>
      <c r="H38" s="918">
        <v>17</v>
      </c>
      <c r="I38" s="1054">
        <f>H38*E38</f>
        <v>4066.8767453160581</v>
      </c>
      <c r="J38" s="918">
        <v>17</v>
      </c>
      <c r="K38" s="1054">
        <f>J38*E38</f>
        <v>4066.8767453160581</v>
      </c>
      <c r="L38" s="608"/>
      <c r="M38" s="526"/>
      <c r="N38" s="804"/>
    </row>
    <row r="39" spans="1:14" ht="21" customHeight="1">
      <c r="A39" s="918">
        <v>20</v>
      </c>
      <c r="B39" s="1840" t="s">
        <v>1743</v>
      </c>
      <c r="C39" s="918"/>
      <c r="D39" s="918"/>
      <c r="E39" s="1054"/>
      <c r="F39" s="918"/>
      <c r="G39" s="1054">
        <v>56190.42</v>
      </c>
      <c r="H39" s="918"/>
      <c r="I39" s="1054">
        <f>+G39</f>
        <v>56190.42</v>
      </c>
      <c r="J39" s="918"/>
      <c r="K39" s="1054">
        <f>+I39</f>
        <v>56190.42</v>
      </c>
      <c r="L39" s="608"/>
      <c r="M39" s="526"/>
      <c r="N39" s="1824"/>
    </row>
    <row r="40" spans="1:14" ht="32.25" customHeight="1">
      <c r="A40" s="918">
        <v>21</v>
      </c>
      <c r="B40" s="1840" t="s">
        <v>1807</v>
      </c>
      <c r="C40" s="918"/>
      <c r="D40" s="918"/>
      <c r="E40" s="1054"/>
      <c r="F40" s="918"/>
      <c r="G40" s="1081">
        <f>G36*0.04</f>
        <v>6084.6928189830505</v>
      </c>
      <c r="H40" s="918"/>
      <c r="I40" s="1081">
        <f>I36*0.04</f>
        <v>5433.3372291525429</v>
      </c>
      <c r="J40" s="918"/>
      <c r="K40" s="1081">
        <f>K36*0.04</f>
        <v>4869.1919138983067</v>
      </c>
      <c r="L40" s="814" t="s">
        <v>1827</v>
      </c>
      <c r="M40" s="82"/>
      <c r="N40" s="372"/>
    </row>
    <row r="41" spans="1:14" ht="48" customHeight="1">
      <c r="A41" s="918">
        <v>22</v>
      </c>
      <c r="B41" s="1841" t="s">
        <v>1744</v>
      </c>
      <c r="C41" s="918"/>
      <c r="D41" s="918"/>
      <c r="E41" s="1054"/>
      <c r="F41" s="918"/>
      <c r="G41" s="1081">
        <f>(G35+G37+G38+G39+G40)*0.125</f>
        <v>32412.851323287388</v>
      </c>
      <c r="H41" s="918"/>
      <c r="I41" s="1081">
        <f>(I35+I37+I38+I39+I40)*0.125</f>
        <v>29749.417606746076</v>
      </c>
      <c r="J41" s="918"/>
      <c r="K41" s="1081">
        <f>(K35+K37+K38+K39+K40)*0.125</f>
        <v>27442.592153589296</v>
      </c>
      <c r="L41" s="372"/>
      <c r="M41" s="82"/>
      <c r="N41" s="372"/>
    </row>
    <row r="42" spans="1:14" ht="33" customHeight="1">
      <c r="A42" s="958">
        <v>23</v>
      </c>
      <c r="B42" s="1842" t="s">
        <v>219</v>
      </c>
      <c r="C42" s="918"/>
      <c r="D42" s="918"/>
      <c r="E42" s="1054"/>
      <c r="F42" s="918"/>
      <c r="G42" s="356">
        <f>SUM(G36:G41)</f>
        <v>264334.54422416276</v>
      </c>
      <c r="H42" s="958"/>
      <c r="I42" s="356">
        <f>SUM(I36:I41)</f>
        <v>243294.74092952823</v>
      </c>
      <c r="J42" s="958"/>
      <c r="K42" s="356">
        <f>SUM(K36:K41)</f>
        <v>225071.96576976133</v>
      </c>
      <c r="L42" s="608"/>
    </row>
    <row r="43" spans="1:14" ht="18.75" customHeight="1">
      <c r="A43" s="918">
        <v>24</v>
      </c>
      <c r="B43" s="1051" t="s">
        <v>85</v>
      </c>
      <c r="C43" s="918"/>
      <c r="D43" s="918"/>
      <c r="E43" s="1054">
        <v>0.09</v>
      </c>
      <c r="F43" s="918"/>
      <c r="G43" s="1054">
        <f>G42*E43</f>
        <v>23790.108980174649</v>
      </c>
      <c r="H43" s="918"/>
      <c r="I43" s="1054">
        <f>I42*E43</f>
        <v>21896.526683657539</v>
      </c>
      <c r="J43" s="918"/>
      <c r="K43" s="1054">
        <f>K42*E43</f>
        <v>20256.476919278521</v>
      </c>
      <c r="L43" s="608"/>
    </row>
    <row r="44" spans="1:14" ht="19.5" customHeight="1">
      <c r="A44" s="918">
        <v>25</v>
      </c>
      <c r="B44" s="1051" t="s">
        <v>86</v>
      </c>
      <c r="C44" s="918"/>
      <c r="D44" s="918"/>
      <c r="E44" s="1054">
        <v>0.09</v>
      </c>
      <c r="F44" s="918"/>
      <c r="G44" s="1054">
        <f>G42*E44</f>
        <v>23790.108980174649</v>
      </c>
      <c r="H44" s="918"/>
      <c r="I44" s="1054">
        <f>I42*E44</f>
        <v>21896.526683657539</v>
      </c>
      <c r="J44" s="918"/>
      <c r="K44" s="1054">
        <f>K42*E44</f>
        <v>20256.476919278521</v>
      </c>
      <c r="L44" s="378"/>
    </row>
    <row r="45" spans="1:14" ht="29.25" customHeight="1">
      <c r="A45" s="918">
        <v>26</v>
      </c>
      <c r="B45" s="1820" t="s">
        <v>87</v>
      </c>
      <c r="C45" s="918"/>
      <c r="D45" s="918"/>
      <c r="E45" s="1054"/>
      <c r="F45" s="918"/>
      <c r="G45" s="1054">
        <f>G42+G43+G44</f>
        <v>311914.76218451204</v>
      </c>
      <c r="H45" s="1054"/>
      <c r="I45" s="1054">
        <f>I42+I43+I44</f>
        <v>287087.79429684329</v>
      </c>
      <c r="J45" s="1054"/>
      <c r="K45" s="1054">
        <f>K42+K43+K44</f>
        <v>265584.91960831836</v>
      </c>
      <c r="L45" s="608"/>
    </row>
    <row r="46" spans="1:14" ht="34.5" customHeight="1">
      <c r="A46" s="958">
        <v>27</v>
      </c>
      <c r="B46" s="1823" t="s">
        <v>59</v>
      </c>
      <c r="C46" s="958"/>
      <c r="D46" s="958"/>
      <c r="E46" s="356"/>
      <c r="F46" s="958"/>
      <c r="G46" s="1837">
        <f>ROUND(G45,0)</f>
        <v>311915</v>
      </c>
      <c r="H46" s="958"/>
      <c r="I46" s="1837">
        <f>ROUND(I45,0)</f>
        <v>287088</v>
      </c>
      <c r="J46" s="958"/>
      <c r="K46" s="1837">
        <f>ROUND(K45,0)</f>
        <v>265585</v>
      </c>
      <c r="L46" s="608"/>
    </row>
    <row r="47" spans="1:14" ht="15">
      <c r="A47" s="113"/>
      <c r="B47" s="108"/>
      <c r="C47" s="108"/>
      <c r="D47" s="108"/>
      <c r="E47" s="108"/>
      <c r="F47" s="108"/>
      <c r="G47" s="108"/>
      <c r="H47" s="108"/>
      <c r="I47" s="108"/>
      <c r="J47" s="108"/>
      <c r="K47" s="108"/>
    </row>
    <row r="48" spans="1:14" ht="15.75">
      <c r="A48" s="610" t="s">
        <v>88</v>
      </c>
      <c r="B48" s="611" t="s">
        <v>61</v>
      </c>
      <c r="C48" s="611"/>
      <c r="D48" s="611"/>
      <c r="E48" s="611"/>
      <c r="F48" s="611"/>
      <c r="G48" s="815"/>
      <c r="H48" s="108"/>
      <c r="I48" s="815"/>
      <c r="J48" s="108"/>
      <c r="K48" s="815"/>
    </row>
    <row r="49" spans="1:11" ht="18">
      <c r="A49" s="614" t="s">
        <v>62</v>
      </c>
      <c r="B49" s="622" t="s">
        <v>63</v>
      </c>
      <c r="C49" s="108"/>
      <c r="D49" s="108"/>
      <c r="E49" s="108"/>
      <c r="F49" s="108"/>
      <c r="G49" s="108"/>
      <c r="H49" s="108"/>
      <c r="I49" s="108"/>
      <c r="J49" s="108"/>
      <c r="K49" s="108"/>
    </row>
  </sheetData>
  <mergeCells count="15">
    <mergeCell ref="J5:K7"/>
    <mergeCell ref="A15:A18"/>
    <mergeCell ref="A19:A22"/>
    <mergeCell ref="A23:A24"/>
    <mergeCell ref="L24:M24"/>
    <mergeCell ref="A27:A30"/>
    <mergeCell ref="C1:H1"/>
    <mergeCell ref="B3:I3"/>
    <mergeCell ref="A5:A8"/>
    <mergeCell ref="B5:B8"/>
    <mergeCell ref="C5:C8"/>
    <mergeCell ref="D5:D8"/>
    <mergeCell ref="E5:E8"/>
    <mergeCell ref="F5:G7"/>
    <mergeCell ref="H5:I7"/>
  </mergeCells>
  <conditionalFormatting sqref="B35">
    <cfRule type="cellIs" dxfId="44" priority="2" stopIfTrue="1" operator="equal">
      <formula>"?"</formula>
    </cfRule>
  </conditionalFormatting>
  <conditionalFormatting sqref="B36">
    <cfRule type="cellIs" dxfId="43" priority="1" stopIfTrue="1" operator="equal">
      <formula>"?"</formula>
    </cfRule>
  </conditionalFormatting>
  <printOptions horizontalCentered="1" gridLines="1"/>
  <pageMargins left="0.78" right="0.13" top="0.64" bottom="0.23" header="0.34" footer="0.14000000000000001"/>
  <pageSetup paperSize="9" scale="92" fitToHeight="2" orientation="landscape" r:id="rId1"/>
  <headerFooter alignWithMargins="0"/>
  <rowBreaks count="1" manualBreakCount="1">
    <brk id="29"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9"/>
  <sheetViews>
    <sheetView workbookViewId="0">
      <pane xSplit="3" ySplit="6" topLeftCell="D31" activePane="bottomRight" state="frozen"/>
      <selection pane="topRight" activeCell="D1" sqref="D1"/>
      <selection pane="bottomLeft" activeCell="A7" sqref="A7"/>
      <selection pane="bottomRight" activeCell="H25" sqref="H25"/>
    </sheetView>
  </sheetViews>
  <sheetFormatPr defaultRowHeight="12.75"/>
  <cols>
    <col min="1" max="1" width="5.7109375" style="343" customWidth="1"/>
    <col min="2" max="2" width="40.42578125" style="4" customWidth="1"/>
    <col min="3" max="3" width="13.5703125" style="4" customWidth="1"/>
    <col min="4" max="4" width="8.7109375" style="4" customWidth="1"/>
    <col min="5" max="5" width="6.7109375" style="4" bestFit="1" customWidth="1"/>
    <col min="6" max="6" width="10.28515625" style="4" customWidth="1"/>
    <col min="7" max="7" width="13.140625" style="4" bestFit="1" customWidth="1"/>
    <col min="8" max="8" width="26" style="4" customWidth="1"/>
    <col min="9" max="9" width="19" style="4" customWidth="1"/>
    <col min="10" max="10" width="14.42578125" style="4" customWidth="1"/>
    <col min="11" max="11" width="11.85546875" style="4" customWidth="1"/>
    <col min="12" max="256" width="9.140625" style="4"/>
    <col min="257" max="257" width="5.7109375" style="4" customWidth="1"/>
    <col min="258" max="258" width="40.42578125" style="4" customWidth="1"/>
    <col min="259" max="259" width="13.5703125" style="4" customWidth="1"/>
    <col min="260" max="260" width="8.7109375" style="4" customWidth="1"/>
    <col min="261" max="261" width="6.7109375" style="4" bestFit="1" customWidth="1"/>
    <col min="262" max="262" width="10.28515625" style="4" customWidth="1"/>
    <col min="263" max="263" width="13.140625" style="4" bestFit="1" customWidth="1"/>
    <col min="264" max="264" width="26" style="4" customWidth="1"/>
    <col min="265" max="265" width="13.85546875" style="4" customWidth="1"/>
    <col min="266" max="266" width="14.42578125" style="4" customWidth="1"/>
    <col min="267" max="267" width="11.85546875" style="4" customWidth="1"/>
    <col min="268" max="512" width="9.140625" style="4"/>
    <col min="513" max="513" width="5.7109375" style="4" customWidth="1"/>
    <col min="514" max="514" width="40.42578125" style="4" customWidth="1"/>
    <col min="515" max="515" width="13.5703125" style="4" customWidth="1"/>
    <col min="516" max="516" width="8.7109375" style="4" customWidth="1"/>
    <col min="517" max="517" width="6.7109375" style="4" bestFit="1" customWidth="1"/>
    <col min="518" max="518" width="10.28515625" style="4" customWidth="1"/>
    <col min="519" max="519" width="13.140625" style="4" bestFit="1" customWidth="1"/>
    <col min="520" max="520" width="26" style="4" customWidth="1"/>
    <col min="521" max="521" width="13.85546875" style="4" customWidth="1"/>
    <col min="522" max="522" width="14.42578125" style="4" customWidth="1"/>
    <col min="523" max="523" width="11.85546875" style="4" customWidth="1"/>
    <col min="524" max="768" width="9.140625" style="4"/>
    <col min="769" max="769" width="5.7109375" style="4" customWidth="1"/>
    <col min="770" max="770" width="40.42578125" style="4" customWidth="1"/>
    <col min="771" max="771" width="13.5703125" style="4" customWidth="1"/>
    <col min="772" max="772" width="8.7109375" style="4" customWidth="1"/>
    <col min="773" max="773" width="6.7109375" style="4" bestFit="1" customWidth="1"/>
    <col min="774" max="774" width="10.28515625" style="4" customWidth="1"/>
    <col min="775" max="775" width="13.140625" style="4" bestFit="1" customWidth="1"/>
    <col min="776" max="776" width="26" style="4" customWidth="1"/>
    <col min="777" max="777" width="13.85546875" style="4" customWidth="1"/>
    <col min="778" max="778" width="14.42578125" style="4" customWidth="1"/>
    <col min="779" max="779" width="11.85546875" style="4" customWidth="1"/>
    <col min="780" max="1024" width="9.140625" style="4"/>
    <col min="1025" max="1025" width="5.7109375" style="4" customWidth="1"/>
    <col min="1026" max="1026" width="40.42578125" style="4" customWidth="1"/>
    <col min="1027" max="1027" width="13.5703125" style="4" customWidth="1"/>
    <col min="1028" max="1028" width="8.7109375" style="4" customWidth="1"/>
    <col min="1029" max="1029" width="6.7109375" style="4" bestFit="1" customWidth="1"/>
    <col min="1030" max="1030" width="10.28515625" style="4" customWidth="1"/>
    <col min="1031" max="1031" width="13.140625" style="4" bestFit="1" customWidth="1"/>
    <col min="1032" max="1032" width="26" style="4" customWidth="1"/>
    <col min="1033" max="1033" width="13.85546875" style="4" customWidth="1"/>
    <col min="1034" max="1034" width="14.42578125" style="4" customWidth="1"/>
    <col min="1035" max="1035" width="11.85546875" style="4" customWidth="1"/>
    <col min="1036" max="1280" width="9.140625" style="4"/>
    <col min="1281" max="1281" width="5.7109375" style="4" customWidth="1"/>
    <col min="1282" max="1282" width="40.42578125" style="4" customWidth="1"/>
    <col min="1283" max="1283" width="13.5703125" style="4" customWidth="1"/>
    <col min="1284" max="1284" width="8.7109375" style="4" customWidth="1"/>
    <col min="1285" max="1285" width="6.7109375" style="4" bestFit="1" customWidth="1"/>
    <col min="1286" max="1286" width="10.28515625" style="4" customWidth="1"/>
    <col min="1287" max="1287" width="13.140625" style="4" bestFit="1" customWidth="1"/>
    <col min="1288" max="1288" width="26" style="4" customWidth="1"/>
    <col min="1289" max="1289" width="13.85546875" style="4" customWidth="1"/>
    <col min="1290" max="1290" width="14.42578125" style="4" customWidth="1"/>
    <col min="1291" max="1291" width="11.85546875" style="4" customWidth="1"/>
    <col min="1292" max="1536" width="9.140625" style="4"/>
    <col min="1537" max="1537" width="5.7109375" style="4" customWidth="1"/>
    <col min="1538" max="1538" width="40.42578125" style="4" customWidth="1"/>
    <col min="1539" max="1539" width="13.5703125" style="4" customWidth="1"/>
    <col min="1540" max="1540" width="8.7109375" style="4" customWidth="1"/>
    <col min="1541" max="1541" width="6.7109375" style="4" bestFit="1" customWidth="1"/>
    <col min="1542" max="1542" width="10.28515625" style="4" customWidth="1"/>
    <col min="1543" max="1543" width="13.140625" style="4" bestFit="1" customWidth="1"/>
    <col min="1544" max="1544" width="26" style="4" customWidth="1"/>
    <col min="1545" max="1545" width="13.85546875" style="4" customWidth="1"/>
    <col min="1546" max="1546" width="14.42578125" style="4" customWidth="1"/>
    <col min="1547" max="1547" width="11.85546875" style="4" customWidth="1"/>
    <col min="1548" max="1792" width="9.140625" style="4"/>
    <col min="1793" max="1793" width="5.7109375" style="4" customWidth="1"/>
    <col min="1794" max="1794" width="40.42578125" style="4" customWidth="1"/>
    <col min="1795" max="1795" width="13.5703125" style="4" customWidth="1"/>
    <col min="1796" max="1796" width="8.7109375" style="4" customWidth="1"/>
    <col min="1797" max="1797" width="6.7109375" style="4" bestFit="1" customWidth="1"/>
    <col min="1798" max="1798" width="10.28515625" style="4" customWidth="1"/>
    <col min="1799" max="1799" width="13.140625" style="4" bestFit="1" customWidth="1"/>
    <col min="1800" max="1800" width="26" style="4" customWidth="1"/>
    <col min="1801" max="1801" width="13.85546875" style="4" customWidth="1"/>
    <col min="1802" max="1802" width="14.42578125" style="4" customWidth="1"/>
    <col min="1803" max="1803" width="11.85546875" style="4" customWidth="1"/>
    <col min="1804" max="2048" width="9.140625" style="4"/>
    <col min="2049" max="2049" width="5.7109375" style="4" customWidth="1"/>
    <col min="2050" max="2050" width="40.42578125" style="4" customWidth="1"/>
    <col min="2051" max="2051" width="13.5703125" style="4" customWidth="1"/>
    <col min="2052" max="2052" width="8.7109375" style="4" customWidth="1"/>
    <col min="2053" max="2053" width="6.7109375" style="4" bestFit="1" customWidth="1"/>
    <col min="2054" max="2054" width="10.28515625" style="4" customWidth="1"/>
    <col min="2055" max="2055" width="13.140625" style="4" bestFit="1" customWidth="1"/>
    <col min="2056" max="2056" width="26" style="4" customWidth="1"/>
    <col min="2057" max="2057" width="13.85546875" style="4" customWidth="1"/>
    <col min="2058" max="2058" width="14.42578125" style="4" customWidth="1"/>
    <col min="2059" max="2059" width="11.85546875" style="4" customWidth="1"/>
    <col min="2060" max="2304" width="9.140625" style="4"/>
    <col min="2305" max="2305" width="5.7109375" style="4" customWidth="1"/>
    <col min="2306" max="2306" width="40.42578125" style="4" customWidth="1"/>
    <col min="2307" max="2307" width="13.5703125" style="4" customWidth="1"/>
    <col min="2308" max="2308" width="8.7109375" style="4" customWidth="1"/>
    <col min="2309" max="2309" width="6.7109375" style="4" bestFit="1" customWidth="1"/>
    <col min="2310" max="2310" width="10.28515625" style="4" customWidth="1"/>
    <col min="2311" max="2311" width="13.140625" style="4" bestFit="1" customWidth="1"/>
    <col min="2312" max="2312" width="26" style="4" customWidth="1"/>
    <col min="2313" max="2313" width="13.85546875" style="4" customWidth="1"/>
    <col min="2314" max="2314" width="14.42578125" style="4" customWidth="1"/>
    <col min="2315" max="2315" width="11.85546875" style="4" customWidth="1"/>
    <col min="2316" max="2560" width="9.140625" style="4"/>
    <col min="2561" max="2561" width="5.7109375" style="4" customWidth="1"/>
    <col min="2562" max="2562" width="40.42578125" style="4" customWidth="1"/>
    <col min="2563" max="2563" width="13.5703125" style="4" customWidth="1"/>
    <col min="2564" max="2564" width="8.7109375" style="4" customWidth="1"/>
    <col min="2565" max="2565" width="6.7109375" style="4" bestFit="1" customWidth="1"/>
    <col min="2566" max="2566" width="10.28515625" style="4" customWidth="1"/>
    <col min="2567" max="2567" width="13.140625" style="4" bestFit="1" customWidth="1"/>
    <col min="2568" max="2568" width="26" style="4" customWidth="1"/>
    <col min="2569" max="2569" width="13.85546875" style="4" customWidth="1"/>
    <col min="2570" max="2570" width="14.42578125" style="4" customWidth="1"/>
    <col min="2571" max="2571" width="11.85546875" style="4" customWidth="1"/>
    <col min="2572" max="2816" width="9.140625" style="4"/>
    <col min="2817" max="2817" width="5.7109375" style="4" customWidth="1"/>
    <col min="2818" max="2818" width="40.42578125" style="4" customWidth="1"/>
    <col min="2819" max="2819" width="13.5703125" style="4" customWidth="1"/>
    <col min="2820" max="2820" width="8.7109375" style="4" customWidth="1"/>
    <col min="2821" max="2821" width="6.7109375" style="4" bestFit="1" customWidth="1"/>
    <col min="2822" max="2822" width="10.28515625" style="4" customWidth="1"/>
    <col min="2823" max="2823" width="13.140625" style="4" bestFit="1" customWidth="1"/>
    <col min="2824" max="2824" width="26" style="4" customWidth="1"/>
    <col min="2825" max="2825" width="13.85546875" style="4" customWidth="1"/>
    <col min="2826" max="2826" width="14.42578125" style="4" customWidth="1"/>
    <col min="2827" max="2827" width="11.85546875" style="4" customWidth="1"/>
    <col min="2828" max="3072" width="9.140625" style="4"/>
    <col min="3073" max="3073" width="5.7109375" style="4" customWidth="1"/>
    <col min="3074" max="3074" width="40.42578125" style="4" customWidth="1"/>
    <col min="3075" max="3075" width="13.5703125" style="4" customWidth="1"/>
    <col min="3076" max="3076" width="8.7109375" style="4" customWidth="1"/>
    <col min="3077" max="3077" width="6.7109375" style="4" bestFit="1" customWidth="1"/>
    <col min="3078" max="3078" width="10.28515625" style="4" customWidth="1"/>
    <col min="3079" max="3079" width="13.140625" style="4" bestFit="1" customWidth="1"/>
    <col min="3080" max="3080" width="26" style="4" customWidth="1"/>
    <col min="3081" max="3081" width="13.85546875" style="4" customWidth="1"/>
    <col min="3082" max="3082" width="14.42578125" style="4" customWidth="1"/>
    <col min="3083" max="3083" width="11.85546875" style="4" customWidth="1"/>
    <col min="3084" max="3328" width="9.140625" style="4"/>
    <col min="3329" max="3329" width="5.7109375" style="4" customWidth="1"/>
    <col min="3330" max="3330" width="40.42578125" style="4" customWidth="1"/>
    <col min="3331" max="3331" width="13.5703125" style="4" customWidth="1"/>
    <col min="3332" max="3332" width="8.7109375" style="4" customWidth="1"/>
    <col min="3333" max="3333" width="6.7109375" style="4" bestFit="1" customWidth="1"/>
    <col min="3334" max="3334" width="10.28515625" style="4" customWidth="1"/>
    <col min="3335" max="3335" width="13.140625" style="4" bestFit="1" customWidth="1"/>
    <col min="3336" max="3336" width="26" style="4" customWidth="1"/>
    <col min="3337" max="3337" width="13.85546875" style="4" customWidth="1"/>
    <col min="3338" max="3338" width="14.42578125" style="4" customWidth="1"/>
    <col min="3339" max="3339" width="11.85546875" style="4" customWidth="1"/>
    <col min="3340" max="3584" width="9.140625" style="4"/>
    <col min="3585" max="3585" width="5.7109375" style="4" customWidth="1"/>
    <col min="3586" max="3586" width="40.42578125" style="4" customWidth="1"/>
    <col min="3587" max="3587" width="13.5703125" style="4" customWidth="1"/>
    <col min="3588" max="3588" width="8.7109375" style="4" customWidth="1"/>
    <col min="3589" max="3589" width="6.7109375" style="4" bestFit="1" customWidth="1"/>
    <col min="3590" max="3590" width="10.28515625" style="4" customWidth="1"/>
    <col min="3591" max="3591" width="13.140625" style="4" bestFit="1" customWidth="1"/>
    <col min="3592" max="3592" width="26" style="4" customWidth="1"/>
    <col min="3593" max="3593" width="13.85546875" style="4" customWidth="1"/>
    <col min="3594" max="3594" width="14.42578125" style="4" customWidth="1"/>
    <col min="3595" max="3595" width="11.85546875" style="4" customWidth="1"/>
    <col min="3596" max="3840" width="9.140625" style="4"/>
    <col min="3841" max="3841" width="5.7109375" style="4" customWidth="1"/>
    <col min="3842" max="3842" width="40.42578125" style="4" customWidth="1"/>
    <col min="3843" max="3843" width="13.5703125" style="4" customWidth="1"/>
    <col min="3844" max="3844" width="8.7109375" style="4" customWidth="1"/>
    <col min="3845" max="3845" width="6.7109375" style="4" bestFit="1" customWidth="1"/>
    <col min="3846" max="3846" width="10.28515625" style="4" customWidth="1"/>
    <col min="3847" max="3847" width="13.140625" style="4" bestFit="1" customWidth="1"/>
    <col min="3848" max="3848" width="26" style="4" customWidth="1"/>
    <col min="3849" max="3849" width="13.85546875" style="4" customWidth="1"/>
    <col min="3850" max="3850" width="14.42578125" style="4" customWidth="1"/>
    <col min="3851" max="3851" width="11.85546875" style="4" customWidth="1"/>
    <col min="3852" max="4096" width="9.140625" style="4"/>
    <col min="4097" max="4097" width="5.7109375" style="4" customWidth="1"/>
    <col min="4098" max="4098" width="40.42578125" style="4" customWidth="1"/>
    <col min="4099" max="4099" width="13.5703125" style="4" customWidth="1"/>
    <col min="4100" max="4100" width="8.7109375" style="4" customWidth="1"/>
    <col min="4101" max="4101" width="6.7109375" style="4" bestFit="1" customWidth="1"/>
    <col min="4102" max="4102" width="10.28515625" style="4" customWidth="1"/>
    <col min="4103" max="4103" width="13.140625" style="4" bestFit="1" customWidth="1"/>
    <col min="4104" max="4104" width="26" style="4" customWidth="1"/>
    <col min="4105" max="4105" width="13.85546875" style="4" customWidth="1"/>
    <col min="4106" max="4106" width="14.42578125" style="4" customWidth="1"/>
    <col min="4107" max="4107" width="11.85546875" style="4" customWidth="1"/>
    <col min="4108" max="4352" width="9.140625" style="4"/>
    <col min="4353" max="4353" width="5.7109375" style="4" customWidth="1"/>
    <col min="4354" max="4354" width="40.42578125" style="4" customWidth="1"/>
    <col min="4355" max="4355" width="13.5703125" style="4" customWidth="1"/>
    <col min="4356" max="4356" width="8.7109375" style="4" customWidth="1"/>
    <col min="4357" max="4357" width="6.7109375" style="4" bestFit="1" customWidth="1"/>
    <col min="4358" max="4358" width="10.28515625" style="4" customWidth="1"/>
    <col min="4359" max="4359" width="13.140625" style="4" bestFit="1" customWidth="1"/>
    <col min="4360" max="4360" width="26" style="4" customWidth="1"/>
    <col min="4361" max="4361" width="13.85546875" style="4" customWidth="1"/>
    <col min="4362" max="4362" width="14.42578125" style="4" customWidth="1"/>
    <col min="4363" max="4363" width="11.85546875" style="4" customWidth="1"/>
    <col min="4364" max="4608" width="9.140625" style="4"/>
    <col min="4609" max="4609" width="5.7109375" style="4" customWidth="1"/>
    <col min="4610" max="4610" width="40.42578125" style="4" customWidth="1"/>
    <col min="4611" max="4611" width="13.5703125" style="4" customWidth="1"/>
    <col min="4612" max="4612" width="8.7109375" style="4" customWidth="1"/>
    <col min="4613" max="4613" width="6.7109375" style="4" bestFit="1" customWidth="1"/>
    <col min="4614" max="4614" width="10.28515625" style="4" customWidth="1"/>
    <col min="4615" max="4615" width="13.140625" style="4" bestFit="1" customWidth="1"/>
    <col min="4616" max="4616" width="26" style="4" customWidth="1"/>
    <col min="4617" max="4617" width="13.85546875" style="4" customWidth="1"/>
    <col min="4618" max="4618" width="14.42578125" style="4" customWidth="1"/>
    <col min="4619" max="4619" width="11.85546875" style="4" customWidth="1"/>
    <col min="4620" max="4864" width="9.140625" style="4"/>
    <col min="4865" max="4865" width="5.7109375" style="4" customWidth="1"/>
    <col min="4866" max="4866" width="40.42578125" style="4" customWidth="1"/>
    <col min="4867" max="4867" width="13.5703125" style="4" customWidth="1"/>
    <col min="4868" max="4868" width="8.7109375" style="4" customWidth="1"/>
    <col min="4869" max="4869" width="6.7109375" style="4" bestFit="1" customWidth="1"/>
    <col min="4870" max="4870" width="10.28515625" style="4" customWidth="1"/>
    <col min="4871" max="4871" width="13.140625" style="4" bestFit="1" customWidth="1"/>
    <col min="4872" max="4872" width="26" style="4" customWidth="1"/>
    <col min="4873" max="4873" width="13.85546875" style="4" customWidth="1"/>
    <col min="4874" max="4874" width="14.42578125" style="4" customWidth="1"/>
    <col min="4875" max="4875" width="11.85546875" style="4" customWidth="1"/>
    <col min="4876" max="5120" width="9.140625" style="4"/>
    <col min="5121" max="5121" width="5.7109375" style="4" customWidth="1"/>
    <col min="5122" max="5122" width="40.42578125" style="4" customWidth="1"/>
    <col min="5123" max="5123" width="13.5703125" style="4" customWidth="1"/>
    <col min="5124" max="5124" width="8.7109375" style="4" customWidth="1"/>
    <col min="5125" max="5125" width="6.7109375" style="4" bestFit="1" customWidth="1"/>
    <col min="5126" max="5126" width="10.28515625" style="4" customWidth="1"/>
    <col min="5127" max="5127" width="13.140625" style="4" bestFit="1" customWidth="1"/>
    <col min="5128" max="5128" width="26" style="4" customWidth="1"/>
    <col min="5129" max="5129" width="13.85546875" style="4" customWidth="1"/>
    <col min="5130" max="5130" width="14.42578125" style="4" customWidth="1"/>
    <col min="5131" max="5131" width="11.85546875" style="4" customWidth="1"/>
    <col min="5132" max="5376" width="9.140625" style="4"/>
    <col min="5377" max="5377" width="5.7109375" style="4" customWidth="1"/>
    <col min="5378" max="5378" width="40.42578125" style="4" customWidth="1"/>
    <col min="5379" max="5379" width="13.5703125" style="4" customWidth="1"/>
    <col min="5380" max="5380" width="8.7109375" style="4" customWidth="1"/>
    <col min="5381" max="5381" width="6.7109375" style="4" bestFit="1" customWidth="1"/>
    <col min="5382" max="5382" width="10.28515625" style="4" customWidth="1"/>
    <col min="5383" max="5383" width="13.140625" style="4" bestFit="1" customWidth="1"/>
    <col min="5384" max="5384" width="26" style="4" customWidth="1"/>
    <col min="5385" max="5385" width="13.85546875" style="4" customWidth="1"/>
    <col min="5386" max="5386" width="14.42578125" style="4" customWidth="1"/>
    <col min="5387" max="5387" width="11.85546875" style="4" customWidth="1"/>
    <col min="5388" max="5632" width="9.140625" style="4"/>
    <col min="5633" max="5633" width="5.7109375" style="4" customWidth="1"/>
    <col min="5634" max="5634" width="40.42578125" style="4" customWidth="1"/>
    <col min="5635" max="5635" width="13.5703125" style="4" customWidth="1"/>
    <col min="5636" max="5636" width="8.7109375" style="4" customWidth="1"/>
    <col min="5637" max="5637" width="6.7109375" style="4" bestFit="1" customWidth="1"/>
    <col min="5638" max="5638" width="10.28515625" style="4" customWidth="1"/>
    <col min="5639" max="5639" width="13.140625" style="4" bestFit="1" customWidth="1"/>
    <col min="5640" max="5640" width="26" style="4" customWidth="1"/>
    <col min="5641" max="5641" width="13.85546875" style="4" customWidth="1"/>
    <col min="5642" max="5642" width="14.42578125" style="4" customWidth="1"/>
    <col min="5643" max="5643" width="11.85546875" style="4" customWidth="1"/>
    <col min="5644" max="5888" width="9.140625" style="4"/>
    <col min="5889" max="5889" width="5.7109375" style="4" customWidth="1"/>
    <col min="5890" max="5890" width="40.42578125" style="4" customWidth="1"/>
    <col min="5891" max="5891" width="13.5703125" style="4" customWidth="1"/>
    <col min="5892" max="5892" width="8.7109375" style="4" customWidth="1"/>
    <col min="5893" max="5893" width="6.7109375" style="4" bestFit="1" customWidth="1"/>
    <col min="5894" max="5894" width="10.28515625" style="4" customWidth="1"/>
    <col min="5895" max="5895" width="13.140625" style="4" bestFit="1" customWidth="1"/>
    <col min="5896" max="5896" width="26" style="4" customWidth="1"/>
    <col min="5897" max="5897" width="13.85546875" style="4" customWidth="1"/>
    <col min="5898" max="5898" width="14.42578125" style="4" customWidth="1"/>
    <col min="5899" max="5899" width="11.85546875" style="4" customWidth="1"/>
    <col min="5900" max="6144" width="9.140625" style="4"/>
    <col min="6145" max="6145" width="5.7109375" style="4" customWidth="1"/>
    <col min="6146" max="6146" width="40.42578125" style="4" customWidth="1"/>
    <col min="6147" max="6147" width="13.5703125" style="4" customWidth="1"/>
    <col min="6148" max="6148" width="8.7109375" style="4" customWidth="1"/>
    <col min="6149" max="6149" width="6.7109375" style="4" bestFit="1" customWidth="1"/>
    <col min="6150" max="6150" width="10.28515625" style="4" customWidth="1"/>
    <col min="6151" max="6151" width="13.140625" style="4" bestFit="1" customWidth="1"/>
    <col min="6152" max="6152" width="26" style="4" customWidth="1"/>
    <col min="6153" max="6153" width="13.85546875" style="4" customWidth="1"/>
    <col min="6154" max="6154" width="14.42578125" style="4" customWidth="1"/>
    <col min="6155" max="6155" width="11.85546875" style="4" customWidth="1"/>
    <col min="6156" max="6400" width="9.140625" style="4"/>
    <col min="6401" max="6401" width="5.7109375" style="4" customWidth="1"/>
    <col min="6402" max="6402" width="40.42578125" style="4" customWidth="1"/>
    <col min="6403" max="6403" width="13.5703125" style="4" customWidth="1"/>
    <col min="6404" max="6404" width="8.7109375" style="4" customWidth="1"/>
    <col min="6405" max="6405" width="6.7109375" style="4" bestFit="1" customWidth="1"/>
    <col min="6406" max="6406" width="10.28515625" style="4" customWidth="1"/>
    <col min="6407" max="6407" width="13.140625" style="4" bestFit="1" customWidth="1"/>
    <col min="6408" max="6408" width="26" style="4" customWidth="1"/>
    <col min="6409" max="6409" width="13.85546875" style="4" customWidth="1"/>
    <col min="6410" max="6410" width="14.42578125" style="4" customWidth="1"/>
    <col min="6411" max="6411" width="11.85546875" style="4" customWidth="1"/>
    <col min="6412" max="6656" width="9.140625" style="4"/>
    <col min="6657" max="6657" width="5.7109375" style="4" customWidth="1"/>
    <col min="6658" max="6658" width="40.42578125" style="4" customWidth="1"/>
    <col min="6659" max="6659" width="13.5703125" style="4" customWidth="1"/>
    <col min="6660" max="6660" width="8.7109375" style="4" customWidth="1"/>
    <col min="6661" max="6661" width="6.7109375" style="4" bestFit="1" customWidth="1"/>
    <col min="6662" max="6662" width="10.28515625" style="4" customWidth="1"/>
    <col min="6663" max="6663" width="13.140625" style="4" bestFit="1" customWidth="1"/>
    <col min="6664" max="6664" width="26" style="4" customWidth="1"/>
    <col min="6665" max="6665" width="13.85546875" style="4" customWidth="1"/>
    <col min="6666" max="6666" width="14.42578125" style="4" customWidth="1"/>
    <col min="6667" max="6667" width="11.85546875" style="4" customWidth="1"/>
    <col min="6668" max="6912" width="9.140625" style="4"/>
    <col min="6913" max="6913" width="5.7109375" style="4" customWidth="1"/>
    <col min="6914" max="6914" width="40.42578125" style="4" customWidth="1"/>
    <col min="6915" max="6915" width="13.5703125" style="4" customWidth="1"/>
    <col min="6916" max="6916" width="8.7109375" style="4" customWidth="1"/>
    <col min="6917" max="6917" width="6.7109375" style="4" bestFit="1" customWidth="1"/>
    <col min="6918" max="6918" width="10.28515625" style="4" customWidth="1"/>
    <col min="6919" max="6919" width="13.140625" style="4" bestFit="1" customWidth="1"/>
    <col min="6920" max="6920" width="26" style="4" customWidth="1"/>
    <col min="6921" max="6921" width="13.85546875" style="4" customWidth="1"/>
    <col min="6922" max="6922" width="14.42578125" style="4" customWidth="1"/>
    <col min="6923" max="6923" width="11.85546875" style="4" customWidth="1"/>
    <col min="6924" max="7168" width="9.140625" style="4"/>
    <col min="7169" max="7169" width="5.7109375" style="4" customWidth="1"/>
    <col min="7170" max="7170" width="40.42578125" style="4" customWidth="1"/>
    <col min="7171" max="7171" width="13.5703125" style="4" customWidth="1"/>
    <col min="7172" max="7172" width="8.7109375" style="4" customWidth="1"/>
    <col min="7173" max="7173" width="6.7109375" style="4" bestFit="1" customWidth="1"/>
    <col min="7174" max="7174" width="10.28515625" style="4" customWidth="1"/>
    <col min="7175" max="7175" width="13.140625" style="4" bestFit="1" customWidth="1"/>
    <col min="7176" max="7176" width="26" style="4" customWidth="1"/>
    <col min="7177" max="7177" width="13.85546875" style="4" customWidth="1"/>
    <col min="7178" max="7178" width="14.42578125" style="4" customWidth="1"/>
    <col min="7179" max="7179" width="11.85546875" style="4" customWidth="1"/>
    <col min="7180" max="7424" width="9.140625" style="4"/>
    <col min="7425" max="7425" width="5.7109375" style="4" customWidth="1"/>
    <col min="7426" max="7426" width="40.42578125" style="4" customWidth="1"/>
    <col min="7427" max="7427" width="13.5703125" style="4" customWidth="1"/>
    <col min="7428" max="7428" width="8.7109375" style="4" customWidth="1"/>
    <col min="7429" max="7429" width="6.7109375" style="4" bestFit="1" customWidth="1"/>
    <col min="7430" max="7430" width="10.28515625" style="4" customWidth="1"/>
    <col min="7431" max="7431" width="13.140625" style="4" bestFit="1" customWidth="1"/>
    <col min="7432" max="7432" width="26" style="4" customWidth="1"/>
    <col min="7433" max="7433" width="13.85546875" style="4" customWidth="1"/>
    <col min="7434" max="7434" width="14.42578125" style="4" customWidth="1"/>
    <col min="7435" max="7435" width="11.85546875" style="4" customWidth="1"/>
    <col min="7436" max="7680" width="9.140625" style="4"/>
    <col min="7681" max="7681" width="5.7109375" style="4" customWidth="1"/>
    <col min="7682" max="7682" width="40.42578125" style="4" customWidth="1"/>
    <col min="7683" max="7683" width="13.5703125" style="4" customWidth="1"/>
    <col min="7684" max="7684" width="8.7109375" style="4" customWidth="1"/>
    <col min="7685" max="7685" width="6.7109375" style="4" bestFit="1" customWidth="1"/>
    <col min="7686" max="7686" width="10.28515625" style="4" customWidth="1"/>
    <col min="7687" max="7687" width="13.140625" style="4" bestFit="1" customWidth="1"/>
    <col min="7688" max="7688" width="26" style="4" customWidth="1"/>
    <col min="7689" max="7689" width="13.85546875" style="4" customWidth="1"/>
    <col min="7690" max="7690" width="14.42578125" style="4" customWidth="1"/>
    <col min="7691" max="7691" width="11.85546875" style="4" customWidth="1"/>
    <col min="7692" max="7936" width="9.140625" style="4"/>
    <col min="7937" max="7937" width="5.7109375" style="4" customWidth="1"/>
    <col min="7938" max="7938" width="40.42578125" style="4" customWidth="1"/>
    <col min="7939" max="7939" width="13.5703125" style="4" customWidth="1"/>
    <col min="7940" max="7940" width="8.7109375" style="4" customWidth="1"/>
    <col min="7941" max="7941" width="6.7109375" style="4" bestFit="1" customWidth="1"/>
    <col min="7942" max="7942" width="10.28515625" style="4" customWidth="1"/>
    <col min="7943" max="7943" width="13.140625" style="4" bestFit="1" customWidth="1"/>
    <col min="7944" max="7944" width="26" style="4" customWidth="1"/>
    <col min="7945" max="7945" width="13.85546875" style="4" customWidth="1"/>
    <col min="7946" max="7946" width="14.42578125" style="4" customWidth="1"/>
    <col min="7947" max="7947" width="11.85546875" style="4" customWidth="1"/>
    <col min="7948" max="8192" width="9.140625" style="4"/>
    <col min="8193" max="8193" width="5.7109375" style="4" customWidth="1"/>
    <col min="8194" max="8194" width="40.42578125" style="4" customWidth="1"/>
    <col min="8195" max="8195" width="13.5703125" style="4" customWidth="1"/>
    <col min="8196" max="8196" width="8.7109375" style="4" customWidth="1"/>
    <col min="8197" max="8197" width="6.7109375" style="4" bestFit="1" customWidth="1"/>
    <col min="8198" max="8198" width="10.28515625" style="4" customWidth="1"/>
    <col min="8199" max="8199" width="13.140625" style="4" bestFit="1" customWidth="1"/>
    <col min="8200" max="8200" width="26" style="4" customWidth="1"/>
    <col min="8201" max="8201" width="13.85546875" style="4" customWidth="1"/>
    <col min="8202" max="8202" width="14.42578125" style="4" customWidth="1"/>
    <col min="8203" max="8203" width="11.85546875" style="4" customWidth="1"/>
    <col min="8204" max="8448" width="9.140625" style="4"/>
    <col min="8449" max="8449" width="5.7109375" style="4" customWidth="1"/>
    <col min="8450" max="8450" width="40.42578125" style="4" customWidth="1"/>
    <col min="8451" max="8451" width="13.5703125" style="4" customWidth="1"/>
    <col min="8452" max="8452" width="8.7109375" style="4" customWidth="1"/>
    <col min="8453" max="8453" width="6.7109375" style="4" bestFit="1" customWidth="1"/>
    <col min="8454" max="8454" width="10.28515625" style="4" customWidth="1"/>
    <col min="8455" max="8455" width="13.140625" style="4" bestFit="1" customWidth="1"/>
    <col min="8456" max="8456" width="26" style="4" customWidth="1"/>
    <col min="8457" max="8457" width="13.85546875" style="4" customWidth="1"/>
    <col min="8458" max="8458" width="14.42578125" style="4" customWidth="1"/>
    <col min="8459" max="8459" width="11.85546875" style="4" customWidth="1"/>
    <col min="8460" max="8704" width="9.140625" style="4"/>
    <col min="8705" max="8705" width="5.7109375" style="4" customWidth="1"/>
    <col min="8706" max="8706" width="40.42578125" style="4" customWidth="1"/>
    <col min="8707" max="8707" width="13.5703125" style="4" customWidth="1"/>
    <col min="8708" max="8708" width="8.7109375" style="4" customWidth="1"/>
    <col min="8709" max="8709" width="6.7109375" style="4" bestFit="1" customWidth="1"/>
    <col min="8710" max="8710" width="10.28515625" style="4" customWidth="1"/>
    <col min="8711" max="8711" width="13.140625" style="4" bestFit="1" customWidth="1"/>
    <col min="8712" max="8712" width="26" style="4" customWidth="1"/>
    <col min="8713" max="8713" width="13.85546875" style="4" customWidth="1"/>
    <col min="8714" max="8714" width="14.42578125" style="4" customWidth="1"/>
    <col min="8715" max="8715" width="11.85546875" style="4" customWidth="1"/>
    <col min="8716" max="8960" width="9.140625" style="4"/>
    <col min="8961" max="8961" width="5.7109375" style="4" customWidth="1"/>
    <col min="8962" max="8962" width="40.42578125" style="4" customWidth="1"/>
    <col min="8963" max="8963" width="13.5703125" style="4" customWidth="1"/>
    <col min="8964" max="8964" width="8.7109375" style="4" customWidth="1"/>
    <col min="8965" max="8965" width="6.7109375" style="4" bestFit="1" customWidth="1"/>
    <col min="8966" max="8966" width="10.28515625" style="4" customWidth="1"/>
    <col min="8967" max="8967" width="13.140625" style="4" bestFit="1" customWidth="1"/>
    <col min="8968" max="8968" width="26" style="4" customWidth="1"/>
    <col min="8969" max="8969" width="13.85546875" style="4" customWidth="1"/>
    <col min="8970" max="8970" width="14.42578125" style="4" customWidth="1"/>
    <col min="8971" max="8971" width="11.85546875" style="4" customWidth="1"/>
    <col min="8972" max="9216" width="9.140625" style="4"/>
    <col min="9217" max="9217" width="5.7109375" style="4" customWidth="1"/>
    <col min="9218" max="9218" width="40.42578125" style="4" customWidth="1"/>
    <col min="9219" max="9219" width="13.5703125" style="4" customWidth="1"/>
    <col min="9220" max="9220" width="8.7109375" style="4" customWidth="1"/>
    <col min="9221" max="9221" width="6.7109375" style="4" bestFit="1" customWidth="1"/>
    <col min="9222" max="9222" width="10.28515625" style="4" customWidth="1"/>
    <col min="9223" max="9223" width="13.140625" style="4" bestFit="1" customWidth="1"/>
    <col min="9224" max="9224" width="26" style="4" customWidth="1"/>
    <col min="9225" max="9225" width="13.85546875" style="4" customWidth="1"/>
    <col min="9226" max="9226" width="14.42578125" style="4" customWidth="1"/>
    <col min="9227" max="9227" width="11.85546875" style="4" customWidth="1"/>
    <col min="9228" max="9472" width="9.140625" style="4"/>
    <col min="9473" max="9473" width="5.7109375" style="4" customWidth="1"/>
    <col min="9474" max="9474" width="40.42578125" style="4" customWidth="1"/>
    <col min="9475" max="9475" width="13.5703125" style="4" customWidth="1"/>
    <col min="9476" max="9476" width="8.7109375" style="4" customWidth="1"/>
    <col min="9477" max="9477" width="6.7109375" style="4" bestFit="1" customWidth="1"/>
    <col min="9478" max="9478" width="10.28515625" style="4" customWidth="1"/>
    <col min="9479" max="9479" width="13.140625" style="4" bestFit="1" customWidth="1"/>
    <col min="9480" max="9480" width="26" style="4" customWidth="1"/>
    <col min="9481" max="9481" width="13.85546875" style="4" customWidth="1"/>
    <col min="9482" max="9482" width="14.42578125" style="4" customWidth="1"/>
    <col min="9483" max="9483" width="11.85546875" style="4" customWidth="1"/>
    <col min="9484" max="9728" width="9.140625" style="4"/>
    <col min="9729" max="9729" width="5.7109375" style="4" customWidth="1"/>
    <col min="9730" max="9730" width="40.42578125" style="4" customWidth="1"/>
    <col min="9731" max="9731" width="13.5703125" style="4" customWidth="1"/>
    <col min="9732" max="9732" width="8.7109375" style="4" customWidth="1"/>
    <col min="9733" max="9733" width="6.7109375" style="4" bestFit="1" customWidth="1"/>
    <col min="9734" max="9734" width="10.28515625" style="4" customWidth="1"/>
    <col min="9735" max="9735" width="13.140625" style="4" bestFit="1" customWidth="1"/>
    <col min="9736" max="9736" width="26" style="4" customWidth="1"/>
    <col min="9737" max="9737" width="13.85546875" style="4" customWidth="1"/>
    <col min="9738" max="9738" width="14.42578125" style="4" customWidth="1"/>
    <col min="9739" max="9739" width="11.85546875" style="4" customWidth="1"/>
    <col min="9740" max="9984" width="9.140625" style="4"/>
    <col min="9985" max="9985" width="5.7109375" style="4" customWidth="1"/>
    <col min="9986" max="9986" width="40.42578125" style="4" customWidth="1"/>
    <col min="9987" max="9987" width="13.5703125" style="4" customWidth="1"/>
    <col min="9988" max="9988" width="8.7109375" style="4" customWidth="1"/>
    <col min="9989" max="9989" width="6.7109375" style="4" bestFit="1" customWidth="1"/>
    <col min="9990" max="9990" width="10.28515625" style="4" customWidth="1"/>
    <col min="9991" max="9991" width="13.140625" style="4" bestFit="1" customWidth="1"/>
    <col min="9992" max="9992" width="26" style="4" customWidth="1"/>
    <col min="9993" max="9993" width="13.85546875" style="4" customWidth="1"/>
    <col min="9994" max="9994" width="14.42578125" style="4" customWidth="1"/>
    <col min="9995" max="9995" width="11.85546875" style="4" customWidth="1"/>
    <col min="9996" max="10240" width="9.140625" style="4"/>
    <col min="10241" max="10241" width="5.7109375" style="4" customWidth="1"/>
    <col min="10242" max="10242" width="40.42578125" style="4" customWidth="1"/>
    <col min="10243" max="10243" width="13.5703125" style="4" customWidth="1"/>
    <col min="10244" max="10244" width="8.7109375" style="4" customWidth="1"/>
    <col min="10245" max="10245" width="6.7109375" style="4" bestFit="1" customWidth="1"/>
    <col min="10246" max="10246" width="10.28515625" style="4" customWidth="1"/>
    <col min="10247" max="10247" width="13.140625" style="4" bestFit="1" customWidth="1"/>
    <col min="10248" max="10248" width="26" style="4" customWidth="1"/>
    <col min="10249" max="10249" width="13.85546875" style="4" customWidth="1"/>
    <col min="10250" max="10250" width="14.42578125" style="4" customWidth="1"/>
    <col min="10251" max="10251" width="11.85546875" style="4" customWidth="1"/>
    <col min="10252" max="10496" width="9.140625" style="4"/>
    <col min="10497" max="10497" width="5.7109375" style="4" customWidth="1"/>
    <col min="10498" max="10498" width="40.42578125" style="4" customWidth="1"/>
    <col min="10499" max="10499" width="13.5703125" style="4" customWidth="1"/>
    <col min="10500" max="10500" width="8.7109375" style="4" customWidth="1"/>
    <col min="10501" max="10501" width="6.7109375" style="4" bestFit="1" customWidth="1"/>
    <col min="10502" max="10502" width="10.28515625" style="4" customWidth="1"/>
    <col min="10503" max="10503" width="13.140625" style="4" bestFit="1" customWidth="1"/>
    <col min="10504" max="10504" width="26" style="4" customWidth="1"/>
    <col min="10505" max="10505" width="13.85546875" style="4" customWidth="1"/>
    <col min="10506" max="10506" width="14.42578125" style="4" customWidth="1"/>
    <col min="10507" max="10507" width="11.85546875" style="4" customWidth="1"/>
    <col min="10508" max="10752" width="9.140625" style="4"/>
    <col min="10753" max="10753" width="5.7109375" style="4" customWidth="1"/>
    <col min="10754" max="10754" width="40.42578125" style="4" customWidth="1"/>
    <col min="10755" max="10755" width="13.5703125" style="4" customWidth="1"/>
    <col min="10756" max="10756" width="8.7109375" style="4" customWidth="1"/>
    <col min="10757" max="10757" width="6.7109375" style="4" bestFit="1" customWidth="1"/>
    <col min="10758" max="10758" width="10.28515625" style="4" customWidth="1"/>
    <col min="10759" max="10759" width="13.140625" style="4" bestFit="1" customWidth="1"/>
    <col min="10760" max="10760" width="26" style="4" customWidth="1"/>
    <col min="10761" max="10761" width="13.85546875" style="4" customWidth="1"/>
    <col min="10762" max="10762" width="14.42578125" style="4" customWidth="1"/>
    <col min="10763" max="10763" width="11.85546875" style="4" customWidth="1"/>
    <col min="10764" max="11008" width="9.140625" style="4"/>
    <col min="11009" max="11009" width="5.7109375" style="4" customWidth="1"/>
    <col min="11010" max="11010" width="40.42578125" style="4" customWidth="1"/>
    <col min="11011" max="11011" width="13.5703125" style="4" customWidth="1"/>
    <col min="11012" max="11012" width="8.7109375" style="4" customWidth="1"/>
    <col min="11013" max="11013" width="6.7109375" style="4" bestFit="1" customWidth="1"/>
    <col min="11014" max="11014" width="10.28515625" style="4" customWidth="1"/>
    <col min="11015" max="11015" width="13.140625" style="4" bestFit="1" customWidth="1"/>
    <col min="11016" max="11016" width="26" style="4" customWidth="1"/>
    <col min="11017" max="11017" width="13.85546875" style="4" customWidth="1"/>
    <col min="11018" max="11018" width="14.42578125" style="4" customWidth="1"/>
    <col min="11019" max="11019" width="11.85546875" style="4" customWidth="1"/>
    <col min="11020" max="11264" width="9.140625" style="4"/>
    <col min="11265" max="11265" width="5.7109375" style="4" customWidth="1"/>
    <col min="11266" max="11266" width="40.42578125" style="4" customWidth="1"/>
    <col min="11267" max="11267" width="13.5703125" style="4" customWidth="1"/>
    <col min="11268" max="11268" width="8.7109375" style="4" customWidth="1"/>
    <col min="11269" max="11269" width="6.7109375" style="4" bestFit="1" customWidth="1"/>
    <col min="11270" max="11270" width="10.28515625" style="4" customWidth="1"/>
    <col min="11271" max="11271" width="13.140625" style="4" bestFit="1" customWidth="1"/>
    <col min="11272" max="11272" width="26" style="4" customWidth="1"/>
    <col min="11273" max="11273" width="13.85546875" style="4" customWidth="1"/>
    <col min="11274" max="11274" width="14.42578125" style="4" customWidth="1"/>
    <col min="11275" max="11275" width="11.85546875" style="4" customWidth="1"/>
    <col min="11276" max="11520" width="9.140625" style="4"/>
    <col min="11521" max="11521" width="5.7109375" style="4" customWidth="1"/>
    <col min="11522" max="11522" width="40.42578125" style="4" customWidth="1"/>
    <col min="11523" max="11523" width="13.5703125" style="4" customWidth="1"/>
    <col min="11524" max="11524" width="8.7109375" style="4" customWidth="1"/>
    <col min="11525" max="11525" width="6.7109375" style="4" bestFit="1" customWidth="1"/>
    <col min="11526" max="11526" width="10.28515625" style="4" customWidth="1"/>
    <col min="11527" max="11527" width="13.140625" style="4" bestFit="1" customWidth="1"/>
    <col min="11528" max="11528" width="26" style="4" customWidth="1"/>
    <col min="11529" max="11529" width="13.85546875" style="4" customWidth="1"/>
    <col min="11530" max="11530" width="14.42578125" style="4" customWidth="1"/>
    <col min="11531" max="11531" width="11.85546875" style="4" customWidth="1"/>
    <col min="11532" max="11776" width="9.140625" style="4"/>
    <col min="11777" max="11777" width="5.7109375" style="4" customWidth="1"/>
    <col min="11778" max="11778" width="40.42578125" style="4" customWidth="1"/>
    <col min="11779" max="11779" width="13.5703125" style="4" customWidth="1"/>
    <col min="11780" max="11780" width="8.7109375" style="4" customWidth="1"/>
    <col min="11781" max="11781" width="6.7109375" style="4" bestFit="1" customWidth="1"/>
    <col min="11782" max="11782" width="10.28515625" style="4" customWidth="1"/>
    <col min="11783" max="11783" width="13.140625" style="4" bestFit="1" customWidth="1"/>
    <col min="11784" max="11784" width="26" style="4" customWidth="1"/>
    <col min="11785" max="11785" width="13.85546875" style="4" customWidth="1"/>
    <col min="11786" max="11786" width="14.42578125" style="4" customWidth="1"/>
    <col min="11787" max="11787" width="11.85546875" style="4" customWidth="1"/>
    <col min="11788" max="12032" width="9.140625" style="4"/>
    <col min="12033" max="12033" width="5.7109375" style="4" customWidth="1"/>
    <col min="12034" max="12034" width="40.42578125" style="4" customWidth="1"/>
    <col min="12035" max="12035" width="13.5703125" style="4" customWidth="1"/>
    <col min="12036" max="12036" width="8.7109375" style="4" customWidth="1"/>
    <col min="12037" max="12037" width="6.7109375" style="4" bestFit="1" customWidth="1"/>
    <col min="12038" max="12038" width="10.28515625" style="4" customWidth="1"/>
    <col min="12039" max="12039" width="13.140625" style="4" bestFit="1" customWidth="1"/>
    <col min="12040" max="12040" width="26" style="4" customWidth="1"/>
    <col min="12041" max="12041" width="13.85546875" style="4" customWidth="1"/>
    <col min="12042" max="12042" width="14.42578125" style="4" customWidth="1"/>
    <col min="12043" max="12043" width="11.85546875" style="4" customWidth="1"/>
    <col min="12044" max="12288" width="9.140625" style="4"/>
    <col min="12289" max="12289" width="5.7109375" style="4" customWidth="1"/>
    <col min="12290" max="12290" width="40.42578125" style="4" customWidth="1"/>
    <col min="12291" max="12291" width="13.5703125" style="4" customWidth="1"/>
    <col min="12292" max="12292" width="8.7109375" style="4" customWidth="1"/>
    <col min="12293" max="12293" width="6.7109375" style="4" bestFit="1" customWidth="1"/>
    <col min="12294" max="12294" width="10.28515625" style="4" customWidth="1"/>
    <col min="12295" max="12295" width="13.140625" style="4" bestFit="1" customWidth="1"/>
    <col min="12296" max="12296" width="26" style="4" customWidth="1"/>
    <col min="12297" max="12297" width="13.85546875" style="4" customWidth="1"/>
    <col min="12298" max="12298" width="14.42578125" style="4" customWidth="1"/>
    <col min="12299" max="12299" width="11.85546875" style="4" customWidth="1"/>
    <col min="12300" max="12544" width="9.140625" style="4"/>
    <col min="12545" max="12545" width="5.7109375" style="4" customWidth="1"/>
    <col min="12546" max="12546" width="40.42578125" style="4" customWidth="1"/>
    <col min="12547" max="12547" width="13.5703125" style="4" customWidth="1"/>
    <col min="12548" max="12548" width="8.7109375" style="4" customWidth="1"/>
    <col min="12549" max="12549" width="6.7109375" style="4" bestFit="1" customWidth="1"/>
    <col min="12550" max="12550" width="10.28515625" style="4" customWidth="1"/>
    <col min="12551" max="12551" width="13.140625" style="4" bestFit="1" customWidth="1"/>
    <col min="12552" max="12552" width="26" style="4" customWidth="1"/>
    <col min="12553" max="12553" width="13.85546875" style="4" customWidth="1"/>
    <col min="12554" max="12554" width="14.42578125" style="4" customWidth="1"/>
    <col min="12555" max="12555" width="11.85546875" style="4" customWidth="1"/>
    <col min="12556" max="12800" width="9.140625" style="4"/>
    <col min="12801" max="12801" width="5.7109375" style="4" customWidth="1"/>
    <col min="12802" max="12802" width="40.42578125" style="4" customWidth="1"/>
    <col min="12803" max="12803" width="13.5703125" style="4" customWidth="1"/>
    <col min="12804" max="12804" width="8.7109375" style="4" customWidth="1"/>
    <col min="12805" max="12805" width="6.7109375" style="4" bestFit="1" customWidth="1"/>
    <col min="12806" max="12806" width="10.28515625" style="4" customWidth="1"/>
    <col min="12807" max="12807" width="13.140625" style="4" bestFit="1" customWidth="1"/>
    <col min="12808" max="12808" width="26" style="4" customWidth="1"/>
    <col min="12809" max="12809" width="13.85546875" style="4" customWidth="1"/>
    <col min="12810" max="12810" width="14.42578125" style="4" customWidth="1"/>
    <col min="12811" max="12811" width="11.85546875" style="4" customWidth="1"/>
    <col min="12812" max="13056" width="9.140625" style="4"/>
    <col min="13057" max="13057" width="5.7109375" style="4" customWidth="1"/>
    <col min="13058" max="13058" width="40.42578125" style="4" customWidth="1"/>
    <col min="13059" max="13059" width="13.5703125" style="4" customWidth="1"/>
    <col min="13060" max="13060" width="8.7109375" style="4" customWidth="1"/>
    <col min="13061" max="13061" width="6.7109375" style="4" bestFit="1" customWidth="1"/>
    <col min="13062" max="13062" width="10.28515625" style="4" customWidth="1"/>
    <col min="13063" max="13063" width="13.140625" style="4" bestFit="1" customWidth="1"/>
    <col min="13064" max="13064" width="26" style="4" customWidth="1"/>
    <col min="13065" max="13065" width="13.85546875" style="4" customWidth="1"/>
    <col min="13066" max="13066" width="14.42578125" style="4" customWidth="1"/>
    <col min="13067" max="13067" width="11.85546875" style="4" customWidth="1"/>
    <col min="13068" max="13312" width="9.140625" style="4"/>
    <col min="13313" max="13313" width="5.7109375" style="4" customWidth="1"/>
    <col min="13314" max="13314" width="40.42578125" style="4" customWidth="1"/>
    <col min="13315" max="13315" width="13.5703125" style="4" customWidth="1"/>
    <col min="13316" max="13316" width="8.7109375" style="4" customWidth="1"/>
    <col min="13317" max="13317" width="6.7109375" style="4" bestFit="1" customWidth="1"/>
    <col min="13318" max="13318" width="10.28515625" style="4" customWidth="1"/>
    <col min="13319" max="13319" width="13.140625" style="4" bestFit="1" customWidth="1"/>
    <col min="13320" max="13320" width="26" style="4" customWidth="1"/>
    <col min="13321" max="13321" width="13.85546875" style="4" customWidth="1"/>
    <col min="13322" max="13322" width="14.42578125" style="4" customWidth="1"/>
    <col min="13323" max="13323" width="11.85546875" style="4" customWidth="1"/>
    <col min="13324" max="13568" width="9.140625" style="4"/>
    <col min="13569" max="13569" width="5.7109375" style="4" customWidth="1"/>
    <col min="13570" max="13570" width="40.42578125" style="4" customWidth="1"/>
    <col min="13571" max="13571" width="13.5703125" style="4" customWidth="1"/>
    <col min="13572" max="13572" width="8.7109375" style="4" customWidth="1"/>
    <col min="13573" max="13573" width="6.7109375" style="4" bestFit="1" customWidth="1"/>
    <col min="13574" max="13574" width="10.28515625" style="4" customWidth="1"/>
    <col min="13575" max="13575" width="13.140625" style="4" bestFit="1" customWidth="1"/>
    <col min="13576" max="13576" width="26" style="4" customWidth="1"/>
    <col min="13577" max="13577" width="13.85546875" style="4" customWidth="1"/>
    <col min="13578" max="13578" width="14.42578125" style="4" customWidth="1"/>
    <col min="13579" max="13579" width="11.85546875" style="4" customWidth="1"/>
    <col min="13580" max="13824" width="9.140625" style="4"/>
    <col min="13825" max="13825" width="5.7109375" style="4" customWidth="1"/>
    <col min="13826" max="13826" width="40.42578125" style="4" customWidth="1"/>
    <col min="13827" max="13827" width="13.5703125" style="4" customWidth="1"/>
    <col min="13828" max="13828" width="8.7109375" style="4" customWidth="1"/>
    <col min="13829" max="13829" width="6.7109375" style="4" bestFit="1" customWidth="1"/>
    <col min="13830" max="13830" width="10.28515625" style="4" customWidth="1"/>
    <col min="13831" max="13831" width="13.140625" style="4" bestFit="1" customWidth="1"/>
    <col min="13832" max="13832" width="26" style="4" customWidth="1"/>
    <col min="13833" max="13833" width="13.85546875" style="4" customWidth="1"/>
    <col min="13834" max="13834" width="14.42578125" style="4" customWidth="1"/>
    <col min="13835" max="13835" width="11.85546875" style="4" customWidth="1"/>
    <col min="13836" max="14080" width="9.140625" style="4"/>
    <col min="14081" max="14081" width="5.7109375" style="4" customWidth="1"/>
    <col min="14082" max="14082" width="40.42578125" style="4" customWidth="1"/>
    <col min="14083" max="14083" width="13.5703125" style="4" customWidth="1"/>
    <col min="14084" max="14084" width="8.7109375" style="4" customWidth="1"/>
    <col min="14085" max="14085" width="6.7109375" style="4" bestFit="1" customWidth="1"/>
    <col min="14086" max="14086" width="10.28515625" style="4" customWidth="1"/>
    <col min="14087" max="14087" width="13.140625" style="4" bestFit="1" customWidth="1"/>
    <col min="14088" max="14088" width="26" style="4" customWidth="1"/>
    <col min="14089" max="14089" width="13.85546875" style="4" customWidth="1"/>
    <col min="14090" max="14090" width="14.42578125" style="4" customWidth="1"/>
    <col min="14091" max="14091" width="11.85546875" style="4" customWidth="1"/>
    <col min="14092" max="14336" width="9.140625" style="4"/>
    <col min="14337" max="14337" width="5.7109375" style="4" customWidth="1"/>
    <col min="14338" max="14338" width="40.42578125" style="4" customWidth="1"/>
    <col min="14339" max="14339" width="13.5703125" style="4" customWidth="1"/>
    <col min="14340" max="14340" width="8.7109375" style="4" customWidth="1"/>
    <col min="14341" max="14341" width="6.7109375" style="4" bestFit="1" customWidth="1"/>
    <col min="14342" max="14342" width="10.28515625" style="4" customWidth="1"/>
    <col min="14343" max="14343" width="13.140625" style="4" bestFit="1" customWidth="1"/>
    <col min="14344" max="14344" width="26" style="4" customWidth="1"/>
    <col min="14345" max="14345" width="13.85546875" style="4" customWidth="1"/>
    <col min="14346" max="14346" width="14.42578125" style="4" customWidth="1"/>
    <col min="14347" max="14347" width="11.85546875" style="4" customWidth="1"/>
    <col min="14348" max="14592" width="9.140625" style="4"/>
    <col min="14593" max="14593" width="5.7109375" style="4" customWidth="1"/>
    <col min="14594" max="14594" width="40.42578125" style="4" customWidth="1"/>
    <col min="14595" max="14595" width="13.5703125" style="4" customWidth="1"/>
    <col min="14596" max="14596" width="8.7109375" style="4" customWidth="1"/>
    <col min="14597" max="14597" width="6.7109375" style="4" bestFit="1" customWidth="1"/>
    <col min="14598" max="14598" width="10.28515625" style="4" customWidth="1"/>
    <col min="14599" max="14599" width="13.140625" style="4" bestFit="1" customWidth="1"/>
    <col min="14600" max="14600" width="26" style="4" customWidth="1"/>
    <col min="14601" max="14601" width="13.85546875" style="4" customWidth="1"/>
    <col min="14602" max="14602" width="14.42578125" style="4" customWidth="1"/>
    <col min="14603" max="14603" width="11.85546875" style="4" customWidth="1"/>
    <col min="14604" max="14848" width="9.140625" style="4"/>
    <col min="14849" max="14849" width="5.7109375" style="4" customWidth="1"/>
    <col min="14850" max="14850" width="40.42578125" style="4" customWidth="1"/>
    <col min="14851" max="14851" width="13.5703125" style="4" customWidth="1"/>
    <col min="14852" max="14852" width="8.7109375" style="4" customWidth="1"/>
    <col min="14853" max="14853" width="6.7109375" style="4" bestFit="1" customWidth="1"/>
    <col min="14854" max="14854" width="10.28515625" style="4" customWidth="1"/>
    <col min="14855" max="14855" width="13.140625" style="4" bestFit="1" customWidth="1"/>
    <col min="14856" max="14856" width="26" style="4" customWidth="1"/>
    <col min="14857" max="14857" width="13.85546875" style="4" customWidth="1"/>
    <col min="14858" max="14858" width="14.42578125" style="4" customWidth="1"/>
    <col min="14859" max="14859" width="11.85546875" style="4" customWidth="1"/>
    <col min="14860" max="15104" width="9.140625" style="4"/>
    <col min="15105" max="15105" width="5.7109375" style="4" customWidth="1"/>
    <col min="15106" max="15106" width="40.42578125" style="4" customWidth="1"/>
    <col min="15107" max="15107" width="13.5703125" style="4" customWidth="1"/>
    <col min="15108" max="15108" width="8.7109375" style="4" customWidth="1"/>
    <col min="15109" max="15109" width="6.7109375" style="4" bestFit="1" customWidth="1"/>
    <col min="15110" max="15110" width="10.28515625" style="4" customWidth="1"/>
    <col min="15111" max="15111" width="13.140625" style="4" bestFit="1" customWidth="1"/>
    <col min="15112" max="15112" width="26" style="4" customWidth="1"/>
    <col min="15113" max="15113" width="13.85546875" style="4" customWidth="1"/>
    <col min="15114" max="15114" width="14.42578125" style="4" customWidth="1"/>
    <col min="15115" max="15115" width="11.85546875" style="4" customWidth="1"/>
    <col min="15116" max="15360" width="9.140625" style="4"/>
    <col min="15361" max="15361" width="5.7109375" style="4" customWidth="1"/>
    <col min="15362" max="15362" width="40.42578125" style="4" customWidth="1"/>
    <col min="15363" max="15363" width="13.5703125" style="4" customWidth="1"/>
    <col min="15364" max="15364" width="8.7109375" style="4" customWidth="1"/>
    <col min="15365" max="15365" width="6.7109375" style="4" bestFit="1" customWidth="1"/>
    <col min="15366" max="15366" width="10.28515625" style="4" customWidth="1"/>
    <col min="15367" max="15367" width="13.140625" style="4" bestFit="1" customWidth="1"/>
    <col min="15368" max="15368" width="26" style="4" customWidth="1"/>
    <col min="15369" max="15369" width="13.85546875" style="4" customWidth="1"/>
    <col min="15370" max="15370" width="14.42578125" style="4" customWidth="1"/>
    <col min="15371" max="15371" width="11.85546875" style="4" customWidth="1"/>
    <col min="15372" max="15616" width="9.140625" style="4"/>
    <col min="15617" max="15617" width="5.7109375" style="4" customWidth="1"/>
    <col min="15618" max="15618" width="40.42578125" style="4" customWidth="1"/>
    <col min="15619" max="15619" width="13.5703125" style="4" customWidth="1"/>
    <col min="15620" max="15620" width="8.7109375" style="4" customWidth="1"/>
    <col min="15621" max="15621" width="6.7109375" style="4" bestFit="1" customWidth="1"/>
    <col min="15622" max="15622" width="10.28515625" style="4" customWidth="1"/>
    <col min="15623" max="15623" width="13.140625" style="4" bestFit="1" customWidth="1"/>
    <col min="15624" max="15624" width="26" style="4" customWidth="1"/>
    <col min="15625" max="15625" width="13.85546875" style="4" customWidth="1"/>
    <col min="15626" max="15626" width="14.42578125" style="4" customWidth="1"/>
    <col min="15627" max="15627" width="11.85546875" style="4" customWidth="1"/>
    <col min="15628" max="15872" width="9.140625" style="4"/>
    <col min="15873" max="15873" width="5.7109375" style="4" customWidth="1"/>
    <col min="15874" max="15874" width="40.42578125" style="4" customWidth="1"/>
    <col min="15875" max="15875" width="13.5703125" style="4" customWidth="1"/>
    <col min="15876" max="15876" width="8.7109375" style="4" customWidth="1"/>
    <col min="15877" max="15877" width="6.7109375" style="4" bestFit="1" customWidth="1"/>
    <col min="15878" max="15878" width="10.28515625" style="4" customWidth="1"/>
    <col min="15879" max="15879" width="13.140625" style="4" bestFit="1" customWidth="1"/>
    <col min="15880" max="15880" width="26" style="4" customWidth="1"/>
    <col min="15881" max="15881" width="13.85546875" style="4" customWidth="1"/>
    <col min="15882" max="15882" width="14.42578125" style="4" customWidth="1"/>
    <col min="15883" max="15883" width="11.85546875" style="4" customWidth="1"/>
    <col min="15884" max="16128" width="9.140625" style="4"/>
    <col min="16129" max="16129" width="5.7109375" style="4" customWidth="1"/>
    <col min="16130" max="16130" width="40.42578125" style="4" customWidth="1"/>
    <col min="16131" max="16131" width="13.5703125" style="4" customWidth="1"/>
    <col min="16132" max="16132" width="8.7109375" style="4" customWidth="1"/>
    <col min="16133" max="16133" width="6.7109375" style="4" bestFit="1" customWidth="1"/>
    <col min="16134" max="16134" width="10.28515625" style="4" customWidth="1"/>
    <col min="16135" max="16135" width="13.140625" style="4" bestFit="1" customWidth="1"/>
    <col min="16136" max="16136" width="26" style="4" customWidth="1"/>
    <col min="16137" max="16137" width="13.85546875" style="4" customWidth="1"/>
    <col min="16138" max="16138" width="14.42578125" style="4" customWidth="1"/>
    <col min="16139" max="16139" width="11.85546875" style="4" customWidth="1"/>
    <col min="16140" max="16384" width="9.140625" style="4"/>
  </cols>
  <sheetData>
    <row r="1" spans="1:12" ht="18" customHeight="1">
      <c r="B1" s="3074" t="s">
        <v>1535</v>
      </c>
      <c r="C1" s="3074"/>
      <c r="D1" s="3074"/>
      <c r="E1" s="3074"/>
      <c r="F1" s="458"/>
      <c r="G1" s="458"/>
      <c r="H1" s="459"/>
      <c r="I1" s="145"/>
      <c r="J1" s="145"/>
      <c r="K1" s="145"/>
      <c r="L1" s="145"/>
    </row>
    <row r="2" spans="1:12" ht="18">
      <c r="A2" s="460"/>
      <c r="B2" s="460"/>
      <c r="C2" s="460"/>
      <c r="D2" s="460"/>
      <c r="E2" s="460"/>
      <c r="F2" s="460"/>
      <c r="G2" s="925" t="s">
        <v>89</v>
      </c>
      <c r="H2" s="459"/>
      <c r="I2" s="145"/>
      <c r="J2" s="145"/>
      <c r="K2" s="145"/>
      <c r="L2" s="145"/>
    </row>
    <row r="3" spans="1:12" ht="32.25" customHeight="1">
      <c r="B3" s="3075" t="s">
        <v>1536</v>
      </c>
      <c r="C3" s="3075"/>
      <c r="D3" s="3075"/>
      <c r="E3" s="3075"/>
      <c r="F3" s="3075"/>
      <c r="G3" s="187"/>
      <c r="H3" s="187"/>
      <c r="I3" s="145"/>
      <c r="J3" s="145"/>
      <c r="K3" s="145"/>
      <c r="L3" s="145"/>
    </row>
    <row r="4" spans="1:12" ht="15">
      <c r="A4" s="461"/>
      <c r="B4" s="461"/>
      <c r="C4" s="461"/>
      <c r="D4" s="461"/>
      <c r="E4" s="461"/>
      <c r="F4" s="461"/>
      <c r="G4" s="461"/>
      <c r="H4" s="187"/>
      <c r="I4" s="145"/>
      <c r="J4" s="145"/>
      <c r="K4" s="145"/>
      <c r="L4" s="145"/>
    </row>
    <row r="5" spans="1:12" ht="30">
      <c r="A5" s="192" t="s">
        <v>1537</v>
      </c>
      <c r="B5" s="190" t="s">
        <v>1538</v>
      </c>
      <c r="C5" s="462" t="s">
        <v>1421</v>
      </c>
      <c r="D5" s="192" t="s">
        <v>5</v>
      </c>
      <c r="E5" s="192" t="s">
        <v>95</v>
      </c>
      <c r="F5" s="190" t="s">
        <v>1539</v>
      </c>
      <c r="G5" s="192" t="s">
        <v>1540</v>
      </c>
      <c r="H5" s="145"/>
      <c r="I5" s="145"/>
      <c r="J5" s="145"/>
      <c r="K5" s="145"/>
      <c r="L5" s="145"/>
    </row>
    <row r="6" spans="1:12" ht="15.75">
      <c r="A6" s="192">
        <v>1</v>
      </c>
      <c r="B6" s="190">
        <v>2</v>
      </c>
      <c r="C6" s="463">
        <v>3</v>
      </c>
      <c r="D6" s="192">
        <v>4</v>
      </c>
      <c r="E6" s="192">
        <v>5</v>
      </c>
      <c r="F6" s="190">
        <v>6</v>
      </c>
      <c r="G6" s="192">
        <v>7</v>
      </c>
      <c r="H6" s="145"/>
      <c r="I6" s="145"/>
      <c r="J6" s="145"/>
      <c r="K6" s="145"/>
      <c r="L6" s="145"/>
    </row>
    <row r="7" spans="1:12" ht="17.25" customHeight="1">
      <c r="A7" s="1181">
        <v>1</v>
      </c>
      <c r="B7" s="1182" t="s">
        <v>1541</v>
      </c>
      <c r="C7" s="1183">
        <v>7130830063</v>
      </c>
      <c r="D7" s="1181" t="s">
        <v>147</v>
      </c>
      <c r="E7" s="1181">
        <v>3.1</v>
      </c>
      <c r="F7" s="735">
        <f>VLOOKUP(C7,'SOR RATE'!A:D,4,0)</f>
        <v>92285.69</v>
      </c>
      <c r="G7" s="734">
        <f>F7*E7</f>
        <v>286085.63900000002</v>
      </c>
      <c r="H7" s="145"/>
      <c r="I7" s="145"/>
      <c r="J7" s="145"/>
      <c r="K7" s="145"/>
      <c r="L7" s="145"/>
    </row>
    <row r="8" spans="1:12" ht="30" customHeight="1">
      <c r="A8" s="1184">
        <v>2</v>
      </c>
      <c r="B8" s="1182" t="s">
        <v>1542</v>
      </c>
      <c r="C8" s="1183">
        <v>7130830051</v>
      </c>
      <c r="D8" s="1181" t="s">
        <v>12</v>
      </c>
      <c r="E8" s="1181">
        <v>6</v>
      </c>
      <c r="F8" s="735">
        <f>VLOOKUP(C8,'SOR RATE'!A:D,4,0)</f>
        <v>182.86</v>
      </c>
      <c r="G8" s="734">
        <f>E8*F8</f>
        <v>1097.1600000000001</v>
      </c>
      <c r="H8" s="464"/>
      <c r="I8" s="145"/>
      <c r="J8" s="145"/>
      <c r="K8" s="145"/>
      <c r="L8" s="145"/>
    </row>
    <row r="9" spans="1:12" ht="17.25" customHeight="1">
      <c r="A9" s="1181">
        <v>3</v>
      </c>
      <c r="B9" s="1185" t="s">
        <v>1432</v>
      </c>
      <c r="C9" s="1186">
        <v>7130820009</v>
      </c>
      <c r="D9" s="1187" t="s">
        <v>12</v>
      </c>
      <c r="E9" s="1181">
        <v>6</v>
      </c>
      <c r="F9" s="735">
        <f>VLOOKUP(C9,'SOR RATE'!A:D,4,0)</f>
        <v>288.23</v>
      </c>
      <c r="G9" s="734">
        <f>E9*F9</f>
        <v>1729.38</v>
      </c>
      <c r="H9" s="464"/>
      <c r="I9" s="193"/>
      <c r="J9" s="193"/>
      <c r="K9" s="465"/>
      <c r="L9" s="195"/>
    </row>
    <row r="10" spans="1:12" ht="17.25" customHeight="1">
      <c r="A10" s="3076">
        <v>4</v>
      </c>
      <c r="B10" s="1182" t="s">
        <v>1543</v>
      </c>
      <c r="C10" s="1188"/>
      <c r="D10" s="1189"/>
      <c r="E10" s="1189"/>
      <c r="F10" s="1189"/>
      <c r="G10" s="1190"/>
      <c r="H10" s="145"/>
      <c r="I10" s="145"/>
      <c r="J10" s="193"/>
      <c r="K10" s="465"/>
      <c r="L10" s="195"/>
    </row>
    <row r="11" spans="1:12" ht="17.25" customHeight="1">
      <c r="A11" s="3076"/>
      <c r="B11" s="1182" t="s">
        <v>1544</v>
      </c>
      <c r="C11" s="1183">
        <v>7130870045</v>
      </c>
      <c r="D11" s="1181" t="s">
        <v>26</v>
      </c>
      <c r="E11" s="1181">
        <f>'[24]A-1'!E37</f>
        <v>49</v>
      </c>
      <c r="F11" s="735">
        <f>VLOOKUP(C11,'SOR RATE'!A:D,4,0)/1000</f>
        <v>80.521839999999997</v>
      </c>
      <c r="G11" s="734">
        <f>F11*E11</f>
        <v>3945.5701599999998</v>
      </c>
      <c r="H11" s="145"/>
      <c r="I11" s="145"/>
      <c r="J11" s="145"/>
      <c r="K11" s="145"/>
      <c r="L11" s="145"/>
    </row>
    <row r="12" spans="1:12" ht="17.25" customHeight="1">
      <c r="A12" s="3076"/>
      <c r="B12" s="1182" t="s">
        <v>1545</v>
      </c>
      <c r="C12" s="1183">
        <v>7130870043</v>
      </c>
      <c r="D12" s="1181" t="s">
        <v>26</v>
      </c>
      <c r="E12" s="1181">
        <v>20</v>
      </c>
      <c r="F12" s="735">
        <f>VLOOKUP(C12,'SOR RATE'!A:D,4,0)/1000</f>
        <v>80.521839999999997</v>
      </c>
      <c r="G12" s="734">
        <f>F12*E12</f>
        <v>1610.4367999999999</v>
      </c>
      <c r="H12" s="145"/>
      <c r="I12" s="145"/>
      <c r="J12" s="145"/>
      <c r="K12" s="145"/>
      <c r="L12" s="145"/>
    </row>
    <row r="13" spans="1:12" ht="17.25" customHeight="1">
      <c r="A13" s="3076"/>
      <c r="B13" s="1182" t="s">
        <v>1546</v>
      </c>
      <c r="C13" s="1183">
        <v>7130897759</v>
      </c>
      <c r="D13" s="1181" t="s">
        <v>40</v>
      </c>
      <c r="E13" s="1181">
        <v>1</v>
      </c>
      <c r="F13" s="735">
        <f>VLOOKUP(C13,'SOR RATE'!A:D,4,0)</f>
        <v>4365.4399999999996</v>
      </c>
      <c r="G13" s="734">
        <f t="shared" ref="G13" si="0">F13*E13</f>
        <v>4365.4399999999996</v>
      </c>
      <c r="H13" s="145"/>
      <c r="I13" s="145"/>
      <c r="J13" s="145"/>
      <c r="K13" s="145"/>
      <c r="L13" s="145"/>
    </row>
    <row r="14" spans="1:12" ht="17.25" customHeight="1">
      <c r="A14" s="3076"/>
      <c r="B14" s="1182" t="s">
        <v>1547</v>
      </c>
      <c r="C14" s="1183">
        <v>7130620625</v>
      </c>
      <c r="D14" s="1181" t="s">
        <v>26</v>
      </c>
      <c r="E14" s="1181">
        <v>1.2</v>
      </c>
      <c r="F14" s="735">
        <f>VLOOKUP(C14,'SOR RATE'!A:D,4,0)</f>
        <v>84.32</v>
      </c>
      <c r="G14" s="734">
        <f>F14*E14</f>
        <v>101.18399999999998</v>
      </c>
      <c r="H14" s="145"/>
      <c r="I14" s="178"/>
      <c r="J14" s="178"/>
      <c r="K14" s="178"/>
      <c r="L14" s="145"/>
    </row>
    <row r="15" spans="1:12" ht="17.25" customHeight="1">
      <c r="A15" s="3076"/>
      <c r="B15" s="1182" t="s">
        <v>1548</v>
      </c>
      <c r="C15" s="185">
        <v>7130620013</v>
      </c>
      <c r="D15" s="1181" t="s">
        <v>12</v>
      </c>
      <c r="E15" s="1181">
        <v>4</v>
      </c>
      <c r="F15" s="735">
        <f>VLOOKUP(C15,'SOR RATE'!A:D,4,0)</f>
        <v>156.05000000000001</v>
      </c>
      <c r="G15" s="734">
        <f>F15*E15</f>
        <v>624.20000000000005</v>
      </c>
      <c r="H15" s="145"/>
      <c r="I15" s="145"/>
      <c r="J15" s="145"/>
      <c r="K15" s="145"/>
      <c r="L15" s="145"/>
    </row>
    <row r="16" spans="1:12" ht="17.25" customHeight="1">
      <c r="A16" s="3076"/>
      <c r="B16" s="1182" t="s">
        <v>1549</v>
      </c>
      <c r="C16" s="1183">
        <v>7130860033</v>
      </c>
      <c r="D16" s="1181" t="s">
        <v>12</v>
      </c>
      <c r="E16" s="1181">
        <v>2</v>
      </c>
      <c r="F16" s="735">
        <f>VLOOKUP(C16,'SOR RATE'!A:D,4,0)</f>
        <v>1031.6600000000001</v>
      </c>
      <c r="G16" s="734">
        <f>F16*E16</f>
        <v>2063.3200000000002</v>
      </c>
      <c r="H16" s="145"/>
      <c r="I16" s="145"/>
      <c r="J16" s="145"/>
      <c r="K16" s="145"/>
      <c r="L16" s="145"/>
    </row>
    <row r="17" spans="1:12" ht="17.25" customHeight="1">
      <c r="A17" s="3076"/>
      <c r="B17" s="1182" t="s">
        <v>1550</v>
      </c>
      <c r="C17" s="1183">
        <v>7130860076</v>
      </c>
      <c r="D17" s="1181" t="s">
        <v>26</v>
      </c>
      <c r="E17" s="1181">
        <v>17</v>
      </c>
      <c r="F17" s="735">
        <f>VLOOKUP(C17,'SOR RATE'!A:D,4,0)/1000</f>
        <v>92.856940000000009</v>
      </c>
      <c r="G17" s="734">
        <f>F17*E17</f>
        <v>1578.5679800000003</v>
      </c>
      <c r="H17" s="145"/>
      <c r="I17" s="145"/>
      <c r="J17" s="145"/>
      <c r="K17" s="145"/>
      <c r="L17" s="145"/>
    </row>
    <row r="18" spans="1:12" ht="17.25" customHeight="1">
      <c r="A18" s="3076"/>
      <c r="B18" s="1182" t="s">
        <v>1551</v>
      </c>
      <c r="C18" s="1183">
        <v>7130620619</v>
      </c>
      <c r="D18" s="1181" t="s">
        <v>26</v>
      </c>
      <c r="E18" s="1181">
        <v>1.5</v>
      </c>
      <c r="F18" s="735">
        <f>VLOOKUP(C18,'SOR RATE'!A:D,4,0)</f>
        <v>85.77</v>
      </c>
      <c r="G18" s="734">
        <f>F18*E18</f>
        <v>128.655</v>
      </c>
      <c r="H18" s="145"/>
      <c r="I18" s="145"/>
      <c r="J18" s="145"/>
      <c r="K18" s="145"/>
      <c r="L18" s="145"/>
    </row>
    <row r="19" spans="1:12" ht="33" customHeight="1">
      <c r="A19" s="1181">
        <v>5</v>
      </c>
      <c r="B19" s="1182" t="s">
        <v>1552</v>
      </c>
      <c r="C19" s="1183">
        <v>7130200202</v>
      </c>
      <c r="D19" s="1181" t="s">
        <v>76</v>
      </c>
      <c r="E19" s="1181">
        <f>(0.3*2)</f>
        <v>0.6</v>
      </c>
      <c r="F19" s="735">
        <f>VLOOKUP(C19,'SOR RATE'!A:D,4,0)</f>
        <v>2970</v>
      </c>
      <c r="G19" s="734">
        <f>E19*F19</f>
        <v>1782</v>
      </c>
      <c r="H19" s="466" t="s">
        <v>47</v>
      </c>
      <c r="I19" s="145"/>
      <c r="J19" s="145"/>
      <c r="K19" s="145"/>
      <c r="L19" s="145"/>
    </row>
    <row r="20" spans="1:12" ht="33" customHeight="1">
      <c r="A20" s="241">
        <v>6</v>
      </c>
      <c r="B20" s="1191" t="s">
        <v>48</v>
      </c>
      <c r="C20" s="931"/>
      <c r="D20" s="1192"/>
      <c r="E20" s="1181"/>
      <c r="F20" s="734"/>
      <c r="G20" s="1193">
        <f>SUM(G7:G19)</f>
        <v>305111.55294000008</v>
      </c>
      <c r="H20" s="226"/>
      <c r="I20" s="175"/>
      <c r="J20" s="145"/>
      <c r="K20" s="145"/>
      <c r="L20" s="145"/>
    </row>
    <row r="21" spans="1:12" ht="33" customHeight="1">
      <c r="A21" s="1194">
        <v>7</v>
      </c>
      <c r="B21" s="1191" t="s">
        <v>1553</v>
      </c>
      <c r="C21" s="931"/>
      <c r="D21" s="1192"/>
      <c r="E21" s="1181"/>
      <c r="F21" s="734"/>
      <c r="G21" s="1195">
        <f>G20/1.18</f>
        <v>258569.11266101702</v>
      </c>
      <c r="H21" s="174"/>
      <c r="I21" s="175"/>
      <c r="J21" s="145"/>
      <c r="K21" s="145"/>
      <c r="L21" s="145"/>
    </row>
    <row r="22" spans="1:12" ht="31.5" customHeight="1">
      <c r="A22" s="1196">
        <v>8</v>
      </c>
      <c r="B22" s="1185" t="s">
        <v>1554</v>
      </c>
      <c r="C22" s="1197"/>
      <c r="D22" s="1197"/>
      <c r="E22" s="1197"/>
      <c r="F22" s="1198">
        <v>7.4999999999999997E-2</v>
      </c>
      <c r="G22" s="1199">
        <f>G20*F22</f>
        <v>22883.366470500005</v>
      </c>
      <c r="H22" s="17"/>
      <c r="I22" s="175"/>
      <c r="J22" s="145"/>
      <c r="K22" s="145"/>
      <c r="L22" s="145"/>
    </row>
    <row r="23" spans="1:12" ht="18.75" customHeight="1">
      <c r="A23" s="1181">
        <v>9</v>
      </c>
      <c r="B23" s="1200" t="s">
        <v>82</v>
      </c>
      <c r="C23" s="1201"/>
      <c r="D23" s="1198" t="s">
        <v>76</v>
      </c>
      <c r="E23" s="1181">
        <v>0.6</v>
      </c>
      <c r="F23" s="1202">
        <f>665.173187113158*1.043</f>
        <v>693.77563415902364</v>
      </c>
      <c r="G23" s="734">
        <f>E23*F23</f>
        <v>416.26538049541415</v>
      </c>
      <c r="H23" s="200"/>
      <c r="I23" s="467"/>
      <c r="J23" s="145"/>
      <c r="K23" s="145"/>
      <c r="L23" s="145"/>
    </row>
    <row r="24" spans="1:12" ht="47.25" customHeight="1">
      <c r="A24" s="1181">
        <v>10</v>
      </c>
      <c r="B24" s="1203" t="s">
        <v>1649</v>
      </c>
      <c r="C24" s="1204"/>
      <c r="D24" s="1204"/>
      <c r="E24" s="1204"/>
      <c r="F24" s="1204"/>
      <c r="G24" s="1205">
        <v>32679.83</v>
      </c>
      <c r="H24" s="23"/>
      <c r="I24" s="467"/>
      <c r="J24" s="145"/>
      <c r="K24" s="145"/>
      <c r="L24" s="145"/>
    </row>
    <row r="25" spans="1:12" ht="30.75" customHeight="1">
      <c r="A25" s="1181">
        <v>11</v>
      </c>
      <c r="B25" s="1206" t="s">
        <v>1650</v>
      </c>
      <c r="C25" s="1207"/>
      <c r="D25" s="1208"/>
      <c r="E25" s="1181"/>
      <c r="F25" s="735"/>
      <c r="G25" s="734">
        <f>G21*0.04</f>
        <v>10342.764506440681</v>
      </c>
      <c r="H25" s="814" t="s">
        <v>1827</v>
      </c>
      <c r="I25" s="467"/>
      <c r="J25" s="145"/>
      <c r="K25" s="145"/>
      <c r="L25" s="145"/>
    </row>
    <row r="26" spans="1:12" ht="34.5" customHeight="1">
      <c r="A26" s="1181">
        <v>12</v>
      </c>
      <c r="B26" s="1206" t="s">
        <v>1651</v>
      </c>
      <c r="C26" s="1182"/>
      <c r="D26" s="1209"/>
      <c r="E26" s="1181"/>
      <c r="F26" s="735"/>
      <c r="G26" s="1210">
        <f>(((70920.66/1.18)*3.1)/2)*0.04</f>
        <v>3726.3397627118648</v>
      </c>
      <c r="H26" s="517" t="s">
        <v>1635</v>
      </c>
      <c r="I26" s="467"/>
      <c r="J26" s="145"/>
      <c r="K26" s="145"/>
      <c r="L26" s="145"/>
    </row>
    <row r="27" spans="1:12" ht="48.75" customHeight="1">
      <c r="A27" s="1211">
        <v>13</v>
      </c>
      <c r="B27" s="1185" t="s">
        <v>1652</v>
      </c>
      <c r="C27" s="1212"/>
      <c r="D27" s="1209"/>
      <c r="E27" s="1209"/>
      <c r="F27" s="1213"/>
      <c r="G27" s="734">
        <f>(G20+G22+G23+G24+G25+G26)*0.125</f>
        <v>46895.014882518502</v>
      </c>
      <c r="H27" s="145"/>
      <c r="I27" s="145"/>
      <c r="J27" s="145"/>
      <c r="K27" s="145"/>
      <c r="L27" s="145"/>
    </row>
    <row r="28" spans="1:12" ht="34.5" customHeight="1">
      <c r="A28" s="931">
        <v>14</v>
      </c>
      <c r="B28" s="1214" t="s">
        <v>1653</v>
      </c>
      <c r="C28" s="1215"/>
      <c r="D28" s="1209"/>
      <c r="E28" s="1209"/>
      <c r="F28" s="1216"/>
      <c r="G28" s="1193">
        <f>G21+G22+G23+G24+G25+G26+G27</f>
        <v>375512.69366368343</v>
      </c>
      <c r="H28" s="468"/>
      <c r="I28" s="469"/>
      <c r="J28" s="145"/>
      <c r="K28" s="145"/>
      <c r="L28" s="145"/>
    </row>
    <row r="29" spans="1:12" ht="17.25" customHeight="1">
      <c r="A29" s="1181">
        <v>15</v>
      </c>
      <c r="B29" s="1185" t="s">
        <v>1654</v>
      </c>
      <c r="C29" s="1215"/>
      <c r="D29" s="1209"/>
      <c r="E29" s="1209"/>
      <c r="F29" s="734">
        <v>0.09</v>
      </c>
      <c r="G29" s="734">
        <f>G28*F29</f>
        <v>33796.14242973151</v>
      </c>
      <c r="H29" s="202"/>
      <c r="I29" s="180"/>
      <c r="J29" s="145"/>
      <c r="K29" s="145"/>
      <c r="L29" s="145"/>
    </row>
    <row r="30" spans="1:12" ht="17.25" customHeight="1">
      <c r="A30" s="1181">
        <v>16</v>
      </c>
      <c r="B30" s="1185" t="s">
        <v>1655</v>
      </c>
      <c r="C30" s="1215"/>
      <c r="D30" s="1209"/>
      <c r="E30" s="1209"/>
      <c r="F30" s="1187" t="s">
        <v>169</v>
      </c>
      <c r="G30" s="734">
        <f>G28*F30</f>
        <v>33796.14242973151</v>
      </c>
      <c r="H30" s="398"/>
      <c r="I30" s="180"/>
      <c r="J30" s="145"/>
      <c r="K30" s="145"/>
      <c r="L30" s="145"/>
    </row>
    <row r="31" spans="1:12" ht="46.5" customHeight="1">
      <c r="A31" s="1181">
        <v>17</v>
      </c>
      <c r="B31" s="1182" t="s">
        <v>1656</v>
      </c>
      <c r="C31" s="1182"/>
      <c r="D31" s="1209"/>
      <c r="E31" s="1181">
        <v>3.1</v>
      </c>
      <c r="F31" s="734">
        <v>11723</v>
      </c>
      <c r="G31" s="734">
        <f>E31*F31</f>
        <v>36341.300000000003</v>
      </c>
      <c r="H31" s="227"/>
      <c r="I31" s="470"/>
      <c r="J31" s="519"/>
      <c r="K31" s="1222"/>
      <c r="L31" s="145" t="s">
        <v>181</v>
      </c>
    </row>
    <row r="32" spans="1:12" ht="30.75" customHeight="1">
      <c r="A32" s="1181">
        <v>18</v>
      </c>
      <c r="B32" s="1185" t="s">
        <v>1657</v>
      </c>
      <c r="C32" s="1197"/>
      <c r="D32" s="1197"/>
      <c r="E32" s="1197"/>
      <c r="F32" s="1197"/>
      <c r="G32" s="1193">
        <f>G28+G29+G30-G31</f>
        <v>406763.67852314643</v>
      </c>
      <c r="H32" s="467"/>
      <c r="I32" s="239"/>
      <c r="J32" s="1222"/>
      <c r="K32" s="169"/>
      <c r="L32" s="145"/>
    </row>
    <row r="33" spans="1:12" ht="32.25" customHeight="1">
      <c r="A33" s="241">
        <v>19</v>
      </c>
      <c r="B33" s="1214" t="s">
        <v>59</v>
      </c>
      <c r="C33" s="1217"/>
      <c r="D33" s="1217"/>
      <c r="E33" s="1217"/>
      <c r="F33" s="1218"/>
      <c r="G33" s="1219">
        <f>ROUND(G32,0)</f>
        <v>406764</v>
      </c>
      <c r="H33" s="145"/>
      <c r="I33" s="239"/>
      <c r="J33" s="1222"/>
      <c r="K33" s="169"/>
      <c r="L33" s="145"/>
    </row>
    <row r="34" spans="1:12" ht="15">
      <c r="A34" s="145"/>
      <c r="B34" s="145"/>
      <c r="C34" s="145"/>
      <c r="D34" s="145"/>
      <c r="E34" s="145"/>
      <c r="F34" s="145"/>
      <c r="G34" s="145"/>
      <c r="H34" s="145"/>
      <c r="I34" s="239"/>
      <c r="J34" s="1222"/>
      <c r="K34" s="169"/>
      <c r="L34" s="145"/>
    </row>
    <row r="35" spans="1:12" ht="39.75" customHeight="1">
      <c r="A35" s="145"/>
      <c r="B35" s="145"/>
      <c r="C35" s="145"/>
      <c r="D35" s="145"/>
      <c r="E35" s="145"/>
      <c r="F35" s="145"/>
      <c r="G35" s="145"/>
      <c r="H35" s="145"/>
      <c r="I35" s="245"/>
      <c r="J35" s="1222"/>
      <c r="K35" s="169"/>
      <c r="L35" s="145"/>
    </row>
    <row r="36" spans="1:12" ht="15">
      <c r="A36" s="144"/>
      <c r="B36" s="145"/>
      <c r="C36" s="145"/>
      <c r="D36" s="145"/>
      <c r="E36" s="145"/>
      <c r="F36" s="145"/>
      <c r="G36" s="467"/>
      <c r="H36" s="145"/>
      <c r="I36" s="145"/>
      <c r="J36" s="145"/>
      <c r="K36" s="145"/>
      <c r="L36" s="145"/>
    </row>
    <row r="37" spans="1:12" ht="15">
      <c r="A37" s="144"/>
      <c r="B37" s="145"/>
      <c r="C37" s="145"/>
      <c r="D37" s="145"/>
      <c r="E37" s="145"/>
      <c r="F37" s="145"/>
      <c r="G37" s="467"/>
      <c r="H37" s="145"/>
      <c r="I37" s="145"/>
      <c r="J37" s="145"/>
      <c r="K37" s="145"/>
      <c r="L37" s="145"/>
    </row>
    <row r="38" spans="1:12" ht="15">
      <c r="A38" s="144"/>
      <c r="B38" s="145"/>
      <c r="C38" s="145"/>
      <c r="D38" s="145"/>
      <c r="E38" s="145"/>
      <c r="F38" s="145"/>
      <c r="G38" s="467"/>
      <c r="H38" s="145"/>
      <c r="I38" s="145"/>
      <c r="J38" s="145"/>
      <c r="K38" s="145"/>
      <c r="L38" s="145"/>
    </row>
    <row r="39" spans="1:12" ht="15">
      <c r="A39" s="144"/>
      <c r="B39" s="145"/>
      <c r="C39" s="145"/>
      <c r="D39" s="145"/>
      <c r="E39" s="145"/>
      <c r="F39" s="145"/>
      <c r="G39" s="467"/>
      <c r="H39" s="145"/>
      <c r="I39" s="145"/>
      <c r="J39" s="145"/>
      <c r="K39" s="145"/>
      <c r="L39" s="145"/>
    </row>
    <row r="40" spans="1:12" ht="15">
      <c r="A40" s="144"/>
      <c r="B40" s="145"/>
      <c r="C40" s="145"/>
      <c r="D40" s="145"/>
      <c r="E40" s="145"/>
      <c r="F40" s="145"/>
      <c r="G40" s="467"/>
      <c r="H40" s="145"/>
      <c r="I40" s="145"/>
      <c r="J40" s="145"/>
      <c r="K40" s="145"/>
      <c r="L40" s="145"/>
    </row>
    <row r="58" spans="1:3" s="12" customFormat="1" ht="15">
      <c r="A58" s="471"/>
      <c r="B58" s="3077"/>
      <c r="C58" s="3077"/>
    </row>
    <row r="59" spans="1:3" s="12" customFormat="1" ht="14.25">
      <c r="A59" s="471"/>
      <c r="B59" s="174"/>
      <c r="C59" s="266"/>
    </row>
  </sheetData>
  <mergeCells count="4">
    <mergeCell ref="B1:E1"/>
    <mergeCell ref="B3:F3"/>
    <mergeCell ref="A10:A18"/>
    <mergeCell ref="B58:C58"/>
  </mergeCells>
  <conditionalFormatting sqref="B20">
    <cfRule type="cellIs" dxfId="144" priority="2" stopIfTrue="1" operator="equal">
      <formula>"?"</formula>
    </cfRule>
  </conditionalFormatting>
  <conditionalFormatting sqref="B21">
    <cfRule type="cellIs" dxfId="143" priority="1" stopIfTrue="1" operator="equal">
      <formula>"?"</formula>
    </cfRule>
  </conditionalFormatting>
  <pageMargins left="0.9" right="0.1" top="0.71" bottom="0.35" header="0.38" footer="0.17"/>
  <pageSetup scale="130" orientation="landscape" r:id="rId1"/>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51"/>
  <sheetViews>
    <sheetView zoomScale="90" zoomScaleNormal="90" workbookViewId="0">
      <pane xSplit="2" ySplit="7" topLeftCell="C42" activePane="bottomRight" state="frozen"/>
      <selection pane="topRight" activeCell="C1" sqref="C1"/>
      <selection pane="bottomLeft" activeCell="A8" sqref="A8"/>
      <selection pane="bottomRight" activeCell="K5" sqref="K5"/>
    </sheetView>
  </sheetViews>
  <sheetFormatPr defaultRowHeight="12.75"/>
  <cols>
    <col min="1" max="1" width="4.85546875" style="137" customWidth="1"/>
    <col min="2" max="2" width="51.7109375" style="70" customWidth="1"/>
    <col min="3" max="3" width="16.28515625" style="111" customWidth="1"/>
    <col min="4" max="4" width="7.7109375" style="70" customWidth="1"/>
    <col min="5" max="5" width="11.28515625" style="70" bestFit="1" customWidth="1"/>
    <col min="6" max="6" width="10.42578125" style="70" customWidth="1"/>
    <col min="7" max="7" width="19.7109375" style="70" customWidth="1"/>
    <col min="8" max="8" width="10.5703125" style="70" customWidth="1"/>
    <col min="9" max="9" width="19.5703125" style="70" customWidth="1"/>
    <col min="10" max="10" width="22.42578125" style="70" customWidth="1"/>
    <col min="11" max="11" width="11.28515625" style="70" customWidth="1"/>
    <col min="12" max="13" width="9.140625" style="70"/>
    <col min="14" max="14" width="10.85546875" style="70" customWidth="1"/>
    <col min="15" max="256" width="9.140625" style="70"/>
    <col min="257" max="257" width="4.85546875" style="70" customWidth="1"/>
    <col min="258" max="258" width="51.7109375" style="70" customWidth="1"/>
    <col min="259" max="259" width="16.28515625" style="70" customWidth="1"/>
    <col min="260" max="260" width="7.7109375" style="70" customWidth="1"/>
    <col min="261" max="261" width="11.28515625" style="70" bestFit="1" customWidth="1"/>
    <col min="262" max="262" width="10.42578125" style="70" customWidth="1"/>
    <col min="263" max="263" width="19.7109375" style="70" customWidth="1"/>
    <col min="264" max="264" width="10.5703125" style="70" customWidth="1"/>
    <col min="265" max="265" width="19.5703125" style="70" customWidth="1"/>
    <col min="266" max="266" width="22.42578125" style="70" customWidth="1"/>
    <col min="267" max="267" width="11.28515625" style="70" customWidth="1"/>
    <col min="268" max="512" width="9.140625" style="70"/>
    <col min="513" max="513" width="4.85546875" style="70" customWidth="1"/>
    <col min="514" max="514" width="51.7109375" style="70" customWidth="1"/>
    <col min="515" max="515" width="16.28515625" style="70" customWidth="1"/>
    <col min="516" max="516" width="7.7109375" style="70" customWidth="1"/>
    <col min="517" max="517" width="11.28515625" style="70" bestFit="1" customWidth="1"/>
    <col min="518" max="518" width="10.42578125" style="70" customWidth="1"/>
    <col min="519" max="519" width="19.7109375" style="70" customWidth="1"/>
    <col min="520" max="520" width="10.5703125" style="70" customWidth="1"/>
    <col min="521" max="521" width="19.5703125" style="70" customWidth="1"/>
    <col min="522" max="522" width="22.42578125" style="70" customWidth="1"/>
    <col min="523" max="523" width="11.28515625" style="70" customWidth="1"/>
    <col min="524" max="768" width="9.140625" style="70"/>
    <col min="769" max="769" width="4.85546875" style="70" customWidth="1"/>
    <col min="770" max="770" width="51.7109375" style="70" customWidth="1"/>
    <col min="771" max="771" width="16.28515625" style="70" customWidth="1"/>
    <col min="772" max="772" width="7.7109375" style="70" customWidth="1"/>
    <col min="773" max="773" width="11.28515625" style="70" bestFit="1" customWidth="1"/>
    <col min="774" max="774" width="10.42578125" style="70" customWidth="1"/>
    <col min="775" max="775" width="19.7109375" style="70" customWidth="1"/>
    <col min="776" max="776" width="10.5703125" style="70" customWidth="1"/>
    <col min="777" max="777" width="19.5703125" style="70" customWidth="1"/>
    <col min="778" max="778" width="22.42578125" style="70" customWidth="1"/>
    <col min="779" max="779" width="11.28515625" style="70" customWidth="1"/>
    <col min="780" max="1024" width="9.140625" style="70"/>
    <col min="1025" max="1025" width="4.85546875" style="70" customWidth="1"/>
    <col min="1026" max="1026" width="51.7109375" style="70" customWidth="1"/>
    <col min="1027" max="1027" width="16.28515625" style="70" customWidth="1"/>
    <col min="1028" max="1028" width="7.7109375" style="70" customWidth="1"/>
    <col min="1029" max="1029" width="11.28515625" style="70" bestFit="1" customWidth="1"/>
    <col min="1030" max="1030" width="10.42578125" style="70" customWidth="1"/>
    <col min="1031" max="1031" width="19.7109375" style="70" customWidth="1"/>
    <col min="1032" max="1032" width="10.5703125" style="70" customWidth="1"/>
    <col min="1033" max="1033" width="19.5703125" style="70" customWidth="1"/>
    <col min="1034" max="1034" width="22.42578125" style="70" customWidth="1"/>
    <col min="1035" max="1035" width="11.28515625" style="70" customWidth="1"/>
    <col min="1036" max="1280" width="9.140625" style="70"/>
    <col min="1281" max="1281" width="4.85546875" style="70" customWidth="1"/>
    <col min="1282" max="1282" width="51.7109375" style="70" customWidth="1"/>
    <col min="1283" max="1283" width="16.28515625" style="70" customWidth="1"/>
    <col min="1284" max="1284" width="7.7109375" style="70" customWidth="1"/>
    <col min="1285" max="1285" width="11.28515625" style="70" bestFit="1" customWidth="1"/>
    <col min="1286" max="1286" width="10.42578125" style="70" customWidth="1"/>
    <col min="1287" max="1287" width="19.7109375" style="70" customWidth="1"/>
    <col min="1288" max="1288" width="10.5703125" style="70" customWidth="1"/>
    <col min="1289" max="1289" width="19.5703125" style="70" customWidth="1"/>
    <col min="1290" max="1290" width="22.42578125" style="70" customWidth="1"/>
    <col min="1291" max="1291" width="11.28515625" style="70" customWidth="1"/>
    <col min="1292" max="1536" width="9.140625" style="70"/>
    <col min="1537" max="1537" width="4.85546875" style="70" customWidth="1"/>
    <col min="1538" max="1538" width="51.7109375" style="70" customWidth="1"/>
    <col min="1539" max="1539" width="16.28515625" style="70" customWidth="1"/>
    <col min="1540" max="1540" width="7.7109375" style="70" customWidth="1"/>
    <col min="1541" max="1541" width="11.28515625" style="70" bestFit="1" customWidth="1"/>
    <col min="1542" max="1542" width="10.42578125" style="70" customWidth="1"/>
    <col min="1543" max="1543" width="19.7109375" style="70" customWidth="1"/>
    <col min="1544" max="1544" width="10.5703125" style="70" customWidth="1"/>
    <col min="1545" max="1545" width="19.5703125" style="70" customWidth="1"/>
    <col min="1546" max="1546" width="22.42578125" style="70" customWidth="1"/>
    <col min="1547" max="1547" width="11.28515625" style="70" customWidth="1"/>
    <col min="1548" max="1792" width="9.140625" style="70"/>
    <col min="1793" max="1793" width="4.85546875" style="70" customWidth="1"/>
    <col min="1794" max="1794" width="51.7109375" style="70" customWidth="1"/>
    <col min="1795" max="1795" width="16.28515625" style="70" customWidth="1"/>
    <col min="1796" max="1796" width="7.7109375" style="70" customWidth="1"/>
    <col min="1797" max="1797" width="11.28515625" style="70" bestFit="1" customWidth="1"/>
    <col min="1798" max="1798" width="10.42578125" style="70" customWidth="1"/>
    <col min="1799" max="1799" width="19.7109375" style="70" customWidth="1"/>
    <col min="1800" max="1800" width="10.5703125" style="70" customWidth="1"/>
    <col min="1801" max="1801" width="19.5703125" style="70" customWidth="1"/>
    <col min="1802" max="1802" width="22.42578125" style="70" customWidth="1"/>
    <col min="1803" max="1803" width="11.28515625" style="70" customWidth="1"/>
    <col min="1804" max="2048" width="9.140625" style="70"/>
    <col min="2049" max="2049" width="4.85546875" style="70" customWidth="1"/>
    <col min="2050" max="2050" width="51.7109375" style="70" customWidth="1"/>
    <col min="2051" max="2051" width="16.28515625" style="70" customWidth="1"/>
    <col min="2052" max="2052" width="7.7109375" style="70" customWidth="1"/>
    <col min="2053" max="2053" width="11.28515625" style="70" bestFit="1" customWidth="1"/>
    <col min="2054" max="2054" width="10.42578125" style="70" customWidth="1"/>
    <col min="2055" max="2055" width="19.7109375" style="70" customWidth="1"/>
    <col min="2056" max="2056" width="10.5703125" style="70" customWidth="1"/>
    <col min="2057" max="2057" width="19.5703125" style="70" customWidth="1"/>
    <col min="2058" max="2058" width="22.42578125" style="70" customWidth="1"/>
    <col min="2059" max="2059" width="11.28515625" style="70" customWidth="1"/>
    <col min="2060" max="2304" width="9.140625" style="70"/>
    <col min="2305" max="2305" width="4.85546875" style="70" customWidth="1"/>
    <col min="2306" max="2306" width="51.7109375" style="70" customWidth="1"/>
    <col min="2307" max="2307" width="16.28515625" style="70" customWidth="1"/>
    <col min="2308" max="2308" width="7.7109375" style="70" customWidth="1"/>
    <col min="2309" max="2309" width="11.28515625" style="70" bestFit="1" customWidth="1"/>
    <col min="2310" max="2310" width="10.42578125" style="70" customWidth="1"/>
    <col min="2311" max="2311" width="19.7109375" style="70" customWidth="1"/>
    <col min="2312" max="2312" width="10.5703125" style="70" customWidth="1"/>
    <col min="2313" max="2313" width="19.5703125" style="70" customWidth="1"/>
    <col min="2314" max="2314" width="22.42578125" style="70" customWidth="1"/>
    <col min="2315" max="2315" width="11.28515625" style="70" customWidth="1"/>
    <col min="2316" max="2560" width="9.140625" style="70"/>
    <col min="2561" max="2561" width="4.85546875" style="70" customWidth="1"/>
    <col min="2562" max="2562" width="51.7109375" style="70" customWidth="1"/>
    <col min="2563" max="2563" width="16.28515625" style="70" customWidth="1"/>
    <col min="2564" max="2564" width="7.7109375" style="70" customWidth="1"/>
    <col min="2565" max="2565" width="11.28515625" style="70" bestFit="1" customWidth="1"/>
    <col min="2566" max="2566" width="10.42578125" style="70" customWidth="1"/>
    <col min="2567" max="2567" width="19.7109375" style="70" customWidth="1"/>
    <col min="2568" max="2568" width="10.5703125" style="70" customWidth="1"/>
    <col min="2569" max="2569" width="19.5703125" style="70" customWidth="1"/>
    <col min="2570" max="2570" width="22.42578125" style="70" customWidth="1"/>
    <col min="2571" max="2571" width="11.28515625" style="70" customWidth="1"/>
    <col min="2572" max="2816" width="9.140625" style="70"/>
    <col min="2817" max="2817" width="4.85546875" style="70" customWidth="1"/>
    <col min="2818" max="2818" width="51.7109375" style="70" customWidth="1"/>
    <col min="2819" max="2819" width="16.28515625" style="70" customWidth="1"/>
    <col min="2820" max="2820" width="7.7109375" style="70" customWidth="1"/>
    <col min="2821" max="2821" width="11.28515625" style="70" bestFit="1" customWidth="1"/>
    <col min="2822" max="2822" width="10.42578125" style="70" customWidth="1"/>
    <col min="2823" max="2823" width="19.7109375" style="70" customWidth="1"/>
    <col min="2824" max="2824" width="10.5703125" style="70" customWidth="1"/>
    <col min="2825" max="2825" width="19.5703125" style="70" customWidth="1"/>
    <col min="2826" max="2826" width="22.42578125" style="70" customWidth="1"/>
    <col min="2827" max="2827" width="11.28515625" style="70" customWidth="1"/>
    <col min="2828" max="3072" width="9.140625" style="70"/>
    <col min="3073" max="3073" width="4.85546875" style="70" customWidth="1"/>
    <col min="3074" max="3074" width="51.7109375" style="70" customWidth="1"/>
    <col min="3075" max="3075" width="16.28515625" style="70" customWidth="1"/>
    <col min="3076" max="3076" width="7.7109375" style="70" customWidth="1"/>
    <col min="3077" max="3077" width="11.28515625" style="70" bestFit="1" customWidth="1"/>
    <col min="3078" max="3078" width="10.42578125" style="70" customWidth="1"/>
    <col min="3079" max="3079" width="19.7109375" style="70" customWidth="1"/>
    <col min="3080" max="3080" width="10.5703125" style="70" customWidth="1"/>
    <col min="3081" max="3081" width="19.5703125" style="70" customWidth="1"/>
    <col min="3082" max="3082" width="22.42578125" style="70" customWidth="1"/>
    <col min="3083" max="3083" width="11.28515625" style="70" customWidth="1"/>
    <col min="3084" max="3328" width="9.140625" style="70"/>
    <col min="3329" max="3329" width="4.85546875" style="70" customWidth="1"/>
    <col min="3330" max="3330" width="51.7109375" style="70" customWidth="1"/>
    <col min="3331" max="3331" width="16.28515625" style="70" customWidth="1"/>
    <col min="3332" max="3332" width="7.7109375" style="70" customWidth="1"/>
    <col min="3333" max="3333" width="11.28515625" style="70" bestFit="1" customWidth="1"/>
    <col min="3334" max="3334" width="10.42578125" style="70" customWidth="1"/>
    <col min="3335" max="3335" width="19.7109375" style="70" customWidth="1"/>
    <col min="3336" max="3336" width="10.5703125" style="70" customWidth="1"/>
    <col min="3337" max="3337" width="19.5703125" style="70" customWidth="1"/>
    <col min="3338" max="3338" width="22.42578125" style="70" customWidth="1"/>
    <col min="3339" max="3339" width="11.28515625" style="70" customWidth="1"/>
    <col min="3340" max="3584" width="9.140625" style="70"/>
    <col min="3585" max="3585" width="4.85546875" style="70" customWidth="1"/>
    <col min="3586" max="3586" width="51.7109375" style="70" customWidth="1"/>
    <col min="3587" max="3587" width="16.28515625" style="70" customWidth="1"/>
    <col min="3588" max="3588" width="7.7109375" style="70" customWidth="1"/>
    <col min="3589" max="3589" width="11.28515625" style="70" bestFit="1" customWidth="1"/>
    <col min="3590" max="3590" width="10.42578125" style="70" customWidth="1"/>
    <col min="3591" max="3591" width="19.7109375" style="70" customWidth="1"/>
    <col min="3592" max="3592" width="10.5703125" style="70" customWidth="1"/>
    <col min="3593" max="3593" width="19.5703125" style="70" customWidth="1"/>
    <col min="3594" max="3594" width="22.42578125" style="70" customWidth="1"/>
    <col min="3595" max="3595" width="11.28515625" style="70" customWidth="1"/>
    <col min="3596" max="3840" width="9.140625" style="70"/>
    <col min="3841" max="3841" width="4.85546875" style="70" customWidth="1"/>
    <col min="3842" max="3842" width="51.7109375" style="70" customWidth="1"/>
    <col min="3843" max="3843" width="16.28515625" style="70" customWidth="1"/>
    <col min="3844" max="3844" width="7.7109375" style="70" customWidth="1"/>
    <col min="3845" max="3845" width="11.28515625" style="70" bestFit="1" customWidth="1"/>
    <col min="3846" max="3846" width="10.42578125" style="70" customWidth="1"/>
    <col min="3847" max="3847" width="19.7109375" style="70" customWidth="1"/>
    <col min="3848" max="3848" width="10.5703125" style="70" customWidth="1"/>
    <col min="3849" max="3849" width="19.5703125" style="70" customWidth="1"/>
    <col min="3850" max="3850" width="22.42578125" style="70" customWidth="1"/>
    <col min="3851" max="3851" width="11.28515625" style="70" customWidth="1"/>
    <col min="3852" max="4096" width="9.140625" style="70"/>
    <col min="4097" max="4097" width="4.85546875" style="70" customWidth="1"/>
    <col min="4098" max="4098" width="51.7109375" style="70" customWidth="1"/>
    <col min="4099" max="4099" width="16.28515625" style="70" customWidth="1"/>
    <col min="4100" max="4100" width="7.7109375" style="70" customWidth="1"/>
    <col min="4101" max="4101" width="11.28515625" style="70" bestFit="1" customWidth="1"/>
    <col min="4102" max="4102" width="10.42578125" style="70" customWidth="1"/>
    <col min="4103" max="4103" width="19.7109375" style="70" customWidth="1"/>
    <col min="4104" max="4104" width="10.5703125" style="70" customWidth="1"/>
    <col min="4105" max="4105" width="19.5703125" style="70" customWidth="1"/>
    <col min="4106" max="4106" width="22.42578125" style="70" customWidth="1"/>
    <col min="4107" max="4107" width="11.28515625" style="70" customWidth="1"/>
    <col min="4108" max="4352" width="9.140625" style="70"/>
    <col min="4353" max="4353" width="4.85546875" style="70" customWidth="1"/>
    <col min="4354" max="4354" width="51.7109375" style="70" customWidth="1"/>
    <col min="4355" max="4355" width="16.28515625" style="70" customWidth="1"/>
    <col min="4356" max="4356" width="7.7109375" style="70" customWidth="1"/>
    <col min="4357" max="4357" width="11.28515625" style="70" bestFit="1" customWidth="1"/>
    <col min="4358" max="4358" width="10.42578125" style="70" customWidth="1"/>
    <col min="4359" max="4359" width="19.7109375" style="70" customWidth="1"/>
    <col min="4360" max="4360" width="10.5703125" style="70" customWidth="1"/>
    <col min="4361" max="4361" width="19.5703125" style="70" customWidth="1"/>
    <col min="4362" max="4362" width="22.42578125" style="70" customWidth="1"/>
    <col min="4363" max="4363" width="11.28515625" style="70" customWidth="1"/>
    <col min="4364" max="4608" width="9.140625" style="70"/>
    <col min="4609" max="4609" width="4.85546875" style="70" customWidth="1"/>
    <col min="4610" max="4610" width="51.7109375" style="70" customWidth="1"/>
    <col min="4611" max="4611" width="16.28515625" style="70" customWidth="1"/>
    <col min="4612" max="4612" width="7.7109375" style="70" customWidth="1"/>
    <col min="4613" max="4613" width="11.28515625" style="70" bestFit="1" customWidth="1"/>
    <col min="4614" max="4614" width="10.42578125" style="70" customWidth="1"/>
    <col min="4615" max="4615" width="19.7109375" style="70" customWidth="1"/>
    <col min="4616" max="4616" width="10.5703125" style="70" customWidth="1"/>
    <col min="4617" max="4617" width="19.5703125" style="70" customWidth="1"/>
    <col min="4618" max="4618" width="22.42578125" style="70" customWidth="1"/>
    <col min="4619" max="4619" width="11.28515625" style="70" customWidth="1"/>
    <col min="4620" max="4864" width="9.140625" style="70"/>
    <col min="4865" max="4865" width="4.85546875" style="70" customWidth="1"/>
    <col min="4866" max="4866" width="51.7109375" style="70" customWidth="1"/>
    <col min="4867" max="4867" width="16.28515625" style="70" customWidth="1"/>
    <col min="4868" max="4868" width="7.7109375" style="70" customWidth="1"/>
    <col min="4869" max="4869" width="11.28515625" style="70" bestFit="1" customWidth="1"/>
    <col min="4870" max="4870" width="10.42578125" style="70" customWidth="1"/>
    <col min="4871" max="4871" width="19.7109375" style="70" customWidth="1"/>
    <col min="4872" max="4872" width="10.5703125" style="70" customWidth="1"/>
    <col min="4873" max="4873" width="19.5703125" style="70" customWidth="1"/>
    <col min="4874" max="4874" width="22.42578125" style="70" customWidth="1"/>
    <col min="4875" max="4875" width="11.28515625" style="70" customWidth="1"/>
    <col min="4876" max="5120" width="9.140625" style="70"/>
    <col min="5121" max="5121" width="4.85546875" style="70" customWidth="1"/>
    <col min="5122" max="5122" width="51.7109375" style="70" customWidth="1"/>
    <col min="5123" max="5123" width="16.28515625" style="70" customWidth="1"/>
    <col min="5124" max="5124" width="7.7109375" style="70" customWidth="1"/>
    <col min="5125" max="5125" width="11.28515625" style="70" bestFit="1" customWidth="1"/>
    <col min="5126" max="5126" width="10.42578125" style="70" customWidth="1"/>
    <col min="5127" max="5127" width="19.7109375" style="70" customWidth="1"/>
    <col min="5128" max="5128" width="10.5703125" style="70" customWidth="1"/>
    <col min="5129" max="5129" width="19.5703125" style="70" customWidth="1"/>
    <col min="5130" max="5130" width="22.42578125" style="70" customWidth="1"/>
    <col min="5131" max="5131" width="11.28515625" style="70" customWidth="1"/>
    <col min="5132" max="5376" width="9.140625" style="70"/>
    <col min="5377" max="5377" width="4.85546875" style="70" customWidth="1"/>
    <col min="5378" max="5378" width="51.7109375" style="70" customWidth="1"/>
    <col min="5379" max="5379" width="16.28515625" style="70" customWidth="1"/>
    <col min="5380" max="5380" width="7.7109375" style="70" customWidth="1"/>
    <col min="5381" max="5381" width="11.28515625" style="70" bestFit="1" customWidth="1"/>
    <col min="5382" max="5382" width="10.42578125" style="70" customWidth="1"/>
    <col min="5383" max="5383" width="19.7109375" style="70" customWidth="1"/>
    <col min="5384" max="5384" width="10.5703125" style="70" customWidth="1"/>
    <col min="5385" max="5385" width="19.5703125" style="70" customWidth="1"/>
    <col min="5386" max="5386" width="22.42578125" style="70" customWidth="1"/>
    <col min="5387" max="5387" width="11.28515625" style="70" customWidth="1"/>
    <col min="5388" max="5632" width="9.140625" style="70"/>
    <col min="5633" max="5633" width="4.85546875" style="70" customWidth="1"/>
    <col min="5634" max="5634" width="51.7109375" style="70" customWidth="1"/>
    <col min="5635" max="5635" width="16.28515625" style="70" customWidth="1"/>
    <col min="5636" max="5636" width="7.7109375" style="70" customWidth="1"/>
    <col min="5637" max="5637" width="11.28515625" style="70" bestFit="1" customWidth="1"/>
    <col min="5638" max="5638" width="10.42578125" style="70" customWidth="1"/>
    <col min="5639" max="5639" width="19.7109375" style="70" customWidth="1"/>
    <col min="5640" max="5640" width="10.5703125" style="70" customWidth="1"/>
    <col min="5641" max="5641" width="19.5703125" style="70" customWidth="1"/>
    <col min="5642" max="5642" width="22.42578125" style="70" customWidth="1"/>
    <col min="5643" max="5643" width="11.28515625" style="70" customWidth="1"/>
    <col min="5644" max="5888" width="9.140625" style="70"/>
    <col min="5889" max="5889" width="4.85546875" style="70" customWidth="1"/>
    <col min="5890" max="5890" width="51.7109375" style="70" customWidth="1"/>
    <col min="5891" max="5891" width="16.28515625" style="70" customWidth="1"/>
    <col min="5892" max="5892" width="7.7109375" style="70" customWidth="1"/>
    <col min="5893" max="5893" width="11.28515625" style="70" bestFit="1" customWidth="1"/>
    <col min="5894" max="5894" width="10.42578125" style="70" customWidth="1"/>
    <col min="5895" max="5895" width="19.7109375" style="70" customWidth="1"/>
    <col min="5896" max="5896" width="10.5703125" style="70" customWidth="1"/>
    <col min="5897" max="5897" width="19.5703125" style="70" customWidth="1"/>
    <col min="5898" max="5898" width="22.42578125" style="70" customWidth="1"/>
    <col min="5899" max="5899" width="11.28515625" style="70" customWidth="1"/>
    <col min="5900" max="6144" width="9.140625" style="70"/>
    <col min="6145" max="6145" width="4.85546875" style="70" customWidth="1"/>
    <col min="6146" max="6146" width="51.7109375" style="70" customWidth="1"/>
    <col min="6147" max="6147" width="16.28515625" style="70" customWidth="1"/>
    <col min="6148" max="6148" width="7.7109375" style="70" customWidth="1"/>
    <col min="6149" max="6149" width="11.28515625" style="70" bestFit="1" customWidth="1"/>
    <col min="6150" max="6150" width="10.42578125" style="70" customWidth="1"/>
    <col min="6151" max="6151" width="19.7109375" style="70" customWidth="1"/>
    <col min="6152" max="6152" width="10.5703125" style="70" customWidth="1"/>
    <col min="6153" max="6153" width="19.5703125" style="70" customWidth="1"/>
    <col min="6154" max="6154" width="22.42578125" style="70" customWidth="1"/>
    <col min="6155" max="6155" width="11.28515625" style="70" customWidth="1"/>
    <col min="6156" max="6400" width="9.140625" style="70"/>
    <col min="6401" max="6401" width="4.85546875" style="70" customWidth="1"/>
    <col min="6402" max="6402" width="51.7109375" style="70" customWidth="1"/>
    <col min="6403" max="6403" width="16.28515625" style="70" customWidth="1"/>
    <col min="6404" max="6404" width="7.7109375" style="70" customWidth="1"/>
    <col min="6405" max="6405" width="11.28515625" style="70" bestFit="1" customWidth="1"/>
    <col min="6406" max="6406" width="10.42578125" style="70" customWidth="1"/>
    <col min="6407" max="6407" width="19.7109375" style="70" customWidth="1"/>
    <col min="6408" max="6408" width="10.5703125" style="70" customWidth="1"/>
    <col min="6409" max="6409" width="19.5703125" style="70" customWidth="1"/>
    <col min="6410" max="6410" width="22.42578125" style="70" customWidth="1"/>
    <col min="6411" max="6411" width="11.28515625" style="70" customWidth="1"/>
    <col min="6412" max="6656" width="9.140625" style="70"/>
    <col min="6657" max="6657" width="4.85546875" style="70" customWidth="1"/>
    <col min="6658" max="6658" width="51.7109375" style="70" customWidth="1"/>
    <col min="6659" max="6659" width="16.28515625" style="70" customWidth="1"/>
    <col min="6660" max="6660" width="7.7109375" style="70" customWidth="1"/>
    <col min="6661" max="6661" width="11.28515625" style="70" bestFit="1" customWidth="1"/>
    <col min="6662" max="6662" width="10.42578125" style="70" customWidth="1"/>
    <col min="6663" max="6663" width="19.7109375" style="70" customWidth="1"/>
    <col min="6664" max="6664" width="10.5703125" style="70" customWidth="1"/>
    <col min="6665" max="6665" width="19.5703125" style="70" customWidth="1"/>
    <col min="6666" max="6666" width="22.42578125" style="70" customWidth="1"/>
    <col min="6667" max="6667" width="11.28515625" style="70" customWidth="1"/>
    <col min="6668" max="6912" width="9.140625" style="70"/>
    <col min="6913" max="6913" width="4.85546875" style="70" customWidth="1"/>
    <col min="6914" max="6914" width="51.7109375" style="70" customWidth="1"/>
    <col min="6915" max="6915" width="16.28515625" style="70" customWidth="1"/>
    <col min="6916" max="6916" width="7.7109375" style="70" customWidth="1"/>
    <col min="6917" max="6917" width="11.28515625" style="70" bestFit="1" customWidth="1"/>
    <col min="6918" max="6918" width="10.42578125" style="70" customWidth="1"/>
    <col min="6919" max="6919" width="19.7109375" style="70" customWidth="1"/>
    <col min="6920" max="6920" width="10.5703125" style="70" customWidth="1"/>
    <col min="6921" max="6921" width="19.5703125" style="70" customWidth="1"/>
    <col min="6922" max="6922" width="22.42578125" style="70" customWidth="1"/>
    <col min="6923" max="6923" width="11.28515625" style="70" customWidth="1"/>
    <col min="6924" max="7168" width="9.140625" style="70"/>
    <col min="7169" max="7169" width="4.85546875" style="70" customWidth="1"/>
    <col min="7170" max="7170" width="51.7109375" style="70" customWidth="1"/>
    <col min="7171" max="7171" width="16.28515625" style="70" customWidth="1"/>
    <col min="7172" max="7172" width="7.7109375" style="70" customWidth="1"/>
    <col min="7173" max="7173" width="11.28515625" style="70" bestFit="1" customWidth="1"/>
    <col min="7174" max="7174" width="10.42578125" style="70" customWidth="1"/>
    <col min="7175" max="7175" width="19.7109375" style="70" customWidth="1"/>
    <col min="7176" max="7176" width="10.5703125" style="70" customWidth="1"/>
    <col min="7177" max="7177" width="19.5703125" style="70" customWidth="1"/>
    <col min="7178" max="7178" width="22.42578125" style="70" customWidth="1"/>
    <col min="7179" max="7179" width="11.28515625" style="70" customWidth="1"/>
    <col min="7180" max="7424" width="9.140625" style="70"/>
    <col min="7425" max="7425" width="4.85546875" style="70" customWidth="1"/>
    <col min="7426" max="7426" width="51.7109375" style="70" customWidth="1"/>
    <col min="7427" max="7427" width="16.28515625" style="70" customWidth="1"/>
    <col min="7428" max="7428" width="7.7109375" style="70" customWidth="1"/>
    <col min="7429" max="7429" width="11.28515625" style="70" bestFit="1" customWidth="1"/>
    <col min="7430" max="7430" width="10.42578125" style="70" customWidth="1"/>
    <col min="7431" max="7431" width="19.7109375" style="70" customWidth="1"/>
    <col min="7432" max="7432" width="10.5703125" style="70" customWidth="1"/>
    <col min="7433" max="7433" width="19.5703125" style="70" customWidth="1"/>
    <col min="7434" max="7434" width="22.42578125" style="70" customWidth="1"/>
    <col min="7435" max="7435" width="11.28515625" style="70" customWidth="1"/>
    <col min="7436" max="7680" width="9.140625" style="70"/>
    <col min="7681" max="7681" width="4.85546875" style="70" customWidth="1"/>
    <col min="7682" max="7682" width="51.7109375" style="70" customWidth="1"/>
    <col min="7683" max="7683" width="16.28515625" style="70" customWidth="1"/>
    <col min="7684" max="7684" width="7.7109375" style="70" customWidth="1"/>
    <col min="7685" max="7685" width="11.28515625" style="70" bestFit="1" customWidth="1"/>
    <col min="7686" max="7686" width="10.42578125" style="70" customWidth="1"/>
    <col min="7687" max="7687" width="19.7109375" style="70" customWidth="1"/>
    <col min="7688" max="7688" width="10.5703125" style="70" customWidth="1"/>
    <col min="7689" max="7689" width="19.5703125" style="70" customWidth="1"/>
    <col min="7690" max="7690" width="22.42578125" style="70" customWidth="1"/>
    <col min="7691" max="7691" width="11.28515625" style="70" customWidth="1"/>
    <col min="7692" max="7936" width="9.140625" style="70"/>
    <col min="7937" max="7937" width="4.85546875" style="70" customWidth="1"/>
    <col min="7938" max="7938" width="51.7109375" style="70" customWidth="1"/>
    <col min="7939" max="7939" width="16.28515625" style="70" customWidth="1"/>
    <col min="7940" max="7940" width="7.7109375" style="70" customWidth="1"/>
    <col min="7941" max="7941" width="11.28515625" style="70" bestFit="1" customWidth="1"/>
    <col min="7942" max="7942" width="10.42578125" style="70" customWidth="1"/>
    <col min="7943" max="7943" width="19.7109375" style="70" customWidth="1"/>
    <col min="7944" max="7944" width="10.5703125" style="70" customWidth="1"/>
    <col min="7945" max="7945" width="19.5703125" style="70" customWidth="1"/>
    <col min="7946" max="7946" width="22.42578125" style="70" customWidth="1"/>
    <col min="7947" max="7947" width="11.28515625" style="70" customWidth="1"/>
    <col min="7948" max="8192" width="9.140625" style="70"/>
    <col min="8193" max="8193" width="4.85546875" style="70" customWidth="1"/>
    <col min="8194" max="8194" width="51.7109375" style="70" customWidth="1"/>
    <col min="8195" max="8195" width="16.28515625" style="70" customWidth="1"/>
    <col min="8196" max="8196" width="7.7109375" style="70" customWidth="1"/>
    <col min="8197" max="8197" width="11.28515625" style="70" bestFit="1" customWidth="1"/>
    <col min="8198" max="8198" width="10.42578125" style="70" customWidth="1"/>
    <col min="8199" max="8199" width="19.7109375" style="70" customWidth="1"/>
    <col min="8200" max="8200" width="10.5703125" style="70" customWidth="1"/>
    <col min="8201" max="8201" width="19.5703125" style="70" customWidth="1"/>
    <col min="8202" max="8202" width="22.42578125" style="70" customWidth="1"/>
    <col min="8203" max="8203" width="11.28515625" style="70" customWidth="1"/>
    <col min="8204" max="8448" width="9.140625" style="70"/>
    <col min="8449" max="8449" width="4.85546875" style="70" customWidth="1"/>
    <col min="8450" max="8450" width="51.7109375" style="70" customWidth="1"/>
    <col min="8451" max="8451" width="16.28515625" style="70" customWidth="1"/>
    <col min="8452" max="8452" width="7.7109375" style="70" customWidth="1"/>
    <col min="8453" max="8453" width="11.28515625" style="70" bestFit="1" customWidth="1"/>
    <col min="8454" max="8454" width="10.42578125" style="70" customWidth="1"/>
    <col min="8455" max="8455" width="19.7109375" style="70" customWidth="1"/>
    <col min="8456" max="8456" width="10.5703125" style="70" customWidth="1"/>
    <col min="8457" max="8457" width="19.5703125" style="70" customWidth="1"/>
    <col min="8458" max="8458" width="22.42578125" style="70" customWidth="1"/>
    <col min="8459" max="8459" width="11.28515625" style="70" customWidth="1"/>
    <col min="8460" max="8704" width="9.140625" style="70"/>
    <col min="8705" max="8705" width="4.85546875" style="70" customWidth="1"/>
    <col min="8706" max="8706" width="51.7109375" style="70" customWidth="1"/>
    <col min="8707" max="8707" width="16.28515625" style="70" customWidth="1"/>
    <col min="8708" max="8708" width="7.7109375" style="70" customWidth="1"/>
    <col min="8709" max="8709" width="11.28515625" style="70" bestFit="1" customWidth="1"/>
    <col min="8710" max="8710" width="10.42578125" style="70" customWidth="1"/>
    <col min="8711" max="8711" width="19.7109375" style="70" customWidth="1"/>
    <col min="8712" max="8712" width="10.5703125" style="70" customWidth="1"/>
    <col min="8713" max="8713" width="19.5703125" style="70" customWidth="1"/>
    <col min="8714" max="8714" width="22.42578125" style="70" customWidth="1"/>
    <col min="8715" max="8715" width="11.28515625" style="70" customWidth="1"/>
    <col min="8716" max="8960" width="9.140625" style="70"/>
    <col min="8961" max="8961" width="4.85546875" style="70" customWidth="1"/>
    <col min="8962" max="8962" width="51.7109375" style="70" customWidth="1"/>
    <col min="8963" max="8963" width="16.28515625" style="70" customWidth="1"/>
    <col min="8964" max="8964" width="7.7109375" style="70" customWidth="1"/>
    <col min="8965" max="8965" width="11.28515625" style="70" bestFit="1" customWidth="1"/>
    <col min="8966" max="8966" width="10.42578125" style="70" customWidth="1"/>
    <col min="8967" max="8967" width="19.7109375" style="70" customWidth="1"/>
    <col min="8968" max="8968" width="10.5703125" style="70" customWidth="1"/>
    <col min="8969" max="8969" width="19.5703125" style="70" customWidth="1"/>
    <col min="8970" max="8970" width="22.42578125" style="70" customWidth="1"/>
    <col min="8971" max="8971" width="11.28515625" style="70" customWidth="1"/>
    <col min="8972" max="9216" width="9.140625" style="70"/>
    <col min="9217" max="9217" width="4.85546875" style="70" customWidth="1"/>
    <col min="9218" max="9218" width="51.7109375" style="70" customWidth="1"/>
    <col min="9219" max="9219" width="16.28515625" style="70" customWidth="1"/>
    <col min="9220" max="9220" width="7.7109375" style="70" customWidth="1"/>
    <col min="9221" max="9221" width="11.28515625" style="70" bestFit="1" customWidth="1"/>
    <col min="9222" max="9222" width="10.42578125" style="70" customWidth="1"/>
    <col min="9223" max="9223" width="19.7109375" style="70" customWidth="1"/>
    <col min="9224" max="9224" width="10.5703125" style="70" customWidth="1"/>
    <col min="9225" max="9225" width="19.5703125" style="70" customWidth="1"/>
    <col min="9226" max="9226" width="22.42578125" style="70" customWidth="1"/>
    <col min="9227" max="9227" width="11.28515625" style="70" customWidth="1"/>
    <col min="9228" max="9472" width="9.140625" style="70"/>
    <col min="9473" max="9473" width="4.85546875" style="70" customWidth="1"/>
    <col min="9474" max="9474" width="51.7109375" style="70" customWidth="1"/>
    <col min="9475" max="9475" width="16.28515625" style="70" customWidth="1"/>
    <col min="9476" max="9476" width="7.7109375" style="70" customWidth="1"/>
    <col min="9477" max="9477" width="11.28515625" style="70" bestFit="1" customWidth="1"/>
    <col min="9478" max="9478" width="10.42578125" style="70" customWidth="1"/>
    <col min="9479" max="9479" width="19.7109375" style="70" customWidth="1"/>
    <col min="9480" max="9480" width="10.5703125" style="70" customWidth="1"/>
    <col min="9481" max="9481" width="19.5703125" style="70" customWidth="1"/>
    <col min="9482" max="9482" width="22.42578125" style="70" customWidth="1"/>
    <col min="9483" max="9483" width="11.28515625" style="70" customWidth="1"/>
    <col min="9484" max="9728" width="9.140625" style="70"/>
    <col min="9729" max="9729" width="4.85546875" style="70" customWidth="1"/>
    <col min="9730" max="9730" width="51.7109375" style="70" customWidth="1"/>
    <col min="9731" max="9731" width="16.28515625" style="70" customWidth="1"/>
    <col min="9732" max="9732" width="7.7109375" style="70" customWidth="1"/>
    <col min="9733" max="9733" width="11.28515625" style="70" bestFit="1" customWidth="1"/>
    <col min="9734" max="9734" width="10.42578125" style="70" customWidth="1"/>
    <col min="9735" max="9735" width="19.7109375" style="70" customWidth="1"/>
    <col min="9736" max="9736" width="10.5703125" style="70" customWidth="1"/>
    <col min="9737" max="9737" width="19.5703125" style="70" customWidth="1"/>
    <col min="9738" max="9738" width="22.42578125" style="70" customWidth="1"/>
    <col min="9739" max="9739" width="11.28515625" style="70" customWidth="1"/>
    <col min="9740" max="9984" width="9.140625" style="70"/>
    <col min="9985" max="9985" width="4.85546875" style="70" customWidth="1"/>
    <col min="9986" max="9986" width="51.7109375" style="70" customWidth="1"/>
    <col min="9987" max="9987" width="16.28515625" style="70" customWidth="1"/>
    <col min="9988" max="9988" width="7.7109375" style="70" customWidth="1"/>
    <col min="9989" max="9989" width="11.28515625" style="70" bestFit="1" customWidth="1"/>
    <col min="9990" max="9990" width="10.42578125" style="70" customWidth="1"/>
    <col min="9991" max="9991" width="19.7109375" style="70" customWidth="1"/>
    <col min="9992" max="9992" width="10.5703125" style="70" customWidth="1"/>
    <col min="9993" max="9993" width="19.5703125" style="70" customWidth="1"/>
    <col min="9994" max="9994" width="22.42578125" style="70" customWidth="1"/>
    <col min="9995" max="9995" width="11.28515625" style="70" customWidth="1"/>
    <col min="9996" max="10240" width="9.140625" style="70"/>
    <col min="10241" max="10241" width="4.85546875" style="70" customWidth="1"/>
    <col min="10242" max="10242" width="51.7109375" style="70" customWidth="1"/>
    <col min="10243" max="10243" width="16.28515625" style="70" customWidth="1"/>
    <col min="10244" max="10244" width="7.7109375" style="70" customWidth="1"/>
    <col min="10245" max="10245" width="11.28515625" style="70" bestFit="1" customWidth="1"/>
    <col min="10246" max="10246" width="10.42578125" style="70" customWidth="1"/>
    <col min="10247" max="10247" width="19.7109375" style="70" customWidth="1"/>
    <col min="10248" max="10248" width="10.5703125" style="70" customWidth="1"/>
    <col min="10249" max="10249" width="19.5703125" style="70" customWidth="1"/>
    <col min="10250" max="10250" width="22.42578125" style="70" customWidth="1"/>
    <col min="10251" max="10251" width="11.28515625" style="70" customWidth="1"/>
    <col min="10252" max="10496" width="9.140625" style="70"/>
    <col min="10497" max="10497" width="4.85546875" style="70" customWidth="1"/>
    <col min="10498" max="10498" width="51.7109375" style="70" customWidth="1"/>
    <col min="10499" max="10499" width="16.28515625" style="70" customWidth="1"/>
    <col min="10500" max="10500" width="7.7109375" style="70" customWidth="1"/>
    <col min="10501" max="10501" width="11.28515625" style="70" bestFit="1" customWidth="1"/>
    <col min="10502" max="10502" width="10.42578125" style="70" customWidth="1"/>
    <col min="10503" max="10503" width="19.7109375" style="70" customWidth="1"/>
    <col min="10504" max="10504" width="10.5703125" style="70" customWidth="1"/>
    <col min="10505" max="10505" width="19.5703125" style="70" customWidth="1"/>
    <col min="10506" max="10506" width="22.42578125" style="70" customWidth="1"/>
    <col min="10507" max="10507" width="11.28515625" style="70" customWidth="1"/>
    <col min="10508" max="10752" width="9.140625" style="70"/>
    <col min="10753" max="10753" width="4.85546875" style="70" customWidth="1"/>
    <col min="10754" max="10754" width="51.7109375" style="70" customWidth="1"/>
    <col min="10755" max="10755" width="16.28515625" style="70" customWidth="1"/>
    <col min="10756" max="10756" width="7.7109375" style="70" customWidth="1"/>
    <col min="10757" max="10757" width="11.28515625" style="70" bestFit="1" customWidth="1"/>
    <col min="10758" max="10758" width="10.42578125" style="70" customWidth="1"/>
    <col min="10759" max="10759" width="19.7109375" style="70" customWidth="1"/>
    <col min="10760" max="10760" width="10.5703125" style="70" customWidth="1"/>
    <col min="10761" max="10761" width="19.5703125" style="70" customWidth="1"/>
    <col min="10762" max="10762" width="22.42578125" style="70" customWidth="1"/>
    <col min="10763" max="10763" width="11.28515625" style="70" customWidth="1"/>
    <col min="10764" max="11008" width="9.140625" style="70"/>
    <col min="11009" max="11009" width="4.85546875" style="70" customWidth="1"/>
    <col min="11010" max="11010" width="51.7109375" style="70" customWidth="1"/>
    <col min="11011" max="11011" width="16.28515625" style="70" customWidth="1"/>
    <col min="11012" max="11012" width="7.7109375" style="70" customWidth="1"/>
    <col min="11013" max="11013" width="11.28515625" style="70" bestFit="1" customWidth="1"/>
    <col min="11014" max="11014" width="10.42578125" style="70" customWidth="1"/>
    <col min="11015" max="11015" width="19.7109375" style="70" customWidth="1"/>
    <col min="11016" max="11016" width="10.5703125" style="70" customWidth="1"/>
    <col min="11017" max="11017" width="19.5703125" style="70" customWidth="1"/>
    <col min="11018" max="11018" width="22.42578125" style="70" customWidth="1"/>
    <col min="11019" max="11019" width="11.28515625" style="70" customWidth="1"/>
    <col min="11020" max="11264" width="9.140625" style="70"/>
    <col min="11265" max="11265" width="4.85546875" style="70" customWidth="1"/>
    <col min="11266" max="11266" width="51.7109375" style="70" customWidth="1"/>
    <col min="11267" max="11267" width="16.28515625" style="70" customWidth="1"/>
    <col min="11268" max="11268" width="7.7109375" style="70" customWidth="1"/>
    <col min="11269" max="11269" width="11.28515625" style="70" bestFit="1" customWidth="1"/>
    <col min="11270" max="11270" width="10.42578125" style="70" customWidth="1"/>
    <col min="11271" max="11271" width="19.7109375" style="70" customWidth="1"/>
    <col min="11272" max="11272" width="10.5703125" style="70" customWidth="1"/>
    <col min="11273" max="11273" width="19.5703125" style="70" customWidth="1"/>
    <col min="11274" max="11274" width="22.42578125" style="70" customWidth="1"/>
    <col min="11275" max="11275" width="11.28515625" style="70" customWidth="1"/>
    <col min="11276" max="11520" width="9.140625" style="70"/>
    <col min="11521" max="11521" width="4.85546875" style="70" customWidth="1"/>
    <col min="11522" max="11522" width="51.7109375" style="70" customWidth="1"/>
    <col min="11523" max="11523" width="16.28515625" style="70" customWidth="1"/>
    <col min="11524" max="11524" width="7.7109375" style="70" customWidth="1"/>
    <col min="11525" max="11525" width="11.28515625" style="70" bestFit="1" customWidth="1"/>
    <col min="11526" max="11526" width="10.42578125" style="70" customWidth="1"/>
    <col min="11527" max="11527" width="19.7109375" style="70" customWidth="1"/>
    <col min="11528" max="11528" width="10.5703125" style="70" customWidth="1"/>
    <col min="11529" max="11529" width="19.5703125" style="70" customWidth="1"/>
    <col min="11530" max="11530" width="22.42578125" style="70" customWidth="1"/>
    <col min="11531" max="11531" width="11.28515625" style="70" customWidth="1"/>
    <col min="11532" max="11776" width="9.140625" style="70"/>
    <col min="11777" max="11777" width="4.85546875" style="70" customWidth="1"/>
    <col min="11778" max="11778" width="51.7109375" style="70" customWidth="1"/>
    <col min="11779" max="11779" width="16.28515625" style="70" customWidth="1"/>
    <col min="11780" max="11780" width="7.7109375" style="70" customWidth="1"/>
    <col min="11781" max="11781" width="11.28515625" style="70" bestFit="1" customWidth="1"/>
    <col min="11782" max="11782" width="10.42578125" style="70" customWidth="1"/>
    <col min="11783" max="11783" width="19.7109375" style="70" customWidth="1"/>
    <col min="11784" max="11784" width="10.5703125" style="70" customWidth="1"/>
    <col min="11785" max="11785" width="19.5703125" style="70" customWidth="1"/>
    <col min="11786" max="11786" width="22.42578125" style="70" customWidth="1"/>
    <col min="11787" max="11787" width="11.28515625" style="70" customWidth="1"/>
    <col min="11788" max="12032" width="9.140625" style="70"/>
    <col min="12033" max="12033" width="4.85546875" style="70" customWidth="1"/>
    <col min="12034" max="12034" width="51.7109375" style="70" customWidth="1"/>
    <col min="12035" max="12035" width="16.28515625" style="70" customWidth="1"/>
    <col min="12036" max="12036" width="7.7109375" style="70" customWidth="1"/>
    <col min="12037" max="12037" width="11.28515625" style="70" bestFit="1" customWidth="1"/>
    <col min="12038" max="12038" width="10.42578125" style="70" customWidth="1"/>
    <col min="12039" max="12039" width="19.7109375" style="70" customWidth="1"/>
    <col min="12040" max="12040" width="10.5703125" style="70" customWidth="1"/>
    <col min="12041" max="12041" width="19.5703125" style="70" customWidth="1"/>
    <col min="12042" max="12042" width="22.42578125" style="70" customWidth="1"/>
    <col min="12043" max="12043" width="11.28515625" style="70" customWidth="1"/>
    <col min="12044" max="12288" width="9.140625" style="70"/>
    <col min="12289" max="12289" width="4.85546875" style="70" customWidth="1"/>
    <col min="12290" max="12290" width="51.7109375" style="70" customWidth="1"/>
    <col min="12291" max="12291" width="16.28515625" style="70" customWidth="1"/>
    <col min="12292" max="12292" width="7.7109375" style="70" customWidth="1"/>
    <col min="12293" max="12293" width="11.28515625" style="70" bestFit="1" customWidth="1"/>
    <col min="12294" max="12294" width="10.42578125" style="70" customWidth="1"/>
    <col min="12295" max="12295" width="19.7109375" style="70" customWidth="1"/>
    <col min="12296" max="12296" width="10.5703125" style="70" customWidth="1"/>
    <col min="12297" max="12297" width="19.5703125" style="70" customWidth="1"/>
    <col min="12298" max="12298" width="22.42578125" style="70" customWidth="1"/>
    <col min="12299" max="12299" width="11.28515625" style="70" customWidth="1"/>
    <col min="12300" max="12544" width="9.140625" style="70"/>
    <col min="12545" max="12545" width="4.85546875" style="70" customWidth="1"/>
    <col min="12546" max="12546" width="51.7109375" style="70" customWidth="1"/>
    <col min="12547" max="12547" width="16.28515625" style="70" customWidth="1"/>
    <col min="12548" max="12548" width="7.7109375" style="70" customWidth="1"/>
    <col min="12549" max="12549" width="11.28515625" style="70" bestFit="1" customWidth="1"/>
    <col min="12550" max="12550" width="10.42578125" style="70" customWidth="1"/>
    <col min="12551" max="12551" width="19.7109375" style="70" customWidth="1"/>
    <col min="12552" max="12552" width="10.5703125" style="70" customWidth="1"/>
    <col min="12553" max="12553" width="19.5703125" style="70" customWidth="1"/>
    <col min="12554" max="12554" width="22.42578125" style="70" customWidth="1"/>
    <col min="12555" max="12555" width="11.28515625" style="70" customWidth="1"/>
    <col min="12556" max="12800" width="9.140625" style="70"/>
    <col min="12801" max="12801" width="4.85546875" style="70" customWidth="1"/>
    <col min="12802" max="12802" width="51.7109375" style="70" customWidth="1"/>
    <col min="12803" max="12803" width="16.28515625" style="70" customWidth="1"/>
    <col min="12804" max="12804" width="7.7109375" style="70" customWidth="1"/>
    <col min="12805" max="12805" width="11.28515625" style="70" bestFit="1" customWidth="1"/>
    <col min="12806" max="12806" width="10.42578125" style="70" customWidth="1"/>
    <col min="12807" max="12807" width="19.7109375" style="70" customWidth="1"/>
    <col min="12808" max="12808" width="10.5703125" style="70" customWidth="1"/>
    <col min="12809" max="12809" width="19.5703125" style="70" customWidth="1"/>
    <col min="12810" max="12810" width="22.42578125" style="70" customWidth="1"/>
    <col min="12811" max="12811" width="11.28515625" style="70" customWidth="1"/>
    <col min="12812" max="13056" width="9.140625" style="70"/>
    <col min="13057" max="13057" width="4.85546875" style="70" customWidth="1"/>
    <col min="13058" max="13058" width="51.7109375" style="70" customWidth="1"/>
    <col min="13059" max="13059" width="16.28515625" style="70" customWidth="1"/>
    <col min="13060" max="13060" width="7.7109375" style="70" customWidth="1"/>
    <col min="13061" max="13061" width="11.28515625" style="70" bestFit="1" customWidth="1"/>
    <col min="13062" max="13062" width="10.42578125" style="70" customWidth="1"/>
    <col min="13063" max="13063" width="19.7109375" style="70" customWidth="1"/>
    <col min="13064" max="13064" width="10.5703125" style="70" customWidth="1"/>
    <col min="13065" max="13065" width="19.5703125" style="70" customWidth="1"/>
    <col min="13066" max="13066" width="22.42578125" style="70" customWidth="1"/>
    <col min="13067" max="13067" width="11.28515625" style="70" customWidth="1"/>
    <col min="13068" max="13312" width="9.140625" style="70"/>
    <col min="13313" max="13313" width="4.85546875" style="70" customWidth="1"/>
    <col min="13314" max="13314" width="51.7109375" style="70" customWidth="1"/>
    <col min="13315" max="13315" width="16.28515625" style="70" customWidth="1"/>
    <col min="13316" max="13316" width="7.7109375" style="70" customWidth="1"/>
    <col min="13317" max="13317" width="11.28515625" style="70" bestFit="1" customWidth="1"/>
    <col min="13318" max="13318" width="10.42578125" style="70" customWidth="1"/>
    <col min="13319" max="13319" width="19.7109375" style="70" customWidth="1"/>
    <col min="13320" max="13320" width="10.5703125" style="70" customWidth="1"/>
    <col min="13321" max="13321" width="19.5703125" style="70" customWidth="1"/>
    <col min="13322" max="13322" width="22.42578125" style="70" customWidth="1"/>
    <col min="13323" max="13323" width="11.28515625" style="70" customWidth="1"/>
    <col min="13324" max="13568" width="9.140625" style="70"/>
    <col min="13569" max="13569" width="4.85546875" style="70" customWidth="1"/>
    <col min="13570" max="13570" width="51.7109375" style="70" customWidth="1"/>
    <col min="13571" max="13571" width="16.28515625" style="70" customWidth="1"/>
    <col min="13572" max="13572" width="7.7109375" style="70" customWidth="1"/>
    <col min="13573" max="13573" width="11.28515625" style="70" bestFit="1" customWidth="1"/>
    <col min="13574" max="13574" width="10.42578125" style="70" customWidth="1"/>
    <col min="13575" max="13575" width="19.7109375" style="70" customWidth="1"/>
    <col min="13576" max="13576" width="10.5703125" style="70" customWidth="1"/>
    <col min="13577" max="13577" width="19.5703125" style="70" customWidth="1"/>
    <col min="13578" max="13578" width="22.42578125" style="70" customWidth="1"/>
    <col min="13579" max="13579" width="11.28515625" style="70" customWidth="1"/>
    <col min="13580" max="13824" width="9.140625" style="70"/>
    <col min="13825" max="13825" width="4.85546875" style="70" customWidth="1"/>
    <col min="13826" max="13826" width="51.7109375" style="70" customWidth="1"/>
    <col min="13827" max="13827" width="16.28515625" style="70" customWidth="1"/>
    <col min="13828" max="13828" width="7.7109375" style="70" customWidth="1"/>
    <col min="13829" max="13829" width="11.28515625" style="70" bestFit="1" customWidth="1"/>
    <col min="13830" max="13830" width="10.42578125" style="70" customWidth="1"/>
    <col min="13831" max="13831" width="19.7109375" style="70" customWidth="1"/>
    <col min="13832" max="13832" width="10.5703125" style="70" customWidth="1"/>
    <col min="13833" max="13833" width="19.5703125" style="70" customWidth="1"/>
    <col min="13834" max="13834" width="22.42578125" style="70" customWidth="1"/>
    <col min="13835" max="13835" width="11.28515625" style="70" customWidth="1"/>
    <col min="13836" max="14080" width="9.140625" style="70"/>
    <col min="14081" max="14081" width="4.85546875" style="70" customWidth="1"/>
    <col min="14082" max="14082" width="51.7109375" style="70" customWidth="1"/>
    <col min="14083" max="14083" width="16.28515625" style="70" customWidth="1"/>
    <col min="14084" max="14084" width="7.7109375" style="70" customWidth="1"/>
    <col min="14085" max="14085" width="11.28515625" style="70" bestFit="1" customWidth="1"/>
    <col min="14086" max="14086" width="10.42578125" style="70" customWidth="1"/>
    <col min="14087" max="14087" width="19.7109375" style="70" customWidth="1"/>
    <col min="14088" max="14088" width="10.5703125" style="70" customWidth="1"/>
    <col min="14089" max="14089" width="19.5703125" style="70" customWidth="1"/>
    <col min="14090" max="14090" width="22.42578125" style="70" customWidth="1"/>
    <col min="14091" max="14091" width="11.28515625" style="70" customWidth="1"/>
    <col min="14092" max="14336" width="9.140625" style="70"/>
    <col min="14337" max="14337" width="4.85546875" style="70" customWidth="1"/>
    <col min="14338" max="14338" width="51.7109375" style="70" customWidth="1"/>
    <col min="14339" max="14339" width="16.28515625" style="70" customWidth="1"/>
    <col min="14340" max="14340" width="7.7109375" style="70" customWidth="1"/>
    <col min="14341" max="14341" width="11.28515625" style="70" bestFit="1" customWidth="1"/>
    <col min="14342" max="14342" width="10.42578125" style="70" customWidth="1"/>
    <col min="14343" max="14343" width="19.7109375" style="70" customWidth="1"/>
    <col min="14344" max="14344" width="10.5703125" style="70" customWidth="1"/>
    <col min="14345" max="14345" width="19.5703125" style="70" customWidth="1"/>
    <col min="14346" max="14346" width="22.42578125" style="70" customWidth="1"/>
    <col min="14347" max="14347" width="11.28515625" style="70" customWidth="1"/>
    <col min="14348" max="14592" width="9.140625" style="70"/>
    <col min="14593" max="14593" width="4.85546875" style="70" customWidth="1"/>
    <col min="14594" max="14594" width="51.7109375" style="70" customWidth="1"/>
    <col min="14595" max="14595" width="16.28515625" style="70" customWidth="1"/>
    <col min="14596" max="14596" width="7.7109375" style="70" customWidth="1"/>
    <col min="14597" max="14597" width="11.28515625" style="70" bestFit="1" customWidth="1"/>
    <col min="14598" max="14598" width="10.42578125" style="70" customWidth="1"/>
    <col min="14599" max="14599" width="19.7109375" style="70" customWidth="1"/>
    <col min="14600" max="14600" width="10.5703125" style="70" customWidth="1"/>
    <col min="14601" max="14601" width="19.5703125" style="70" customWidth="1"/>
    <col min="14602" max="14602" width="22.42578125" style="70" customWidth="1"/>
    <col min="14603" max="14603" width="11.28515625" style="70" customWidth="1"/>
    <col min="14604" max="14848" width="9.140625" style="70"/>
    <col min="14849" max="14849" width="4.85546875" style="70" customWidth="1"/>
    <col min="14850" max="14850" width="51.7109375" style="70" customWidth="1"/>
    <col min="14851" max="14851" width="16.28515625" style="70" customWidth="1"/>
    <col min="14852" max="14852" width="7.7109375" style="70" customWidth="1"/>
    <col min="14853" max="14853" width="11.28515625" style="70" bestFit="1" customWidth="1"/>
    <col min="14854" max="14854" width="10.42578125" style="70" customWidth="1"/>
    <col min="14855" max="14855" width="19.7109375" style="70" customWidth="1"/>
    <col min="14856" max="14856" width="10.5703125" style="70" customWidth="1"/>
    <col min="14857" max="14857" width="19.5703125" style="70" customWidth="1"/>
    <col min="14858" max="14858" width="22.42578125" style="70" customWidth="1"/>
    <col min="14859" max="14859" width="11.28515625" style="70" customWidth="1"/>
    <col min="14860" max="15104" width="9.140625" style="70"/>
    <col min="15105" max="15105" width="4.85546875" style="70" customWidth="1"/>
    <col min="15106" max="15106" width="51.7109375" style="70" customWidth="1"/>
    <col min="15107" max="15107" width="16.28515625" style="70" customWidth="1"/>
    <col min="15108" max="15108" width="7.7109375" style="70" customWidth="1"/>
    <col min="15109" max="15109" width="11.28515625" style="70" bestFit="1" customWidth="1"/>
    <col min="15110" max="15110" width="10.42578125" style="70" customWidth="1"/>
    <col min="15111" max="15111" width="19.7109375" style="70" customWidth="1"/>
    <col min="15112" max="15112" width="10.5703125" style="70" customWidth="1"/>
    <col min="15113" max="15113" width="19.5703125" style="70" customWidth="1"/>
    <col min="15114" max="15114" width="22.42578125" style="70" customWidth="1"/>
    <col min="15115" max="15115" width="11.28515625" style="70" customWidth="1"/>
    <col min="15116" max="15360" width="9.140625" style="70"/>
    <col min="15361" max="15361" width="4.85546875" style="70" customWidth="1"/>
    <col min="15362" max="15362" width="51.7109375" style="70" customWidth="1"/>
    <col min="15363" max="15363" width="16.28515625" style="70" customWidth="1"/>
    <col min="15364" max="15364" width="7.7109375" style="70" customWidth="1"/>
    <col min="15365" max="15365" width="11.28515625" style="70" bestFit="1" customWidth="1"/>
    <col min="15366" max="15366" width="10.42578125" style="70" customWidth="1"/>
    <col min="15367" max="15367" width="19.7109375" style="70" customWidth="1"/>
    <col min="15368" max="15368" width="10.5703125" style="70" customWidth="1"/>
    <col min="15369" max="15369" width="19.5703125" style="70" customWidth="1"/>
    <col min="15370" max="15370" width="22.42578125" style="70" customWidth="1"/>
    <col min="15371" max="15371" width="11.28515625" style="70" customWidth="1"/>
    <col min="15372" max="15616" width="9.140625" style="70"/>
    <col min="15617" max="15617" width="4.85546875" style="70" customWidth="1"/>
    <col min="15618" max="15618" width="51.7109375" style="70" customWidth="1"/>
    <col min="15619" max="15619" width="16.28515625" style="70" customWidth="1"/>
    <col min="15620" max="15620" width="7.7109375" style="70" customWidth="1"/>
    <col min="15621" max="15621" width="11.28515625" style="70" bestFit="1" customWidth="1"/>
    <col min="15622" max="15622" width="10.42578125" style="70" customWidth="1"/>
    <col min="15623" max="15623" width="19.7109375" style="70" customWidth="1"/>
    <col min="15624" max="15624" width="10.5703125" style="70" customWidth="1"/>
    <col min="15625" max="15625" width="19.5703125" style="70" customWidth="1"/>
    <col min="15626" max="15626" width="22.42578125" style="70" customWidth="1"/>
    <col min="15627" max="15627" width="11.28515625" style="70" customWidth="1"/>
    <col min="15628" max="15872" width="9.140625" style="70"/>
    <col min="15873" max="15873" width="4.85546875" style="70" customWidth="1"/>
    <col min="15874" max="15874" width="51.7109375" style="70" customWidth="1"/>
    <col min="15875" max="15875" width="16.28515625" style="70" customWidth="1"/>
    <col min="15876" max="15876" width="7.7109375" style="70" customWidth="1"/>
    <col min="15877" max="15877" width="11.28515625" style="70" bestFit="1" customWidth="1"/>
    <col min="15878" max="15878" width="10.42578125" style="70" customWidth="1"/>
    <col min="15879" max="15879" width="19.7109375" style="70" customWidth="1"/>
    <col min="15880" max="15880" width="10.5703125" style="70" customWidth="1"/>
    <col min="15881" max="15881" width="19.5703125" style="70" customWidth="1"/>
    <col min="15882" max="15882" width="22.42578125" style="70" customWidth="1"/>
    <col min="15883" max="15883" width="11.28515625" style="70" customWidth="1"/>
    <col min="15884" max="16128" width="9.140625" style="70"/>
    <col min="16129" max="16129" width="4.85546875" style="70" customWidth="1"/>
    <col min="16130" max="16130" width="51.7109375" style="70" customWidth="1"/>
    <col min="16131" max="16131" width="16.28515625" style="70" customWidth="1"/>
    <col min="16132" max="16132" width="7.7109375" style="70" customWidth="1"/>
    <col min="16133" max="16133" width="11.28515625" style="70" bestFit="1" customWidth="1"/>
    <col min="16134" max="16134" width="10.42578125" style="70" customWidth="1"/>
    <col min="16135" max="16135" width="19.7109375" style="70" customWidth="1"/>
    <col min="16136" max="16136" width="10.5703125" style="70" customWidth="1"/>
    <col min="16137" max="16137" width="19.5703125" style="70" customWidth="1"/>
    <col min="16138" max="16138" width="22.42578125" style="70" customWidth="1"/>
    <col min="16139" max="16139" width="11.28515625" style="70" customWidth="1"/>
    <col min="16140" max="16384" width="9.140625" style="70"/>
  </cols>
  <sheetData>
    <row r="1" spans="1:11" ht="18">
      <c r="B1" s="597"/>
      <c r="C1" s="3115" t="s">
        <v>1774</v>
      </c>
      <c r="D1" s="3115"/>
      <c r="E1" s="3115"/>
      <c r="F1" s="3115"/>
      <c r="G1" s="597"/>
      <c r="H1" s="597"/>
      <c r="I1" s="597"/>
    </row>
    <row r="2" spans="1:11" ht="18">
      <c r="A2" s="618"/>
      <c r="B2" s="618"/>
      <c r="C2" s="618"/>
      <c r="D2" s="618"/>
      <c r="E2" s="618"/>
      <c r="F2" s="618"/>
      <c r="G2" s="618"/>
      <c r="H2" s="3334" t="s">
        <v>89</v>
      </c>
      <c r="I2" s="3334"/>
    </row>
    <row r="3" spans="1:11" ht="18.75" customHeight="1">
      <c r="B3" s="3334" t="s">
        <v>1775</v>
      </c>
      <c r="C3" s="3334"/>
      <c r="D3" s="3334"/>
      <c r="E3" s="3334"/>
      <c r="F3" s="3334"/>
      <c r="G3" s="3334"/>
      <c r="H3" s="3334"/>
      <c r="I3" s="600"/>
    </row>
    <row r="4" spans="1:11" ht="15.75">
      <c r="A4" s="573"/>
      <c r="B4" s="573"/>
      <c r="C4" s="573"/>
      <c r="D4" s="573"/>
      <c r="E4" s="572"/>
      <c r="F4" s="572"/>
      <c r="G4" s="572"/>
      <c r="H4" s="572"/>
      <c r="I4" s="572"/>
      <c r="J4" s="572"/>
    </row>
    <row r="5" spans="1:11" ht="96.75" customHeight="1">
      <c r="A5" s="3373" t="s">
        <v>2</v>
      </c>
      <c r="B5" s="3363" t="s">
        <v>3</v>
      </c>
      <c r="C5" s="3373" t="s">
        <v>1720</v>
      </c>
      <c r="D5" s="3363" t="s">
        <v>5</v>
      </c>
      <c r="E5" s="3363" t="s">
        <v>9</v>
      </c>
      <c r="F5" s="3447" t="s">
        <v>2080</v>
      </c>
      <c r="G5" s="3448"/>
      <c r="H5" s="3447" t="s">
        <v>2082</v>
      </c>
      <c r="I5" s="3448"/>
      <c r="K5" s="733"/>
    </row>
    <row r="6" spans="1:11" ht="18.75" customHeight="1">
      <c r="A6" s="3374"/>
      <c r="B6" s="3364"/>
      <c r="C6" s="3374"/>
      <c r="D6" s="3364"/>
      <c r="E6" s="3364"/>
      <c r="F6" s="959" t="s">
        <v>8</v>
      </c>
      <c r="G6" s="959" t="s">
        <v>10</v>
      </c>
      <c r="H6" s="959" t="s">
        <v>8</v>
      </c>
      <c r="I6" s="959" t="s">
        <v>10</v>
      </c>
    </row>
    <row r="7" spans="1:11" ht="15.75">
      <c r="A7" s="620" t="s">
        <v>1470</v>
      </c>
      <c r="B7" s="620" t="s">
        <v>1425</v>
      </c>
      <c r="C7" s="620" t="s">
        <v>184</v>
      </c>
      <c r="D7" s="620" t="s">
        <v>1695</v>
      </c>
      <c r="E7" s="620" t="s">
        <v>1750</v>
      </c>
      <c r="F7" s="620" t="s">
        <v>1471</v>
      </c>
      <c r="G7" s="620" t="s">
        <v>1751</v>
      </c>
      <c r="H7" s="620" t="s">
        <v>1752</v>
      </c>
      <c r="I7" s="620" t="s">
        <v>1753</v>
      </c>
    </row>
    <row r="8" spans="1:11" ht="53.25" customHeight="1">
      <c r="A8" s="3337">
        <v>1</v>
      </c>
      <c r="B8" s="1840" t="s">
        <v>2081</v>
      </c>
      <c r="C8" s="1826">
        <v>7130600675</v>
      </c>
      <c r="D8" s="1080" t="s">
        <v>26</v>
      </c>
      <c r="E8" s="1081">
        <f>VLOOKUP(C8,'SOR RATE'!A:D,4,0)/1000</f>
        <v>68.748589999999993</v>
      </c>
      <c r="F8" s="1080">
        <v>3082.1595000000002</v>
      </c>
      <c r="G8" s="1081">
        <f>F8*E8</f>
        <v>211894.11978010499</v>
      </c>
      <c r="H8" s="1831" t="s">
        <v>1534</v>
      </c>
      <c r="I8" s="1831" t="s">
        <v>1534</v>
      </c>
      <c r="J8" s="629" t="s">
        <v>1792</v>
      </c>
    </row>
    <row r="9" spans="1:11" ht="48.75" customHeight="1">
      <c r="A9" s="3339"/>
      <c r="B9" s="1840" t="s">
        <v>2083</v>
      </c>
      <c r="C9" s="1826">
        <v>7130600675</v>
      </c>
      <c r="D9" s="1080" t="s">
        <v>26</v>
      </c>
      <c r="E9" s="1081">
        <f>VLOOKUP(C9,'SOR RATE'!A:D,4,0)/1000</f>
        <v>68.748589999999993</v>
      </c>
      <c r="F9" s="1831" t="s">
        <v>1534</v>
      </c>
      <c r="G9" s="1831" t="s">
        <v>1534</v>
      </c>
      <c r="H9" s="1081">
        <v>3988.6770000000001</v>
      </c>
      <c r="I9" s="1849">
        <f>H9*E9</f>
        <v>274215.91971543001</v>
      </c>
    </row>
    <row r="10" spans="1:11" ht="19.5" customHeight="1">
      <c r="A10" s="1080">
        <v>2</v>
      </c>
      <c r="B10" s="1825" t="s">
        <v>1776</v>
      </c>
      <c r="C10" s="1850">
        <v>7130810461</v>
      </c>
      <c r="D10" s="1080" t="s">
        <v>12</v>
      </c>
      <c r="E10" s="1081">
        <f>VLOOKUP(C10,'SOR RATE'!A:D,4,0)</f>
        <v>1124.6099999999999</v>
      </c>
      <c r="F10" s="1080">
        <v>17</v>
      </c>
      <c r="G10" s="1081">
        <f>F10*E10</f>
        <v>19118.37</v>
      </c>
      <c r="H10" s="1080">
        <v>22</v>
      </c>
      <c r="I10" s="1849">
        <f>H10*E10</f>
        <v>24741.42</v>
      </c>
    </row>
    <row r="11" spans="1:11" ht="34.5" customHeight="1">
      <c r="A11" s="1835">
        <v>3</v>
      </c>
      <c r="B11" s="1827" t="s">
        <v>1777</v>
      </c>
      <c r="C11" s="1850">
        <v>7130820106</v>
      </c>
      <c r="D11" s="1080" t="s">
        <v>12</v>
      </c>
      <c r="E11" s="1081">
        <f>VLOOKUP(C11,'SOR RATE'!A:D,4,0)</f>
        <v>15.42</v>
      </c>
      <c r="F11" s="1080">
        <v>96</v>
      </c>
      <c r="G11" s="1081">
        <f>F11*E11</f>
        <v>1480.32</v>
      </c>
      <c r="H11" s="1080">
        <v>116</v>
      </c>
      <c r="I11" s="1849">
        <f>H11*E11</f>
        <v>1788.72</v>
      </c>
    </row>
    <row r="12" spans="1:11" ht="18" customHeight="1">
      <c r="A12" s="1080">
        <v>4</v>
      </c>
      <c r="B12" s="1825" t="s">
        <v>1729</v>
      </c>
      <c r="C12" s="1850">
        <v>7130820216</v>
      </c>
      <c r="D12" s="1080" t="s">
        <v>12</v>
      </c>
      <c r="E12" s="1081">
        <f>VLOOKUP(C12,'SOR RATE'!A:D,4,0)</f>
        <v>52.15</v>
      </c>
      <c r="F12" s="1080">
        <v>35</v>
      </c>
      <c r="G12" s="1081">
        <f>F12*E12</f>
        <v>1825.25</v>
      </c>
      <c r="H12" s="1080">
        <v>35</v>
      </c>
      <c r="I12" s="1849">
        <f>H12*E12</f>
        <v>1825.25</v>
      </c>
    </row>
    <row r="13" spans="1:11" ht="18" customHeight="1">
      <c r="A13" s="1080">
        <v>5</v>
      </c>
      <c r="B13" s="1825" t="s">
        <v>1770</v>
      </c>
      <c r="C13" s="1850">
        <v>7130820201</v>
      </c>
      <c r="D13" s="1080" t="s">
        <v>12</v>
      </c>
      <c r="E13" s="1081">
        <f>VLOOKUP(C13,'SOR RATE'!A:D,4,0)</f>
        <v>46.15</v>
      </c>
      <c r="F13" s="1080">
        <v>24</v>
      </c>
      <c r="G13" s="1081">
        <f>F13*E13</f>
        <v>1107.5999999999999</v>
      </c>
      <c r="H13" s="1080">
        <v>29</v>
      </c>
      <c r="I13" s="1849">
        <f>H13*E13</f>
        <v>1338.35</v>
      </c>
    </row>
    <row r="14" spans="1:11" ht="18" customHeight="1">
      <c r="A14" s="3444">
        <v>6</v>
      </c>
      <c r="B14" s="1851" t="s">
        <v>1731</v>
      </c>
      <c r="C14" s="1852"/>
      <c r="D14" s="1853"/>
      <c r="E14" s="1853"/>
      <c r="F14" s="1853"/>
      <c r="G14" s="1853"/>
      <c r="H14" s="1853"/>
      <c r="I14" s="1854"/>
    </row>
    <row r="15" spans="1:11" ht="18" customHeight="1">
      <c r="A15" s="3445"/>
      <c r="B15" s="1825" t="s">
        <v>1778</v>
      </c>
      <c r="C15" s="1850">
        <v>7130830060</v>
      </c>
      <c r="D15" s="1080" t="s">
        <v>21</v>
      </c>
      <c r="E15" s="1081">
        <f>VLOOKUP(C15,'SOR RATE'!A:D,4,0)/1000</f>
        <v>70.920659999999998</v>
      </c>
      <c r="F15" s="1831" t="s">
        <v>1534</v>
      </c>
      <c r="G15" s="1081"/>
      <c r="H15" s="1080">
        <v>3090</v>
      </c>
      <c r="I15" s="1849">
        <f>H15*E15</f>
        <v>219144.8394</v>
      </c>
    </row>
    <row r="16" spans="1:11" ht="18" customHeight="1">
      <c r="A16" s="3445"/>
      <c r="B16" s="1825" t="s">
        <v>1779</v>
      </c>
      <c r="C16" s="1850">
        <v>7130830057</v>
      </c>
      <c r="D16" s="1080" t="s">
        <v>21</v>
      </c>
      <c r="E16" s="1081">
        <f>VLOOKUP(C16,'SOR RATE'!A:D,4,0)/1000</f>
        <v>46.676089999999995</v>
      </c>
      <c r="F16" s="1080">
        <v>3090</v>
      </c>
      <c r="G16" s="1081">
        <f t="shared" ref="G16:G22" si="0">F16*E16</f>
        <v>144229.11809999999</v>
      </c>
      <c r="H16" s="1831" t="s">
        <v>1534</v>
      </c>
      <c r="I16" s="1831"/>
    </row>
    <row r="17" spans="1:12" ht="18" customHeight="1">
      <c r="A17" s="3446"/>
      <c r="B17" s="1825" t="s">
        <v>1780</v>
      </c>
      <c r="C17" s="1850">
        <v>7130830055</v>
      </c>
      <c r="D17" s="1080" t="s">
        <v>21</v>
      </c>
      <c r="E17" s="1081">
        <f>VLOOKUP(C17,'SOR RATE'!A:D,4,0)/1000</f>
        <v>28.020759999999999</v>
      </c>
      <c r="F17" s="1831">
        <v>2060</v>
      </c>
      <c r="G17" s="1081">
        <f t="shared" si="0"/>
        <v>57722.765599999999</v>
      </c>
      <c r="H17" s="1080">
        <v>2060</v>
      </c>
      <c r="I17" s="1849">
        <f t="shared" ref="I17:I22" si="1">H17*E17</f>
        <v>57722.765599999999</v>
      </c>
    </row>
    <row r="18" spans="1:12" ht="18" customHeight="1">
      <c r="A18" s="3337">
        <v>7</v>
      </c>
      <c r="B18" s="1825" t="s">
        <v>24</v>
      </c>
      <c r="C18" s="1850">
        <v>7130860032</v>
      </c>
      <c r="D18" s="1080" t="s">
        <v>12</v>
      </c>
      <c r="E18" s="1081">
        <f>VLOOKUP(C18,'SOR RATE'!A:D,4,0)</f>
        <v>566.19000000000005</v>
      </c>
      <c r="F18" s="1080">
        <v>12</v>
      </c>
      <c r="G18" s="1081">
        <f t="shared" si="0"/>
        <v>6794.2800000000007</v>
      </c>
      <c r="H18" s="1080">
        <v>12</v>
      </c>
      <c r="I18" s="1831">
        <f t="shared" si="1"/>
        <v>6794.2800000000007</v>
      </c>
    </row>
    <row r="19" spans="1:12" ht="18" customHeight="1">
      <c r="A19" s="3338"/>
      <c r="B19" s="1825" t="s">
        <v>1735</v>
      </c>
      <c r="C19" s="1850">
        <v>7130860077</v>
      </c>
      <c r="D19" s="1080" t="s">
        <v>26</v>
      </c>
      <c r="E19" s="1081">
        <f>VLOOKUP(C19,'SOR RATE'!A:D,4,0)/1000</f>
        <v>93.76643</v>
      </c>
      <c r="F19" s="1080">
        <v>72</v>
      </c>
      <c r="G19" s="1081">
        <f t="shared" si="0"/>
        <v>6751.1829600000001</v>
      </c>
      <c r="H19" s="1080">
        <v>72</v>
      </c>
      <c r="I19" s="1849">
        <f t="shared" si="1"/>
        <v>6751.1829600000001</v>
      </c>
    </row>
    <row r="20" spans="1:12" ht="18" customHeight="1">
      <c r="A20" s="3339"/>
      <c r="B20" s="1825" t="s">
        <v>74</v>
      </c>
      <c r="C20" s="1855">
        <v>7130810026</v>
      </c>
      <c r="D20" s="1833" t="s">
        <v>15</v>
      </c>
      <c r="E20" s="1081">
        <f>VLOOKUP(C20,'SOR RATE'!A201:D201,4,0)</f>
        <v>198.14</v>
      </c>
      <c r="F20" s="1080">
        <v>12</v>
      </c>
      <c r="G20" s="1081">
        <f t="shared" si="0"/>
        <v>2377.6799999999998</v>
      </c>
      <c r="H20" s="1080">
        <v>12</v>
      </c>
      <c r="I20" s="1849">
        <f t="shared" si="1"/>
        <v>2377.6799999999998</v>
      </c>
    </row>
    <row r="21" spans="1:12" ht="18" customHeight="1">
      <c r="A21" s="1080">
        <v>8</v>
      </c>
      <c r="B21" s="1825" t="s">
        <v>1772</v>
      </c>
      <c r="C21" s="1850">
        <v>7130820018</v>
      </c>
      <c r="D21" s="1080" t="s">
        <v>15</v>
      </c>
      <c r="E21" s="1081">
        <f>VLOOKUP(C21,'SOR RATE'!A:D,4,0)</f>
        <v>4.66</v>
      </c>
      <c r="F21" s="1080">
        <v>32</v>
      </c>
      <c r="G21" s="1081">
        <f t="shared" si="0"/>
        <v>149.12</v>
      </c>
      <c r="H21" s="1080">
        <v>42</v>
      </c>
      <c r="I21" s="1849">
        <f t="shared" si="1"/>
        <v>195.72</v>
      </c>
    </row>
    <row r="22" spans="1:12" ht="18" customHeight="1">
      <c r="A22" s="1835">
        <v>9</v>
      </c>
      <c r="B22" s="1856" t="s">
        <v>110</v>
      </c>
      <c r="C22" s="1850">
        <v>7130830006</v>
      </c>
      <c r="D22" s="1080" t="s">
        <v>26</v>
      </c>
      <c r="E22" s="1081">
        <f>VLOOKUP(C22,'SOR RATE'!A:D,4,0)</f>
        <v>201.5</v>
      </c>
      <c r="F22" s="1080">
        <v>3.5</v>
      </c>
      <c r="G22" s="1081">
        <f t="shared" si="0"/>
        <v>705.25</v>
      </c>
      <c r="H22" s="1080">
        <v>3.5</v>
      </c>
      <c r="I22" s="1849">
        <f t="shared" si="1"/>
        <v>705.25</v>
      </c>
    </row>
    <row r="23" spans="1:12" ht="50.25" customHeight="1">
      <c r="A23" s="1080">
        <v>10</v>
      </c>
      <c r="B23" s="1857" t="s">
        <v>1781</v>
      </c>
      <c r="C23" s="1850">
        <v>7130200202</v>
      </c>
      <c r="D23" s="918" t="s">
        <v>1440</v>
      </c>
      <c r="E23" s="1081">
        <f>VLOOKUP(C23,'SOR RATE'!A:D,4,0)</f>
        <v>2970</v>
      </c>
      <c r="F23" s="959">
        <f>(0.35*17)+(0.2*12)</f>
        <v>8.35</v>
      </c>
      <c r="G23" s="1081">
        <f>E23*F23</f>
        <v>24799.5</v>
      </c>
      <c r="H23" s="959">
        <f>(22*0.35)+(12*0.2)</f>
        <v>10.1</v>
      </c>
      <c r="I23" s="1849">
        <f>E23*H23</f>
        <v>29997</v>
      </c>
      <c r="J23" s="623" t="s">
        <v>47</v>
      </c>
      <c r="L23" s="1862"/>
    </row>
    <row r="24" spans="1:12" ht="17.25" customHeight="1">
      <c r="A24" s="3338">
        <v>11</v>
      </c>
      <c r="B24" s="1858" t="s">
        <v>1443</v>
      </c>
      <c r="C24" s="1850"/>
      <c r="D24" s="1080" t="s">
        <v>26</v>
      </c>
      <c r="E24" s="1081"/>
      <c r="F24" s="959">
        <v>44</v>
      </c>
      <c r="G24" s="1081"/>
      <c r="H24" s="959">
        <v>44</v>
      </c>
      <c r="I24" s="1849"/>
    </row>
    <row r="25" spans="1:12" ht="17.25" customHeight="1">
      <c r="A25" s="3338"/>
      <c r="B25" s="916" t="s">
        <v>505</v>
      </c>
      <c r="C25" s="1850">
        <v>7130620573</v>
      </c>
      <c r="D25" s="1080" t="s">
        <v>26</v>
      </c>
      <c r="E25" s="1081">
        <f>VLOOKUP(C25,'SOR RATE'!A:D,4,0)</f>
        <v>87.23</v>
      </c>
      <c r="F25" s="1080">
        <v>17</v>
      </c>
      <c r="G25" s="1081">
        <f t="shared" ref="G25:G31" si="2">F25*E25</f>
        <v>1482.91</v>
      </c>
      <c r="H25" s="1080">
        <v>17</v>
      </c>
      <c r="I25" s="1849">
        <f t="shared" ref="I25:I31" si="3">H25*E25</f>
        <v>1482.91</v>
      </c>
    </row>
    <row r="26" spans="1:12" ht="17.25" customHeight="1">
      <c r="A26" s="3338"/>
      <c r="B26" s="916" t="s">
        <v>79</v>
      </c>
      <c r="C26" s="1850">
        <v>7130620609</v>
      </c>
      <c r="D26" s="1080" t="s">
        <v>26</v>
      </c>
      <c r="E26" s="1081">
        <f>VLOOKUP(C26,'SOR RATE'!A:D,4,0)</f>
        <v>87.23</v>
      </c>
      <c r="F26" s="1080">
        <v>8</v>
      </c>
      <c r="G26" s="1081">
        <f t="shared" si="2"/>
        <v>697.84</v>
      </c>
      <c r="H26" s="1080">
        <v>8</v>
      </c>
      <c r="I26" s="1849">
        <f t="shared" si="3"/>
        <v>697.84</v>
      </c>
    </row>
    <row r="27" spans="1:12" ht="17.25" customHeight="1">
      <c r="A27" s="3339"/>
      <c r="B27" s="916" t="s">
        <v>111</v>
      </c>
      <c r="C27" s="1850">
        <v>7130620614</v>
      </c>
      <c r="D27" s="1080" t="s">
        <v>26</v>
      </c>
      <c r="E27" s="1081">
        <f>VLOOKUP(C27,'SOR RATE'!A:D,4,0)</f>
        <v>85.77</v>
      </c>
      <c r="F27" s="1080">
        <v>19</v>
      </c>
      <c r="G27" s="1081">
        <f t="shared" si="2"/>
        <v>1629.6299999999999</v>
      </c>
      <c r="H27" s="1080">
        <v>19</v>
      </c>
      <c r="I27" s="1849">
        <f t="shared" si="3"/>
        <v>1629.6299999999999</v>
      </c>
    </row>
    <row r="28" spans="1:12" ht="30">
      <c r="A28" s="1835">
        <v>12</v>
      </c>
      <c r="B28" s="1827" t="s">
        <v>1782</v>
      </c>
      <c r="C28" s="1850">
        <v>7130870013</v>
      </c>
      <c r="D28" s="918" t="s">
        <v>12</v>
      </c>
      <c r="E28" s="1081">
        <f>VLOOKUP(C28,'SOR RATE'!A:D,4,0)</f>
        <v>152.88999999999999</v>
      </c>
      <c r="F28" s="1080">
        <v>7</v>
      </c>
      <c r="G28" s="1081">
        <f t="shared" si="2"/>
        <v>1070.23</v>
      </c>
      <c r="H28" s="1080">
        <v>7</v>
      </c>
      <c r="I28" s="1849">
        <f t="shared" si="3"/>
        <v>1070.23</v>
      </c>
    </row>
    <row r="29" spans="1:12" ht="18" customHeight="1">
      <c r="A29" s="1080">
        <v>13</v>
      </c>
      <c r="B29" s="1825" t="s">
        <v>28</v>
      </c>
      <c r="C29" s="1850">
        <v>7130211158</v>
      </c>
      <c r="D29" s="1080" t="s">
        <v>29</v>
      </c>
      <c r="E29" s="1081">
        <f>VLOOKUP(C29,'SOR RATE'!A:D,4,0)</f>
        <v>193.62</v>
      </c>
      <c r="F29" s="1080">
        <v>5</v>
      </c>
      <c r="G29" s="1081">
        <f t="shared" si="2"/>
        <v>968.1</v>
      </c>
      <c r="H29" s="1080">
        <v>5</v>
      </c>
      <c r="I29" s="1849">
        <f t="shared" si="3"/>
        <v>968.1</v>
      </c>
    </row>
    <row r="30" spans="1:12" ht="18" customHeight="1">
      <c r="A30" s="1080">
        <v>14</v>
      </c>
      <c r="B30" s="1825" t="s">
        <v>30</v>
      </c>
      <c r="C30" s="1850">
        <v>7130210809</v>
      </c>
      <c r="D30" s="1080" t="s">
        <v>29</v>
      </c>
      <c r="E30" s="1081">
        <f>VLOOKUP(C30,'SOR RATE'!A:D,4,0)</f>
        <v>432.63</v>
      </c>
      <c r="F30" s="1080">
        <v>5</v>
      </c>
      <c r="G30" s="1081">
        <f t="shared" si="2"/>
        <v>2163.15</v>
      </c>
      <c r="H30" s="1080">
        <v>5</v>
      </c>
      <c r="I30" s="1849">
        <f t="shared" si="3"/>
        <v>2163.15</v>
      </c>
    </row>
    <row r="31" spans="1:12" ht="18" customHeight="1">
      <c r="A31" s="1080">
        <v>15</v>
      </c>
      <c r="B31" s="1825" t="s">
        <v>1783</v>
      </c>
      <c r="C31" s="1826">
        <v>7130870043</v>
      </c>
      <c r="D31" s="1080" t="s">
        <v>26</v>
      </c>
      <c r="E31" s="1081">
        <f>VLOOKUP(C31,'SOR RATE'!A:D,4,0)/1000</f>
        <v>80.521839999999997</v>
      </c>
      <c r="F31" s="1080">
        <v>7.5</v>
      </c>
      <c r="G31" s="1081">
        <f t="shared" si="2"/>
        <v>603.91380000000004</v>
      </c>
      <c r="H31" s="1080">
        <v>7.5</v>
      </c>
      <c r="I31" s="1849">
        <f t="shared" si="3"/>
        <v>603.91380000000004</v>
      </c>
    </row>
    <row r="32" spans="1:12" ht="18.75" customHeight="1">
      <c r="A32" s="959">
        <v>16</v>
      </c>
      <c r="B32" s="1074" t="s">
        <v>48</v>
      </c>
      <c r="C32" s="1826"/>
      <c r="D32" s="1834"/>
      <c r="E32" s="1080"/>
      <c r="F32" s="1080"/>
      <c r="G32" s="1837">
        <f>SUM(G8:G31)</f>
        <v>487570.33024010493</v>
      </c>
      <c r="H32" s="1837"/>
      <c r="I32" s="1837">
        <f>SUM(I8:I31)</f>
        <v>636214.15147543</v>
      </c>
      <c r="J32" s="608"/>
    </row>
    <row r="33" spans="1:14" ht="18.75" customHeight="1">
      <c r="A33" s="1838">
        <v>17</v>
      </c>
      <c r="B33" s="1074" t="s">
        <v>49</v>
      </c>
      <c r="C33" s="1826"/>
      <c r="D33" s="1859"/>
      <c r="E33" s="1080"/>
      <c r="F33" s="1859"/>
      <c r="G33" s="1837">
        <f>G32/1.18</f>
        <v>413195.19511873304</v>
      </c>
      <c r="H33" s="1837"/>
      <c r="I33" s="1837">
        <f>I32/1.18</f>
        <v>539164.5351486695</v>
      </c>
    </row>
    <row r="34" spans="1:14" ht="21.75" customHeight="1">
      <c r="A34" s="1835">
        <v>18</v>
      </c>
      <c r="B34" s="1051" t="s">
        <v>50</v>
      </c>
      <c r="C34" s="1839"/>
      <c r="D34" s="1839"/>
      <c r="E34" s="1826">
        <v>7.4999999999999997E-2</v>
      </c>
      <c r="F34" s="1853"/>
      <c r="G34" s="1081">
        <f>G32*E34</f>
        <v>36567.774768007868</v>
      </c>
      <c r="H34" s="1081"/>
      <c r="I34" s="1081">
        <f>I32*E34</f>
        <v>47716.061360657251</v>
      </c>
      <c r="K34" s="1861"/>
      <c r="L34" s="1861"/>
      <c r="M34" s="633"/>
    </row>
    <row r="35" spans="1:14" ht="18.75" customHeight="1">
      <c r="A35" s="380" t="s">
        <v>1762</v>
      </c>
      <c r="B35" s="916" t="s">
        <v>82</v>
      </c>
      <c r="C35" s="1860"/>
      <c r="D35" s="380" t="s">
        <v>76</v>
      </c>
      <c r="E35" s="1054">
        <f>665.173187113158*1.043</f>
        <v>693.77563415902364</v>
      </c>
      <c r="F35" s="1080">
        <v>8.35</v>
      </c>
      <c r="G35" s="1081">
        <f>F35*E35</f>
        <v>5793.0265452278472</v>
      </c>
      <c r="H35" s="1080">
        <v>10.1</v>
      </c>
      <c r="I35" s="1081">
        <f>H35*E35</f>
        <v>7007.1339050061388</v>
      </c>
      <c r="K35" s="364"/>
      <c r="L35" s="93"/>
      <c r="M35" s="633"/>
      <c r="N35" s="526"/>
    </row>
    <row r="36" spans="1:14" ht="18.75" customHeight="1">
      <c r="A36" s="918">
        <v>20</v>
      </c>
      <c r="B36" s="1840" t="s">
        <v>1784</v>
      </c>
      <c r="C36" s="1860"/>
      <c r="D36" s="1054"/>
      <c r="E36" s="918"/>
      <c r="F36" s="1080"/>
      <c r="G36" s="1054">
        <v>73586.09</v>
      </c>
      <c r="H36" s="1080"/>
      <c r="I36" s="1054">
        <v>65432.9</v>
      </c>
      <c r="J36" s="608"/>
      <c r="K36" s="624"/>
      <c r="L36" s="93"/>
      <c r="M36" s="633"/>
      <c r="N36" s="804"/>
    </row>
    <row r="37" spans="1:14" ht="20.25" customHeight="1">
      <c r="A37" s="918">
        <v>21</v>
      </c>
      <c r="B37" s="1840" t="s">
        <v>1807</v>
      </c>
      <c r="C37" s="1860"/>
      <c r="D37" s="1054"/>
      <c r="E37" s="1090">
        <v>0.04</v>
      </c>
      <c r="F37" s="1080"/>
      <c r="G37" s="1081">
        <f>G33*E37</f>
        <v>16527.807804749322</v>
      </c>
      <c r="H37" s="1080"/>
      <c r="I37" s="1081">
        <f>I33*E37</f>
        <v>21566.581405946781</v>
      </c>
      <c r="J37" s="814" t="s">
        <v>1827</v>
      </c>
      <c r="K37" s="82"/>
    </row>
    <row r="38" spans="1:14" ht="49.5" customHeight="1">
      <c r="A38" s="918">
        <v>22</v>
      </c>
      <c r="B38" s="1841" t="s">
        <v>1744</v>
      </c>
      <c r="C38" s="1860"/>
      <c r="D38" s="1054"/>
      <c r="E38" s="918"/>
      <c r="F38" s="1080"/>
      <c r="G38" s="1081">
        <f>(G32+G34+G35+G36+G37)*0.125</f>
        <v>77505.628669761238</v>
      </c>
      <c r="H38" s="1081"/>
      <c r="I38" s="1081">
        <f>(I32+I34+I35+I36+I37)*0.125</f>
        <v>97242.103518380012</v>
      </c>
      <c r="J38" s="609"/>
      <c r="K38" s="82"/>
    </row>
    <row r="39" spans="1:14" ht="33.75" customHeight="1">
      <c r="A39" s="958">
        <v>23</v>
      </c>
      <c r="B39" s="1842" t="s">
        <v>219</v>
      </c>
      <c r="C39" s="1860"/>
      <c r="D39" s="1054"/>
      <c r="E39" s="918"/>
      <c r="F39" s="1080"/>
      <c r="G39" s="356">
        <f>SUM(G33:G38)</f>
        <v>623175.52290647931</v>
      </c>
      <c r="H39" s="959"/>
      <c r="I39" s="356">
        <f>SUM(I33:I38)</f>
        <v>778129.31533865957</v>
      </c>
      <c r="J39" s="608"/>
    </row>
    <row r="40" spans="1:14" ht="19.5" customHeight="1">
      <c r="A40" s="918">
        <v>24</v>
      </c>
      <c r="B40" s="1051" t="s">
        <v>85</v>
      </c>
      <c r="C40" s="1860"/>
      <c r="D40" s="1054"/>
      <c r="E40" s="918">
        <v>0.09</v>
      </c>
      <c r="F40" s="1080"/>
      <c r="G40" s="1054">
        <f>G39*E40</f>
        <v>56085.797061583136</v>
      </c>
      <c r="H40" s="1080"/>
      <c r="I40" s="1054">
        <f>I39*E40</f>
        <v>70031.638380479359</v>
      </c>
      <c r="J40" s="608"/>
    </row>
    <row r="41" spans="1:14" ht="19.5" customHeight="1">
      <c r="A41" s="918">
        <v>25</v>
      </c>
      <c r="B41" s="1051" t="s">
        <v>86</v>
      </c>
      <c r="C41" s="1860"/>
      <c r="D41" s="1054"/>
      <c r="E41" s="918">
        <v>0.09</v>
      </c>
      <c r="F41" s="1080"/>
      <c r="G41" s="1054">
        <f>G39*E41</f>
        <v>56085.797061583136</v>
      </c>
      <c r="H41" s="1080"/>
      <c r="I41" s="1054">
        <f>I39*E41</f>
        <v>70031.638380479359</v>
      </c>
      <c r="J41" s="378"/>
    </row>
    <row r="42" spans="1:14" ht="33.75" customHeight="1">
      <c r="A42" s="918">
        <v>26</v>
      </c>
      <c r="B42" s="1841" t="s">
        <v>87</v>
      </c>
      <c r="C42" s="1860"/>
      <c r="D42" s="1054"/>
      <c r="E42" s="918"/>
      <c r="F42" s="1080"/>
      <c r="G42" s="1054">
        <f>G39+G40+G41</f>
        <v>735347.1170296456</v>
      </c>
      <c r="H42" s="1054"/>
      <c r="I42" s="1054">
        <f>I39+I40+I41</f>
        <v>918192.59209961817</v>
      </c>
      <c r="J42" s="608"/>
      <c r="K42" s="579"/>
    </row>
    <row r="43" spans="1:14" ht="34.5" customHeight="1">
      <c r="A43" s="958">
        <v>27</v>
      </c>
      <c r="B43" s="1082" t="s">
        <v>59</v>
      </c>
      <c r="C43" s="1075"/>
      <c r="D43" s="356"/>
      <c r="E43" s="958"/>
      <c r="F43" s="1080"/>
      <c r="G43" s="1837">
        <f>ROUND(G42,0)</f>
        <v>735347</v>
      </c>
      <c r="H43" s="1080"/>
      <c r="I43" s="1837">
        <f>ROUND(I42,0)</f>
        <v>918193</v>
      </c>
      <c r="J43" s="608"/>
    </row>
    <row r="44" spans="1:14" ht="15">
      <c r="A44" s="113"/>
      <c r="B44" s="108"/>
      <c r="C44" s="109"/>
      <c r="D44" s="108"/>
      <c r="E44" s="108"/>
      <c r="F44" s="108"/>
      <c r="G44" s="108"/>
      <c r="H44" s="108"/>
      <c r="I44" s="625"/>
    </row>
    <row r="45" spans="1:14" ht="15.75">
      <c r="A45" s="610"/>
      <c r="B45" s="611" t="s">
        <v>1765</v>
      </c>
      <c r="C45" s="626"/>
      <c r="D45" s="611"/>
      <c r="E45" s="611"/>
      <c r="F45" s="621"/>
      <c r="G45" s="108"/>
      <c r="H45" s="108"/>
      <c r="I45" s="108"/>
    </row>
    <row r="46" spans="1:14" ht="15">
      <c r="A46" s="113"/>
      <c r="B46" s="108"/>
      <c r="C46" s="109"/>
      <c r="D46" s="108"/>
      <c r="E46" s="108"/>
      <c r="F46" s="108"/>
      <c r="G46" s="108"/>
      <c r="H46" s="108"/>
      <c r="I46" s="108"/>
    </row>
    <row r="47" spans="1:14" ht="15">
      <c r="A47" s="113"/>
      <c r="B47" s="108"/>
      <c r="C47" s="109"/>
      <c r="D47" s="108"/>
      <c r="E47" s="108"/>
      <c r="F47" s="108"/>
      <c r="G47" s="108"/>
      <c r="H47" s="108"/>
      <c r="I47" s="108"/>
    </row>
    <row r="48" spans="1:14" ht="15">
      <c r="A48" s="113"/>
      <c r="B48" s="108"/>
      <c r="C48" s="109"/>
      <c r="D48" s="108"/>
      <c r="E48" s="108"/>
      <c r="F48" s="108"/>
      <c r="G48" s="108"/>
      <c r="H48" s="108"/>
      <c r="I48" s="108"/>
      <c r="J48" s="108"/>
    </row>
    <row r="49" spans="1:10" ht="15">
      <c r="A49" s="113"/>
      <c r="B49" s="108"/>
      <c r="C49" s="109"/>
      <c r="D49" s="108"/>
      <c r="E49" s="108"/>
      <c r="F49" s="108"/>
      <c r="G49" s="108"/>
      <c r="H49" s="108"/>
      <c r="I49" s="108"/>
      <c r="J49" s="108"/>
    </row>
    <row r="50" spans="1:10" ht="15">
      <c r="A50" s="113"/>
      <c r="B50" s="108"/>
      <c r="C50" s="109"/>
      <c r="D50" s="108"/>
      <c r="E50" s="108"/>
      <c r="F50" s="108"/>
      <c r="G50" s="108"/>
      <c r="H50" s="108"/>
      <c r="I50" s="108"/>
      <c r="J50" s="108"/>
    </row>
    <row r="51" spans="1:10" ht="15">
      <c r="A51" s="113"/>
      <c r="B51" s="108"/>
      <c r="C51" s="109"/>
      <c r="D51" s="108"/>
      <c r="E51" s="627"/>
      <c r="F51" s="627"/>
      <c r="G51" s="627"/>
      <c r="H51" s="627"/>
      <c r="I51" s="627"/>
    </row>
  </sheetData>
  <mergeCells count="14">
    <mergeCell ref="A14:A17"/>
    <mergeCell ref="A18:A20"/>
    <mergeCell ref="A24:A27"/>
    <mergeCell ref="C1:F1"/>
    <mergeCell ref="H2:I2"/>
    <mergeCell ref="B3:H3"/>
    <mergeCell ref="A5:A6"/>
    <mergeCell ref="B5:B6"/>
    <mergeCell ref="C5:C6"/>
    <mergeCell ref="D5:D6"/>
    <mergeCell ref="E5:E6"/>
    <mergeCell ref="F5:G5"/>
    <mergeCell ref="H5:I5"/>
    <mergeCell ref="A8:A9"/>
  </mergeCells>
  <conditionalFormatting sqref="B32">
    <cfRule type="cellIs" dxfId="42" priority="2" stopIfTrue="1" operator="equal">
      <formula>"?"</formula>
    </cfRule>
  </conditionalFormatting>
  <conditionalFormatting sqref="B33">
    <cfRule type="cellIs" dxfId="41" priority="1" stopIfTrue="1" operator="equal">
      <formula>"?"</formula>
    </cfRule>
  </conditionalFormatting>
  <printOptions horizontalCentered="1" gridLines="1"/>
  <pageMargins left="0.72" right="0.12" top="0.78" bottom="0.49" header="0.48" footer="0.17"/>
  <pageSetup paperSize="9" scale="90" fitToHeight="2" orientation="landscape" verticalDpi="144"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45"/>
  <sheetViews>
    <sheetView zoomScaleNormal="100" workbookViewId="0">
      <pane xSplit="2" ySplit="9" topLeftCell="C42" activePane="bottomRight" state="frozen"/>
      <selection pane="topRight" activeCell="C1" sqref="C1"/>
      <selection pane="bottomLeft" activeCell="A10" sqref="A10"/>
      <selection pane="bottomRight" activeCell="B47" sqref="B47"/>
    </sheetView>
  </sheetViews>
  <sheetFormatPr defaultRowHeight="12.75"/>
  <cols>
    <col min="1" max="1" width="4.140625" style="2877" bestFit="1" customWidth="1"/>
    <col min="2" max="2" width="42.85546875" style="4" customWidth="1"/>
    <col min="3" max="3" width="13" style="4" customWidth="1"/>
    <col min="4" max="4" width="7.5703125" style="4" customWidth="1"/>
    <col min="5" max="5" width="9.85546875" style="4" bestFit="1" customWidth="1"/>
    <col min="6" max="6" width="8" style="4" bestFit="1" customWidth="1"/>
    <col min="7" max="7" width="14.5703125" style="4" customWidth="1"/>
    <col min="8" max="8" width="8" style="4" bestFit="1" customWidth="1"/>
    <col min="9" max="9" width="11" style="4" bestFit="1" customWidth="1"/>
    <col min="10" max="10" width="8" style="4" bestFit="1" customWidth="1"/>
    <col min="11" max="11" width="11" style="4" bestFit="1" customWidth="1"/>
    <col min="12" max="12" width="23.42578125" style="4" customWidth="1"/>
    <col min="13" max="13" width="11.85546875" style="4" customWidth="1"/>
    <col min="14" max="256" width="9.140625" style="4"/>
    <col min="257" max="257" width="4.140625" style="4" bestFit="1" customWidth="1"/>
    <col min="258" max="258" width="42.85546875" style="4" customWidth="1"/>
    <col min="259" max="259" width="13" style="4" customWidth="1"/>
    <col min="260" max="260" width="7.5703125" style="4" customWidth="1"/>
    <col min="261" max="261" width="9.85546875" style="4" bestFit="1" customWidth="1"/>
    <col min="262" max="262" width="8" style="4" bestFit="1" customWidth="1"/>
    <col min="263" max="263" width="14.5703125" style="4" customWidth="1"/>
    <col min="264" max="264" width="8" style="4" bestFit="1" customWidth="1"/>
    <col min="265" max="265" width="11" style="4" bestFit="1" customWidth="1"/>
    <col min="266" max="266" width="8" style="4" bestFit="1" customWidth="1"/>
    <col min="267" max="267" width="11" style="4" bestFit="1" customWidth="1"/>
    <col min="268" max="268" width="20.7109375" style="4" customWidth="1"/>
    <col min="269" max="269" width="11.85546875" style="4" customWidth="1"/>
    <col min="270" max="512" width="9.140625" style="4"/>
    <col min="513" max="513" width="4.140625" style="4" bestFit="1" customWidth="1"/>
    <col min="514" max="514" width="42.85546875" style="4" customWidth="1"/>
    <col min="515" max="515" width="13" style="4" customWidth="1"/>
    <col min="516" max="516" width="7.5703125" style="4" customWidth="1"/>
    <col min="517" max="517" width="9.85546875" style="4" bestFit="1" customWidth="1"/>
    <col min="518" max="518" width="8" style="4" bestFit="1" customWidth="1"/>
    <col min="519" max="519" width="14.5703125" style="4" customWidth="1"/>
    <col min="520" max="520" width="8" style="4" bestFit="1" customWidth="1"/>
    <col min="521" max="521" width="11" style="4" bestFit="1" customWidth="1"/>
    <col min="522" max="522" width="8" style="4" bestFit="1" customWidth="1"/>
    <col min="523" max="523" width="11" style="4" bestFit="1" customWidth="1"/>
    <col min="524" max="524" width="20.7109375" style="4" customWidth="1"/>
    <col min="525" max="525" width="11.85546875" style="4" customWidth="1"/>
    <col min="526" max="768" width="9.140625" style="4"/>
    <col min="769" max="769" width="4.140625" style="4" bestFit="1" customWidth="1"/>
    <col min="770" max="770" width="42.85546875" style="4" customWidth="1"/>
    <col min="771" max="771" width="13" style="4" customWidth="1"/>
    <col min="772" max="772" width="7.5703125" style="4" customWidth="1"/>
    <col min="773" max="773" width="9.85546875" style="4" bestFit="1" customWidth="1"/>
    <col min="774" max="774" width="8" style="4" bestFit="1" customWidth="1"/>
    <col min="775" max="775" width="14.5703125" style="4" customWidth="1"/>
    <col min="776" max="776" width="8" style="4" bestFit="1" customWidth="1"/>
    <col min="777" max="777" width="11" style="4" bestFit="1" customWidth="1"/>
    <col min="778" max="778" width="8" style="4" bestFit="1" customWidth="1"/>
    <col min="779" max="779" width="11" style="4" bestFit="1" customWidth="1"/>
    <col min="780" max="780" width="20.7109375" style="4" customWidth="1"/>
    <col min="781" max="781" width="11.85546875" style="4" customWidth="1"/>
    <col min="782" max="1024" width="9.140625" style="4"/>
    <col min="1025" max="1025" width="4.140625" style="4" bestFit="1" customWidth="1"/>
    <col min="1026" max="1026" width="42.85546875" style="4" customWidth="1"/>
    <col min="1027" max="1027" width="13" style="4" customWidth="1"/>
    <col min="1028" max="1028" width="7.5703125" style="4" customWidth="1"/>
    <col min="1029" max="1029" width="9.85546875" style="4" bestFit="1" customWidth="1"/>
    <col min="1030" max="1030" width="8" style="4" bestFit="1" customWidth="1"/>
    <col min="1031" max="1031" width="14.5703125" style="4" customWidth="1"/>
    <col min="1032" max="1032" width="8" style="4" bestFit="1" customWidth="1"/>
    <col min="1033" max="1033" width="11" style="4" bestFit="1" customWidth="1"/>
    <col min="1034" max="1034" width="8" style="4" bestFit="1" customWidth="1"/>
    <col min="1035" max="1035" width="11" style="4" bestFit="1" customWidth="1"/>
    <col min="1036" max="1036" width="20.7109375" style="4" customWidth="1"/>
    <col min="1037" max="1037" width="11.85546875" style="4" customWidth="1"/>
    <col min="1038" max="1280" width="9.140625" style="4"/>
    <col min="1281" max="1281" width="4.140625" style="4" bestFit="1" customWidth="1"/>
    <col min="1282" max="1282" width="42.85546875" style="4" customWidth="1"/>
    <col min="1283" max="1283" width="13" style="4" customWidth="1"/>
    <col min="1284" max="1284" width="7.5703125" style="4" customWidth="1"/>
    <col min="1285" max="1285" width="9.85546875" style="4" bestFit="1" customWidth="1"/>
    <col min="1286" max="1286" width="8" style="4" bestFit="1" customWidth="1"/>
    <col min="1287" max="1287" width="14.5703125" style="4" customWidth="1"/>
    <col min="1288" max="1288" width="8" style="4" bestFit="1" customWidth="1"/>
    <col min="1289" max="1289" width="11" style="4" bestFit="1" customWidth="1"/>
    <col min="1290" max="1290" width="8" style="4" bestFit="1" customWidth="1"/>
    <col min="1291" max="1291" width="11" style="4" bestFit="1" customWidth="1"/>
    <col min="1292" max="1292" width="20.7109375" style="4" customWidth="1"/>
    <col min="1293" max="1293" width="11.85546875" style="4" customWidth="1"/>
    <col min="1294" max="1536" width="9.140625" style="4"/>
    <col min="1537" max="1537" width="4.140625" style="4" bestFit="1" customWidth="1"/>
    <col min="1538" max="1538" width="42.85546875" style="4" customWidth="1"/>
    <col min="1539" max="1539" width="13" style="4" customWidth="1"/>
    <col min="1540" max="1540" width="7.5703125" style="4" customWidth="1"/>
    <col min="1541" max="1541" width="9.85546875" style="4" bestFit="1" customWidth="1"/>
    <col min="1542" max="1542" width="8" style="4" bestFit="1" customWidth="1"/>
    <col min="1543" max="1543" width="14.5703125" style="4" customWidth="1"/>
    <col min="1544" max="1544" width="8" style="4" bestFit="1" customWidth="1"/>
    <col min="1545" max="1545" width="11" style="4" bestFit="1" customWidth="1"/>
    <col min="1546" max="1546" width="8" style="4" bestFit="1" customWidth="1"/>
    <col min="1547" max="1547" width="11" style="4" bestFit="1" customWidth="1"/>
    <col min="1548" max="1548" width="20.7109375" style="4" customWidth="1"/>
    <col min="1549" max="1549" width="11.85546875" style="4" customWidth="1"/>
    <col min="1550" max="1792" width="9.140625" style="4"/>
    <col min="1793" max="1793" width="4.140625" style="4" bestFit="1" customWidth="1"/>
    <col min="1794" max="1794" width="42.85546875" style="4" customWidth="1"/>
    <col min="1795" max="1795" width="13" style="4" customWidth="1"/>
    <col min="1796" max="1796" width="7.5703125" style="4" customWidth="1"/>
    <col min="1797" max="1797" width="9.85546875" style="4" bestFit="1" customWidth="1"/>
    <col min="1798" max="1798" width="8" style="4" bestFit="1" customWidth="1"/>
    <col min="1799" max="1799" width="14.5703125" style="4" customWidth="1"/>
    <col min="1800" max="1800" width="8" style="4" bestFit="1" customWidth="1"/>
    <col min="1801" max="1801" width="11" style="4" bestFit="1" customWidth="1"/>
    <col min="1802" max="1802" width="8" style="4" bestFit="1" customWidth="1"/>
    <col min="1803" max="1803" width="11" style="4" bestFit="1" customWidth="1"/>
    <col min="1804" max="1804" width="20.7109375" style="4" customWidth="1"/>
    <col min="1805" max="1805" width="11.85546875" style="4" customWidth="1"/>
    <col min="1806" max="2048" width="9.140625" style="4"/>
    <col min="2049" max="2049" width="4.140625" style="4" bestFit="1" customWidth="1"/>
    <col min="2050" max="2050" width="42.85546875" style="4" customWidth="1"/>
    <col min="2051" max="2051" width="13" style="4" customWidth="1"/>
    <col min="2052" max="2052" width="7.5703125" style="4" customWidth="1"/>
    <col min="2053" max="2053" width="9.85546875" style="4" bestFit="1" customWidth="1"/>
    <col min="2054" max="2054" width="8" style="4" bestFit="1" customWidth="1"/>
    <col min="2055" max="2055" width="14.5703125" style="4" customWidth="1"/>
    <col min="2056" max="2056" width="8" style="4" bestFit="1" customWidth="1"/>
    <col min="2057" max="2057" width="11" style="4" bestFit="1" customWidth="1"/>
    <col min="2058" max="2058" width="8" style="4" bestFit="1" customWidth="1"/>
    <col min="2059" max="2059" width="11" style="4" bestFit="1" customWidth="1"/>
    <col min="2060" max="2060" width="20.7109375" style="4" customWidth="1"/>
    <col min="2061" max="2061" width="11.85546875" style="4" customWidth="1"/>
    <col min="2062" max="2304" width="9.140625" style="4"/>
    <col min="2305" max="2305" width="4.140625" style="4" bestFit="1" customWidth="1"/>
    <col min="2306" max="2306" width="42.85546875" style="4" customWidth="1"/>
    <col min="2307" max="2307" width="13" style="4" customWidth="1"/>
    <col min="2308" max="2308" width="7.5703125" style="4" customWidth="1"/>
    <col min="2309" max="2309" width="9.85546875" style="4" bestFit="1" customWidth="1"/>
    <col min="2310" max="2310" width="8" style="4" bestFit="1" customWidth="1"/>
    <col min="2311" max="2311" width="14.5703125" style="4" customWidth="1"/>
    <col min="2312" max="2312" width="8" style="4" bestFit="1" customWidth="1"/>
    <col min="2313" max="2313" width="11" style="4" bestFit="1" customWidth="1"/>
    <col min="2314" max="2314" width="8" style="4" bestFit="1" customWidth="1"/>
    <col min="2315" max="2315" width="11" style="4" bestFit="1" customWidth="1"/>
    <col min="2316" max="2316" width="20.7109375" style="4" customWidth="1"/>
    <col min="2317" max="2317" width="11.85546875" style="4" customWidth="1"/>
    <col min="2318" max="2560" width="9.140625" style="4"/>
    <col min="2561" max="2561" width="4.140625" style="4" bestFit="1" customWidth="1"/>
    <col min="2562" max="2562" width="42.85546875" style="4" customWidth="1"/>
    <col min="2563" max="2563" width="13" style="4" customWidth="1"/>
    <col min="2564" max="2564" width="7.5703125" style="4" customWidth="1"/>
    <col min="2565" max="2565" width="9.85546875" style="4" bestFit="1" customWidth="1"/>
    <col min="2566" max="2566" width="8" style="4" bestFit="1" customWidth="1"/>
    <col min="2567" max="2567" width="14.5703125" style="4" customWidth="1"/>
    <col min="2568" max="2568" width="8" style="4" bestFit="1" customWidth="1"/>
    <col min="2569" max="2569" width="11" style="4" bestFit="1" customWidth="1"/>
    <col min="2570" max="2570" width="8" style="4" bestFit="1" customWidth="1"/>
    <col min="2571" max="2571" width="11" style="4" bestFit="1" customWidth="1"/>
    <col min="2572" max="2572" width="20.7109375" style="4" customWidth="1"/>
    <col min="2573" max="2573" width="11.85546875" style="4" customWidth="1"/>
    <col min="2574" max="2816" width="9.140625" style="4"/>
    <col min="2817" max="2817" width="4.140625" style="4" bestFit="1" customWidth="1"/>
    <col min="2818" max="2818" width="42.85546875" style="4" customWidth="1"/>
    <col min="2819" max="2819" width="13" style="4" customWidth="1"/>
    <col min="2820" max="2820" width="7.5703125" style="4" customWidth="1"/>
    <col min="2821" max="2821" width="9.85546875" style="4" bestFit="1" customWidth="1"/>
    <col min="2822" max="2822" width="8" style="4" bestFit="1" customWidth="1"/>
    <col min="2823" max="2823" width="14.5703125" style="4" customWidth="1"/>
    <col min="2824" max="2824" width="8" style="4" bestFit="1" customWidth="1"/>
    <col min="2825" max="2825" width="11" style="4" bestFit="1" customWidth="1"/>
    <col min="2826" max="2826" width="8" style="4" bestFit="1" customWidth="1"/>
    <col min="2827" max="2827" width="11" style="4" bestFit="1" customWidth="1"/>
    <col min="2828" max="2828" width="20.7109375" style="4" customWidth="1"/>
    <col min="2829" max="2829" width="11.85546875" style="4" customWidth="1"/>
    <col min="2830" max="3072" width="9.140625" style="4"/>
    <col min="3073" max="3073" width="4.140625" style="4" bestFit="1" customWidth="1"/>
    <col min="3074" max="3074" width="42.85546875" style="4" customWidth="1"/>
    <col min="3075" max="3075" width="13" style="4" customWidth="1"/>
    <col min="3076" max="3076" width="7.5703125" style="4" customWidth="1"/>
    <col min="3077" max="3077" width="9.85546875" style="4" bestFit="1" customWidth="1"/>
    <col min="3078" max="3078" width="8" style="4" bestFit="1" customWidth="1"/>
    <col min="3079" max="3079" width="14.5703125" style="4" customWidth="1"/>
    <col min="3080" max="3080" width="8" style="4" bestFit="1" customWidth="1"/>
    <col min="3081" max="3081" width="11" style="4" bestFit="1" customWidth="1"/>
    <col min="3082" max="3082" width="8" style="4" bestFit="1" customWidth="1"/>
    <col min="3083" max="3083" width="11" style="4" bestFit="1" customWidth="1"/>
    <col min="3084" max="3084" width="20.7109375" style="4" customWidth="1"/>
    <col min="3085" max="3085" width="11.85546875" style="4" customWidth="1"/>
    <col min="3086" max="3328" width="9.140625" style="4"/>
    <col min="3329" max="3329" width="4.140625" style="4" bestFit="1" customWidth="1"/>
    <col min="3330" max="3330" width="42.85546875" style="4" customWidth="1"/>
    <col min="3331" max="3331" width="13" style="4" customWidth="1"/>
    <col min="3332" max="3332" width="7.5703125" style="4" customWidth="1"/>
    <col min="3333" max="3333" width="9.85546875" style="4" bestFit="1" customWidth="1"/>
    <col min="3334" max="3334" width="8" style="4" bestFit="1" customWidth="1"/>
    <col min="3335" max="3335" width="14.5703125" style="4" customWidth="1"/>
    <col min="3336" max="3336" width="8" style="4" bestFit="1" customWidth="1"/>
    <col min="3337" max="3337" width="11" style="4" bestFit="1" customWidth="1"/>
    <col min="3338" max="3338" width="8" style="4" bestFit="1" customWidth="1"/>
    <col min="3339" max="3339" width="11" style="4" bestFit="1" customWidth="1"/>
    <col min="3340" max="3340" width="20.7109375" style="4" customWidth="1"/>
    <col min="3341" max="3341" width="11.85546875" style="4" customWidth="1"/>
    <col min="3342" max="3584" width="9.140625" style="4"/>
    <col min="3585" max="3585" width="4.140625" style="4" bestFit="1" customWidth="1"/>
    <col min="3586" max="3586" width="42.85546875" style="4" customWidth="1"/>
    <col min="3587" max="3587" width="13" style="4" customWidth="1"/>
    <col min="3588" max="3588" width="7.5703125" style="4" customWidth="1"/>
    <col min="3589" max="3589" width="9.85546875" style="4" bestFit="1" customWidth="1"/>
    <col min="3590" max="3590" width="8" style="4" bestFit="1" customWidth="1"/>
    <col min="3591" max="3591" width="14.5703125" style="4" customWidth="1"/>
    <col min="3592" max="3592" width="8" style="4" bestFit="1" customWidth="1"/>
    <col min="3593" max="3593" width="11" style="4" bestFit="1" customWidth="1"/>
    <col min="3594" max="3594" width="8" style="4" bestFit="1" customWidth="1"/>
    <col min="3595" max="3595" width="11" style="4" bestFit="1" customWidth="1"/>
    <col min="3596" max="3596" width="20.7109375" style="4" customWidth="1"/>
    <col min="3597" max="3597" width="11.85546875" style="4" customWidth="1"/>
    <col min="3598" max="3840" width="9.140625" style="4"/>
    <col min="3841" max="3841" width="4.140625" style="4" bestFit="1" customWidth="1"/>
    <col min="3842" max="3842" width="42.85546875" style="4" customWidth="1"/>
    <col min="3843" max="3843" width="13" style="4" customWidth="1"/>
    <col min="3844" max="3844" width="7.5703125" style="4" customWidth="1"/>
    <col min="3845" max="3845" width="9.85546875" style="4" bestFit="1" customWidth="1"/>
    <col min="3846" max="3846" width="8" style="4" bestFit="1" customWidth="1"/>
    <col min="3847" max="3847" width="14.5703125" style="4" customWidth="1"/>
    <col min="3848" max="3848" width="8" style="4" bestFit="1" customWidth="1"/>
    <col min="3849" max="3849" width="11" style="4" bestFit="1" customWidth="1"/>
    <col min="3850" max="3850" width="8" style="4" bestFit="1" customWidth="1"/>
    <col min="3851" max="3851" width="11" style="4" bestFit="1" customWidth="1"/>
    <col min="3852" max="3852" width="20.7109375" style="4" customWidth="1"/>
    <col min="3853" max="3853" width="11.85546875" style="4" customWidth="1"/>
    <col min="3854" max="4096" width="9.140625" style="4"/>
    <col min="4097" max="4097" width="4.140625" style="4" bestFit="1" customWidth="1"/>
    <col min="4098" max="4098" width="42.85546875" style="4" customWidth="1"/>
    <col min="4099" max="4099" width="13" style="4" customWidth="1"/>
    <col min="4100" max="4100" width="7.5703125" style="4" customWidth="1"/>
    <col min="4101" max="4101" width="9.85546875" style="4" bestFit="1" customWidth="1"/>
    <col min="4102" max="4102" width="8" style="4" bestFit="1" customWidth="1"/>
    <col min="4103" max="4103" width="14.5703125" style="4" customWidth="1"/>
    <col min="4104" max="4104" width="8" style="4" bestFit="1" customWidth="1"/>
    <col min="4105" max="4105" width="11" style="4" bestFit="1" customWidth="1"/>
    <col min="4106" max="4106" width="8" style="4" bestFit="1" customWidth="1"/>
    <col min="4107" max="4107" width="11" style="4" bestFit="1" customWidth="1"/>
    <col min="4108" max="4108" width="20.7109375" style="4" customWidth="1"/>
    <col min="4109" max="4109" width="11.85546875" style="4" customWidth="1"/>
    <col min="4110" max="4352" width="9.140625" style="4"/>
    <col min="4353" max="4353" width="4.140625" style="4" bestFit="1" customWidth="1"/>
    <col min="4354" max="4354" width="42.85546875" style="4" customWidth="1"/>
    <col min="4355" max="4355" width="13" style="4" customWidth="1"/>
    <col min="4356" max="4356" width="7.5703125" style="4" customWidth="1"/>
    <col min="4357" max="4357" width="9.85546875" style="4" bestFit="1" customWidth="1"/>
    <col min="4358" max="4358" width="8" style="4" bestFit="1" customWidth="1"/>
    <col min="4359" max="4359" width="14.5703125" style="4" customWidth="1"/>
    <col min="4360" max="4360" width="8" style="4" bestFit="1" customWidth="1"/>
    <col min="4361" max="4361" width="11" style="4" bestFit="1" customWidth="1"/>
    <col min="4362" max="4362" width="8" style="4" bestFit="1" customWidth="1"/>
    <col min="4363" max="4363" width="11" style="4" bestFit="1" customWidth="1"/>
    <col min="4364" max="4364" width="20.7109375" style="4" customWidth="1"/>
    <col min="4365" max="4365" width="11.85546875" style="4" customWidth="1"/>
    <col min="4366" max="4608" width="9.140625" style="4"/>
    <col min="4609" max="4609" width="4.140625" style="4" bestFit="1" customWidth="1"/>
    <col min="4610" max="4610" width="42.85546875" style="4" customWidth="1"/>
    <col min="4611" max="4611" width="13" style="4" customWidth="1"/>
    <col min="4612" max="4612" width="7.5703125" style="4" customWidth="1"/>
    <col min="4613" max="4613" width="9.85546875" style="4" bestFit="1" customWidth="1"/>
    <col min="4614" max="4614" width="8" style="4" bestFit="1" customWidth="1"/>
    <col min="4615" max="4615" width="14.5703125" style="4" customWidth="1"/>
    <col min="4616" max="4616" width="8" style="4" bestFit="1" customWidth="1"/>
    <col min="4617" max="4617" width="11" style="4" bestFit="1" customWidth="1"/>
    <col min="4618" max="4618" width="8" style="4" bestFit="1" customWidth="1"/>
    <col min="4619" max="4619" width="11" style="4" bestFit="1" customWidth="1"/>
    <col min="4620" max="4620" width="20.7109375" style="4" customWidth="1"/>
    <col min="4621" max="4621" width="11.85546875" style="4" customWidth="1"/>
    <col min="4622" max="4864" width="9.140625" style="4"/>
    <col min="4865" max="4865" width="4.140625" style="4" bestFit="1" customWidth="1"/>
    <col min="4866" max="4866" width="42.85546875" style="4" customWidth="1"/>
    <col min="4867" max="4867" width="13" style="4" customWidth="1"/>
    <col min="4868" max="4868" width="7.5703125" style="4" customWidth="1"/>
    <col min="4869" max="4869" width="9.85546875" style="4" bestFit="1" customWidth="1"/>
    <col min="4870" max="4870" width="8" style="4" bestFit="1" customWidth="1"/>
    <col min="4871" max="4871" width="14.5703125" style="4" customWidth="1"/>
    <col min="4872" max="4872" width="8" style="4" bestFit="1" customWidth="1"/>
    <col min="4873" max="4873" width="11" style="4" bestFit="1" customWidth="1"/>
    <col min="4874" max="4874" width="8" style="4" bestFit="1" customWidth="1"/>
    <col min="4875" max="4875" width="11" style="4" bestFit="1" customWidth="1"/>
    <col min="4876" max="4876" width="20.7109375" style="4" customWidth="1"/>
    <col min="4877" max="4877" width="11.85546875" style="4" customWidth="1"/>
    <col min="4878" max="5120" width="9.140625" style="4"/>
    <col min="5121" max="5121" width="4.140625" style="4" bestFit="1" customWidth="1"/>
    <col min="5122" max="5122" width="42.85546875" style="4" customWidth="1"/>
    <col min="5123" max="5123" width="13" style="4" customWidth="1"/>
    <col min="5124" max="5124" width="7.5703125" style="4" customWidth="1"/>
    <col min="5125" max="5125" width="9.85546875" style="4" bestFit="1" customWidth="1"/>
    <col min="5126" max="5126" width="8" style="4" bestFit="1" customWidth="1"/>
    <col min="5127" max="5127" width="14.5703125" style="4" customWidth="1"/>
    <col min="5128" max="5128" width="8" style="4" bestFit="1" customWidth="1"/>
    <col min="5129" max="5129" width="11" style="4" bestFit="1" customWidth="1"/>
    <col min="5130" max="5130" width="8" style="4" bestFit="1" customWidth="1"/>
    <col min="5131" max="5131" width="11" style="4" bestFit="1" customWidth="1"/>
    <col min="5132" max="5132" width="20.7109375" style="4" customWidth="1"/>
    <col min="5133" max="5133" width="11.85546875" style="4" customWidth="1"/>
    <col min="5134" max="5376" width="9.140625" style="4"/>
    <col min="5377" max="5377" width="4.140625" style="4" bestFit="1" customWidth="1"/>
    <col min="5378" max="5378" width="42.85546875" style="4" customWidth="1"/>
    <col min="5379" max="5379" width="13" style="4" customWidth="1"/>
    <col min="5380" max="5380" width="7.5703125" style="4" customWidth="1"/>
    <col min="5381" max="5381" width="9.85546875" style="4" bestFit="1" customWidth="1"/>
    <col min="5382" max="5382" width="8" style="4" bestFit="1" customWidth="1"/>
    <col min="5383" max="5383" width="14.5703125" style="4" customWidth="1"/>
    <col min="5384" max="5384" width="8" style="4" bestFit="1" customWidth="1"/>
    <col min="5385" max="5385" width="11" style="4" bestFit="1" customWidth="1"/>
    <col min="5386" max="5386" width="8" style="4" bestFit="1" customWidth="1"/>
    <col min="5387" max="5387" width="11" style="4" bestFit="1" customWidth="1"/>
    <col min="5388" max="5388" width="20.7109375" style="4" customWidth="1"/>
    <col min="5389" max="5389" width="11.85546875" style="4" customWidth="1"/>
    <col min="5390" max="5632" width="9.140625" style="4"/>
    <col min="5633" max="5633" width="4.140625" style="4" bestFit="1" customWidth="1"/>
    <col min="5634" max="5634" width="42.85546875" style="4" customWidth="1"/>
    <col min="5635" max="5635" width="13" style="4" customWidth="1"/>
    <col min="5636" max="5636" width="7.5703125" style="4" customWidth="1"/>
    <col min="5637" max="5637" width="9.85546875" style="4" bestFit="1" customWidth="1"/>
    <col min="5638" max="5638" width="8" style="4" bestFit="1" customWidth="1"/>
    <col min="5639" max="5639" width="14.5703125" style="4" customWidth="1"/>
    <col min="5640" max="5640" width="8" style="4" bestFit="1" customWidth="1"/>
    <col min="5641" max="5641" width="11" style="4" bestFit="1" customWidth="1"/>
    <col min="5642" max="5642" width="8" style="4" bestFit="1" customWidth="1"/>
    <col min="5643" max="5643" width="11" style="4" bestFit="1" customWidth="1"/>
    <col min="5644" max="5644" width="20.7109375" style="4" customWidth="1"/>
    <col min="5645" max="5645" width="11.85546875" style="4" customWidth="1"/>
    <col min="5646" max="5888" width="9.140625" style="4"/>
    <col min="5889" max="5889" width="4.140625" style="4" bestFit="1" customWidth="1"/>
    <col min="5890" max="5890" width="42.85546875" style="4" customWidth="1"/>
    <col min="5891" max="5891" width="13" style="4" customWidth="1"/>
    <col min="5892" max="5892" width="7.5703125" style="4" customWidth="1"/>
    <col min="5893" max="5893" width="9.85546875" style="4" bestFit="1" customWidth="1"/>
    <col min="5894" max="5894" width="8" style="4" bestFit="1" customWidth="1"/>
    <col min="5895" max="5895" width="14.5703125" style="4" customWidth="1"/>
    <col min="5896" max="5896" width="8" style="4" bestFit="1" customWidth="1"/>
    <col min="5897" max="5897" width="11" style="4" bestFit="1" customWidth="1"/>
    <col min="5898" max="5898" width="8" style="4" bestFit="1" customWidth="1"/>
    <col min="5899" max="5899" width="11" style="4" bestFit="1" customWidth="1"/>
    <col min="5900" max="5900" width="20.7109375" style="4" customWidth="1"/>
    <col min="5901" max="5901" width="11.85546875" style="4" customWidth="1"/>
    <col min="5902" max="6144" width="9.140625" style="4"/>
    <col min="6145" max="6145" width="4.140625" style="4" bestFit="1" customWidth="1"/>
    <col min="6146" max="6146" width="42.85546875" style="4" customWidth="1"/>
    <col min="6147" max="6147" width="13" style="4" customWidth="1"/>
    <col min="6148" max="6148" width="7.5703125" style="4" customWidth="1"/>
    <col min="6149" max="6149" width="9.85546875" style="4" bestFit="1" customWidth="1"/>
    <col min="6150" max="6150" width="8" style="4" bestFit="1" customWidth="1"/>
    <col min="6151" max="6151" width="14.5703125" style="4" customWidth="1"/>
    <col min="6152" max="6152" width="8" style="4" bestFit="1" customWidth="1"/>
    <col min="6153" max="6153" width="11" style="4" bestFit="1" customWidth="1"/>
    <col min="6154" max="6154" width="8" style="4" bestFit="1" customWidth="1"/>
    <col min="6155" max="6155" width="11" style="4" bestFit="1" customWidth="1"/>
    <col min="6156" max="6156" width="20.7109375" style="4" customWidth="1"/>
    <col min="6157" max="6157" width="11.85546875" style="4" customWidth="1"/>
    <col min="6158" max="6400" width="9.140625" style="4"/>
    <col min="6401" max="6401" width="4.140625" style="4" bestFit="1" customWidth="1"/>
    <col min="6402" max="6402" width="42.85546875" style="4" customWidth="1"/>
    <col min="6403" max="6403" width="13" style="4" customWidth="1"/>
    <col min="6404" max="6404" width="7.5703125" style="4" customWidth="1"/>
    <col min="6405" max="6405" width="9.85546875" style="4" bestFit="1" customWidth="1"/>
    <col min="6406" max="6406" width="8" style="4" bestFit="1" customWidth="1"/>
    <col min="6407" max="6407" width="14.5703125" style="4" customWidth="1"/>
    <col min="6408" max="6408" width="8" style="4" bestFit="1" customWidth="1"/>
    <col min="6409" max="6409" width="11" style="4" bestFit="1" customWidth="1"/>
    <col min="6410" max="6410" width="8" style="4" bestFit="1" customWidth="1"/>
    <col min="6411" max="6411" width="11" style="4" bestFit="1" customWidth="1"/>
    <col min="6412" max="6412" width="20.7109375" style="4" customWidth="1"/>
    <col min="6413" max="6413" width="11.85546875" style="4" customWidth="1"/>
    <col min="6414" max="6656" width="9.140625" style="4"/>
    <col min="6657" max="6657" width="4.140625" style="4" bestFit="1" customWidth="1"/>
    <col min="6658" max="6658" width="42.85546875" style="4" customWidth="1"/>
    <col min="6659" max="6659" width="13" style="4" customWidth="1"/>
    <col min="6660" max="6660" width="7.5703125" style="4" customWidth="1"/>
    <col min="6661" max="6661" width="9.85546875" style="4" bestFit="1" customWidth="1"/>
    <col min="6662" max="6662" width="8" style="4" bestFit="1" customWidth="1"/>
    <col min="6663" max="6663" width="14.5703125" style="4" customWidth="1"/>
    <col min="6664" max="6664" width="8" style="4" bestFit="1" customWidth="1"/>
    <col min="6665" max="6665" width="11" style="4" bestFit="1" customWidth="1"/>
    <col min="6666" max="6666" width="8" style="4" bestFit="1" customWidth="1"/>
    <col min="6667" max="6667" width="11" style="4" bestFit="1" customWidth="1"/>
    <col min="6668" max="6668" width="20.7109375" style="4" customWidth="1"/>
    <col min="6669" max="6669" width="11.85546875" style="4" customWidth="1"/>
    <col min="6670" max="6912" width="9.140625" style="4"/>
    <col min="6913" max="6913" width="4.140625" style="4" bestFit="1" customWidth="1"/>
    <col min="6914" max="6914" width="42.85546875" style="4" customWidth="1"/>
    <col min="6915" max="6915" width="13" style="4" customWidth="1"/>
    <col min="6916" max="6916" width="7.5703125" style="4" customWidth="1"/>
    <col min="6917" max="6917" width="9.85546875" style="4" bestFit="1" customWidth="1"/>
    <col min="6918" max="6918" width="8" style="4" bestFit="1" customWidth="1"/>
    <col min="6919" max="6919" width="14.5703125" style="4" customWidth="1"/>
    <col min="6920" max="6920" width="8" style="4" bestFit="1" customWidth="1"/>
    <col min="6921" max="6921" width="11" style="4" bestFit="1" customWidth="1"/>
    <col min="6922" max="6922" width="8" style="4" bestFit="1" customWidth="1"/>
    <col min="6923" max="6923" width="11" style="4" bestFit="1" customWidth="1"/>
    <col min="6924" max="6924" width="20.7109375" style="4" customWidth="1"/>
    <col min="6925" max="6925" width="11.85546875" style="4" customWidth="1"/>
    <col min="6926" max="7168" width="9.140625" style="4"/>
    <col min="7169" max="7169" width="4.140625" style="4" bestFit="1" customWidth="1"/>
    <col min="7170" max="7170" width="42.85546875" style="4" customWidth="1"/>
    <col min="7171" max="7171" width="13" style="4" customWidth="1"/>
    <col min="7172" max="7172" width="7.5703125" style="4" customWidth="1"/>
    <col min="7173" max="7173" width="9.85546875" style="4" bestFit="1" customWidth="1"/>
    <col min="7174" max="7174" width="8" style="4" bestFit="1" customWidth="1"/>
    <col min="7175" max="7175" width="14.5703125" style="4" customWidth="1"/>
    <col min="7176" max="7176" width="8" style="4" bestFit="1" customWidth="1"/>
    <col min="7177" max="7177" width="11" style="4" bestFit="1" customWidth="1"/>
    <col min="7178" max="7178" width="8" style="4" bestFit="1" customWidth="1"/>
    <col min="7179" max="7179" width="11" style="4" bestFit="1" customWidth="1"/>
    <col min="7180" max="7180" width="20.7109375" style="4" customWidth="1"/>
    <col min="7181" max="7181" width="11.85546875" style="4" customWidth="1"/>
    <col min="7182" max="7424" width="9.140625" style="4"/>
    <col min="7425" max="7425" width="4.140625" style="4" bestFit="1" customWidth="1"/>
    <col min="7426" max="7426" width="42.85546875" style="4" customWidth="1"/>
    <col min="7427" max="7427" width="13" style="4" customWidth="1"/>
    <col min="7428" max="7428" width="7.5703125" style="4" customWidth="1"/>
    <col min="7429" max="7429" width="9.85546875" style="4" bestFit="1" customWidth="1"/>
    <col min="7430" max="7430" width="8" style="4" bestFit="1" customWidth="1"/>
    <col min="7431" max="7431" width="14.5703125" style="4" customWidth="1"/>
    <col min="7432" max="7432" width="8" style="4" bestFit="1" customWidth="1"/>
    <col min="7433" max="7433" width="11" style="4" bestFit="1" customWidth="1"/>
    <col min="7434" max="7434" width="8" style="4" bestFit="1" customWidth="1"/>
    <col min="7435" max="7435" width="11" style="4" bestFit="1" customWidth="1"/>
    <col min="7436" max="7436" width="20.7109375" style="4" customWidth="1"/>
    <col min="7437" max="7437" width="11.85546875" style="4" customWidth="1"/>
    <col min="7438" max="7680" width="9.140625" style="4"/>
    <col min="7681" max="7681" width="4.140625" style="4" bestFit="1" customWidth="1"/>
    <col min="7682" max="7682" width="42.85546875" style="4" customWidth="1"/>
    <col min="7683" max="7683" width="13" style="4" customWidth="1"/>
    <col min="7684" max="7684" width="7.5703125" style="4" customWidth="1"/>
    <col min="7685" max="7685" width="9.85546875" style="4" bestFit="1" customWidth="1"/>
    <col min="7686" max="7686" width="8" style="4" bestFit="1" customWidth="1"/>
    <col min="7687" max="7687" width="14.5703125" style="4" customWidth="1"/>
    <col min="7688" max="7688" width="8" style="4" bestFit="1" customWidth="1"/>
    <col min="7689" max="7689" width="11" style="4" bestFit="1" customWidth="1"/>
    <col min="7690" max="7690" width="8" style="4" bestFit="1" customWidth="1"/>
    <col min="7691" max="7691" width="11" style="4" bestFit="1" customWidth="1"/>
    <col min="7692" max="7692" width="20.7109375" style="4" customWidth="1"/>
    <col min="7693" max="7693" width="11.85546875" style="4" customWidth="1"/>
    <col min="7694" max="7936" width="9.140625" style="4"/>
    <col min="7937" max="7937" width="4.140625" style="4" bestFit="1" customWidth="1"/>
    <col min="7938" max="7938" width="42.85546875" style="4" customWidth="1"/>
    <col min="7939" max="7939" width="13" style="4" customWidth="1"/>
    <col min="7940" max="7940" width="7.5703125" style="4" customWidth="1"/>
    <col min="7941" max="7941" width="9.85546875" style="4" bestFit="1" customWidth="1"/>
    <col min="7942" max="7942" width="8" style="4" bestFit="1" customWidth="1"/>
    <col min="7943" max="7943" width="14.5703125" style="4" customWidth="1"/>
    <col min="7944" max="7944" width="8" style="4" bestFit="1" customWidth="1"/>
    <col min="7945" max="7945" width="11" style="4" bestFit="1" customWidth="1"/>
    <col min="7946" max="7946" width="8" style="4" bestFit="1" customWidth="1"/>
    <col min="7947" max="7947" width="11" style="4" bestFit="1" customWidth="1"/>
    <col min="7948" max="7948" width="20.7109375" style="4" customWidth="1"/>
    <col min="7949" max="7949" width="11.85546875" style="4" customWidth="1"/>
    <col min="7950" max="8192" width="9.140625" style="4"/>
    <col min="8193" max="8193" width="4.140625" style="4" bestFit="1" customWidth="1"/>
    <col min="8194" max="8194" width="42.85546875" style="4" customWidth="1"/>
    <col min="8195" max="8195" width="13" style="4" customWidth="1"/>
    <col min="8196" max="8196" width="7.5703125" style="4" customWidth="1"/>
    <col min="8197" max="8197" width="9.85546875" style="4" bestFit="1" customWidth="1"/>
    <col min="8198" max="8198" width="8" style="4" bestFit="1" customWidth="1"/>
    <col min="8199" max="8199" width="14.5703125" style="4" customWidth="1"/>
    <col min="8200" max="8200" width="8" style="4" bestFit="1" customWidth="1"/>
    <col min="8201" max="8201" width="11" style="4" bestFit="1" customWidth="1"/>
    <col min="8202" max="8202" width="8" style="4" bestFit="1" customWidth="1"/>
    <col min="8203" max="8203" width="11" style="4" bestFit="1" customWidth="1"/>
    <col min="8204" max="8204" width="20.7109375" style="4" customWidth="1"/>
    <col min="8205" max="8205" width="11.85546875" style="4" customWidth="1"/>
    <col min="8206" max="8448" width="9.140625" style="4"/>
    <col min="8449" max="8449" width="4.140625" style="4" bestFit="1" customWidth="1"/>
    <col min="8450" max="8450" width="42.85546875" style="4" customWidth="1"/>
    <col min="8451" max="8451" width="13" style="4" customWidth="1"/>
    <col min="8452" max="8452" width="7.5703125" style="4" customWidth="1"/>
    <col min="8453" max="8453" width="9.85546875" style="4" bestFit="1" customWidth="1"/>
    <col min="8454" max="8454" width="8" style="4" bestFit="1" customWidth="1"/>
    <col min="8455" max="8455" width="14.5703125" style="4" customWidth="1"/>
    <col min="8456" max="8456" width="8" style="4" bestFit="1" customWidth="1"/>
    <col min="8457" max="8457" width="11" style="4" bestFit="1" customWidth="1"/>
    <col min="8458" max="8458" width="8" style="4" bestFit="1" customWidth="1"/>
    <col min="8459" max="8459" width="11" style="4" bestFit="1" customWidth="1"/>
    <col min="8460" max="8460" width="20.7109375" style="4" customWidth="1"/>
    <col min="8461" max="8461" width="11.85546875" style="4" customWidth="1"/>
    <col min="8462" max="8704" width="9.140625" style="4"/>
    <col min="8705" max="8705" width="4.140625" style="4" bestFit="1" customWidth="1"/>
    <col min="8706" max="8706" width="42.85546875" style="4" customWidth="1"/>
    <col min="8707" max="8707" width="13" style="4" customWidth="1"/>
    <col min="8708" max="8708" width="7.5703125" style="4" customWidth="1"/>
    <col min="8709" max="8709" width="9.85546875" style="4" bestFit="1" customWidth="1"/>
    <col min="8710" max="8710" width="8" style="4" bestFit="1" customWidth="1"/>
    <col min="8711" max="8711" width="14.5703125" style="4" customWidth="1"/>
    <col min="8712" max="8712" width="8" style="4" bestFit="1" customWidth="1"/>
    <col min="8713" max="8713" width="11" style="4" bestFit="1" customWidth="1"/>
    <col min="8714" max="8714" width="8" style="4" bestFit="1" customWidth="1"/>
    <col min="8715" max="8715" width="11" style="4" bestFit="1" customWidth="1"/>
    <col min="8716" max="8716" width="20.7109375" style="4" customWidth="1"/>
    <col min="8717" max="8717" width="11.85546875" style="4" customWidth="1"/>
    <col min="8718" max="8960" width="9.140625" style="4"/>
    <col min="8961" max="8961" width="4.140625" style="4" bestFit="1" customWidth="1"/>
    <col min="8962" max="8962" width="42.85546875" style="4" customWidth="1"/>
    <col min="8963" max="8963" width="13" style="4" customWidth="1"/>
    <col min="8964" max="8964" width="7.5703125" style="4" customWidth="1"/>
    <col min="8965" max="8965" width="9.85546875" style="4" bestFit="1" customWidth="1"/>
    <col min="8966" max="8966" width="8" style="4" bestFit="1" customWidth="1"/>
    <col min="8967" max="8967" width="14.5703125" style="4" customWidth="1"/>
    <col min="8968" max="8968" width="8" style="4" bestFit="1" customWidth="1"/>
    <col min="8969" max="8969" width="11" style="4" bestFit="1" customWidth="1"/>
    <col min="8970" max="8970" width="8" style="4" bestFit="1" customWidth="1"/>
    <col min="8971" max="8971" width="11" style="4" bestFit="1" customWidth="1"/>
    <col min="8972" max="8972" width="20.7109375" style="4" customWidth="1"/>
    <col min="8973" max="8973" width="11.85546875" style="4" customWidth="1"/>
    <col min="8974" max="9216" width="9.140625" style="4"/>
    <col min="9217" max="9217" width="4.140625" style="4" bestFit="1" customWidth="1"/>
    <col min="9218" max="9218" width="42.85546875" style="4" customWidth="1"/>
    <col min="9219" max="9219" width="13" style="4" customWidth="1"/>
    <col min="9220" max="9220" width="7.5703125" style="4" customWidth="1"/>
    <col min="9221" max="9221" width="9.85546875" style="4" bestFit="1" customWidth="1"/>
    <col min="9222" max="9222" width="8" style="4" bestFit="1" customWidth="1"/>
    <col min="9223" max="9223" width="14.5703125" style="4" customWidth="1"/>
    <col min="9224" max="9224" width="8" style="4" bestFit="1" customWidth="1"/>
    <col min="9225" max="9225" width="11" style="4" bestFit="1" customWidth="1"/>
    <col min="9226" max="9226" width="8" style="4" bestFit="1" customWidth="1"/>
    <col min="9227" max="9227" width="11" style="4" bestFit="1" customWidth="1"/>
    <col min="9228" max="9228" width="20.7109375" style="4" customWidth="1"/>
    <col min="9229" max="9229" width="11.85546875" style="4" customWidth="1"/>
    <col min="9230" max="9472" width="9.140625" style="4"/>
    <col min="9473" max="9473" width="4.140625" style="4" bestFit="1" customWidth="1"/>
    <col min="9474" max="9474" width="42.85546875" style="4" customWidth="1"/>
    <col min="9475" max="9475" width="13" style="4" customWidth="1"/>
    <col min="9476" max="9476" width="7.5703125" style="4" customWidth="1"/>
    <col min="9477" max="9477" width="9.85546875" style="4" bestFit="1" customWidth="1"/>
    <col min="9478" max="9478" width="8" style="4" bestFit="1" customWidth="1"/>
    <col min="9479" max="9479" width="14.5703125" style="4" customWidth="1"/>
    <col min="9480" max="9480" width="8" style="4" bestFit="1" customWidth="1"/>
    <col min="9481" max="9481" width="11" style="4" bestFit="1" customWidth="1"/>
    <col min="9482" max="9482" width="8" style="4" bestFit="1" customWidth="1"/>
    <col min="9483" max="9483" width="11" style="4" bestFit="1" customWidth="1"/>
    <col min="9484" max="9484" width="20.7109375" style="4" customWidth="1"/>
    <col min="9485" max="9485" width="11.85546875" style="4" customWidth="1"/>
    <col min="9486" max="9728" width="9.140625" style="4"/>
    <col min="9729" max="9729" width="4.140625" style="4" bestFit="1" customWidth="1"/>
    <col min="9730" max="9730" width="42.85546875" style="4" customWidth="1"/>
    <col min="9731" max="9731" width="13" style="4" customWidth="1"/>
    <col min="9732" max="9732" width="7.5703125" style="4" customWidth="1"/>
    <col min="9733" max="9733" width="9.85546875" style="4" bestFit="1" customWidth="1"/>
    <col min="9734" max="9734" width="8" style="4" bestFit="1" customWidth="1"/>
    <col min="9735" max="9735" width="14.5703125" style="4" customWidth="1"/>
    <col min="9736" max="9736" width="8" style="4" bestFit="1" customWidth="1"/>
    <col min="9737" max="9737" width="11" style="4" bestFit="1" customWidth="1"/>
    <col min="9738" max="9738" width="8" style="4" bestFit="1" customWidth="1"/>
    <col min="9739" max="9739" width="11" style="4" bestFit="1" customWidth="1"/>
    <col min="9740" max="9740" width="20.7109375" style="4" customWidth="1"/>
    <col min="9741" max="9741" width="11.85546875" style="4" customWidth="1"/>
    <col min="9742" max="9984" width="9.140625" style="4"/>
    <col min="9985" max="9985" width="4.140625" style="4" bestFit="1" customWidth="1"/>
    <col min="9986" max="9986" width="42.85546875" style="4" customWidth="1"/>
    <col min="9987" max="9987" width="13" style="4" customWidth="1"/>
    <col min="9988" max="9988" width="7.5703125" style="4" customWidth="1"/>
    <col min="9989" max="9989" width="9.85546875" style="4" bestFit="1" customWidth="1"/>
    <col min="9990" max="9990" width="8" style="4" bestFit="1" customWidth="1"/>
    <col min="9991" max="9991" width="14.5703125" style="4" customWidth="1"/>
    <col min="9992" max="9992" width="8" style="4" bestFit="1" customWidth="1"/>
    <col min="9993" max="9993" width="11" style="4" bestFit="1" customWidth="1"/>
    <col min="9994" max="9994" width="8" style="4" bestFit="1" customWidth="1"/>
    <col min="9995" max="9995" width="11" style="4" bestFit="1" customWidth="1"/>
    <col min="9996" max="9996" width="20.7109375" style="4" customWidth="1"/>
    <col min="9997" max="9997" width="11.85546875" style="4" customWidth="1"/>
    <col min="9998" max="10240" width="9.140625" style="4"/>
    <col min="10241" max="10241" width="4.140625" style="4" bestFit="1" customWidth="1"/>
    <col min="10242" max="10242" width="42.85546875" style="4" customWidth="1"/>
    <col min="10243" max="10243" width="13" style="4" customWidth="1"/>
    <col min="10244" max="10244" width="7.5703125" style="4" customWidth="1"/>
    <col min="10245" max="10245" width="9.85546875" style="4" bestFit="1" customWidth="1"/>
    <col min="10246" max="10246" width="8" style="4" bestFit="1" customWidth="1"/>
    <col min="10247" max="10247" width="14.5703125" style="4" customWidth="1"/>
    <col min="10248" max="10248" width="8" style="4" bestFit="1" customWidth="1"/>
    <col min="10249" max="10249" width="11" style="4" bestFit="1" customWidth="1"/>
    <col min="10250" max="10250" width="8" style="4" bestFit="1" customWidth="1"/>
    <col min="10251" max="10251" width="11" style="4" bestFit="1" customWidth="1"/>
    <col min="10252" max="10252" width="20.7109375" style="4" customWidth="1"/>
    <col min="10253" max="10253" width="11.85546875" style="4" customWidth="1"/>
    <col min="10254" max="10496" width="9.140625" style="4"/>
    <col min="10497" max="10497" width="4.140625" style="4" bestFit="1" customWidth="1"/>
    <col min="10498" max="10498" width="42.85546875" style="4" customWidth="1"/>
    <col min="10499" max="10499" width="13" style="4" customWidth="1"/>
    <col min="10500" max="10500" width="7.5703125" style="4" customWidth="1"/>
    <col min="10501" max="10501" width="9.85546875" style="4" bestFit="1" customWidth="1"/>
    <col min="10502" max="10502" width="8" style="4" bestFit="1" customWidth="1"/>
    <col min="10503" max="10503" width="14.5703125" style="4" customWidth="1"/>
    <col min="10504" max="10504" width="8" style="4" bestFit="1" customWidth="1"/>
    <col min="10505" max="10505" width="11" style="4" bestFit="1" customWidth="1"/>
    <col min="10506" max="10506" width="8" style="4" bestFit="1" customWidth="1"/>
    <col min="10507" max="10507" width="11" style="4" bestFit="1" customWidth="1"/>
    <col min="10508" max="10508" width="20.7109375" style="4" customWidth="1"/>
    <col min="10509" max="10509" width="11.85546875" style="4" customWidth="1"/>
    <col min="10510" max="10752" width="9.140625" style="4"/>
    <col min="10753" max="10753" width="4.140625" style="4" bestFit="1" customWidth="1"/>
    <col min="10754" max="10754" width="42.85546875" style="4" customWidth="1"/>
    <col min="10755" max="10755" width="13" style="4" customWidth="1"/>
    <col min="10756" max="10756" width="7.5703125" style="4" customWidth="1"/>
    <col min="10757" max="10757" width="9.85546875" style="4" bestFit="1" customWidth="1"/>
    <col min="10758" max="10758" width="8" style="4" bestFit="1" customWidth="1"/>
    <col min="10759" max="10759" width="14.5703125" style="4" customWidth="1"/>
    <col min="10760" max="10760" width="8" style="4" bestFit="1" customWidth="1"/>
    <col min="10761" max="10761" width="11" style="4" bestFit="1" customWidth="1"/>
    <col min="10762" max="10762" width="8" style="4" bestFit="1" customWidth="1"/>
    <col min="10763" max="10763" width="11" style="4" bestFit="1" customWidth="1"/>
    <col min="10764" max="10764" width="20.7109375" style="4" customWidth="1"/>
    <col min="10765" max="10765" width="11.85546875" style="4" customWidth="1"/>
    <col min="10766" max="11008" width="9.140625" style="4"/>
    <col min="11009" max="11009" width="4.140625" style="4" bestFit="1" customWidth="1"/>
    <col min="11010" max="11010" width="42.85546875" style="4" customWidth="1"/>
    <col min="11011" max="11011" width="13" style="4" customWidth="1"/>
    <col min="11012" max="11012" width="7.5703125" style="4" customWidth="1"/>
    <col min="11013" max="11013" width="9.85546875" style="4" bestFit="1" customWidth="1"/>
    <col min="11014" max="11014" width="8" style="4" bestFit="1" customWidth="1"/>
    <col min="11015" max="11015" width="14.5703125" style="4" customWidth="1"/>
    <col min="11016" max="11016" width="8" style="4" bestFit="1" customWidth="1"/>
    <col min="11017" max="11017" width="11" style="4" bestFit="1" customWidth="1"/>
    <col min="11018" max="11018" width="8" style="4" bestFit="1" customWidth="1"/>
    <col min="11019" max="11019" width="11" style="4" bestFit="1" customWidth="1"/>
    <col min="11020" max="11020" width="20.7109375" style="4" customWidth="1"/>
    <col min="11021" max="11021" width="11.85546875" style="4" customWidth="1"/>
    <col min="11022" max="11264" width="9.140625" style="4"/>
    <col min="11265" max="11265" width="4.140625" style="4" bestFit="1" customWidth="1"/>
    <col min="11266" max="11266" width="42.85546875" style="4" customWidth="1"/>
    <col min="11267" max="11267" width="13" style="4" customWidth="1"/>
    <col min="11268" max="11268" width="7.5703125" style="4" customWidth="1"/>
    <col min="11269" max="11269" width="9.85546875" style="4" bestFit="1" customWidth="1"/>
    <col min="11270" max="11270" width="8" style="4" bestFit="1" customWidth="1"/>
    <col min="11271" max="11271" width="14.5703125" style="4" customWidth="1"/>
    <col min="11272" max="11272" width="8" style="4" bestFit="1" customWidth="1"/>
    <col min="11273" max="11273" width="11" style="4" bestFit="1" customWidth="1"/>
    <col min="11274" max="11274" width="8" style="4" bestFit="1" customWidth="1"/>
    <col min="11275" max="11275" width="11" style="4" bestFit="1" customWidth="1"/>
    <col min="11276" max="11276" width="20.7109375" style="4" customWidth="1"/>
    <col min="11277" max="11277" width="11.85546875" style="4" customWidth="1"/>
    <col min="11278" max="11520" width="9.140625" style="4"/>
    <col min="11521" max="11521" width="4.140625" style="4" bestFit="1" customWidth="1"/>
    <col min="11522" max="11522" width="42.85546875" style="4" customWidth="1"/>
    <col min="11523" max="11523" width="13" style="4" customWidth="1"/>
    <col min="11524" max="11524" width="7.5703125" style="4" customWidth="1"/>
    <col min="11525" max="11525" width="9.85546875" style="4" bestFit="1" customWidth="1"/>
    <col min="11526" max="11526" width="8" style="4" bestFit="1" customWidth="1"/>
    <col min="11527" max="11527" width="14.5703125" style="4" customWidth="1"/>
    <col min="11528" max="11528" width="8" style="4" bestFit="1" customWidth="1"/>
    <col min="11529" max="11529" width="11" style="4" bestFit="1" customWidth="1"/>
    <col min="11530" max="11530" width="8" style="4" bestFit="1" customWidth="1"/>
    <col min="11531" max="11531" width="11" style="4" bestFit="1" customWidth="1"/>
    <col min="11532" max="11532" width="20.7109375" style="4" customWidth="1"/>
    <col min="11533" max="11533" width="11.85546875" style="4" customWidth="1"/>
    <col min="11534" max="11776" width="9.140625" style="4"/>
    <col min="11777" max="11777" width="4.140625" style="4" bestFit="1" customWidth="1"/>
    <col min="11778" max="11778" width="42.85546875" style="4" customWidth="1"/>
    <col min="11779" max="11779" width="13" style="4" customWidth="1"/>
    <col min="11780" max="11780" width="7.5703125" style="4" customWidth="1"/>
    <col min="11781" max="11781" width="9.85546875" style="4" bestFit="1" customWidth="1"/>
    <col min="11782" max="11782" width="8" style="4" bestFit="1" customWidth="1"/>
    <col min="11783" max="11783" width="14.5703125" style="4" customWidth="1"/>
    <col min="11784" max="11784" width="8" style="4" bestFit="1" customWidth="1"/>
    <col min="11785" max="11785" width="11" style="4" bestFit="1" customWidth="1"/>
    <col min="11786" max="11786" width="8" style="4" bestFit="1" customWidth="1"/>
    <col min="11787" max="11787" width="11" style="4" bestFit="1" customWidth="1"/>
    <col min="11788" max="11788" width="20.7109375" style="4" customWidth="1"/>
    <col min="11789" max="11789" width="11.85546875" style="4" customWidth="1"/>
    <col min="11790" max="12032" width="9.140625" style="4"/>
    <col min="12033" max="12033" width="4.140625" style="4" bestFit="1" customWidth="1"/>
    <col min="12034" max="12034" width="42.85546875" style="4" customWidth="1"/>
    <col min="12035" max="12035" width="13" style="4" customWidth="1"/>
    <col min="12036" max="12036" width="7.5703125" style="4" customWidth="1"/>
    <col min="12037" max="12037" width="9.85546875" style="4" bestFit="1" customWidth="1"/>
    <col min="12038" max="12038" width="8" style="4" bestFit="1" customWidth="1"/>
    <col min="12039" max="12039" width="14.5703125" style="4" customWidth="1"/>
    <col min="12040" max="12040" width="8" style="4" bestFit="1" customWidth="1"/>
    <col min="12041" max="12041" width="11" style="4" bestFit="1" customWidth="1"/>
    <col min="12042" max="12042" width="8" style="4" bestFit="1" customWidth="1"/>
    <col min="12043" max="12043" width="11" style="4" bestFit="1" customWidth="1"/>
    <col min="12044" max="12044" width="20.7109375" style="4" customWidth="1"/>
    <col min="12045" max="12045" width="11.85546875" style="4" customWidth="1"/>
    <col min="12046" max="12288" width="9.140625" style="4"/>
    <col min="12289" max="12289" width="4.140625" style="4" bestFit="1" customWidth="1"/>
    <col min="12290" max="12290" width="42.85546875" style="4" customWidth="1"/>
    <col min="12291" max="12291" width="13" style="4" customWidth="1"/>
    <col min="12292" max="12292" width="7.5703125" style="4" customWidth="1"/>
    <col min="12293" max="12293" width="9.85546875" style="4" bestFit="1" customWidth="1"/>
    <col min="12294" max="12294" width="8" style="4" bestFit="1" customWidth="1"/>
    <col min="12295" max="12295" width="14.5703125" style="4" customWidth="1"/>
    <col min="12296" max="12296" width="8" style="4" bestFit="1" customWidth="1"/>
    <col min="12297" max="12297" width="11" style="4" bestFit="1" customWidth="1"/>
    <col min="12298" max="12298" width="8" style="4" bestFit="1" customWidth="1"/>
    <col min="12299" max="12299" width="11" style="4" bestFit="1" customWidth="1"/>
    <col min="12300" max="12300" width="20.7109375" style="4" customWidth="1"/>
    <col min="12301" max="12301" width="11.85546875" style="4" customWidth="1"/>
    <col min="12302" max="12544" width="9.140625" style="4"/>
    <col min="12545" max="12545" width="4.140625" style="4" bestFit="1" customWidth="1"/>
    <col min="12546" max="12546" width="42.85546875" style="4" customWidth="1"/>
    <col min="12547" max="12547" width="13" style="4" customWidth="1"/>
    <col min="12548" max="12548" width="7.5703125" style="4" customWidth="1"/>
    <col min="12549" max="12549" width="9.85546875" style="4" bestFit="1" customWidth="1"/>
    <col min="12550" max="12550" width="8" style="4" bestFit="1" customWidth="1"/>
    <col min="12551" max="12551" width="14.5703125" style="4" customWidth="1"/>
    <col min="12552" max="12552" width="8" style="4" bestFit="1" customWidth="1"/>
    <col min="12553" max="12553" width="11" style="4" bestFit="1" customWidth="1"/>
    <col min="12554" max="12554" width="8" style="4" bestFit="1" customWidth="1"/>
    <col min="12555" max="12555" width="11" style="4" bestFit="1" customWidth="1"/>
    <col min="12556" max="12556" width="20.7109375" style="4" customWidth="1"/>
    <col min="12557" max="12557" width="11.85546875" style="4" customWidth="1"/>
    <col min="12558" max="12800" width="9.140625" style="4"/>
    <col min="12801" max="12801" width="4.140625" style="4" bestFit="1" customWidth="1"/>
    <col min="12802" max="12802" width="42.85546875" style="4" customWidth="1"/>
    <col min="12803" max="12803" width="13" style="4" customWidth="1"/>
    <col min="12804" max="12804" width="7.5703125" style="4" customWidth="1"/>
    <col min="12805" max="12805" width="9.85546875" style="4" bestFit="1" customWidth="1"/>
    <col min="12806" max="12806" width="8" style="4" bestFit="1" customWidth="1"/>
    <col min="12807" max="12807" width="14.5703125" style="4" customWidth="1"/>
    <col min="12808" max="12808" width="8" style="4" bestFit="1" customWidth="1"/>
    <col min="12809" max="12809" width="11" style="4" bestFit="1" customWidth="1"/>
    <col min="12810" max="12810" width="8" style="4" bestFit="1" customWidth="1"/>
    <col min="12811" max="12811" width="11" style="4" bestFit="1" customWidth="1"/>
    <col min="12812" max="12812" width="20.7109375" style="4" customWidth="1"/>
    <col min="12813" max="12813" width="11.85546875" style="4" customWidth="1"/>
    <col min="12814" max="13056" width="9.140625" style="4"/>
    <col min="13057" max="13057" width="4.140625" style="4" bestFit="1" customWidth="1"/>
    <col min="13058" max="13058" width="42.85546875" style="4" customWidth="1"/>
    <col min="13059" max="13059" width="13" style="4" customWidth="1"/>
    <col min="13060" max="13060" width="7.5703125" style="4" customWidth="1"/>
    <col min="13061" max="13061" width="9.85546875" style="4" bestFit="1" customWidth="1"/>
    <col min="13062" max="13062" width="8" style="4" bestFit="1" customWidth="1"/>
    <col min="13063" max="13063" width="14.5703125" style="4" customWidth="1"/>
    <col min="13064" max="13064" width="8" style="4" bestFit="1" customWidth="1"/>
    <col min="13065" max="13065" width="11" style="4" bestFit="1" customWidth="1"/>
    <col min="13066" max="13066" width="8" style="4" bestFit="1" customWidth="1"/>
    <col min="13067" max="13067" width="11" style="4" bestFit="1" customWidth="1"/>
    <col min="13068" max="13068" width="20.7109375" style="4" customWidth="1"/>
    <col min="13069" max="13069" width="11.85546875" style="4" customWidth="1"/>
    <col min="13070" max="13312" width="9.140625" style="4"/>
    <col min="13313" max="13313" width="4.140625" style="4" bestFit="1" customWidth="1"/>
    <col min="13314" max="13314" width="42.85546875" style="4" customWidth="1"/>
    <col min="13315" max="13315" width="13" style="4" customWidth="1"/>
    <col min="13316" max="13316" width="7.5703125" style="4" customWidth="1"/>
    <col min="13317" max="13317" width="9.85546875" style="4" bestFit="1" customWidth="1"/>
    <col min="13318" max="13318" width="8" style="4" bestFit="1" customWidth="1"/>
    <col min="13319" max="13319" width="14.5703125" style="4" customWidth="1"/>
    <col min="13320" max="13320" width="8" style="4" bestFit="1" customWidth="1"/>
    <col min="13321" max="13321" width="11" style="4" bestFit="1" customWidth="1"/>
    <col min="13322" max="13322" width="8" style="4" bestFit="1" customWidth="1"/>
    <col min="13323" max="13323" width="11" style="4" bestFit="1" customWidth="1"/>
    <col min="13324" max="13324" width="20.7109375" style="4" customWidth="1"/>
    <col min="13325" max="13325" width="11.85546875" style="4" customWidth="1"/>
    <col min="13326" max="13568" width="9.140625" style="4"/>
    <col min="13569" max="13569" width="4.140625" style="4" bestFit="1" customWidth="1"/>
    <col min="13570" max="13570" width="42.85546875" style="4" customWidth="1"/>
    <col min="13571" max="13571" width="13" style="4" customWidth="1"/>
    <col min="13572" max="13572" width="7.5703125" style="4" customWidth="1"/>
    <col min="13573" max="13573" width="9.85546875" style="4" bestFit="1" customWidth="1"/>
    <col min="13574" max="13574" width="8" style="4" bestFit="1" customWidth="1"/>
    <col min="13575" max="13575" width="14.5703125" style="4" customWidth="1"/>
    <col min="13576" max="13576" width="8" style="4" bestFit="1" customWidth="1"/>
    <col min="13577" max="13577" width="11" style="4" bestFit="1" customWidth="1"/>
    <col min="13578" max="13578" width="8" style="4" bestFit="1" customWidth="1"/>
    <col min="13579" max="13579" width="11" style="4" bestFit="1" customWidth="1"/>
    <col min="13580" max="13580" width="20.7109375" style="4" customWidth="1"/>
    <col min="13581" max="13581" width="11.85546875" style="4" customWidth="1"/>
    <col min="13582" max="13824" width="9.140625" style="4"/>
    <col min="13825" max="13825" width="4.140625" style="4" bestFit="1" customWidth="1"/>
    <col min="13826" max="13826" width="42.85546875" style="4" customWidth="1"/>
    <col min="13827" max="13827" width="13" style="4" customWidth="1"/>
    <col min="13828" max="13828" width="7.5703125" style="4" customWidth="1"/>
    <col min="13829" max="13829" width="9.85546875" style="4" bestFit="1" customWidth="1"/>
    <col min="13830" max="13830" width="8" style="4" bestFit="1" customWidth="1"/>
    <col min="13831" max="13831" width="14.5703125" style="4" customWidth="1"/>
    <col min="13832" max="13832" width="8" style="4" bestFit="1" customWidth="1"/>
    <col min="13833" max="13833" width="11" style="4" bestFit="1" customWidth="1"/>
    <col min="13834" max="13834" width="8" style="4" bestFit="1" customWidth="1"/>
    <col min="13835" max="13835" width="11" style="4" bestFit="1" customWidth="1"/>
    <col min="13836" max="13836" width="20.7109375" style="4" customWidth="1"/>
    <col min="13837" max="13837" width="11.85546875" style="4" customWidth="1"/>
    <col min="13838" max="14080" width="9.140625" style="4"/>
    <col min="14081" max="14081" width="4.140625" style="4" bestFit="1" customWidth="1"/>
    <col min="14082" max="14082" width="42.85546875" style="4" customWidth="1"/>
    <col min="14083" max="14083" width="13" style="4" customWidth="1"/>
    <col min="14084" max="14084" width="7.5703125" style="4" customWidth="1"/>
    <col min="14085" max="14085" width="9.85546875" style="4" bestFit="1" customWidth="1"/>
    <col min="14086" max="14086" width="8" style="4" bestFit="1" customWidth="1"/>
    <col min="14087" max="14087" width="14.5703125" style="4" customWidth="1"/>
    <col min="14088" max="14088" width="8" style="4" bestFit="1" customWidth="1"/>
    <col min="14089" max="14089" width="11" style="4" bestFit="1" customWidth="1"/>
    <col min="14090" max="14090" width="8" style="4" bestFit="1" customWidth="1"/>
    <col min="14091" max="14091" width="11" style="4" bestFit="1" customWidth="1"/>
    <col min="14092" max="14092" width="20.7109375" style="4" customWidth="1"/>
    <col min="14093" max="14093" width="11.85546875" style="4" customWidth="1"/>
    <col min="14094" max="14336" width="9.140625" style="4"/>
    <col min="14337" max="14337" width="4.140625" style="4" bestFit="1" customWidth="1"/>
    <col min="14338" max="14338" width="42.85546875" style="4" customWidth="1"/>
    <col min="14339" max="14339" width="13" style="4" customWidth="1"/>
    <col min="14340" max="14340" width="7.5703125" style="4" customWidth="1"/>
    <col min="14341" max="14341" width="9.85546875" style="4" bestFit="1" customWidth="1"/>
    <col min="14342" max="14342" width="8" style="4" bestFit="1" customWidth="1"/>
    <col min="14343" max="14343" width="14.5703125" style="4" customWidth="1"/>
    <col min="14344" max="14344" width="8" style="4" bestFit="1" customWidth="1"/>
    <col min="14345" max="14345" width="11" style="4" bestFit="1" customWidth="1"/>
    <col min="14346" max="14346" width="8" style="4" bestFit="1" customWidth="1"/>
    <col min="14347" max="14347" width="11" style="4" bestFit="1" customWidth="1"/>
    <col min="14348" max="14348" width="20.7109375" style="4" customWidth="1"/>
    <col min="14349" max="14349" width="11.85546875" style="4" customWidth="1"/>
    <col min="14350" max="14592" width="9.140625" style="4"/>
    <col min="14593" max="14593" width="4.140625" style="4" bestFit="1" customWidth="1"/>
    <col min="14594" max="14594" width="42.85546875" style="4" customWidth="1"/>
    <col min="14595" max="14595" width="13" style="4" customWidth="1"/>
    <col min="14596" max="14596" width="7.5703125" style="4" customWidth="1"/>
    <col min="14597" max="14597" width="9.85546875" style="4" bestFit="1" customWidth="1"/>
    <col min="14598" max="14598" width="8" style="4" bestFit="1" customWidth="1"/>
    <col min="14599" max="14599" width="14.5703125" style="4" customWidth="1"/>
    <col min="14600" max="14600" width="8" style="4" bestFit="1" customWidth="1"/>
    <col min="14601" max="14601" width="11" style="4" bestFit="1" customWidth="1"/>
    <col min="14602" max="14602" width="8" style="4" bestFit="1" customWidth="1"/>
    <col min="14603" max="14603" width="11" style="4" bestFit="1" customWidth="1"/>
    <col min="14604" max="14604" width="20.7109375" style="4" customWidth="1"/>
    <col min="14605" max="14605" width="11.85546875" style="4" customWidth="1"/>
    <col min="14606" max="14848" width="9.140625" style="4"/>
    <col min="14849" max="14849" width="4.140625" style="4" bestFit="1" customWidth="1"/>
    <col min="14850" max="14850" width="42.85546875" style="4" customWidth="1"/>
    <col min="14851" max="14851" width="13" style="4" customWidth="1"/>
    <col min="14852" max="14852" width="7.5703125" style="4" customWidth="1"/>
    <col min="14853" max="14853" width="9.85546875" style="4" bestFit="1" customWidth="1"/>
    <col min="14854" max="14854" width="8" style="4" bestFit="1" customWidth="1"/>
    <col min="14855" max="14855" width="14.5703125" style="4" customWidth="1"/>
    <col min="14856" max="14856" width="8" style="4" bestFit="1" customWidth="1"/>
    <col min="14857" max="14857" width="11" style="4" bestFit="1" customWidth="1"/>
    <col min="14858" max="14858" width="8" style="4" bestFit="1" customWidth="1"/>
    <col min="14859" max="14859" width="11" style="4" bestFit="1" customWidth="1"/>
    <col min="14860" max="14860" width="20.7109375" style="4" customWidth="1"/>
    <col min="14861" max="14861" width="11.85546875" style="4" customWidth="1"/>
    <col min="14862" max="15104" width="9.140625" style="4"/>
    <col min="15105" max="15105" width="4.140625" style="4" bestFit="1" customWidth="1"/>
    <col min="15106" max="15106" width="42.85546875" style="4" customWidth="1"/>
    <col min="15107" max="15107" width="13" style="4" customWidth="1"/>
    <col min="15108" max="15108" width="7.5703125" style="4" customWidth="1"/>
    <col min="15109" max="15109" width="9.85546875" style="4" bestFit="1" customWidth="1"/>
    <col min="15110" max="15110" width="8" style="4" bestFit="1" customWidth="1"/>
    <col min="15111" max="15111" width="14.5703125" style="4" customWidth="1"/>
    <col min="15112" max="15112" width="8" style="4" bestFit="1" customWidth="1"/>
    <col min="15113" max="15113" width="11" style="4" bestFit="1" customWidth="1"/>
    <col min="15114" max="15114" width="8" style="4" bestFit="1" customWidth="1"/>
    <col min="15115" max="15115" width="11" style="4" bestFit="1" customWidth="1"/>
    <col min="15116" max="15116" width="20.7109375" style="4" customWidth="1"/>
    <col min="15117" max="15117" width="11.85546875" style="4" customWidth="1"/>
    <col min="15118" max="15360" width="9.140625" style="4"/>
    <col min="15361" max="15361" width="4.140625" style="4" bestFit="1" customWidth="1"/>
    <col min="15362" max="15362" width="42.85546875" style="4" customWidth="1"/>
    <col min="15363" max="15363" width="13" style="4" customWidth="1"/>
    <col min="15364" max="15364" width="7.5703125" style="4" customWidth="1"/>
    <col min="15365" max="15365" width="9.85546875" style="4" bestFit="1" customWidth="1"/>
    <col min="15366" max="15366" width="8" style="4" bestFit="1" customWidth="1"/>
    <col min="15367" max="15367" width="14.5703125" style="4" customWidth="1"/>
    <col min="15368" max="15368" width="8" style="4" bestFit="1" customWidth="1"/>
    <col min="15369" max="15369" width="11" style="4" bestFit="1" customWidth="1"/>
    <col min="15370" max="15370" width="8" style="4" bestFit="1" customWidth="1"/>
    <col min="15371" max="15371" width="11" style="4" bestFit="1" customWidth="1"/>
    <col min="15372" max="15372" width="20.7109375" style="4" customWidth="1"/>
    <col min="15373" max="15373" width="11.85546875" style="4" customWidth="1"/>
    <col min="15374" max="15616" width="9.140625" style="4"/>
    <col min="15617" max="15617" width="4.140625" style="4" bestFit="1" customWidth="1"/>
    <col min="15618" max="15618" width="42.85546875" style="4" customWidth="1"/>
    <col min="15619" max="15619" width="13" style="4" customWidth="1"/>
    <col min="15620" max="15620" width="7.5703125" style="4" customWidth="1"/>
    <col min="15621" max="15621" width="9.85546875" style="4" bestFit="1" customWidth="1"/>
    <col min="15622" max="15622" width="8" style="4" bestFit="1" customWidth="1"/>
    <col min="15623" max="15623" width="14.5703125" style="4" customWidth="1"/>
    <col min="15624" max="15624" width="8" style="4" bestFit="1" customWidth="1"/>
    <col min="15625" max="15625" width="11" style="4" bestFit="1" customWidth="1"/>
    <col min="15626" max="15626" width="8" style="4" bestFit="1" customWidth="1"/>
    <col min="15627" max="15627" width="11" style="4" bestFit="1" customWidth="1"/>
    <col min="15628" max="15628" width="20.7109375" style="4" customWidth="1"/>
    <col min="15629" max="15629" width="11.85546875" style="4" customWidth="1"/>
    <col min="15630" max="15872" width="9.140625" style="4"/>
    <col min="15873" max="15873" width="4.140625" style="4" bestFit="1" customWidth="1"/>
    <col min="15874" max="15874" width="42.85546875" style="4" customWidth="1"/>
    <col min="15875" max="15875" width="13" style="4" customWidth="1"/>
    <col min="15876" max="15876" width="7.5703125" style="4" customWidth="1"/>
    <col min="15877" max="15877" width="9.85546875" style="4" bestFit="1" customWidth="1"/>
    <col min="15878" max="15878" width="8" style="4" bestFit="1" customWidth="1"/>
    <col min="15879" max="15879" width="14.5703125" style="4" customWidth="1"/>
    <col min="15880" max="15880" width="8" style="4" bestFit="1" customWidth="1"/>
    <col min="15881" max="15881" width="11" style="4" bestFit="1" customWidth="1"/>
    <col min="15882" max="15882" width="8" style="4" bestFit="1" customWidth="1"/>
    <col min="15883" max="15883" width="11" style="4" bestFit="1" customWidth="1"/>
    <col min="15884" max="15884" width="20.7109375" style="4" customWidth="1"/>
    <col min="15885" max="15885" width="11.85546875" style="4" customWidth="1"/>
    <col min="15886" max="16128" width="9.140625" style="4"/>
    <col min="16129" max="16129" width="4.140625" style="4" bestFit="1" customWidth="1"/>
    <col min="16130" max="16130" width="42.85546875" style="4" customWidth="1"/>
    <col min="16131" max="16131" width="13" style="4" customWidth="1"/>
    <col min="16132" max="16132" width="7.5703125" style="4" customWidth="1"/>
    <col min="16133" max="16133" width="9.85546875" style="4" bestFit="1" customWidth="1"/>
    <col min="16134" max="16134" width="8" style="4" bestFit="1" customWidth="1"/>
    <col min="16135" max="16135" width="14.5703125" style="4" customWidth="1"/>
    <col min="16136" max="16136" width="8" style="4" bestFit="1" customWidth="1"/>
    <col min="16137" max="16137" width="11" style="4" bestFit="1" customWidth="1"/>
    <col min="16138" max="16138" width="8" style="4" bestFit="1" customWidth="1"/>
    <col min="16139" max="16139" width="11" style="4" bestFit="1" customWidth="1"/>
    <col min="16140" max="16140" width="20.7109375" style="4" customWidth="1"/>
    <col min="16141" max="16141" width="11.85546875" style="4" customWidth="1"/>
    <col min="16142" max="16384" width="9.140625" style="4"/>
  </cols>
  <sheetData>
    <row r="1" spans="1:12" ht="18">
      <c r="B1" s="3"/>
      <c r="C1" s="3309" t="s">
        <v>2987</v>
      </c>
      <c r="D1" s="3309"/>
      <c r="E1" s="3309"/>
      <c r="F1" s="3309"/>
      <c r="G1" s="3309"/>
      <c r="H1" s="3"/>
      <c r="I1" s="3"/>
      <c r="J1" s="3"/>
      <c r="K1" s="3"/>
    </row>
    <row r="2" spans="1:12" ht="16.5" customHeight="1">
      <c r="B2" s="3"/>
      <c r="C2" s="3"/>
      <c r="D2" s="47"/>
      <c r="E2" s="47"/>
      <c r="F2" s="47"/>
      <c r="G2" s="47"/>
      <c r="H2" s="3"/>
      <c r="I2" s="3"/>
      <c r="J2" s="3"/>
      <c r="K2" s="2875" t="s">
        <v>89</v>
      </c>
    </row>
    <row r="3" spans="1:12" ht="36.75" customHeight="1">
      <c r="B3" s="3061" t="s">
        <v>2988</v>
      </c>
      <c r="C3" s="3061"/>
      <c r="D3" s="3061"/>
      <c r="E3" s="3061"/>
      <c r="F3" s="3061"/>
      <c r="G3" s="3061"/>
      <c r="H3" s="3061"/>
      <c r="I3" s="3061"/>
      <c r="J3" s="244"/>
      <c r="K3" s="244"/>
    </row>
    <row r="4" spans="1:12" ht="9" customHeight="1">
      <c r="A4" s="8"/>
      <c r="B4" s="8"/>
      <c r="C4" s="8"/>
      <c r="D4" s="8"/>
      <c r="E4" s="8"/>
      <c r="F4" s="8"/>
      <c r="G4" s="8"/>
      <c r="H4" s="8"/>
      <c r="I4" s="8"/>
      <c r="J4" s="8"/>
      <c r="K4" s="8"/>
    </row>
    <row r="5" spans="1:12" ht="30.75" customHeight="1">
      <c r="A5" s="3449" t="s">
        <v>2</v>
      </c>
      <c r="B5" s="3449" t="s">
        <v>3</v>
      </c>
      <c r="C5" s="3449" t="s">
        <v>1720</v>
      </c>
      <c r="D5" s="3449" t="s">
        <v>5</v>
      </c>
      <c r="E5" s="3449" t="s">
        <v>9</v>
      </c>
      <c r="F5" s="3449" t="s">
        <v>2989</v>
      </c>
      <c r="G5" s="3449"/>
      <c r="H5" s="3449" t="s">
        <v>1723</v>
      </c>
      <c r="I5" s="3449"/>
      <c r="J5" s="3449" t="s">
        <v>1749</v>
      </c>
      <c r="K5" s="3449"/>
    </row>
    <row r="6" spans="1:12" ht="15.75" customHeight="1">
      <c r="A6" s="3449"/>
      <c r="B6" s="3449"/>
      <c r="C6" s="3449"/>
      <c r="D6" s="3449"/>
      <c r="E6" s="3449"/>
      <c r="F6" s="3449"/>
      <c r="G6" s="3449"/>
      <c r="H6" s="3449"/>
      <c r="I6" s="3449"/>
      <c r="J6" s="3449"/>
      <c r="K6" s="3449"/>
    </row>
    <row r="7" spans="1:12" ht="27" customHeight="1">
      <c r="A7" s="3449"/>
      <c r="B7" s="3449"/>
      <c r="C7" s="3449"/>
      <c r="D7" s="3449"/>
      <c r="E7" s="3449"/>
      <c r="F7" s="3449"/>
      <c r="G7" s="3449"/>
      <c r="H7" s="3449"/>
      <c r="I7" s="3449"/>
      <c r="J7" s="3449"/>
      <c r="K7" s="3449"/>
    </row>
    <row r="8" spans="1:12" ht="15">
      <c r="A8" s="3449"/>
      <c r="B8" s="3449"/>
      <c r="C8" s="3449"/>
      <c r="D8" s="3449"/>
      <c r="E8" s="3449"/>
      <c r="F8" s="2874" t="s">
        <v>8</v>
      </c>
      <c r="G8" s="2874" t="s">
        <v>10</v>
      </c>
      <c r="H8" s="2874" t="s">
        <v>8</v>
      </c>
      <c r="I8" s="2874" t="s">
        <v>10</v>
      </c>
      <c r="J8" s="2874" t="s">
        <v>8</v>
      </c>
      <c r="K8" s="2874" t="s">
        <v>10</v>
      </c>
    </row>
    <row r="9" spans="1:12" ht="15">
      <c r="A9" s="2896">
        <v>1</v>
      </c>
      <c r="B9" s="2896">
        <v>2</v>
      </c>
      <c r="C9" s="2896">
        <v>3</v>
      </c>
      <c r="D9" s="2896">
        <v>4</v>
      </c>
      <c r="E9" s="2896">
        <v>5</v>
      </c>
      <c r="F9" s="2896">
        <v>6</v>
      </c>
      <c r="G9" s="2896">
        <v>7</v>
      </c>
      <c r="H9" s="2896">
        <v>8</v>
      </c>
      <c r="I9" s="2896">
        <v>9</v>
      </c>
      <c r="J9" s="2896">
        <v>10</v>
      </c>
      <c r="K9" s="2896">
        <v>11</v>
      </c>
    </row>
    <row r="10" spans="1:12" s="43" customFormat="1" ht="16.5" customHeight="1">
      <c r="A10" s="1181">
        <v>1</v>
      </c>
      <c r="B10" s="1182" t="s">
        <v>2990</v>
      </c>
      <c r="C10" s="1258">
        <v>7130800001</v>
      </c>
      <c r="D10" s="1863" t="s">
        <v>33</v>
      </c>
      <c r="E10" s="734">
        <f>VLOOKUP(C10,'[25]SOR RATE'!A:D,4,0)</f>
        <v>3096.2</v>
      </c>
      <c r="F10" s="1181">
        <v>22</v>
      </c>
      <c r="G10" s="734">
        <f>F10*E10</f>
        <v>68116.399999999994</v>
      </c>
      <c r="H10" s="1181">
        <v>22</v>
      </c>
      <c r="I10" s="734">
        <f>H10*E10</f>
        <v>68116.399999999994</v>
      </c>
      <c r="J10" s="1181">
        <v>22</v>
      </c>
      <c r="K10" s="734">
        <f>J10*E10</f>
        <v>68116.399999999994</v>
      </c>
      <c r="L10" s="859" t="s">
        <v>2261</v>
      </c>
    </row>
    <row r="11" spans="1:12" ht="15.75" customHeight="1">
      <c r="A11" s="1181">
        <v>2</v>
      </c>
      <c r="B11" s="1470" t="s">
        <v>1769</v>
      </c>
      <c r="C11" s="1258">
        <v>7130810413</v>
      </c>
      <c r="D11" s="1181" t="s">
        <v>12</v>
      </c>
      <c r="E11" s="734">
        <f>VLOOKUP(C11,'[25]SOR RATE'!A:D,4,0)</f>
        <v>813.82</v>
      </c>
      <c r="F11" s="1181">
        <v>22</v>
      </c>
      <c r="G11" s="734">
        <f>F11*E11</f>
        <v>17904.04</v>
      </c>
      <c r="H11" s="1181">
        <v>22</v>
      </c>
      <c r="I11" s="734">
        <f>H11*E11</f>
        <v>17904.04</v>
      </c>
      <c r="J11" s="1181">
        <v>22</v>
      </c>
      <c r="K11" s="734">
        <f>J11*E11</f>
        <v>17904.04</v>
      </c>
    </row>
    <row r="12" spans="1:12" ht="15.75" customHeight="1">
      <c r="A12" s="1181">
        <v>3</v>
      </c>
      <c r="B12" s="1470" t="s">
        <v>1758</v>
      </c>
      <c r="C12" s="1258">
        <v>7130820106</v>
      </c>
      <c r="D12" s="1181" t="s">
        <v>12</v>
      </c>
      <c r="E12" s="734">
        <f>VLOOKUP(C12,'[25]SOR RATE'!A:D,4,0)</f>
        <v>15.42</v>
      </c>
      <c r="F12" s="1181">
        <v>54</v>
      </c>
      <c r="G12" s="734">
        <f>F12*E12</f>
        <v>832.68</v>
      </c>
      <c r="H12" s="1181">
        <v>54</v>
      </c>
      <c r="I12" s="734">
        <f>H12*E12</f>
        <v>832.68</v>
      </c>
      <c r="J12" s="1181">
        <v>54</v>
      </c>
      <c r="K12" s="734">
        <f>J12*E12</f>
        <v>832.68</v>
      </c>
    </row>
    <row r="13" spans="1:12" ht="15.75" customHeight="1">
      <c r="A13" s="1181">
        <v>4</v>
      </c>
      <c r="B13" s="1470" t="s">
        <v>1730</v>
      </c>
      <c r="C13" s="1258">
        <v>7130820201</v>
      </c>
      <c r="D13" s="1181" t="s">
        <v>12</v>
      </c>
      <c r="E13" s="734">
        <f>VLOOKUP(C13,'[25]SOR RATE'!A:D,4,0)</f>
        <v>46.15</v>
      </c>
      <c r="F13" s="1181">
        <v>22</v>
      </c>
      <c r="G13" s="734">
        <f>F13*E13</f>
        <v>1015.3</v>
      </c>
      <c r="H13" s="1181">
        <v>22</v>
      </c>
      <c r="I13" s="734">
        <f>H13*E13</f>
        <v>1015.3</v>
      </c>
      <c r="J13" s="1181">
        <v>22</v>
      </c>
      <c r="K13" s="734">
        <f>J13*E13</f>
        <v>1015.3</v>
      </c>
    </row>
    <row r="14" spans="1:12" ht="15.75" customHeight="1">
      <c r="A14" s="1181">
        <v>5</v>
      </c>
      <c r="B14" s="1470" t="s">
        <v>1729</v>
      </c>
      <c r="C14" s="1258">
        <v>7130820216</v>
      </c>
      <c r="D14" s="1181" t="s">
        <v>12</v>
      </c>
      <c r="E14" s="734">
        <f>VLOOKUP(C14,'[25]SOR RATE'!A:D,4,0)</f>
        <v>52.15</v>
      </c>
      <c r="F14" s="1181">
        <v>22</v>
      </c>
      <c r="G14" s="734">
        <f>F14*E14</f>
        <v>1147.3</v>
      </c>
      <c r="H14" s="1181">
        <v>22</v>
      </c>
      <c r="I14" s="734">
        <f>H14*E14</f>
        <v>1147.3</v>
      </c>
      <c r="J14" s="1181">
        <v>22</v>
      </c>
      <c r="K14" s="734">
        <f>J14*E14</f>
        <v>1147.3</v>
      </c>
    </row>
    <row r="15" spans="1:12" ht="15.75" customHeight="1">
      <c r="A15" s="3157">
        <v>6</v>
      </c>
      <c r="B15" s="1476" t="s">
        <v>2991</v>
      </c>
      <c r="C15" s="2928"/>
      <c r="D15" s="2929"/>
      <c r="E15" s="2929"/>
      <c r="F15" s="2929"/>
      <c r="G15" s="2929"/>
      <c r="H15" s="2929"/>
      <c r="I15" s="2929"/>
      <c r="J15" s="2929"/>
      <c r="K15" s="2930"/>
    </row>
    <row r="16" spans="1:12" ht="15.75" customHeight="1">
      <c r="A16" s="3158"/>
      <c r="B16" s="1470" t="s">
        <v>1732</v>
      </c>
      <c r="C16" s="1258">
        <v>7130830057</v>
      </c>
      <c r="D16" s="1181" t="s">
        <v>21</v>
      </c>
      <c r="E16" s="734">
        <f>VLOOKUP(C16,'[25]SOR RATE'!A:D,4,0)/1000</f>
        <v>46.676089999999995</v>
      </c>
      <c r="F16" s="1181">
        <v>1030</v>
      </c>
      <c r="G16" s="734">
        <f t="shared" ref="G16:G21" si="0">F16*E16</f>
        <v>48076.372699999993</v>
      </c>
      <c r="H16" s="1271" t="s">
        <v>1534</v>
      </c>
      <c r="I16" s="1271" t="s">
        <v>1534</v>
      </c>
      <c r="J16" s="1271" t="s">
        <v>1534</v>
      </c>
      <c r="K16" s="1271" t="s">
        <v>1534</v>
      </c>
    </row>
    <row r="17" spans="1:12" ht="15.75" customHeight="1">
      <c r="A17" s="3158"/>
      <c r="B17" s="1470" t="s">
        <v>1733</v>
      </c>
      <c r="C17" s="1258">
        <v>7130830055</v>
      </c>
      <c r="D17" s="1181" t="s">
        <v>21</v>
      </c>
      <c r="E17" s="734">
        <f>VLOOKUP(C17,'[25]SOR RATE'!A:D,4,0)/1000</f>
        <v>28.020759999999999</v>
      </c>
      <c r="F17" s="1181">
        <v>1030</v>
      </c>
      <c r="G17" s="734">
        <f t="shared" si="0"/>
        <v>28861.382799999999</v>
      </c>
      <c r="H17" s="201">
        <v>2060</v>
      </c>
      <c r="I17" s="734">
        <f t="shared" ref="I17:I22" si="1">H17*E17</f>
        <v>57722.765599999999</v>
      </c>
      <c r="J17" s="1271" t="s">
        <v>1534</v>
      </c>
      <c r="K17" s="1271" t="s">
        <v>1534</v>
      </c>
    </row>
    <row r="18" spans="1:12" ht="15.75" customHeight="1">
      <c r="A18" s="3159"/>
      <c r="B18" s="1470" t="s">
        <v>1734</v>
      </c>
      <c r="C18" s="1258">
        <v>7130830053</v>
      </c>
      <c r="D18" s="1181" t="s">
        <v>21</v>
      </c>
      <c r="E18" s="734">
        <f>VLOOKUP(C18,'[25]SOR RATE'!A:D,4,0)/1000</f>
        <v>19.941980000000001</v>
      </c>
      <c r="F18" s="1181">
        <v>1030</v>
      </c>
      <c r="G18" s="734">
        <f t="shared" si="0"/>
        <v>20540.239400000002</v>
      </c>
      <c r="H18" s="1260">
        <v>1030</v>
      </c>
      <c r="I18" s="734">
        <f t="shared" si="1"/>
        <v>20540.239400000002</v>
      </c>
      <c r="J18" s="1260">
        <v>3090</v>
      </c>
      <c r="K18" s="734">
        <f>J18*E18</f>
        <v>61620.718200000003</v>
      </c>
    </row>
    <row r="19" spans="1:12" ht="15.75" customHeight="1">
      <c r="A19" s="3157">
        <v>7</v>
      </c>
      <c r="B19" s="1470" t="s">
        <v>24</v>
      </c>
      <c r="C19" s="1258">
        <v>7130860032</v>
      </c>
      <c r="D19" s="1181" t="s">
        <v>12</v>
      </c>
      <c r="E19" s="734">
        <f>VLOOKUP(C19,'[25]SOR RATE'!A:D,4,0)</f>
        <v>566.19000000000005</v>
      </c>
      <c r="F19" s="1181">
        <v>9</v>
      </c>
      <c r="G19" s="734">
        <f t="shared" si="0"/>
        <v>5095.7100000000009</v>
      </c>
      <c r="H19" s="1181">
        <v>9</v>
      </c>
      <c r="I19" s="734">
        <f t="shared" si="1"/>
        <v>5095.7100000000009</v>
      </c>
      <c r="J19" s="1181">
        <v>9</v>
      </c>
      <c r="K19" s="734">
        <f>J19*E19</f>
        <v>5095.7100000000009</v>
      </c>
    </row>
    <row r="20" spans="1:12" ht="15.75" customHeight="1">
      <c r="A20" s="3158"/>
      <c r="B20" s="1470" t="s">
        <v>1735</v>
      </c>
      <c r="C20" s="1258">
        <v>7130860077</v>
      </c>
      <c r="D20" s="1181" t="s">
        <v>26</v>
      </c>
      <c r="E20" s="734">
        <f>VLOOKUP(C20,'[25]SOR RATE'!A:D,4,0)/1000</f>
        <v>93.76643</v>
      </c>
      <c r="F20" s="1181">
        <v>54</v>
      </c>
      <c r="G20" s="734">
        <f t="shared" si="0"/>
        <v>5063.3872199999996</v>
      </c>
      <c r="H20" s="1181">
        <v>54</v>
      </c>
      <c r="I20" s="734">
        <f t="shared" si="1"/>
        <v>5063.3872199999996</v>
      </c>
      <c r="J20" s="1181">
        <v>54</v>
      </c>
      <c r="K20" s="734">
        <f>J20*E20</f>
        <v>5063.3872199999996</v>
      </c>
    </row>
    <row r="21" spans="1:12" ht="15.75" customHeight="1">
      <c r="A21" s="3158"/>
      <c r="B21" s="1470" t="s">
        <v>74</v>
      </c>
      <c r="C21" s="1258">
        <v>7130810026</v>
      </c>
      <c r="D21" s="2859" t="s">
        <v>15</v>
      </c>
      <c r="E21" s="734">
        <f>VLOOKUP(C21,'[25]SOR RATE'!A201:D201,4,0)</f>
        <v>198.14</v>
      </c>
      <c r="F21" s="1181">
        <v>9</v>
      </c>
      <c r="G21" s="734">
        <f t="shared" si="0"/>
        <v>1783.2599999999998</v>
      </c>
      <c r="H21" s="1181">
        <v>9</v>
      </c>
      <c r="I21" s="734">
        <f t="shared" si="1"/>
        <v>1783.2599999999998</v>
      </c>
      <c r="J21" s="1181">
        <v>9</v>
      </c>
      <c r="K21" s="734">
        <f>J21*E21</f>
        <v>1783.2599999999998</v>
      </c>
    </row>
    <row r="22" spans="1:12" ht="15.75" customHeight="1">
      <c r="A22" s="3159"/>
      <c r="B22" s="1182" t="s">
        <v>1736</v>
      </c>
      <c r="C22" s="2842">
        <v>7130820117</v>
      </c>
      <c r="D22" s="2843" t="s">
        <v>68</v>
      </c>
      <c r="E22" s="734">
        <f>VLOOKUP(C22,'[25]SOR RATE'!A:D,4,0)</f>
        <v>12.42</v>
      </c>
      <c r="F22" s="1181">
        <v>9</v>
      </c>
      <c r="G22" s="734">
        <f>F22*E22</f>
        <v>111.78</v>
      </c>
      <c r="H22" s="1181">
        <v>9</v>
      </c>
      <c r="I22" s="734">
        <f t="shared" si="1"/>
        <v>111.78</v>
      </c>
      <c r="J22" s="1181">
        <v>9</v>
      </c>
      <c r="K22" s="734">
        <f>J22*E22</f>
        <v>111.78</v>
      </c>
      <c r="L22" s="739" t="s">
        <v>119</v>
      </c>
    </row>
    <row r="23" spans="1:12" ht="61.5" customHeight="1">
      <c r="A23" s="1181">
        <v>8</v>
      </c>
      <c r="B23" s="1200" t="s">
        <v>2992</v>
      </c>
      <c r="C23" s="1260">
        <v>7130200202</v>
      </c>
      <c r="D23" s="2889" t="s">
        <v>1440</v>
      </c>
      <c r="E23" s="734">
        <f>VLOOKUP(C23,'[25]SOR RATE'!A:D,4,0)</f>
        <v>2970</v>
      </c>
      <c r="F23" s="1181">
        <f>(0.35*22)+(0.2*9)</f>
        <v>9.5</v>
      </c>
      <c r="G23" s="734">
        <f>E23*F23</f>
        <v>28215</v>
      </c>
      <c r="H23" s="1181">
        <f>(0.35*22)+(0.2*9)</f>
        <v>9.5</v>
      </c>
      <c r="I23" s="734">
        <f>E23*H23</f>
        <v>28215</v>
      </c>
      <c r="J23" s="1181">
        <f>(0.35*22)+(0.2*9)</f>
        <v>9.5</v>
      </c>
      <c r="K23" s="734">
        <f>E23*J23</f>
        <v>28215</v>
      </c>
      <c r="L23" s="225" t="s">
        <v>47</v>
      </c>
    </row>
    <row r="24" spans="1:12" ht="30.75" customHeight="1">
      <c r="A24" s="2866">
        <v>9</v>
      </c>
      <c r="B24" s="1506" t="s">
        <v>1740</v>
      </c>
      <c r="C24" s="1258">
        <v>7130870013</v>
      </c>
      <c r="D24" s="2866" t="s">
        <v>12</v>
      </c>
      <c r="E24" s="734">
        <f>VLOOKUP(C24,'[25]SOR RATE'!A:D,4,0)</f>
        <v>152.88999999999999</v>
      </c>
      <c r="F24" s="2866">
        <v>7</v>
      </c>
      <c r="G24" s="734">
        <f>F24*E24</f>
        <v>1070.23</v>
      </c>
      <c r="H24" s="2866">
        <v>7</v>
      </c>
      <c r="I24" s="734">
        <f>H24*E24</f>
        <v>1070.23</v>
      </c>
      <c r="J24" s="2866">
        <v>7</v>
      </c>
      <c r="K24" s="734">
        <f>J24*E24</f>
        <v>1070.23</v>
      </c>
    </row>
    <row r="25" spans="1:12" ht="15.75" customHeight="1">
      <c r="A25" s="1181">
        <v>10</v>
      </c>
      <c r="B25" s="1470" t="s">
        <v>1772</v>
      </c>
      <c r="C25" s="1258">
        <v>7130820018</v>
      </c>
      <c r="D25" s="1181" t="s">
        <v>15</v>
      </c>
      <c r="E25" s="734">
        <f>VLOOKUP(C25,'[25]SOR RATE'!A:D,4,0)</f>
        <v>4.66</v>
      </c>
      <c r="F25" s="1181">
        <v>44</v>
      </c>
      <c r="G25" s="734">
        <f>F25*E25</f>
        <v>205.04000000000002</v>
      </c>
      <c r="H25" s="1181">
        <v>44</v>
      </c>
      <c r="I25" s="734">
        <f>H25*E25</f>
        <v>205.04000000000002</v>
      </c>
      <c r="J25" s="1181">
        <v>44</v>
      </c>
      <c r="K25" s="734">
        <f>J25*E25</f>
        <v>205.04000000000002</v>
      </c>
    </row>
    <row r="26" spans="1:12" ht="15.75" customHeight="1">
      <c r="A26" s="3157">
        <v>11</v>
      </c>
      <c r="B26" s="1470" t="s">
        <v>163</v>
      </c>
      <c r="C26" s="1260"/>
      <c r="D26" s="1181" t="s">
        <v>26</v>
      </c>
      <c r="E26" s="1737"/>
      <c r="F26" s="1181">
        <v>20</v>
      </c>
      <c r="G26" s="734"/>
      <c r="H26" s="1181">
        <v>20</v>
      </c>
      <c r="I26" s="734"/>
      <c r="J26" s="1181">
        <v>20</v>
      </c>
      <c r="K26" s="734"/>
    </row>
    <row r="27" spans="1:12" ht="15.75" customHeight="1">
      <c r="A27" s="3158"/>
      <c r="B27" s="1695" t="s">
        <v>505</v>
      </c>
      <c r="C27" s="1258">
        <v>7130620573</v>
      </c>
      <c r="D27" s="1181" t="s">
        <v>26</v>
      </c>
      <c r="E27" s="734">
        <f>VLOOKUP(C27,'[25]SOR RATE'!A:D,4,0)</f>
        <v>87.23</v>
      </c>
      <c r="F27" s="1181">
        <v>7</v>
      </c>
      <c r="G27" s="734">
        <f t="shared" ref="G27:G32" si="2">F27*E27</f>
        <v>610.61</v>
      </c>
      <c r="H27" s="1181">
        <v>7</v>
      </c>
      <c r="I27" s="734">
        <f t="shared" ref="I27:I33" si="3">H27*E27</f>
        <v>610.61</v>
      </c>
      <c r="J27" s="1181">
        <v>7</v>
      </c>
      <c r="K27" s="734">
        <f t="shared" ref="K27:K33" si="4">J27*E27</f>
        <v>610.61</v>
      </c>
    </row>
    <row r="28" spans="1:12" ht="15.75" customHeight="1">
      <c r="A28" s="3158"/>
      <c r="B28" s="1695" t="s">
        <v>79</v>
      </c>
      <c r="C28" s="1258">
        <v>7130620609</v>
      </c>
      <c r="D28" s="1181" t="s">
        <v>26</v>
      </c>
      <c r="E28" s="734">
        <f>VLOOKUP(C28,'[25]SOR RATE'!A:D,4,0)</f>
        <v>87.23</v>
      </c>
      <c r="F28" s="1181">
        <v>3</v>
      </c>
      <c r="G28" s="734">
        <f t="shared" si="2"/>
        <v>261.69</v>
      </c>
      <c r="H28" s="1181">
        <v>3</v>
      </c>
      <c r="I28" s="734">
        <f t="shared" si="3"/>
        <v>261.69</v>
      </c>
      <c r="J28" s="1181">
        <v>3</v>
      </c>
      <c r="K28" s="734">
        <f t="shared" si="4"/>
        <v>261.69</v>
      </c>
    </row>
    <row r="29" spans="1:12" ht="15.75" customHeight="1">
      <c r="A29" s="3159"/>
      <c r="B29" s="1695" t="s">
        <v>111</v>
      </c>
      <c r="C29" s="1258">
        <v>7130620614</v>
      </c>
      <c r="D29" s="1181" t="s">
        <v>26</v>
      </c>
      <c r="E29" s="734">
        <f>VLOOKUP(C29,'[25]SOR RATE'!A:D,4,0)</f>
        <v>85.77</v>
      </c>
      <c r="F29" s="1181">
        <v>10</v>
      </c>
      <c r="G29" s="734">
        <f t="shared" si="2"/>
        <v>857.69999999999993</v>
      </c>
      <c r="H29" s="1181">
        <v>10</v>
      </c>
      <c r="I29" s="734">
        <f t="shared" si="3"/>
        <v>857.69999999999993</v>
      </c>
      <c r="J29" s="1181">
        <v>10</v>
      </c>
      <c r="K29" s="734">
        <f t="shared" si="4"/>
        <v>857.69999999999993</v>
      </c>
    </row>
    <row r="30" spans="1:12" ht="15.75" customHeight="1">
      <c r="A30" s="1181">
        <v>12</v>
      </c>
      <c r="B30" s="1470" t="s">
        <v>110</v>
      </c>
      <c r="C30" s="1258">
        <v>7130830006</v>
      </c>
      <c r="D30" s="1181" t="s">
        <v>26</v>
      </c>
      <c r="E30" s="734">
        <f>VLOOKUP(C30,'[25]SOR RATE'!A:D,4,0)</f>
        <v>201.5</v>
      </c>
      <c r="F30" s="1181">
        <v>3</v>
      </c>
      <c r="G30" s="734">
        <f t="shared" si="2"/>
        <v>604.5</v>
      </c>
      <c r="H30" s="1181">
        <v>3</v>
      </c>
      <c r="I30" s="734">
        <f t="shared" si="3"/>
        <v>604.5</v>
      </c>
      <c r="J30" s="1181">
        <v>3</v>
      </c>
      <c r="K30" s="734">
        <f t="shared" si="4"/>
        <v>604.5</v>
      </c>
    </row>
    <row r="31" spans="1:12" ht="15.75" customHeight="1">
      <c r="A31" s="1181">
        <v>13</v>
      </c>
      <c r="B31" s="1470" t="s">
        <v>30</v>
      </c>
      <c r="C31" s="1258">
        <v>7130210809</v>
      </c>
      <c r="D31" s="1181" t="s">
        <v>29</v>
      </c>
      <c r="E31" s="734">
        <f>VLOOKUP(C31,'[25]SOR RATE'!A:D,4,0)</f>
        <v>432.63</v>
      </c>
      <c r="F31" s="1181">
        <v>5</v>
      </c>
      <c r="G31" s="734">
        <f t="shared" si="2"/>
        <v>2163.15</v>
      </c>
      <c r="H31" s="1181">
        <v>5</v>
      </c>
      <c r="I31" s="734">
        <f t="shared" si="3"/>
        <v>2163.15</v>
      </c>
      <c r="J31" s="1181">
        <v>5</v>
      </c>
      <c r="K31" s="734">
        <f t="shared" si="4"/>
        <v>2163.15</v>
      </c>
    </row>
    <row r="32" spans="1:12" ht="15.75" customHeight="1">
      <c r="A32" s="1181">
        <v>14</v>
      </c>
      <c r="B32" s="1470" t="s">
        <v>28</v>
      </c>
      <c r="C32" s="1258">
        <v>7130211158</v>
      </c>
      <c r="D32" s="1181" t="s">
        <v>29</v>
      </c>
      <c r="E32" s="734">
        <f>VLOOKUP(C32,'[25]SOR RATE'!A:D,4,0)</f>
        <v>193.62</v>
      </c>
      <c r="F32" s="1181">
        <v>5</v>
      </c>
      <c r="G32" s="734">
        <f t="shared" si="2"/>
        <v>968.1</v>
      </c>
      <c r="H32" s="1181">
        <v>5</v>
      </c>
      <c r="I32" s="734">
        <f t="shared" si="3"/>
        <v>968.1</v>
      </c>
      <c r="J32" s="1181">
        <v>5</v>
      </c>
      <c r="K32" s="734">
        <f t="shared" si="4"/>
        <v>968.1</v>
      </c>
    </row>
    <row r="33" spans="1:15" ht="16.5" customHeight="1">
      <c r="A33" s="1181">
        <v>15</v>
      </c>
      <c r="B33" s="1470" t="s">
        <v>1741</v>
      </c>
      <c r="C33" s="1258">
        <v>7130870043</v>
      </c>
      <c r="D33" s="1181" t="s">
        <v>26</v>
      </c>
      <c r="E33" s="734">
        <f>VLOOKUP(C33,'[25]SOR RATE'!A:D,4,0)/1000</f>
        <v>80.521839999999997</v>
      </c>
      <c r="F33" s="1181">
        <v>15</v>
      </c>
      <c r="G33" s="734">
        <f>F33*E33</f>
        <v>1207.8276000000001</v>
      </c>
      <c r="H33" s="1181">
        <v>15</v>
      </c>
      <c r="I33" s="734">
        <f t="shared" si="3"/>
        <v>1207.8276000000001</v>
      </c>
      <c r="J33" s="1181">
        <v>15</v>
      </c>
      <c r="K33" s="734">
        <f t="shared" si="4"/>
        <v>1207.8276000000001</v>
      </c>
    </row>
    <row r="34" spans="1:15" ht="30.75" customHeight="1">
      <c r="A34" s="2869">
        <v>16</v>
      </c>
      <c r="B34" s="1191" t="s">
        <v>48</v>
      </c>
      <c r="C34" s="2869"/>
      <c r="D34" s="2869"/>
      <c r="E34" s="2869"/>
      <c r="F34" s="2869"/>
      <c r="G34" s="1193">
        <f>SUM(G10:G33)</f>
        <v>234711.69971999998</v>
      </c>
      <c r="H34" s="1193"/>
      <c r="I34" s="1193">
        <f>SUM(I10:I33)</f>
        <v>215496.70982000002</v>
      </c>
      <c r="J34" s="1193"/>
      <c r="K34" s="1193">
        <f>SUM(K10:K33)</f>
        <v>198854.42302000002</v>
      </c>
      <c r="L34" s="533"/>
      <c r="M34" s="22"/>
    </row>
    <row r="35" spans="1:15" ht="30.75" customHeight="1">
      <c r="A35" s="2868">
        <v>17</v>
      </c>
      <c r="B35" s="1191" t="s">
        <v>49</v>
      </c>
      <c r="C35" s="2869"/>
      <c r="D35" s="2869"/>
      <c r="E35" s="2869"/>
      <c r="F35" s="2869"/>
      <c r="G35" s="1193">
        <f>G34/1.18</f>
        <v>198908.2201016949</v>
      </c>
      <c r="H35" s="1193"/>
      <c r="I35" s="1193">
        <f>I34/1.18</f>
        <v>182624.33035593224</v>
      </c>
      <c r="J35" s="1193"/>
      <c r="K35" s="1193">
        <f>K34/1.18</f>
        <v>168520.6974745763</v>
      </c>
      <c r="L35" s="704"/>
      <c r="M35" s="22"/>
    </row>
    <row r="36" spans="1:15" ht="16.5" customHeight="1">
      <c r="A36" s="2866">
        <v>18</v>
      </c>
      <c r="B36" s="1185" t="s">
        <v>50</v>
      </c>
      <c r="C36" s="1470"/>
      <c r="D36" s="1470"/>
      <c r="E36" s="1181">
        <v>7.4999999999999997E-2</v>
      </c>
      <c r="F36" s="1181"/>
      <c r="G36" s="734">
        <f>G34*E36</f>
        <v>17603.377478999999</v>
      </c>
      <c r="H36" s="734"/>
      <c r="I36" s="734">
        <f>I34*E36</f>
        <v>16162.253236500001</v>
      </c>
      <c r="J36" s="734"/>
      <c r="K36" s="734">
        <f>K34*E36</f>
        <v>14914.081726500001</v>
      </c>
      <c r="L36" s="732"/>
      <c r="M36" s="17"/>
    </row>
    <row r="37" spans="1:15" ht="19.5" customHeight="1">
      <c r="A37" s="1187" t="s">
        <v>1762</v>
      </c>
      <c r="B37" s="1695" t="s">
        <v>82</v>
      </c>
      <c r="C37" s="1187"/>
      <c r="D37" s="1187" t="s">
        <v>76</v>
      </c>
      <c r="E37" s="1202">
        <f>665.173187113158*1.043</f>
        <v>693.77563415902364</v>
      </c>
      <c r="F37" s="1181">
        <f>(0.35*22)+(0.2*9)</f>
        <v>9.5</v>
      </c>
      <c r="G37" s="2931">
        <f>F37*E37</f>
        <v>6590.8685245107245</v>
      </c>
      <c r="H37" s="1181">
        <f>(0.35*22)+(0.2*9)</f>
        <v>9.5</v>
      </c>
      <c r="I37" s="2932">
        <f>H37*E37</f>
        <v>6590.8685245107245</v>
      </c>
      <c r="J37" s="1181">
        <f>(0.35*22)+(0.2*9)</f>
        <v>9.5</v>
      </c>
      <c r="K37" s="735">
        <f>J37*E37</f>
        <v>6590.8685245107245</v>
      </c>
      <c r="L37" s="59"/>
      <c r="N37" s="2897"/>
      <c r="O37" s="2897"/>
    </row>
    <row r="38" spans="1:15" ht="19.5" customHeight="1">
      <c r="A38" s="2889">
        <v>20</v>
      </c>
      <c r="B38" s="1182" t="s">
        <v>1764</v>
      </c>
      <c r="C38" s="2889"/>
      <c r="D38" s="2889"/>
      <c r="E38" s="735"/>
      <c r="F38" s="2889"/>
      <c r="G38" s="735">
        <v>56190.42</v>
      </c>
      <c r="H38" s="2889"/>
      <c r="I38" s="735">
        <f>+G38</f>
        <v>56190.42</v>
      </c>
      <c r="J38" s="2889"/>
      <c r="K38" s="735">
        <f>+I38</f>
        <v>56190.42</v>
      </c>
      <c r="L38" s="533"/>
    </row>
    <row r="39" spans="1:15" ht="31.5" customHeight="1">
      <c r="A39" s="2889">
        <v>21</v>
      </c>
      <c r="B39" s="1182" t="s">
        <v>1807</v>
      </c>
      <c r="C39" s="2889"/>
      <c r="D39" s="2889"/>
      <c r="E39" s="735">
        <v>0.04</v>
      </c>
      <c r="F39" s="2889"/>
      <c r="G39" s="734">
        <f>G35*E39</f>
        <v>7956.3288040677962</v>
      </c>
      <c r="H39" s="2889"/>
      <c r="I39" s="734">
        <f>I35*E39</f>
        <v>7304.9732142372895</v>
      </c>
      <c r="J39" s="2889"/>
      <c r="K39" s="734">
        <f>K35*E39</f>
        <v>6740.8278989830524</v>
      </c>
      <c r="L39" s="814" t="s">
        <v>1827</v>
      </c>
      <c r="M39" s="177"/>
      <c r="N39" s="2897"/>
      <c r="O39" s="2897"/>
    </row>
    <row r="40" spans="1:15" ht="44.25" customHeight="1">
      <c r="A40" s="2889">
        <v>22</v>
      </c>
      <c r="B40" s="1233" t="s">
        <v>1744</v>
      </c>
      <c r="C40" s="2889"/>
      <c r="D40" s="2889"/>
      <c r="E40" s="735"/>
      <c r="F40" s="2889"/>
      <c r="G40" s="1210">
        <f>(G34+G36+G37+G38+G39)*0.125</f>
        <v>40381.58681594731</v>
      </c>
      <c r="H40" s="1210"/>
      <c r="I40" s="1210">
        <f>(I34+I36+I37+I38+I39)*0.125</f>
        <v>37718.153099406009</v>
      </c>
      <c r="J40" s="1210"/>
      <c r="K40" s="1210">
        <f>(K34+K36+K37+K38+K39)*0.125</f>
        <v>35411.327646249221</v>
      </c>
      <c r="L40" s="2898"/>
      <c r="M40" s="177"/>
      <c r="N40" s="2897"/>
      <c r="O40" s="2897"/>
    </row>
    <row r="41" spans="1:15" ht="30" customHeight="1">
      <c r="A41" s="190">
        <v>23</v>
      </c>
      <c r="B41" s="1758" t="s">
        <v>219</v>
      </c>
      <c r="C41" s="2889"/>
      <c r="D41" s="2889"/>
      <c r="E41" s="735"/>
      <c r="F41" s="2889"/>
      <c r="G41" s="2884">
        <f>SUM(G35:G40)</f>
        <v>327630.80172522075</v>
      </c>
      <c r="H41" s="190"/>
      <c r="I41" s="2884">
        <f>SUM(I35:I40)</f>
        <v>306590.99843058625</v>
      </c>
      <c r="J41" s="190"/>
      <c r="K41" s="2884">
        <f>SUM(K35:K40)</f>
        <v>288368.22327081935</v>
      </c>
      <c r="L41" s="533"/>
    </row>
    <row r="42" spans="1:15" ht="18.75" customHeight="1">
      <c r="A42" s="2889">
        <v>24</v>
      </c>
      <c r="B42" s="1185" t="s">
        <v>85</v>
      </c>
      <c r="C42" s="2889"/>
      <c r="D42" s="2889"/>
      <c r="E42" s="735">
        <v>0.09</v>
      </c>
      <c r="F42" s="2889"/>
      <c r="G42" s="735">
        <f>G41*E42</f>
        <v>29486.772155269868</v>
      </c>
      <c r="H42" s="2889"/>
      <c r="I42" s="735">
        <f>I41*E42</f>
        <v>27593.189858752761</v>
      </c>
      <c r="J42" s="2889"/>
      <c r="K42" s="735">
        <f>K41*E42</f>
        <v>25953.140094373739</v>
      </c>
      <c r="L42" s="533"/>
    </row>
    <row r="43" spans="1:15" ht="18.75" customHeight="1">
      <c r="A43" s="2889">
        <v>25</v>
      </c>
      <c r="B43" s="1185" t="s">
        <v>86</v>
      </c>
      <c r="C43" s="2889"/>
      <c r="D43" s="2889"/>
      <c r="E43" s="735">
        <v>0.09</v>
      </c>
      <c r="F43" s="2889"/>
      <c r="G43" s="735">
        <f>G41*E43</f>
        <v>29486.772155269868</v>
      </c>
      <c r="H43" s="2889"/>
      <c r="I43" s="735">
        <f>I41*E43</f>
        <v>27593.189858752761</v>
      </c>
      <c r="J43" s="2889"/>
      <c r="K43" s="735">
        <f>K41*E43</f>
        <v>25953.140094373739</v>
      </c>
      <c r="L43" s="60"/>
    </row>
    <row r="44" spans="1:15" ht="29.25" customHeight="1">
      <c r="A44" s="2889">
        <v>26</v>
      </c>
      <c r="B44" s="1233" t="s">
        <v>87</v>
      </c>
      <c r="C44" s="2889"/>
      <c r="D44" s="2889"/>
      <c r="E44" s="735"/>
      <c r="F44" s="2889"/>
      <c r="G44" s="735">
        <f>G41+G42+G43</f>
        <v>386604.34603576048</v>
      </c>
      <c r="H44" s="735"/>
      <c r="I44" s="735">
        <f>I41+I42+I43</f>
        <v>361777.37814809178</v>
      </c>
      <c r="J44" s="735"/>
      <c r="K44" s="735">
        <f>K41+K42+K43</f>
        <v>340274.5034595668</v>
      </c>
      <c r="L44" s="533"/>
      <c r="M44" s="227"/>
    </row>
    <row r="45" spans="1:15" ht="30" customHeight="1">
      <c r="A45" s="190">
        <v>27</v>
      </c>
      <c r="B45" s="1214" t="s">
        <v>59</v>
      </c>
      <c r="C45" s="2870"/>
      <c r="D45" s="2870"/>
      <c r="E45" s="1364"/>
      <c r="F45" s="2870"/>
      <c r="G45" s="1193">
        <f>ROUND(G44,0)</f>
        <v>386604</v>
      </c>
      <c r="H45" s="2870"/>
      <c r="I45" s="1193">
        <f>ROUND(I44,0)</f>
        <v>361777</v>
      </c>
      <c r="J45" s="2870"/>
      <c r="K45" s="1193">
        <f>ROUND(K44,0)</f>
        <v>340275</v>
      </c>
      <c r="L45" s="533"/>
    </row>
  </sheetData>
  <mergeCells count="13">
    <mergeCell ref="J5:K7"/>
    <mergeCell ref="A15:A18"/>
    <mergeCell ref="A19:A22"/>
    <mergeCell ref="A26:A29"/>
    <mergeCell ref="C1:G1"/>
    <mergeCell ref="B3:I3"/>
    <mergeCell ref="A5:A8"/>
    <mergeCell ref="B5:B8"/>
    <mergeCell ref="C5:C8"/>
    <mergeCell ref="D5:D8"/>
    <mergeCell ref="E5:E8"/>
    <mergeCell ref="F5:G7"/>
    <mergeCell ref="H5:I7"/>
  </mergeCells>
  <conditionalFormatting sqref="B34">
    <cfRule type="cellIs" dxfId="40" priority="2" stopIfTrue="1" operator="equal">
      <formula>"?"</formula>
    </cfRule>
  </conditionalFormatting>
  <conditionalFormatting sqref="B35">
    <cfRule type="cellIs" dxfId="39" priority="1" stopIfTrue="1" operator="equal">
      <formula>"?"</formula>
    </cfRule>
  </conditionalFormatting>
  <printOptions horizontalCentered="1" gridLines="1"/>
  <pageMargins left="0.82" right="0.28000000000000003" top="0.85" bottom="0.28000000000000003" header="0.65" footer="0.16"/>
  <pageSetup paperSize="9" scale="92" fitToHeight="2" orientation="landscape" horizontalDpi="4294967295"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0"/>
  <sheetViews>
    <sheetView zoomScale="90" zoomScaleNormal="90" zoomScaleSheetLayoutView="75" workbookViewId="0">
      <pane xSplit="2" ySplit="8" topLeftCell="C49" activePane="bottomRight" state="frozen"/>
      <selection pane="topRight" activeCell="C1" sqref="C1"/>
      <selection pane="bottomLeft" activeCell="A9" sqref="A9"/>
      <selection pane="bottomRight" activeCell="F19" sqref="F19"/>
    </sheetView>
  </sheetViews>
  <sheetFormatPr defaultRowHeight="14.25"/>
  <cols>
    <col min="1" max="1" width="5.85546875" style="2714" customWidth="1"/>
    <col min="2" max="2" width="55.28515625" style="2717" customWidth="1"/>
    <col min="3" max="3" width="15" style="2717" customWidth="1"/>
    <col min="4" max="4" width="6.5703125" style="2717" customWidth="1"/>
    <col min="5" max="5" width="10" style="2717" customWidth="1"/>
    <col min="6" max="6" width="8" style="2717" customWidth="1"/>
    <col min="7" max="7" width="14.28515625" style="2717" customWidth="1"/>
    <col min="8" max="8" width="9.85546875" style="2717" customWidth="1"/>
    <col min="9" max="9" width="15.140625" style="2717" customWidth="1"/>
    <col min="10" max="10" width="7.28515625" style="2717" customWidth="1"/>
    <col min="11" max="11" width="15.42578125" style="2717" customWidth="1"/>
    <col min="12" max="12" width="35" style="2717" customWidth="1"/>
    <col min="13" max="13" width="14.140625" style="2717" customWidth="1"/>
    <col min="14" max="14" width="11.42578125" style="2717" customWidth="1"/>
    <col min="15" max="15" width="10.28515625" style="2717" customWidth="1"/>
    <col min="16" max="256" width="9.140625" style="2717"/>
    <col min="257" max="257" width="5.85546875" style="2717" customWidth="1"/>
    <col min="258" max="258" width="55.28515625" style="2717" customWidth="1"/>
    <col min="259" max="259" width="15" style="2717" customWidth="1"/>
    <col min="260" max="260" width="6.5703125" style="2717" customWidth="1"/>
    <col min="261" max="261" width="10" style="2717" customWidth="1"/>
    <col min="262" max="262" width="8" style="2717" customWidth="1"/>
    <col min="263" max="263" width="14.28515625" style="2717" customWidth="1"/>
    <col min="264" max="264" width="9.85546875" style="2717" customWidth="1"/>
    <col min="265" max="265" width="15.140625" style="2717" customWidth="1"/>
    <col min="266" max="266" width="7.28515625" style="2717" customWidth="1"/>
    <col min="267" max="267" width="15.42578125" style="2717" customWidth="1"/>
    <col min="268" max="268" width="35" style="2717" customWidth="1"/>
    <col min="269" max="269" width="17.85546875" style="2717" customWidth="1"/>
    <col min="270" max="270" width="9.7109375" style="2717" customWidth="1"/>
    <col min="271" max="271" width="10.28515625" style="2717" customWidth="1"/>
    <col min="272" max="512" width="9.140625" style="2717"/>
    <col min="513" max="513" width="5.85546875" style="2717" customWidth="1"/>
    <col min="514" max="514" width="55.28515625" style="2717" customWidth="1"/>
    <col min="515" max="515" width="15" style="2717" customWidth="1"/>
    <col min="516" max="516" width="6.5703125" style="2717" customWidth="1"/>
    <col min="517" max="517" width="10" style="2717" customWidth="1"/>
    <col min="518" max="518" width="8" style="2717" customWidth="1"/>
    <col min="519" max="519" width="14.28515625" style="2717" customWidth="1"/>
    <col min="520" max="520" width="9.85546875" style="2717" customWidth="1"/>
    <col min="521" max="521" width="15.140625" style="2717" customWidth="1"/>
    <col min="522" max="522" width="7.28515625" style="2717" customWidth="1"/>
    <col min="523" max="523" width="15.42578125" style="2717" customWidth="1"/>
    <col min="524" max="524" width="35" style="2717" customWidth="1"/>
    <col min="525" max="525" width="17.85546875" style="2717" customWidth="1"/>
    <col min="526" max="526" width="9.7109375" style="2717" customWidth="1"/>
    <col min="527" max="527" width="10.28515625" style="2717" customWidth="1"/>
    <col min="528" max="768" width="9.140625" style="2717"/>
    <col min="769" max="769" width="5.85546875" style="2717" customWidth="1"/>
    <col min="770" max="770" width="55.28515625" style="2717" customWidth="1"/>
    <col min="771" max="771" width="15" style="2717" customWidth="1"/>
    <col min="772" max="772" width="6.5703125" style="2717" customWidth="1"/>
    <col min="773" max="773" width="10" style="2717" customWidth="1"/>
    <col min="774" max="774" width="8" style="2717" customWidth="1"/>
    <col min="775" max="775" width="14.28515625" style="2717" customWidth="1"/>
    <col min="776" max="776" width="9.85546875" style="2717" customWidth="1"/>
    <col min="777" max="777" width="15.140625" style="2717" customWidth="1"/>
    <col min="778" max="778" width="7.28515625" style="2717" customWidth="1"/>
    <col min="779" max="779" width="15.42578125" style="2717" customWidth="1"/>
    <col min="780" max="780" width="35" style="2717" customWidth="1"/>
    <col min="781" max="781" width="17.85546875" style="2717" customWidth="1"/>
    <col min="782" max="782" width="9.7109375" style="2717" customWidth="1"/>
    <col min="783" max="783" width="10.28515625" style="2717" customWidth="1"/>
    <col min="784" max="1024" width="9.140625" style="2717"/>
    <col min="1025" max="1025" width="5.85546875" style="2717" customWidth="1"/>
    <col min="1026" max="1026" width="55.28515625" style="2717" customWidth="1"/>
    <col min="1027" max="1027" width="15" style="2717" customWidth="1"/>
    <col min="1028" max="1028" width="6.5703125" style="2717" customWidth="1"/>
    <col min="1029" max="1029" width="10" style="2717" customWidth="1"/>
    <col min="1030" max="1030" width="8" style="2717" customWidth="1"/>
    <col min="1031" max="1031" width="14.28515625" style="2717" customWidth="1"/>
    <col min="1032" max="1032" width="9.85546875" style="2717" customWidth="1"/>
    <col min="1033" max="1033" width="15.140625" style="2717" customWidth="1"/>
    <col min="1034" max="1034" width="7.28515625" style="2717" customWidth="1"/>
    <col min="1035" max="1035" width="15.42578125" style="2717" customWidth="1"/>
    <col min="1036" max="1036" width="35" style="2717" customWidth="1"/>
    <col min="1037" max="1037" width="17.85546875" style="2717" customWidth="1"/>
    <col min="1038" max="1038" width="9.7109375" style="2717" customWidth="1"/>
    <col min="1039" max="1039" width="10.28515625" style="2717" customWidth="1"/>
    <col min="1040" max="1280" width="9.140625" style="2717"/>
    <col min="1281" max="1281" width="5.85546875" style="2717" customWidth="1"/>
    <col min="1282" max="1282" width="55.28515625" style="2717" customWidth="1"/>
    <col min="1283" max="1283" width="15" style="2717" customWidth="1"/>
    <col min="1284" max="1284" width="6.5703125" style="2717" customWidth="1"/>
    <col min="1285" max="1285" width="10" style="2717" customWidth="1"/>
    <col min="1286" max="1286" width="8" style="2717" customWidth="1"/>
    <col min="1287" max="1287" width="14.28515625" style="2717" customWidth="1"/>
    <col min="1288" max="1288" width="9.85546875" style="2717" customWidth="1"/>
    <col min="1289" max="1289" width="15.140625" style="2717" customWidth="1"/>
    <col min="1290" max="1290" width="7.28515625" style="2717" customWidth="1"/>
    <col min="1291" max="1291" width="15.42578125" style="2717" customWidth="1"/>
    <col min="1292" max="1292" width="35" style="2717" customWidth="1"/>
    <col min="1293" max="1293" width="17.85546875" style="2717" customWidth="1"/>
    <col min="1294" max="1294" width="9.7109375" style="2717" customWidth="1"/>
    <col min="1295" max="1295" width="10.28515625" style="2717" customWidth="1"/>
    <col min="1296" max="1536" width="9.140625" style="2717"/>
    <col min="1537" max="1537" width="5.85546875" style="2717" customWidth="1"/>
    <col min="1538" max="1538" width="55.28515625" style="2717" customWidth="1"/>
    <col min="1539" max="1539" width="15" style="2717" customWidth="1"/>
    <col min="1540" max="1540" width="6.5703125" style="2717" customWidth="1"/>
    <col min="1541" max="1541" width="10" style="2717" customWidth="1"/>
    <col min="1542" max="1542" width="8" style="2717" customWidth="1"/>
    <col min="1543" max="1543" width="14.28515625" style="2717" customWidth="1"/>
    <col min="1544" max="1544" width="9.85546875" style="2717" customWidth="1"/>
    <col min="1545" max="1545" width="15.140625" style="2717" customWidth="1"/>
    <col min="1546" max="1546" width="7.28515625" style="2717" customWidth="1"/>
    <col min="1547" max="1547" width="15.42578125" style="2717" customWidth="1"/>
    <col min="1548" max="1548" width="35" style="2717" customWidth="1"/>
    <col min="1549" max="1549" width="17.85546875" style="2717" customWidth="1"/>
    <col min="1550" max="1550" width="9.7109375" style="2717" customWidth="1"/>
    <col min="1551" max="1551" width="10.28515625" style="2717" customWidth="1"/>
    <col min="1552" max="1792" width="9.140625" style="2717"/>
    <col min="1793" max="1793" width="5.85546875" style="2717" customWidth="1"/>
    <col min="1794" max="1794" width="55.28515625" style="2717" customWidth="1"/>
    <col min="1795" max="1795" width="15" style="2717" customWidth="1"/>
    <col min="1796" max="1796" width="6.5703125" style="2717" customWidth="1"/>
    <col min="1797" max="1797" width="10" style="2717" customWidth="1"/>
    <col min="1798" max="1798" width="8" style="2717" customWidth="1"/>
    <col min="1799" max="1799" width="14.28515625" style="2717" customWidth="1"/>
    <col min="1800" max="1800" width="9.85546875" style="2717" customWidth="1"/>
    <col min="1801" max="1801" width="15.140625" style="2717" customWidth="1"/>
    <col min="1802" max="1802" width="7.28515625" style="2717" customWidth="1"/>
    <col min="1803" max="1803" width="15.42578125" style="2717" customWidth="1"/>
    <col min="1804" max="1804" width="35" style="2717" customWidth="1"/>
    <col min="1805" max="1805" width="17.85546875" style="2717" customWidth="1"/>
    <col min="1806" max="1806" width="9.7109375" style="2717" customWidth="1"/>
    <col min="1807" max="1807" width="10.28515625" style="2717" customWidth="1"/>
    <col min="1808" max="2048" width="9.140625" style="2717"/>
    <col min="2049" max="2049" width="5.85546875" style="2717" customWidth="1"/>
    <col min="2050" max="2050" width="55.28515625" style="2717" customWidth="1"/>
    <col min="2051" max="2051" width="15" style="2717" customWidth="1"/>
    <col min="2052" max="2052" width="6.5703125" style="2717" customWidth="1"/>
    <col min="2053" max="2053" width="10" style="2717" customWidth="1"/>
    <col min="2054" max="2054" width="8" style="2717" customWidth="1"/>
    <col min="2055" max="2055" width="14.28515625" style="2717" customWidth="1"/>
    <col min="2056" max="2056" width="9.85546875" style="2717" customWidth="1"/>
    <col min="2057" max="2057" width="15.140625" style="2717" customWidth="1"/>
    <col min="2058" max="2058" width="7.28515625" style="2717" customWidth="1"/>
    <col min="2059" max="2059" width="15.42578125" style="2717" customWidth="1"/>
    <col min="2060" max="2060" width="35" style="2717" customWidth="1"/>
    <col min="2061" max="2061" width="17.85546875" style="2717" customWidth="1"/>
    <col min="2062" max="2062" width="9.7109375" style="2717" customWidth="1"/>
    <col min="2063" max="2063" width="10.28515625" style="2717" customWidth="1"/>
    <col min="2064" max="2304" width="9.140625" style="2717"/>
    <col min="2305" max="2305" width="5.85546875" style="2717" customWidth="1"/>
    <col min="2306" max="2306" width="55.28515625" style="2717" customWidth="1"/>
    <col min="2307" max="2307" width="15" style="2717" customWidth="1"/>
    <col min="2308" max="2308" width="6.5703125" style="2717" customWidth="1"/>
    <col min="2309" max="2309" width="10" style="2717" customWidth="1"/>
    <col min="2310" max="2310" width="8" style="2717" customWidth="1"/>
    <col min="2311" max="2311" width="14.28515625" style="2717" customWidth="1"/>
    <col min="2312" max="2312" width="9.85546875" style="2717" customWidth="1"/>
    <col min="2313" max="2313" width="15.140625" style="2717" customWidth="1"/>
    <col min="2314" max="2314" width="7.28515625" style="2717" customWidth="1"/>
    <col min="2315" max="2315" width="15.42578125" style="2717" customWidth="1"/>
    <col min="2316" max="2316" width="35" style="2717" customWidth="1"/>
    <col min="2317" max="2317" width="17.85546875" style="2717" customWidth="1"/>
    <col min="2318" max="2318" width="9.7109375" style="2717" customWidth="1"/>
    <col min="2319" max="2319" width="10.28515625" style="2717" customWidth="1"/>
    <col min="2320" max="2560" width="9.140625" style="2717"/>
    <col min="2561" max="2561" width="5.85546875" style="2717" customWidth="1"/>
    <col min="2562" max="2562" width="55.28515625" style="2717" customWidth="1"/>
    <col min="2563" max="2563" width="15" style="2717" customWidth="1"/>
    <col min="2564" max="2564" width="6.5703125" style="2717" customWidth="1"/>
    <col min="2565" max="2565" width="10" style="2717" customWidth="1"/>
    <col min="2566" max="2566" width="8" style="2717" customWidth="1"/>
    <col min="2567" max="2567" width="14.28515625" style="2717" customWidth="1"/>
    <col min="2568" max="2568" width="9.85546875" style="2717" customWidth="1"/>
    <col min="2569" max="2569" width="15.140625" style="2717" customWidth="1"/>
    <col min="2570" max="2570" width="7.28515625" style="2717" customWidth="1"/>
    <col min="2571" max="2571" width="15.42578125" style="2717" customWidth="1"/>
    <col min="2572" max="2572" width="35" style="2717" customWidth="1"/>
    <col min="2573" max="2573" width="17.85546875" style="2717" customWidth="1"/>
    <col min="2574" max="2574" width="9.7109375" style="2717" customWidth="1"/>
    <col min="2575" max="2575" width="10.28515625" style="2717" customWidth="1"/>
    <col min="2576" max="2816" width="9.140625" style="2717"/>
    <col min="2817" max="2817" width="5.85546875" style="2717" customWidth="1"/>
    <col min="2818" max="2818" width="55.28515625" style="2717" customWidth="1"/>
    <col min="2819" max="2819" width="15" style="2717" customWidth="1"/>
    <col min="2820" max="2820" width="6.5703125" style="2717" customWidth="1"/>
    <col min="2821" max="2821" width="10" style="2717" customWidth="1"/>
    <col min="2822" max="2822" width="8" style="2717" customWidth="1"/>
    <col min="2823" max="2823" width="14.28515625" style="2717" customWidth="1"/>
    <col min="2824" max="2824" width="9.85546875" style="2717" customWidth="1"/>
    <col min="2825" max="2825" width="15.140625" style="2717" customWidth="1"/>
    <col min="2826" max="2826" width="7.28515625" style="2717" customWidth="1"/>
    <col min="2827" max="2827" width="15.42578125" style="2717" customWidth="1"/>
    <col min="2828" max="2828" width="35" style="2717" customWidth="1"/>
    <col min="2829" max="2829" width="17.85546875" style="2717" customWidth="1"/>
    <col min="2830" max="2830" width="9.7109375" style="2717" customWidth="1"/>
    <col min="2831" max="2831" width="10.28515625" style="2717" customWidth="1"/>
    <col min="2832" max="3072" width="9.140625" style="2717"/>
    <col min="3073" max="3073" width="5.85546875" style="2717" customWidth="1"/>
    <col min="3074" max="3074" width="55.28515625" style="2717" customWidth="1"/>
    <col min="3075" max="3075" width="15" style="2717" customWidth="1"/>
    <col min="3076" max="3076" width="6.5703125" style="2717" customWidth="1"/>
    <col min="3077" max="3077" width="10" style="2717" customWidth="1"/>
    <col min="3078" max="3078" width="8" style="2717" customWidth="1"/>
    <col min="3079" max="3079" width="14.28515625" style="2717" customWidth="1"/>
    <col min="3080" max="3080" width="9.85546875" style="2717" customWidth="1"/>
    <col min="3081" max="3081" width="15.140625" style="2717" customWidth="1"/>
    <col min="3082" max="3082" width="7.28515625" style="2717" customWidth="1"/>
    <col min="3083" max="3083" width="15.42578125" style="2717" customWidth="1"/>
    <col min="3084" max="3084" width="35" style="2717" customWidth="1"/>
    <col min="3085" max="3085" width="17.85546875" style="2717" customWidth="1"/>
    <col min="3086" max="3086" width="9.7109375" style="2717" customWidth="1"/>
    <col min="3087" max="3087" width="10.28515625" style="2717" customWidth="1"/>
    <col min="3088" max="3328" width="9.140625" style="2717"/>
    <col min="3329" max="3329" width="5.85546875" style="2717" customWidth="1"/>
    <col min="3330" max="3330" width="55.28515625" style="2717" customWidth="1"/>
    <col min="3331" max="3331" width="15" style="2717" customWidth="1"/>
    <col min="3332" max="3332" width="6.5703125" style="2717" customWidth="1"/>
    <col min="3333" max="3333" width="10" style="2717" customWidth="1"/>
    <col min="3334" max="3334" width="8" style="2717" customWidth="1"/>
    <col min="3335" max="3335" width="14.28515625" style="2717" customWidth="1"/>
    <col min="3336" max="3336" width="9.85546875" style="2717" customWidth="1"/>
    <col min="3337" max="3337" width="15.140625" style="2717" customWidth="1"/>
    <col min="3338" max="3338" width="7.28515625" style="2717" customWidth="1"/>
    <col min="3339" max="3339" width="15.42578125" style="2717" customWidth="1"/>
    <col min="3340" max="3340" width="35" style="2717" customWidth="1"/>
    <col min="3341" max="3341" width="17.85546875" style="2717" customWidth="1"/>
    <col min="3342" max="3342" width="9.7109375" style="2717" customWidth="1"/>
    <col min="3343" max="3343" width="10.28515625" style="2717" customWidth="1"/>
    <col min="3344" max="3584" width="9.140625" style="2717"/>
    <col min="3585" max="3585" width="5.85546875" style="2717" customWidth="1"/>
    <col min="3586" max="3586" width="55.28515625" style="2717" customWidth="1"/>
    <col min="3587" max="3587" width="15" style="2717" customWidth="1"/>
    <col min="3588" max="3588" width="6.5703125" style="2717" customWidth="1"/>
    <col min="3589" max="3589" width="10" style="2717" customWidth="1"/>
    <col min="3590" max="3590" width="8" style="2717" customWidth="1"/>
    <col min="3591" max="3591" width="14.28515625" style="2717" customWidth="1"/>
    <col min="3592" max="3592" width="9.85546875" style="2717" customWidth="1"/>
    <col min="3593" max="3593" width="15.140625" style="2717" customWidth="1"/>
    <col min="3594" max="3594" width="7.28515625" style="2717" customWidth="1"/>
    <col min="3595" max="3595" width="15.42578125" style="2717" customWidth="1"/>
    <col min="3596" max="3596" width="35" style="2717" customWidth="1"/>
    <col min="3597" max="3597" width="17.85546875" style="2717" customWidth="1"/>
    <col min="3598" max="3598" width="9.7109375" style="2717" customWidth="1"/>
    <col min="3599" max="3599" width="10.28515625" style="2717" customWidth="1"/>
    <col min="3600" max="3840" width="9.140625" style="2717"/>
    <col min="3841" max="3841" width="5.85546875" style="2717" customWidth="1"/>
    <col min="3842" max="3842" width="55.28515625" style="2717" customWidth="1"/>
    <col min="3843" max="3843" width="15" style="2717" customWidth="1"/>
    <col min="3844" max="3844" width="6.5703125" style="2717" customWidth="1"/>
    <col min="3845" max="3845" width="10" style="2717" customWidth="1"/>
    <col min="3846" max="3846" width="8" style="2717" customWidth="1"/>
    <col min="3847" max="3847" width="14.28515625" style="2717" customWidth="1"/>
    <col min="3848" max="3848" width="9.85546875" style="2717" customWidth="1"/>
    <col min="3849" max="3849" width="15.140625" style="2717" customWidth="1"/>
    <col min="3850" max="3850" width="7.28515625" style="2717" customWidth="1"/>
    <col min="3851" max="3851" width="15.42578125" style="2717" customWidth="1"/>
    <col min="3852" max="3852" width="35" style="2717" customWidth="1"/>
    <col min="3853" max="3853" width="17.85546875" style="2717" customWidth="1"/>
    <col min="3854" max="3854" width="9.7109375" style="2717" customWidth="1"/>
    <col min="3855" max="3855" width="10.28515625" style="2717" customWidth="1"/>
    <col min="3856" max="4096" width="9.140625" style="2717"/>
    <col min="4097" max="4097" width="5.85546875" style="2717" customWidth="1"/>
    <col min="4098" max="4098" width="55.28515625" style="2717" customWidth="1"/>
    <col min="4099" max="4099" width="15" style="2717" customWidth="1"/>
    <col min="4100" max="4100" width="6.5703125" style="2717" customWidth="1"/>
    <col min="4101" max="4101" width="10" style="2717" customWidth="1"/>
    <col min="4102" max="4102" width="8" style="2717" customWidth="1"/>
    <col min="4103" max="4103" width="14.28515625" style="2717" customWidth="1"/>
    <col min="4104" max="4104" width="9.85546875" style="2717" customWidth="1"/>
    <col min="4105" max="4105" width="15.140625" style="2717" customWidth="1"/>
    <col min="4106" max="4106" width="7.28515625" style="2717" customWidth="1"/>
    <col min="4107" max="4107" width="15.42578125" style="2717" customWidth="1"/>
    <col min="4108" max="4108" width="35" style="2717" customWidth="1"/>
    <col min="4109" max="4109" width="17.85546875" style="2717" customWidth="1"/>
    <col min="4110" max="4110" width="9.7109375" style="2717" customWidth="1"/>
    <col min="4111" max="4111" width="10.28515625" style="2717" customWidth="1"/>
    <col min="4112" max="4352" width="9.140625" style="2717"/>
    <col min="4353" max="4353" width="5.85546875" style="2717" customWidth="1"/>
    <col min="4354" max="4354" width="55.28515625" style="2717" customWidth="1"/>
    <col min="4355" max="4355" width="15" style="2717" customWidth="1"/>
    <col min="4356" max="4356" width="6.5703125" style="2717" customWidth="1"/>
    <col min="4357" max="4357" width="10" style="2717" customWidth="1"/>
    <col min="4358" max="4358" width="8" style="2717" customWidth="1"/>
    <col min="4359" max="4359" width="14.28515625" style="2717" customWidth="1"/>
    <col min="4360" max="4360" width="9.85546875" style="2717" customWidth="1"/>
    <col min="4361" max="4361" width="15.140625" style="2717" customWidth="1"/>
    <col min="4362" max="4362" width="7.28515625" style="2717" customWidth="1"/>
    <col min="4363" max="4363" width="15.42578125" style="2717" customWidth="1"/>
    <col min="4364" max="4364" width="35" style="2717" customWidth="1"/>
    <col min="4365" max="4365" width="17.85546875" style="2717" customWidth="1"/>
    <col min="4366" max="4366" width="9.7109375" style="2717" customWidth="1"/>
    <col min="4367" max="4367" width="10.28515625" style="2717" customWidth="1"/>
    <col min="4368" max="4608" width="9.140625" style="2717"/>
    <col min="4609" max="4609" width="5.85546875" style="2717" customWidth="1"/>
    <col min="4610" max="4610" width="55.28515625" style="2717" customWidth="1"/>
    <col min="4611" max="4611" width="15" style="2717" customWidth="1"/>
    <col min="4612" max="4612" width="6.5703125" style="2717" customWidth="1"/>
    <col min="4613" max="4613" width="10" style="2717" customWidth="1"/>
    <col min="4614" max="4614" width="8" style="2717" customWidth="1"/>
    <col min="4615" max="4615" width="14.28515625" style="2717" customWidth="1"/>
    <col min="4616" max="4616" width="9.85546875" style="2717" customWidth="1"/>
    <col min="4617" max="4617" width="15.140625" style="2717" customWidth="1"/>
    <col min="4618" max="4618" width="7.28515625" style="2717" customWidth="1"/>
    <col min="4619" max="4619" width="15.42578125" style="2717" customWidth="1"/>
    <col min="4620" max="4620" width="35" style="2717" customWidth="1"/>
    <col min="4621" max="4621" width="17.85546875" style="2717" customWidth="1"/>
    <col min="4622" max="4622" width="9.7109375" style="2717" customWidth="1"/>
    <col min="4623" max="4623" width="10.28515625" style="2717" customWidth="1"/>
    <col min="4624" max="4864" width="9.140625" style="2717"/>
    <col min="4865" max="4865" width="5.85546875" style="2717" customWidth="1"/>
    <col min="4866" max="4866" width="55.28515625" style="2717" customWidth="1"/>
    <col min="4867" max="4867" width="15" style="2717" customWidth="1"/>
    <col min="4868" max="4868" width="6.5703125" style="2717" customWidth="1"/>
    <col min="4869" max="4869" width="10" style="2717" customWidth="1"/>
    <col min="4870" max="4870" width="8" style="2717" customWidth="1"/>
    <col min="4871" max="4871" width="14.28515625" style="2717" customWidth="1"/>
    <col min="4872" max="4872" width="9.85546875" style="2717" customWidth="1"/>
    <col min="4873" max="4873" width="15.140625" style="2717" customWidth="1"/>
    <col min="4874" max="4874" width="7.28515625" style="2717" customWidth="1"/>
    <col min="4875" max="4875" width="15.42578125" style="2717" customWidth="1"/>
    <col min="4876" max="4876" width="35" style="2717" customWidth="1"/>
    <col min="4877" max="4877" width="17.85546875" style="2717" customWidth="1"/>
    <col min="4878" max="4878" width="9.7109375" style="2717" customWidth="1"/>
    <col min="4879" max="4879" width="10.28515625" style="2717" customWidth="1"/>
    <col min="4880" max="5120" width="9.140625" style="2717"/>
    <col min="5121" max="5121" width="5.85546875" style="2717" customWidth="1"/>
    <col min="5122" max="5122" width="55.28515625" style="2717" customWidth="1"/>
    <col min="5123" max="5123" width="15" style="2717" customWidth="1"/>
    <col min="5124" max="5124" width="6.5703125" style="2717" customWidth="1"/>
    <col min="5125" max="5125" width="10" style="2717" customWidth="1"/>
    <col min="5126" max="5126" width="8" style="2717" customWidth="1"/>
    <col min="5127" max="5127" width="14.28515625" style="2717" customWidth="1"/>
    <col min="5128" max="5128" width="9.85546875" style="2717" customWidth="1"/>
    <col min="5129" max="5129" width="15.140625" style="2717" customWidth="1"/>
    <col min="5130" max="5130" width="7.28515625" style="2717" customWidth="1"/>
    <col min="5131" max="5131" width="15.42578125" style="2717" customWidth="1"/>
    <col min="5132" max="5132" width="35" style="2717" customWidth="1"/>
    <col min="5133" max="5133" width="17.85546875" style="2717" customWidth="1"/>
    <col min="5134" max="5134" width="9.7109375" style="2717" customWidth="1"/>
    <col min="5135" max="5135" width="10.28515625" style="2717" customWidth="1"/>
    <col min="5136" max="5376" width="9.140625" style="2717"/>
    <col min="5377" max="5377" width="5.85546875" style="2717" customWidth="1"/>
    <col min="5378" max="5378" width="55.28515625" style="2717" customWidth="1"/>
    <col min="5379" max="5379" width="15" style="2717" customWidth="1"/>
    <col min="5380" max="5380" width="6.5703125" style="2717" customWidth="1"/>
    <col min="5381" max="5381" width="10" style="2717" customWidth="1"/>
    <col min="5382" max="5382" width="8" style="2717" customWidth="1"/>
    <col min="5383" max="5383" width="14.28515625" style="2717" customWidth="1"/>
    <col min="5384" max="5384" width="9.85546875" style="2717" customWidth="1"/>
    <col min="5385" max="5385" width="15.140625" style="2717" customWidth="1"/>
    <col min="5386" max="5386" width="7.28515625" style="2717" customWidth="1"/>
    <col min="5387" max="5387" width="15.42578125" style="2717" customWidth="1"/>
    <col min="5388" max="5388" width="35" style="2717" customWidth="1"/>
    <col min="5389" max="5389" width="17.85546875" style="2717" customWidth="1"/>
    <col min="5390" max="5390" width="9.7109375" style="2717" customWidth="1"/>
    <col min="5391" max="5391" width="10.28515625" style="2717" customWidth="1"/>
    <col min="5392" max="5632" width="9.140625" style="2717"/>
    <col min="5633" max="5633" width="5.85546875" style="2717" customWidth="1"/>
    <col min="5634" max="5634" width="55.28515625" style="2717" customWidth="1"/>
    <col min="5635" max="5635" width="15" style="2717" customWidth="1"/>
    <col min="5636" max="5636" width="6.5703125" style="2717" customWidth="1"/>
    <col min="5637" max="5637" width="10" style="2717" customWidth="1"/>
    <col min="5638" max="5638" width="8" style="2717" customWidth="1"/>
    <col min="5639" max="5639" width="14.28515625" style="2717" customWidth="1"/>
    <col min="5640" max="5640" width="9.85546875" style="2717" customWidth="1"/>
    <col min="5641" max="5641" width="15.140625" style="2717" customWidth="1"/>
    <col min="5642" max="5642" width="7.28515625" style="2717" customWidth="1"/>
    <col min="5643" max="5643" width="15.42578125" style="2717" customWidth="1"/>
    <col min="5644" max="5644" width="35" style="2717" customWidth="1"/>
    <col min="5645" max="5645" width="17.85546875" style="2717" customWidth="1"/>
    <col min="5646" max="5646" width="9.7109375" style="2717" customWidth="1"/>
    <col min="5647" max="5647" width="10.28515625" style="2717" customWidth="1"/>
    <col min="5648" max="5888" width="9.140625" style="2717"/>
    <col min="5889" max="5889" width="5.85546875" style="2717" customWidth="1"/>
    <col min="5890" max="5890" width="55.28515625" style="2717" customWidth="1"/>
    <col min="5891" max="5891" width="15" style="2717" customWidth="1"/>
    <col min="5892" max="5892" width="6.5703125" style="2717" customWidth="1"/>
    <col min="5893" max="5893" width="10" style="2717" customWidth="1"/>
    <col min="5894" max="5894" width="8" style="2717" customWidth="1"/>
    <col min="5895" max="5895" width="14.28515625" style="2717" customWidth="1"/>
    <col min="5896" max="5896" width="9.85546875" style="2717" customWidth="1"/>
    <col min="5897" max="5897" width="15.140625" style="2717" customWidth="1"/>
    <col min="5898" max="5898" width="7.28515625" style="2717" customWidth="1"/>
    <col min="5899" max="5899" width="15.42578125" style="2717" customWidth="1"/>
    <col min="5900" max="5900" width="35" style="2717" customWidth="1"/>
    <col min="5901" max="5901" width="17.85546875" style="2717" customWidth="1"/>
    <col min="5902" max="5902" width="9.7109375" style="2717" customWidth="1"/>
    <col min="5903" max="5903" width="10.28515625" style="2717" customWidth="1"/>
    <col min="5904" max="6144" width="9.140625" style="2717"/>
    <col min="6145" max="6145" width="5.85546875" style="2717" customWidth="1"/>
    <col min="6146" max="6146" width="55.28515625" style="2717" customWidth="1"/>
    <col min="6147" max="6147" width="15" style="2717" customWidth="1"/>
    <col min="6148" max="6148" width="6.5703125" style="2717" customWidth="1"/>
    <col min="6149" max="6149" width="10" style="2717" customWidth="1"/>
    <col min="6150" max="6150" width="8" style="2717" customWidth="1"/>
    <col min="6151" max="6151" width="14.28515625" style="2717" customWidth="1"/>
    <col min="6152" max="6152" width="9.85546875" style="2717" customWidth="1"/>
    <col min="6153" max="6153" width="15.140625" style="2717" customWidth="1"/>
    <col min="6154" max="6154" width="7.28515625" style="2717" customWidth="1"/>
    <col min="6155" max="6155" width="15.42578125" style="2717" customWidth="1"/>
    <col min="6156" max="6156" width="35" style="2717" customWidth="1"/>
    <col min="6157" max="6157" width="17.85546875" style="2717" customWidth="1"/>
    <col min="6158" max="6158" width="9.7109375" style="2717" customWidth="1"/>
    <col min="6159" max="6159" width="10.28515625" style="2717" customWidth="1"/>
    <col min="6160" max="6400" width="9.140625" style="2717"/>
    <col min="6401" max="6401" width="5.85546875" style="2717" customWidth="1"/>
    <col min="6402" max="6402" width="55.28515625" style="2717" customWidth="1"/>
    <col min="6403" max="6403" width="15" style="2717" customWidth="1"/>
    <col min="6404" max="6404" width="6.5703125" style="2717" customWidth="1"/>
    <col min="6405" max="6405" width="10" style="2717" customWidth="1"/>
    <col min="6406" max="6406" width="8" style="2717" customWidth="1"/>
    <col min="6407" max="6407" width="14.28515625" style="2717" customWidth="1"/>
    <col min="6408" max="6408" width="9.85546875" style="2717" customWidth="1"/>
    <col min="6409" max="6409" width="15.140625" style="2717" customWidth="1"/>
    <col min="6410" max="6410" width="7.28515625" style="2717" customWidth="1"/>
    <col min="6411" max="6411" width="15.42578125" style="2717" customWidth="1"/>
    <col min="6412" max="6412" width="35" style="2717" customWidth="1"/>
    <col min="6413" max="6413" width="17.85546875" style="2717" customWidth="1"/>
    <col min="6414" max="6414" width="9.7109375" style="2717" customWidth="1"/>
    <col min="6415" max="6415" width="10.28515625" style="2717" customWidth="1"/>
    <col min="6416" max="6656" width="9.140625" style="2717"/>
    <col min="6657" max="6657" width="5.85546875" style="2717" customWidth="1"/>
    <col min="6658" max="6658" width="55.28515625" style="2717" customWidth="1"/>
    <col min="6659" max="6659" width="15" style="2717" customWidth="1"/>
    <col min="6660" max="6660" width="6.5703125" style="2717" customWidth="1"/>
    <col min="6661" max="6661" width="10" style="2717" customWidth="1"/>
    <col min="6662" max="6662" width="8" style="2717" customWidth="1"/>
    <col min="6663" max="6663" width="14.28515625" style="2717" customWidth="1"/>
    <col min="6664" max="6664" width="9.85546875" style="2717" customWidth="1"/>
    <col min="6665" max="6665" width="15.140625" style="2717" customWidth="1"/>
    <col min="6666" max="6666" width="7.28515625" style="2717" customWidth="1"/>
    <col min="6667" max="6667" width="15.42578125" style="2717" customWidth="1"/>
    <col min="6668" max="6668" width="35" style="2717" customWidth="1"/>
    <col min="6669" max="6669" width="17.85546875" style="2717" customWidth="1"/>
    <col min="6670" max="6670" width="9.7109375" style="2717" customWidth="1"/>
    <col min="6671" max="6671" width="10.28515625" style="2717" customWidth="1"/>
    <col min="6672" max="6912" width="9.140625" style="2717"/>
    <col min="6913" max="6913" width="5.85546875" style="2717" customWidth="1"/>
    <col min="6914" max="6914" width="55.28515625" style="2717" customWidth="1"/>
    <col min="6915" max="6915" width="15" style="2717" customWidth="1"/>
    <col min="6916" max="6916" width="6.5703125" style="2717" customWidth="1"/>
    <col min="6917" max="6917" width="10" style="2717" customWidth="1"/>
    <col min="6918" max="6918" width="8" style="2717" customWidth="1"/>
    <col min="6919" max="6919" width="14.28515625" style="2717" customWidth="1"/>
    <col min="6920" max="6920" width="9.85546875" style="2717" customWidth="1"/>
    <col min="6921" max="6921" width="15.140625" style="2717" customWidth="1"/>
    <col min="6922" max="6922" width="7.28515625" style="2717" customWidth="1"/>
    <col min="6923" max="6923" width="15.42578125" style="2717" customWidth="1"/>
    <col min="6924" max="6924" width="35" style="2717" customWidth="1"/>
    <col min="6925" max="6925" width="17.85546875" style="2717" customWidth="1"/>
    <col min="6926" max="6926" width="9.7109375" style="2717" customWidth="1"/>
    <col min="6927" max="6927" width="10.28515625" style="2717" customWidth="1"/>
    <col min="6928" max="7168" width="9.140625" style="2717"/>
    <col min="7169" max="7169" width="5.85546875" style="2717" customWidth="1"/>
    <col min="7170" max="7170" width="55.28515625" style="2717" customWidth="1"/>
    <col min="7171" max="7171" width="15" style="2717" customWidth="1"/>
    <col min="7172" max="7172" width="6.5703125" style="2717" customWidth="1"/>
    <col min="7173" max="7173" width="10" style="2717" customWidth="1"/>
    <col min="7174" max="7174" width="8" style="2717" customWidth="1"/>
    <col min="7175" max="7175" width="14.28515625" style="2717" customWidth="1"/>
    <col min="7176" max="7176" width="9.85546875" style="2717" customWidth="1"/>
    <col min="7177" max="7177" width="15.140625" style="2717" customWidth="1"/>
    <col min="7178" max="7178" width="7.28515625" style="2717" customWidth="1"/>
    <col min="7179" max="7179" width="15.42578125" style="2717" customWidth="1"/>
    <col min="7180" max="7180" width="35" style="2717" customWidth="1"/>
    <col min="7181" max="7181" width="17.85546875" style="2717" customWidth="1"/>
    <col min="7182" max="7182" width="9.7109375" style="2717" customWidth="1"/>
    <col min="7183" max="7183" width="10.28515625" style="2717" customWidth="1"/>
    <col min="7184" max="7424" width="9.140625" style="2717"/>
    <col min="7425" max="7425" width="5.85546875" style="2717" customWidth="1"/>
    <col min="7426" max="7426" width="55.28515625" style="2717" customWidth="1"/>
    <col min="7427" max="7427" width="15" style="2717" customWidth="1"/>
    <col min="7428" max="7428" width="6.5703125" style="2717" customWidth="1"/>
    <col min="7429" max="7429" width="10" style="2717" customWidth="1"/>
    <col min="7430" max="7430" width="8" style="2717" customWidth="1"/>
    <col min="7431" max="7431" width="14.28515625" style="2717" customWidth="1"/>
    <col min="7432" max="7432" width="9.85546875" style="2717" customWidth="1"/>
    <col min="7433" max="7433" width="15.140625" style="2717" customWidth="1"/>
    <col min="7434" max="7434" width="7.28515625" style="2717" customWidth="1"/>
    <col min="7435" max="7435" width="15.42578125" style="2717" customWidth="1"/>
    <col min="7436" max="7436" width="35" style="2717" customWidth="1"/>
    <col min="7437" max="7437" width="17.85546875" style="2717" customWidth="1"/>
    <col min="7438" max="7438" width="9.7109375" style="2717" customWidth="1"/>
    <col min="7439" max="7439" width="10.28515625" style="2717" customWidth="1"/>
    <col min="7440" max="7680" width="9.140625" style="2717"/>
    <col min="7681" max="7681" width="5.85546875" style="2717" customWidth="1"/>
    <col min="7682" max="7682" width="55.28515625" style="2717" customWidth="1"/>
    <col min="7683" max="7683" width="15" style="2717" customWidth="1"/>
    <col min="7684" max="7684" width="6.5703125" style="2717" customWidth="1"/>
    <col min="7685" max="7685" width="10" style="2717" customWidth="1"/>
    <col min="7686" max="7686" width="8" style="2717" customWidth="1"/>
    <col min="7687" max="7687" width="14.28515625" style="2717" customWidth="1"/>
    <col min="7688" max="7688" width="9.85546875" style="2717" customWidth="1"/>
    <col min="7689" max="7689" width="15.140625" style="2717" customWidth="1"/>
    <col min="7690" max="7690" width="7.28515625" style="2717" customWidth="1"/>
    <col min="7691" max="7691" width="15.42578125" style="2717" customWidth="1"/>
    <col min="7692" max="7692" width="35" style="2717" customWidth="1"/>
    <col min="7693" max="7693" width="17.85546875" style="2717" customWidth="1"/>
    <col min="7694" max="7694" width="9.7109375" style="2717" customWidth="1"/>
    <col min="7695" max="7695" width="10.28515625" style="2717" customWidth="1"/>
    <col min="7696" max="7936" width="9.140625" style="2717"/>
    <col min="7937" max="7937" width="5.85546875" style="2717" customWidth="1"/>
    <col min="7938" max="7938" width="55.28515625" style="2717" customWidth="1"/>
    <col min="7939" max="7939" width="15" style="2717" customWidth="1"/>
    <col min="7940" max="7940" width="6.5703125" style="2717" customWidth="1"/>
    <col min="7941" max="7941" width="10" style="2717" customWidth="1"/>
    <col min="7942" max="7942" width="8" style="2717" customWidth="1"/>
    <col min="7943" max="7943" width="14.28515625" style="2717" customWidth="1"/>
    <col min="7944" max="7944" width="9.85546875" style="2717" customWidth="1"/>
    <col min="7945" max="7945" width="15.140625" style="2717" customWidth="1"/>
    <col min="7946" max="7946" width="7.28515625" style="2717" customWidth="1"/>
    <col min="7947" max="7947" width="15.42578125" style="2717" customWidth="1"/>
    <col min="7948" max="7948" width="35" style="2717" customWidth="1"/>
    <col min="7949" max="7949" width="17.85546875" style="2717" customWidth="1"/>
    <col min="7950" max="7950" width="9.7109375" style="2717" customWidth="1"/>
    <col min="7951" max="7951" width="10.28515625" style="2717" customWidth="1"/>
    <col min="7952" max="8192" width="9.140625" style="2717"/>
    <col min="8193" max="8193" width="5.85546875" style="2717" customWidth="1"/>
    <col min="8194" max="8194" width="55.28515625" style="2717" customWidth="1"/>
    <col min="8195" max="8195" width="15" style="2717" customWidth="1"/>
    <col min="8196" max="8196" width="6.5703125" style="2717" customWidth="1"/>
    <col min="8197" max="8197" width="10" style="2717" customWidth="1"/>
    <col min="8198" max="8198" width="8" style="2717" customWidth="1"/>
    <col min="8199" max="8199" width="14.28515625" style="2717" customWidth="1"/>
    <col min="8200" max="8200" width="9.85546875" style="2717" customWidth="1"/>
    <col min="8201" max="8201" width="15.140625" style="2717" customWidth="1"/>
    <col min="8202" max="8202" width="7.28515625" style="2717" customWidth="1"/>
    <col min="8203" max="8203" width="15.42578125" style="2717" customWidth="1"/>
    <col min="8204" max="8204" width="35" style="2717" customWidth="1"/>
    <col min="8205" max="8205" width="17.85546875" style="2717" customWidth="1"/>
    <col min="8206" max="8206" width="9.7109375" style="2717" customWidth="1"/>
    <col min="8207" max="8207" width="10.28515625" style="2717" customWidth="1"/>
    <col min="8208" max="8448" width="9.140625" style="2717"/>
    <col min="8449" max="8449" width="5.85546875" style="2717" customWidth="1"/>
    <col min="8450" max="8450" width="55.28515625" style="2717" customWidth="1"/>
    <col min="8451" max="8451" width="15" style="2717" customWidth="1"/>
    <col min="8452" max="8452" width="6.5703125" style="2717" customWidth="1"/>
    <col min="8453" max="8453" width="10" style="2717" customWidth="1"/>
    <col min="8454" max="8454" width="8" style="2717" customWidth="1"/>
    <col min="8455" max="8455" width="14.28515625" style="2717" customWidth="1"/>
    <col min="8456" max="8456" width="9.85546875" style="2717" customWidth="1"/>
    <col min="8457" max="8457" width="15.140625" style="2717" customWidth="1"/>
    <col min="8458" max="8458" width="7.28515625" style="2717" customWidth="1"/>
    <col min="8459" max="8459" width="15.42578125" style="2717" customWidth="1"/>
    <col min="8460" max="8460" width="35" style="2717" customWidth="1"/>
    <col min="8461" max="8461" width="17.85546875" style="2717" customWidth="1"/>
    <col min="8462" max="8462" width="9.7109375" style="2717" customWidth="1"/>
    <col min="8463" max="8463" width="10.28515625" style="2717" customWidth="1"/>
    <col min="8464" max="8704" width="9.140625" style="2717"/>
    <col min="8705" max="8705" width="5.85546875" style="2717" customWidth="1"/>
    <col min="8706" max="8706" width="55.28515625" style="2717" customWidth="1"/>
    <col min="8707" max="8707" width="15" style="2717" customWidth="1"/>
    <col min="8708" max="8708" width="6.5703125" style="2717" customWidth="1"/>
    <col min="8709" max="8709" width="10" style="2717" customWidth="1"/>
    <col min="8710" max="8710" width="8" style="2717" customWidth="1"/>
    <col min="8711" max="8711" width="14.28515625" style="2717" customWidth="1"/>
    <col min="8712" max="8712" width="9.85546875" style="2717" customWidth="1"/>
    <col min="8713" max="8713" width="15.140625" style="2717" customWidth="1"/>
    <col min="8714" max="8714" width="7.28515625" style="2717" customWidth="1"/>
    <col min="8715" max="8715" width="15.42578125" style="2717" customWidth="1"/>
    <col min="8716" max="8716" width="35" style="2717" customWidth="1"/>
    <col min="8717" max="8717" width="17.85546875" style="2717" customWidth="1"/>
    <col min="8718" max="8718" width="9.7109375" style="2717" customWidth="1"/>
    <col min="8719" max="8719" width="10.28515625" style="2717" customWidth="1"/>
    <col min="8720" max="8960" width="9.140625" style="2717"/>
    <col min="8961" max="8961" width="5.85546875" style="2717" customWidth="1"/>
    <col min="8962" max="8962" width="55.28515625" style="2717" customWidth="1"/>
    <col min="8963" max="8963" width="15" style="2717" customWidth="1"/>
    <col min="8964" max="8964" width="6.5703125" style="2717" customWidth="1"/>
    <col min="8965" max="8965" width="10" style="2717" customWidth="1"/>
    <col min="8966" max="8966" width="8" style="2717" customWidth="1"/>
    <col min="8967" max="8967" width="14.28515625" style="2717" customWidth="1"/>
    <col min="8968" max="8968" width="9.85546875" style="2717" customWidth="1"/>
    <col min="8969" max="8969" width="15.140625" style="2717" customWidth="1"/>
    <col min="8970" max="8970" width="7.28515625" style="2717" customWidth="1"/>
    <col min="8971" max="8971" width="15.42578125" style="2717" customWidth="1"/>
    <col min="8972" max="8972" width="35" style="2717" customWidth="1"/>
    <col min="8973" max="8973" width="17.85546875" style="2717" customWidth="1"/>
    <col min="8974" max="8974" width="9.7109375" style="2717" customWidth="1"/>
    <col min="8975" max="8975" width="10.28515625" style="2717" customWidth="1"/>
    <col min="8976" max="9216" width="9.140625" style="2717"/>
    <col min="9217" max="9217" width="5.85546875" style="2717" customWidth="1"/>
    <col min="9218" max="9218" width="55.28515625" style="2717" customWidth="1"/>
    <col min="9219" max="9219" width="15" style="2717" customWidth="1"/>
    <col min="9220" max="9220" width="6.5703125" style="2717" customWidth="1"/>
    <col min="9221" max="9221" width="10" style="2717" customWidth="1"/>
    <col min="9222" max="9222" width="8" style="2717" customWidth="1"/>
    <col min="9223" max="9223" width="14.28515625" style="2717" customWidth="1"/>
    <col min="9224" max="9224" width="9.85546875" style="2717" customWidth="1"/>
    <col min="9225" max="9225" width="15.140625" style="2717" customWidth="1"/>
    <col min="9226" max="9226" width="7.28515625" style="2717" customWidth="1"/>
    <col min="9227" max="9227" width="15.42578125" style="2717" customWidth="1"/>
    <col min="9228" max="9228" width="35" style="2717" customWidth="1"/>
    <col min="9229" max="9229" width="17.85546875" style="2717" customWidth="1"/>
    <col min="9230" max="9230" width="9.7109375" style="2717" customWidth="1"/>
    <col min="9231" max="9231" width="10.28515625" style="2717" customWidth="1"/>
    <col min="9232" max="9472" width="9.140625" style="2717"/>
    <col min="9473" max="9473" width="5.85546875" style="2717" customWidth="1"/>
    <col min="9474" max="9474" width="55.28515625" style="2717" customWidth="1"/>
    <col min="9475" max="9475" width="15" style="2717" customWidth="1"/>
    <col min="9476" max="9476" width="6.5703125" style="2717" customWidth="1"/>
    <col min="9477" max="9477" width="10" style="2717" customWidth="1"/>
    <col min="9478" max="9478" width="8" style="2717" customWidth="1"/>
    <col min="9479" max="9479" width="14.28515625" style="2717" customWidth="1"/>
    <col min="9480" max="9480" width="9.85546875" style="2717" customWidth="1"/>
    <col min="9481" max="9481" width="15.140625" style="2717" customWidth="1"/>
    <col min="9482" max="9482" width="7.28515625" style="2717" customWidth="1"/>
    <col min="9483" max="9483" width="15.42578125" style="2717" customWidth="1"/>
    <col min="9484" max="9484" width="35" style="2717" customWidth="1"/>
    <col min="9485" max="9485" width="17.85546875" style="2717" customWidth="1"/>
    <col min="9486" max="9486" width="9.7109375" style="2717" customWidth="1"/>
    <col min="9487" max="9487" width="10.28515625" style="2717" customWidth="1"/>
    <col min="9488" max="9728" width="9.140625" style="2717"/>
    <col min="9729" max="9729" width="5.85546875" style="2717" customWidth="1"/>
    <col min="9730" max="9730" width="55.28515625" style="2717" customWidth="1"/>
    <col min="9731" max="9731" width="15" style="2717" customWidth="1"/>
    <col min="9732" max="9732" width="6.5703125" style="2717" customWidth="1"/>
    <col min="9733" max="9733" width="10" style="2717" customWidth="1"/>
    <col min="9734" max="9734" width="8" style="2717" customWidth="1"/>
    <col min="9735" max="9735" width="14.28515625" style="2717" customWidth="1"/>
    <col min="9736" max="9736" width="9.85546875" style="2717" customWidth="1"/>
    <col min="9737" max="9737" width="15.140625" style="2717" customWidth="1"/>
    <col min="9738" max="9738" width="7.28515625" style="2717" customWidth="1"/>
    <col min="9739" max="9739" width="15.42578125" style="2717" customWidth="1"/>
    <col min="9740" max="9740" width="35" style="2717" customWidth="1"/>
    <col min="9741" max="9741" width="17.85546875" style="2717" customWidth="1"/>
    <col min="9742" max="9742" width="9.7109375" style="2717" customWidth="1"/>
    <col min="9743" max="9743" width="10.28515625" style="2717" customWidth="1"/>
    <col min="9744" max="9984" width="9.140625" style="2717"/>
    <col min="9985" max="9985" width="5.85546875" style="2717" customWidth="1"/>
    <col min="9986" max="9986" width="55.28515625" style="2717" customWidth="1"/>
    <col min="9987" max="9987" width="15" style="2717" customWidth="1"/>
    <col min="9988" max="9988" width="6.5703125" style="2717" customWidth="1"/>
    <col min="9989" max="9989" width="10" style="2717" customWidth="1"/>
    <col min="9990" max="9990" width="8" style="2717" customWidth="1"/>
    <col min="9991" max="9991" width="14.28515625" style="2717" customWidth="1"/>
    <col min="9992" max="9992" width="9.85546875" style="2717" customWidth="1"/>
    <col min="9993" max="9993" width="15.140625" style="2717" customWidth="1"/>
    <col min="9994" max="9994" width="7.28515625" style="2717" customWidth="1"/>
    <col min="9995" max="9995" width="15.42578125" style="2717" customWidth="1"/>
    <col min="9996" max="9996" width="35" style="2717" customWidth="1"/>
    <col min="9997" max="9997" width="17.85546875" style="2717" customWidth="1"/>
    <col min="9998" max="9998" width="9.7109375" style="2717" customWidth="1"/>
    <col min="9999" max="9999" width="10.28515625" style="2717" customWidth="1"/>
    <col min="10000" max="10240" width="9.140625" style="2717"/>
    <col min="10241" max="10241" width="5.85546875" style="2717" customWidth="1"/>
    <col min="10242" max="10242" width="55.28515625" style="2717" customWidth="1"/>
    <col min="10243" max="10243" width="15" style="2717" customWidth="1"/>
    <col min="10244" max="10244" width="6.5703125" style="2717" customWidth="1"/>
    <col min="10245" max="10245" width="10" style="2717" customWidth="1"/>
    <col min="10246" max="10246" width="8" style="2717" customWidth="1"/>
    <col min="10247" max="10247" width="14.28515625" style="2717" customWidth="1"/>
    <col min="10248" max="10248" width="9.85546875" style="2717" customWidth="1"/>
    <col min="10249" max="10249" width="15.140625" style="2717" customWidth="1"/>
    <col min="10250" max="10250" width="7.28515625" style="2717" customWidth="1"/>
    <col min="10251" max="10251" width="15.42578125" style="2717" customWidth="1"/>
    <col min="10252" max="10252" width="35" style="2717" customWidth="1"/>
    <col min="10253" max="10253" width="17.85546875" style="2717" customWidth="1"/>
    <col min="10254" max="10254" width="9.7109375" style="2717" customWidth="1"/>
    <col min="10255" max="10255" width="10.28515625" style="2717" customWidth="1"/>
    <col min="10256" max="10496" width="9.140625" style="2717"/>
    <col min="10497" max="10497" width="5.85546875" style="2717" customWidth="1"/>
    <col min="10498" max="10498" width="55.28515625" style="2717" customWidth="1"/>
    <col min="10499" max="10499" width="15" style="2717" customWidth="1"/>
    <col min="10500" max="10500" width="6.5703125" style="2717" customWidth="1"/>
    <col min="10501" max="10501" width="10" style="2717" customWidth="1"/>
    <col min="10502" max="10502" width="8" style="2717" customWidth="1"/>
    <col min="10503" max="10503" width="14.28515625" style="2717" customWidth="1"/>
    <col min="10504" max="10504" width="9.85546875" style="2717" customWidth="1"/>
    <col min="10505" max="10505" width="15.140625" style="2717" customWidth="1"/>
    <col min="10506" max="10506" width="7.28515625" style="2717" customWidth="1"/>
    <col min="10507" max="10507" width="15.42578125" style="2717" customWidth="1"/>
    <col min="10508" max="10508" width="35" style="2717" customWidth="1"/>
    <col min="10509" max="10509" width="17.85546875" style="2717" customWidth="1"/>
    <col min="10510" max="10510" width="9.7109375" style="2717" customWidth="1"/>
    <col min="10511" max="10511" width="10.28515625" style="2717" customWidth="1"/>
    <col min="10512" max="10752" width="9.140625" style="2717"/>
    <col min="10753" max="10753" width="5.85546875" style="2717" customWidth="1"/>
    <col min="10754" max="10754" width="55.28515625" style="2717" customWidth="1"/>
    <col min="10755" max="10755" width="15" style="2717" customWidth="1"/>
    <col min="10756" max="10756" width="6.5703125" style="2717" customWidth="1"/>
    <col min="10757" max="10757" width="10" style="2717" customWidth="1"/>
    <col min="10758" max="10758" width="8" style="2717" customWidth="1"/>
    <col min="10759" max="10759" width="14.28515625" style="2717" customWidth="1"/>
    <col min="10760" max="10760" width="9.85546875" style="2717" customWidth="1"/>
    <col min="10761" max="10761" width="15.140625" style="2717" customWidth="1"/>
    <col min="10762" max="10762" width="7.28515625" style="2717" customWidth="1"/>
    <col min="10763" max="10763" width="15.42578125" style="2717" customWidth="1"/>
    <col min="10764" max="10764" width="35" style="2717" customWidth="1"/>
    <col min="10765" max="10765" width="17.85546875" style="2717" customWidth="1"/>
    <col min="10766" max="10766" width="9.7109375" style="2717" customWidth="1"/>
    <col min="10767" max="10767" width="10.28515625" style="2717" customWidth="1"/>
    <col min="10768" max="11008" width="9.140625" style="2717"/>
    <col min="11009" max="11009" width="5.85546875" style="2717" customWidth="1"/>
    <col min="11010" max="11010" width="55.28515625" style="2717" customWidth="1"/>
    <col min="11011" max="11011" width="15" style="2717" customWidth="1"/>
    <col min="11012" max="11012" width="6.5703125" style="2717" customWidth="1"/>
    <col min="11013" max="11013" width="10" style="2717" customWidth="1"/>
    <col min="11014" max="11014" width="8" style="2717" customWidth="1"/>
    <col min="11015" max="11015" width="14.28515625" style="2717" customWidth="1"/>
    <col min="11016" max="11016" width="9.85546875" style="2717" customWidth="1"/>
    <col min="11017" max="11017" width="15.140625" style="2717" customWidth="1"/>
    <col min="11018" max="11018" width="7.28515625" style="2717" customWidth="1"/>
    <col min="11019" max="11019" width="15.42578125" style="2717" customWidth="1"/>
    <col min="11020" max="11020" width="35" style="2717" customWidth="1"/>
    <col min="11021" max="11021" width="17.85546875" style="2717" customWidth="1"/>
    <col min="11022" max="11022" width="9.7109375" style="2717" customWidth="1"/>
    <col min="11023" max="11023" width="10.28515625" style="2717" customWidth="1"/>
    <col min="11024" max="11264" width="9.140625" style="2717"/>
    <col min="11265" max="11265" width="5.85546875" style="2717" customWidth="1"/>
    <col min="11266" max="11266" width="55.28515625" style="2717" customWidth="1"/>
    <col min="11267" max="11267" width="15" style="2717" customWidth="1"/>
    <col min="11268" max="11268" width="6.5703125" style="2717" customWidth="1"/>
    <col min="11269" max="11269" width="10" style="2717" customWidth="1"/>
    <col min="11270" max="11270" width="8" style="2717" customWidth="1"/>
    <col min="11271" max="11271" width="14.28515625" style="2717" customWidth="1"/>
    <col min="11272" max="11272" width="9.85546875" style="2717" customWidth="1"/>
    <col min="11273" max="11273" width="15.140625" style="2717" customWidth="1"/>
    <col min="11274" max="11274" width="7.28515625" style="2717" customWidth="1"/>
    <col min="11275" max="11275" width="15.42578125" style="2717" customWidth="1"/>
    <col min="11276" max="11276" width="35" style="2717" customWidth="1"/>
    <col min="11277" max="11277" width="17.85546875" style="2717" customWidth="1"/>
    <col min="11278" max="11278" width="9.7109375" style="2717" customWidth="1"/>
    <col min="11279" max="11279" width="10.28515625" style="2717" customWidth="1"/>
    <col min="11280" max="11520" width="9.140625" style="2717"/>
    <col min="11521" max="11521" width="5.85546875" style="2717" customWidth="1"/>
    <col min="11522" max="11522" width="55.28515625" style="2717" customWidth="1"/>
    <col min="11523" max="11523" width="15" style="2717" customWidth="1"/>
    <col min="11524" max="11524" width="6.5703125" style="2717" customWidth="1"/>
    <col min="11525" max="11525" width="10" style="2717" customWidth="1"/>
    <col min="11526" max="11526" width="8" style="2717" customWidth="1"/>
    <col min="11527" max="11527" width="14.28515625" style="2717" customWidth="1"/>
    <col min="11528" max="11528" width="9.85546875" style="2717" customWidth="1"/>
    <col min="11529" max="11529" width="15.140625" style="2717" customWidth="1"/>
    <col min="11530" max="11530" width="7.28515625" style="2717" customWidth="1"/>
    <col min="11531" max="11531" width="15.42578125" style="2717" customWidth="1"/>
    <col min="11532" max="11532" width="35" style="2717" customWidth="1"/>
    <col min="11533" max="11533" width="17.85546875" style="2717" customWidth="1"/>
    <col min="11534" max="11534" width="9.7109375" style="2717" customWidth="1"/>
    <col min="11535" max="11535" width="10.28515625" style="2717" customWidth="1"/>
    <col min="11536" max="11776" width="9.140625" style="2717"/>
    <col min="11777" max="11777" width="5.85546875" style="2717" customWidth="1"/>
    <col min="11778" max="11778" width="55.28515625" style="2717" customWidth="1"/>
    <col min="11779" max="11779" width="15" style="2717" customWidth="1"/>
    <col min="11780" max="11780" width="6.5703125" style="2717" customWidth="1"/>
    <col min="11781" max="11781" width="10" style="2717" customWidth="1"/>
    <col min="11782" max="11782" width="8" style="2717" customWidth="1"/>
    <col min="11783" max="11783" width="14.28515625" style="2717" customWidth="1"/>
    <col min="11784" max="11784" width="9.85546875" style="2717" customWidth="1"/>
    <col min="11785" max="11785" width="15.140625" style="2717" customWidth="1"/>
    <col min="11786" max="11786" width="7.28515625" style="2717" customWidth="1"/>
    <col min="11787" max="11787" width="15.42578125" style="2717" customWidth="1"/>
    <col min="11788" max="11788" width="35" style="2717" customWidth="1"/>
    <col min="11789" max="11789" width="17.85546875" style="2717" customWidth="1"/>
    <col min="11790" max="11790" width="9.7109375" style="2717" customWidth="1"/>
    <col min="11791" max="11791" width="10.28515625" style="2717" customWidth="1"/>
    <col min="11792" max="12032" width="9.140625" style="2717"/>
    <col min="12033" max="12033" width="5.85546875" style="2717" customWidth="1"/>
    <col min="12034" max="12034" width="55.28515625" style="2717" customWidth="1"/>
    <col min="12035" max="12035" width="15" style="2717" customWidth="1"/>
    <col min="12036" max="12036" width="6.5703125" style="2717" customWidth="1"/>
    <col min="12037" max="12037" width="10" style="2717" customWidth="1"/>
    <col min="12038" max="12038" width="8" style="2717" customWidth="1"/>
    <col min="12039" max="12039" width="14.28515625" style="2717" customWidth="1"/>
    <col min="12040" max="12040" width="9.85546875" style="2717" customWidth="1"/>
    <col min="12041" max="12041" width="15.140625" style="2717" customWidth="1"/>
    <col min="12042" max="12042" width="7.28515625" style="2717" customWidth="1"/>
    <col min="12043" max="12043" width="15.42578125" style="2717" customWidth="1"/>
    <col min="12044" max="12044" width="35" style="2717" customWidth="1"/>
    <col min="12045" max="12045" width="17.85546875" style="2717" customWidth="1"/>
    <col min="12046" max="12046" width="9.7109375" style="2717" customWidth="1"/>
    <col min="12047" max="12047" width="10.28515625" style="2717" customWidth="1"/>
    <col min="12048" max="12288" width="9.140625" style="2717"/>
    <col min="12289" max="12289" width="5.85546875" style="2717" customWidth="1"/>
    <col min="12290" max="12290" width="55.28515625" style="2717" customWidth="1"/>
    <col min="12291" max="12291" width="15" style="2717" customWidth="1"/>
    <col min="12292" max="12292" width="6.5703125" style="2717" customWidth="1"/>
    <col min="12293" max="12293" width="10" style="2717" customWidth="1"/>
    <col min="12294" max="12294" width="8" style="2717" customWidth="1"/>
    <col min="12295" max="12295" width="14.28515625" style="2717" customWidth="1"/>
    <col min="12296" max="12296" width="9.85546875" style="2717" customWidth="1"/>
    <col min="12297" max="12297" width="15.140625" style="2717" customWidth="1"/>
    <col min="12298" max="12298" width="7.28515625" style="2717" customWidth="1"/>
    <col min="12299" max="12299" width="15.42578125" style="2717" customWidth="1"/>
    <col min="12300" max="12300" width="35" style="2717" customWidth="1"/>
    <col min="12301" max="12301" width="17.85546875" style="2717" customWidth="1"/>
    <col min="12302" max="12302" width="9.7109375" style="2717" customWidth="1"/>
    <col min="12303" max="12303" width="10.28515625" style="2717" customWidth="1"/>
    <col min="12304" max="12544" width="9.140625" style="2717"/>
    <col min="12545" max="12545" width="5.85546875" style="2717" customWidth="1"/>
    <col min="12546" max="12546" width="55.28515625" style="2717" customWidth="1"/>
    <col min="12547" max="12547" width="15" style="2717" customWidth="1"/>
    <col min="12548" max="12548" width="6.5703125" style="2717" customWidth="1"/>
    <col min="12549" max="12549" width="10" style="2717" customWidth="1"/>
    <col min="12550" max="12550" width="8" style="2717" customWidth="1"/>
    <col min="12551" max="12551" width="14.28515625" style="2717" customWidth="1"/>
    <col min="12552" max="12552" width="9.85546875" style="2717" customWidth="1"/>
    <col min="12553" max="12553" width="15.140625" style="2717" customWidth="1"/>
    <col min="12554" max="12554" width="7.28515625" style="2717" customWidth="1"/>
    <col min="12555" max="12555" width="15.42578125" style="2717" customWidth="1"/>
    <col min="12556" max="12556" width="35" style="2717" customWidth="1"/>
    <col min="12557" max="12557" width="17.85546875" style="2717" customWidth="1"/>
    <col min="12558" max="12558" width="9.7109375" style="2717" customWidth="1"/>
    <col min="12559" max="12559" width="10.28515625" style="2717" customWidth="1"/>
    <col min="12560" max="12800" width="9.140625" style="2717"/>
    <col min="12801" max="12801" width="5.85546875" style="2717" customWidth="1"/>
    <col min="12802" max="12802" width="55.28515625" style="2717" customWidth="1"/>
    <col min="12803" max="12803" width="15" style="2717" customWidth="1"/>
    <col min="12804" max="12804" width="6.5703125" style="2717" customWidth="1"/>
    <col min="12805" max="12805" width="10" style="2717" customWidth="1"/>
    <col min="12806" max="12806" width="8" style="2717" customWidth="1"/>
    <col min="12807" max="12807" width="14.28515625" style="2717" customWidth="1"/>
    <col min="12808" max="12808" width="9.85546875" style="2717" customWidth="1"/>
    <col min="12809" max="12809" width="15.140625" style="2717" customWidth="1"/>
    <col min="12810" max="12810" width="7.28515625" style="2717" customWidth="1"/>
    <col min="12811" max="12811" width="15.42578125" style="2717" customWidth="1"/>
    <col min="12812" max="12812" width="35" style="2717" customWidth="1"/>
    <col min="12813" max="12813" width="17.85546875" style="2717" customWidth="1"/>
    <col min="12814" max="12814" width="9.7109375" style="2717" customWidth="1"/>
    <col min="12815" max="12815" width="10.28515625" style="2717" customWidth="1"/>
    <col min="12816" max="13056" width="9.140625" style="2717"/>
    <col min="13057" max="13057" width="5.85546875" style="2717" customWidth="1"/>
    <col min="13058" max="13058" width="55.28515625" style="2717" customWidth="1"/>
    <col min="13059" max="13059" width="15" style="2717" customWidth="1"/>
    <col min="13060" max="13060" width="6.5703125" style="2717" customWidth="1"/>
    <col min="13061" max="13061" width="10" style="2717" customWidth="1"/>
    <col min="13062" max="13062" width="8" style="2717" customWidth="1"/>
    <col min="13063" max="13063" width="14.28515625" style="2717" customWidth="1"/>
    <col min="13064" max="13064" width="9.85546875" style="2717" customWidth="1"/>
    <col min="13065" max="13065" width="15.140625" style="2717" customWidth="1"/>
    <col min="13066" max="13066" width="7.28515625" style="2717" customWidth="1"/>
    <col min="13067" max="13067" width="15.42578125" style="2717" customWidth="1"/>
    <col min="13068" max="13068" width="35" style="2717" customWidth="1"/>
    <col min="13069" max="13069" width="17.85546875" style="2717" customWidth="1"/>
    <col min="13070" max="13070" width="9.7109375" style="2717" customWidth="1"/>
    <col min="13071" max="13071" width="10.28515625" style="2717" customWidth="1"/>
    <col min="13072" max="13312" width="9.140625" style="2717"/>
    <col min="13313" max="13313" width="5.85546875" style="2717" customWidth="1"/>
    <col min="13314" max="13314" width="55.28515625" style="2717" customWidth="1"/>
    <col min="13315" max="13315" width="15" style="2717" customWidth="1"/>
    <col min="13316" max="13316" width="6.5703125" style="2717" customWidth="1"/>
    <col min="13317" max="13317" width="10" style="2717" customWidth="1"/>
    <col min="13318" max="13318" width="8" style="2717" customWidth="1"/>
    <col min="13319" max="13319" width="14.28515625" style="2717" customWidth="1"/>
    <col min="13320" max="13320" width="9.85546875" style="2717" customWidth="1"/>
    <col min="13321" max="13321" width="15.140625" style="2717" customWidth="1"/>
    <col min="13322" max="13322" width="7.28515625" style="2717" customWidth="1"/>
    <col min="13323" max="13323" width="15.42578125" style="2717" customWidth="1"/>
    <col min="13324" max="13324" width="35" style="2717" customWidth="1"/>
    <col min="13325" max="13325" width="17.85546875" style="2717" customWidth="1"/>
    <col min="13326" max="13326" width="9.7109375" style="2717" customWidth="1"/>
    <col min="13327" max="13327" width="10.28515625" style="2717" customWidth="1"/>
    <col min="13328" max="13568" width="9.140625" style="2717"/>
    <col min="13569" max="13569" width="5.85546875" style="2717" customWidth="1"/>
    <col min="13570" max="13570" width="55.28515625" style="2717" customWidth="1"/>
    <col min="13571" max="13571" width="15" style="2717" customWidth="1"/>
    <col min="13572" max="13572" width="6.5703125" style="2717" customWidth="1"/>
    <col min="13573" max="13573" width="10" style="2717" customWidth="1"/>
    <col min="13574" max="13574" width="8" style="2717" customWidth="1"/>
    <col min="13575" max="13575" width="14.28515625" style="2717" customWidth="1"/>
    <col min="13576" max="13576" width="9.85546875" style="2717" customWidth="1"/>
    <col min="13577" max="13577" width="15.140625" style="2717" customWidth="1"/>
    <col min="13578" max="13578" width="7.28515625" style="2717" customWidth="1"/>
    <col min="13579" max="13579" width="15.42578125" style="2717" customWidth="1"/>
    <col min="13580" max="13580" width="35" style="2717" customWidth="1"/>
    <col min="13581" max="13581" width="17.85546875" style="2717" customWidth="1"/>
    <col min="13582" max="13582" width="9.7109375" style="2717" customWidth="1"/>
    <col min="13583" max="13583" width="10.28515625" style="2717" customWidth="1"/>
    <col min="13584" max="13824" width="9.140625" style="2717"/>
    <col min="13825" max="13825" width="5.85546875" style="2717" customWidth="1"/>
    <col min="13826" max="13826" width="55.28515625" style="2717" customWidth="1"/>
    <col min="13827" max="13827" width="15" style="2717" customWidth="1"/>
    <col min="13828" max="13828" width="6.5703125" style="2717" customWidth="1"/>
    <col min="13829" max="13829" width="10" style="2717" customWidth="1"/>
    <col min="13830" max="13830" width="8" style="2717" customWidth="1"/>
    <col min="13831" max="13831" width="14.28515625" style="2717" customWidth="1"/>
    <col min="13832" max="13832" width="9.85546875" style="2717" customWidth="1"/>
    <col min="13833" max="13833" width="15.140625" style="2717" customWidth="1"/>
    <col min="13834" max="13834" width="7.28515625" style="2717" customWidth="1"/>
    <col min="13835" max="13835" width="15.42578125" style="2717" customWidth="1"/>
    <col min="13836" max="13836" width="35" style="2717" customWidth="1"/>
    <col min="13837" max="13837" width="17.85546875" style="2717" customWidth="1"/>
    <col min="13838" max="13838" width="9.7109375" style="2717" customWidth="1"/>
    <col min="13839" max="13839" width="10.28515625" style="2717" customWidth="1"/>
    <col min="13840" max="14080" width="9.140625" style="2717"/>
    <col min="14081" max="14081" width="5.85546875" style="2717" customWidth="1"/>
    <col min="14082" max="14082" width="55.28515625" style="2717" customWidth="1"/>
    <col min="14083" max="14083" width="15" style="2717" customWidth="1"/>
    <col min="14084" max="14084" width="6.5703125" style="2717" customWidth="1"/>
    <col min="14085" max="14085" width="10" style="2717" customWidth="1"/>
    <col min="14086" max="14086" width="8" style="2717" customWidth="1"/>
    <col min="14087" max="14087" width="14.28515625" style="2717" customWidth="1"/>
    <col min="14088" max="14088" width="9.85546875" style="2717" customWidth="1"/>
    <col min="14089" max="14089" width="15.140625" style="2717" customWidth="1"/>
    <col min="14090" max="14090" width="7.28515625" style="2717" customWidth="1"/>
    <col min="14091" max="14091" width="15.42578125" style="2717" customWidth="1"/>
    <col min="14092" max="14092" width="35" style="2717" customWidth="1"/>
    <col min="14093" max="14093" width="17.85546875" style="2717" customWidth="1"/>
    <col min="14094" max="14094" width="9.7109375" style="2717" customWidth="1"/>
    <col min="14095" max="14095" width="10.28515625" style="2717" customWidth="1"/>
    <col min="14096" max="14336" width="9.140625" style="2717"/>
    <col min="14337" max="14337" width="5.85546875" style="2717" customWidth="1"/>
    <col min="14338" max="14338" width="55.28515625" style="2717" customWidth="1"/>
    <col min="14339" max="14339" width="15" style="2717" customWidth="1"/>
    <col min="14340" max="14340" width="6.5703125" style="2717" customWidth="1"/>
    <col min="14341" max="14341" width="10" style="2717" customWidth="1"/>
    <col min="14342" max="14342" width="8" style="2717" customWidth="1"/>
    <col min="14343" max="14343" width="14.28515625" style="2717" customWidth="1"/>
    <col min="14344" max="14344" width="9.85546875" style="2717" customWidth="1"/>
    <col min="14345" max="14345" width="15.140625" style="2717" customWidth="1"/>
    <col min="14346" max="14346" width="7.28515625" style="2717" customWidth="1"/>
    <col min="14347" max="14347" width="15.42578125" style="2717" customWidth="1"/>
    <col min="14348" max="14348" width="35" style="2717" customWidth="1"/>
    <col min="14349" max="14349" width="17.85546875" style="2717" customWidth="1"/>
    <col min="14350" max="14350" width="9.7109375" style="2717" customWidth="1"/>
    <col min="14351" max="14351" width="10.28515625" style="2717" customWidth="1"/>
    <col min="14352" max="14592" width="9.140625" style="2717"/>
    <col min="14593" max="14593" width="5.85546875" style="2717" customWidth="1"/>
    <col min="14594" max="14594" width="55.28515625" style="2717" customWidth="1"/>
    <col min="14595" max="14595" width="15" style="2717" customWidth="1"/>
    <col min="14596" max="14596" width="6.5703125" style="2717" customWidth="1"/>
    <col min="14597" max="14597" width="10" style="2717" customWidth="1"/>
    <col min="14598" max="14598" width="8" style="2717" customWidth="1"/>
    <col min="14599" max="14599" width="14.28515625" style="2717" customWidth="1"/>
    <col min="14600" max="14600" width="9.85546875" style="2717" customWidth="1"/>
    <col min="14601" max="14601" width="15.140625" style="2717" customWidth="1"/>
    <col min="14602" max="14602" width="7.28515625" style="2717" customWidth="1"/>
    <col min="14603" max="14603" width="15.42578125" style="2717" customWidth="1"/>
    <col min="14604" max="14604" width="35" style="2717" customWidth="1"/>
    <col min="14605" max="14605" width="17.85546875" style="2717" customWidth="1"/>
    <col min="14606" max="14606" width="9.7109375" style="2717" customWidth="1"/>
    <col min="14607" max="14607" width="10.28515625" style="2717" customWidth="1"/>
    <col min="14608" max="14848" width="9.140625" style="2717"/>
    <col min="14849" max="14849" width="5.85546875" style="2717" customWidth="1"/>
    <col min="14850" max="14850" width="55.28515625" style="2717" customWidth="1"/>
    <col min="14851" max="14851" width="15" style="2717" customWidth="1"/>
    <col min="14852" max="14852" width="6.5703125" style="2717" customWidth="1"/>
    <col min="14853" max="14853" width="10" style="2717" customWidth="1"/>
    <col min="14854" max="14854" width="8" style="2717" customWidth="1"/>
    <col min="14855" max="14855" width="14.28515625" style="2717" customWidth="1"/>
    <col min="14856" max="14856" width="9.85546875" style="2717" customWidth="1"/>
    <col min="14857" max="14857" width="15.140625" style="2717" customWidth="1"/>
    <col min="14858" max="14858" width="7.28515625" style="2717" customWidth="1"/>
    <col min="14859" max="14859" width="15.42578125" style="2717" customWidth="1"/>
    <col min="14860" max="14860" width="35" style="2717" customWidth="1"/>
    <col min="14861" max="14861" width="17.85546875" style="2717" customWidth="1"/>
    <col min="14862" max="14862" width="9.7109375" style="2717" customWidth="1"/>
    <col min="14863" max="14863" width="10.28515625" style="2717" customWidth="1"/>
    <col min="14864" max="15104" width="9.140625" style="2717"/>
    <col min="15105" max="15105" width="5.85546875" style="2717" customWidth="1"/>
    <col min="15106" max="15106" width="55.28515625" style="2717" customWidth="1"/>
    <col min="15107" max="15107" width="15" style="2717" customWidth="1"/>
    <col min="15108" max="15108" width="6.5703125" style="2717" customWidth="1"/>
    <col min="15109" max="15109" width="10" style="2717" customWidth="1"/>
    <col min="15110" max="15110" width="8" style="2717" customWidth="1"/>
    <col min="15111" max="15111" width="14.28515625" style="2717" customWidth="1"/>
    <col min="15112" max="15112" width="9.85546875" style="2717" customWidth="1"/>
    <col min="15113" max="15113" width="15.140625" style="2717" customWidth="1"/>
    <col min="15114" max="15114" width="7.28515625" style="2717" customWidth="1"/>
    <col min="15115" max="15115" width="15.42578125" style="2717" customWidth="1"/>
    <col min="15116" max="15116" width="35" style="2717" customWidth="1"/>
    <col min="15117" max="15117" width="17.85546875" style="2717" customWidth="1"/>
    <col min="15118" max="15118" width="9.7109375" style="2717" customWidth="1"/>
    <col min="15119" max="15119" width="10.28515625" style="2717" customWidth="1"/>
    <col min="15120" max="15360" width="9.140625" style="2717"/>
    <col min="15361" max="15361" width="5.85546875" style="2717" customWidth="1"/>
    <col min="15362" max="15362" width="55.28515625" style="2717" customWidth="1"/>
    <col min="15363" max="15363" width="15" style="2717" customWidth="1"/>
    <col min="15364" max="15364" width="6.5703125" style="2717" customWidth="1"/>
    <col min="15365" max="15365" width="10" style="2717" customWidth="1"/>
    <col min="15366" max="15366" width="8" style="2717" customWidth="1"/>
    <col min="15367" max="15367" width="14.28515625" style="2717" customWidth="1"/>
    <col min="15368" max="15368" width="9.85546875" style="2717" customWidth="1"/>
    <col min="15369" max="15369" width="15.140625" style="2717" customWidth="1"/>
    <col min="15370" max="15370" width="7.28515625" style="2717" customWidth="1"/>
    <col min="15371" max="15371" width="15.42578125" style="2717" customWidth="1"/>
    <col min="15372" max="15372" width="35" style="2717" customWidth="1"/>
    <col min="15373" max="15373" width="17.85546875" style="2717" customWidth="1"/>
    <col min="15374" max="15374" width="9.7109375" style="2717" customWidth="1"/>
    <col min="15375" max="15375" width="10.28515625" style="2717" customWidth="1"/>
    <col min="15376" max="15616" width="9.140625" style="2717"/>
    <col min="15617" max="15617" width="5.85546875" style="2717" customWidth="1"/>
    <col min="15618" max="15618" width="55.28515625" style="2717" customWidth="1"/>
    <col min="15619" max="15619" width="15" style="2717" customWidth="1"/>
    <col min="15620" max="15620" width="6.5703125" style="2717" customWidth="1"/>
    <col min="15621" max="15621" width="10" style="2717" customWidth="1"/>
    <col min="15622" max="15622" width="8" style="2717" customWidth="1"/>
    <col min="15623" max="15623" width="14.28515625" style="2717" customWidth="1"/>
    <col min="15624" max="15624" width="9.85546875" style="2717" customWidth="1"/>
    <col min="15625" max="15625" width="15.140625" style="2717" customWidth="1"/>
    <col min="15626" max="15626" width="7.28515625" style="2717" customWidth="1"/>
    <col min="15627" max="15627" width="15.42578125" style="2717" customWidth="1"/>
    <col min="15628" max="15628" width="35" style="2717" customWidth="1"/>
    <col min="15629" max="15629" width="17.85546875" style="2717" customWidth="1"/>
    <col min="15630" max="15630" width="9.7109375" style="2717" customWidth="1"/>
    <col min="15631" max="15631" width="10.28515625" style="2717" customWidth="1"/>
    <col min="15632" max="15872" width="9.140625" style="2717"/>
    <col min="15873" max="15873" width="5.85546875" style="2717" customWidth="1"/>
    <col min="15874" max="15874" width="55.28515625" style="2717" customWidth="1"/>
    <col min="15875" max="15875" width="15" style="2717" customWidth="1"/>
    <col min="15876" max="15876" width="6.5703125" style="2717" customWidth="1"/>
    <col min="15877" max="15877" width="10" style="2717" customWidth="1"/>
    <col min="15878" max="15878" width="8" style="2717" customWidth="1"/>
    <col min="15879" max="15879" width="14.28515625" style="2717" customWidth="1"/>
    <col min="15880" max="15880" width="9.85546875" style="2717" customWidth="1"/>
    <col min="15881" max="15881" width="15.140625" style="2717" customWidth="1"/>
    <col min="15882" max="15882" width="7.28515625" style="2717" customWidth="1"/>
    <col min="15883" max="15883" width="15.42578125" style="2717" customWidth="1"/>
    <col min="15884" max="15884" width="35" style="2717" customWidth="1"/>
    <col min="15885" max="15885" width="17.85546875" style="2717" customWidth="1"/>
    <col min="15886" max="15886" width="9.7109375" style="2717" customWidth="1"/>
    <col min="15887" max="15887" width="10.28515625" style="2717" customWidth="1"/>
    <col min="15888" max="16128" width="9.140625" style="2717"/>
    <col min="16129" max="16129" width="5.85546875" style="2717" customWidth="1"/>
    <col min="16130" max="16130" width="55.28515625" style="2717" customWidth="1"/>
    <col min="16131" max="16131" width="15" style="2717" customWidth="1"/>
    <col min="16132" max="16132" width="6.5703125" style="2717" customWidth="1"/>
    <col min="16133" max="16133" width="10" style="2717" customWidth="1"/>
    <col min="16134" max="16134" width="8" style="2717" customWidth="1"/>
    <col min="16135" max="16135" width="14.28515625" style="2717" customWidth="1"/>
    <col min="16136" max="16136" width="9.85546875" style="2717" customWidth="1"/>
    <col min="16137" max="16137" width="15.140625" style="2717" customWidth="1"/>
    <col min="16138" max="16138" width="7.28515625" style="2717" customWidth="1"/>
    <col min="16139" max="16139" width="15.42578125" style="2717" customWidth="1"/>
    <col min="16140" max="16140" width="35" style="2717" customWidth="1"/>
    <col min="16141" max="16141" width="17.85546875" style="2717" customWidth="1"/>
    <col min="16142" max="16142" width="9.7109375" style="2717" customWidth="1"/>
    <col min="16143" max="16143" width="10.28515625" style="2717" customWidth="1"/>
    <col min="16144" max="16384" width="9.140625" style="2717"/>
  </cols>
  <sheetData>
    <row r="1" spans="1:17" ht="18.75" customHeight="1">
      <c r="B1" s="2715"/>
      <c r="C1" s="3455" t="s">
        <v>2875</v>
      </c>
      <c r="D1" s="3455"/>
      <c r="E1" s="3455"/>
      <c r="F1" s="3455"/>
      <c r="G1" s="2715"/>
      <c r="H1" s="2715"/>
      <c r="I1" s="2715"/>
      <c r="J1" s="2715"/>
      <c r="K1" s="2715"/>
      <c r="L1" s="2716"/>
      <c r="M1" s="2716"/>
      <c r="N1" s="2716"/>
      <c r="O1" s="2716"/>
    </row>
    <row r="2" spans="1:17" ht="18" customHeight="1">
      <c r="B2" s="2715"/>
      <c r="C2" s="2715"/>
      <c r="D2" s="2718"/>
      <c r="E2" s="2718"/>
      <c r="F2" s="2718"/>
      <c r="G2" s="2715"/>
      <c r="H2" s="2715"/>
      <c r="I2" s="2715"/>
      <c r="J2" s="3456" t="s">
        <v>89</v>
      </c>
      <c r="K2" s="3456"/>
      <c r="L2" s="2716"/>
      <c r="M2" s="2716"/>
      <c r="N2" s="2716"/>
      <c r="O2" s="2716"/>
    </row>
    <row r="3" spans="1:17" ht="48.75" customHeight="1">
      <c r="B3" s="3061" t="s">
        <v>2876</v>
      </c>
      <c r="C3" s="3061"/>
      <c r="D3" s="3061"/>
      <c r="E3" s="3061"/>
      <c r="F3" s="3061"/>
      <c r="G3" s="3061"/>
      <c r="H3" s="3061"/>
      <c r="I3" s="3061"/>
      <c r="J3" s="2719"/>
      <c r="K3" s="2719"/>
      <c r="L3" s="2720"/>
      <c r="M3" s="2720"/>
      <c r="N3" s="2720"/>
      <c r="O3" s="2720"/>
    </row>
    <row r="4" spans="1:17" ht="12" customHeight="1">
      <c r="A4" s="2721"/>
      <c r="B4" s="2722"/>
      <c r="C4" s="2722"/>
      <c r="D4" s="2722"/>
      <c r="E4" s="2722"/>
      <c r="F4" s="2722"/>
      <c r="G4" s="2722"/>
      <c r="H4" s="2722"/>
      <c r="I4" s="2722"/>
    </row>
    <row r="5" spans="1:17" ht="78" customHeight="1">
      <c r="A5" s="3137" t="s">
        <v>2</v>
      </c>
      <c r="B5" s="3137" t="s">
        <v>3</v>
      </c>
      <c r="C5" s="3137" t="s">
        <v>1720</v>
      </c>
      <c r="D5" s="3137" t="s">
        <v>5</v>
      </c>
      <c r="E5" s="3137" t="s">
        <v>9</v>
      </c>
      <c r="F5" s="3149" t="s">
        <v>2877</v>
      </c>
      <c r="G5" s="3150"/>
      <c r="H5" s="3149" t="s">
        <v>2878</v>
      </c>
      <c r="I5" s="3150"/>
      <c r="J5" s="3149" t="s">
        <v>2879</v>
      </c>
      <c r="K5" s="3150"/>
      <c r="L5" s="2723"/>
      <c r="M5" s="2724"/>
    </row>
    <row r="6" spans="1:17" ht="48.75" customHeight="1">
      <c r="A6" s="3138"/>
      <c r="B6" s="3138"/>
      <c r="C6" s="3138"/>
      <c r="D6" s="3138"/>
      <c r="E6" s="3138"/>
      <c r="F6" s="3451" t="s">
        <v>2880</v>
      </c>
      <c r="G6" s="3452"/>
      <c r="H6" s="3451" t="s">
        <v>2880</v>
      </c>
      <c r="I6" s="3452"/>
      <c r="J6" s="3453" t="s">
        <v>2880</v>
      </c>
      <c r="K6" s="3453"/>
    </row>
    <row r="7" spans="1:17" ht="19.5" customHeight="1">
      <c r="A7" s="3139"/>
      <c r="B7" s="3139"/>
      <c r="C7" s="3139"/>
      <c r="D7" s="3139"/>
      <c r="E7" s="3139"/>
      <c r="F7" s="2711" t="s">
        <v>95</v>
      </c>
      <c r="G7" s="2711" t="s">
        <v>10</v>
      </c>
      <c r="H7" s="2711" t="s">
        <v>95</v>
      </c>
      <c r="I7" s="2711" t="s">
        <v>10</v>
      </c>
      <c r="J7" s="2711" t="s">
        <v>95</v>
      </c>
      <c r="K7" s="2711" t="s">
        <v>10</v>
      </c>
      <c r="M7" s="2725"/>
    </row>
    <row r="8" spans="1:17" ht="15">
      <c r="A8" s="2726" t="s">
        <v>1470</v>
      </c>
      <c r="B8" s="2726" t="s">
        <v>1425</v>
      </c>
      <c r="C8" s="2727">
        <v>3</v>
      </c>
      <c r="D8" s="2726">
        <v>4</v>
      </c>
      <c r="E8" s="2726">
        <v>5</v>
      </c>
      <c r="F8" s="2726">
        <v>6</v>
      </c>
      <c r="G8" s="2726">
        <v>7</v>
      </c>
      <c r="H8" s="2726">
        <v>6</v>
      </c>
      <c r="I8" s="2726">
        <v>7</v>
      </c>
      <c r="J8" s="2726">
        <v>6</v>
      </c>
      <c r="K8" s="2726">
        <v>7</v>
      </c>
      <c r="M8" s="2725"/>
    </row>
    <row r="9" spans="1:17" ht="37.5" customHeight="1">
      <c r="A9" s="2702" t="s">
        <v>1796</v>
      </c>
      <c r="B9" s="2706" t="s">
        <v>2881</v>
      </c>
      <c r="C9" s="1088">
        <v>7130600675</v>
      </c>
      <c r="D9" s="2702" t="s">
        <v>26</v>
      </c>
      <c r="E9" s="1126">
        <f>VLOOKUP(C9,'[25]SOR RATE'!A:D,4,0)/1000</f>
        <v>68.748589999999993</v>
      </c>
      <c r="F9" s="2702"/>
      <c r="G9" s="664"/>
      <c r="H9" s="1090">
        <f>19.495*9.3*20</f>
        <v>3626.07</v>
      </c>
      <c r="I9" s="1179">
        <f>H9*E9</f>
        <v>249287.19974129999</v>
      </c>
      <c r="J9" s="2702"/>
      <c r="K9" s="664"/>
      <c r="L9" s="2728"/>
    </row>
    <row r="10" spans="1:17" ht="39" customHeight="1">
      <c r="A10" s="2702" t="s">
        <v>2882</v>
      </c>
      <c r="B10" s="1104" t="s">
        <v>2883</v>
      </c>
      <c r="C10" s="1088">
        <v>7130601958</v>
      </c>
      <c r="D10" s="2702" t="s">
        <v>26</v>
      </c>
      <c r="E10" s="1126">
        <f>VLOOKUP(C10,'[25]SOR RATE'!A:D,4,0)/1000</f>
        <v>64.326520000000002</v>
      </c>
      <c r="F10" s="2702"/>
      <c r="G10" s="1179"/>
      <c r="H10" s="2702"/>
      <c r="I10" s="664"/>
      <c r="J10" s="664">
        <v>6678</v>
      </c>
      <c r="K10" s="1179">
        <f>J10*E10</f>
        <v>429572.50056000001</v>
      </c>
      <c r="L10" s="2728"/>
      <c r="M10" s="2729"/>
    </row>
    <row r="11" spans="1:17" ht="21.75" customHeight="1">
      <c r="A11" s="2702" t="s">
        <v>2581</v>
      </c>
      <c r="B11" s="427" t="s">
        <v>2797</v>
      </c>
      <c r="C11" s="1249">
        <v>7130800012</v>
      </c>
      <c r="D11" s="1120" t="s">
        <v>12</v>
      </c>
      <c r="E11" s="1126">
        <f>VLOOKUP(C11,'[25]SOR RATE'!A:D,4,0)</f>
        <v>2298.46</v>
      </c>
      <c r="F11" s="664">
        <v>20</v>
      </c>
      <c r="G11" s="1179">
        <f t="shared" ref="G11:G21" si="0">F11*E11</f>
        <v>45969.2</v>
      </c>
      <c r="H11" s="664"/>
      <c r="I11" s="664"/>
      <c r="J11" s="664"/>
      <c r="K11" s="1179"/>
      <c r="L11" s="2725"/>
      <c r="M11" s="2729"/>
      <c r="Q11" s="2728"/>
    </row>
    <row r="12" spans="1:17" ht="37.5" customHeight="1">
      <c r="A12" s="2702">
        <v>2</v>
      </c>
      <c r="B12" s="2706" t="s">
        <v>562</v>
      </c>
      <c r="C12" s="1088">
        <v>7130797533</v>
      </c>
      <c r="D12" s="2702" t="s">
        <v>12</v>
      </c>
      <c r="E12" s="1126">
        <f>VLOOKUP(C12,'[25]SOR RATE'!A:D,4,0)</f>
        <v>550.41999999999996</v>
      </c>
      <c r="F12" s="664">
        <v>15</v>
      </c>
      <c r="G12" s="1179">
        <f t="shared" si="0"/>
        <v>8256.2999999999993</v>
      </c>
      <c r="H12" s="664">
        <v>15</v>
      </c>
      <c r="I12" s="1179">
        <f t="shared" ref="I12:I21" si="1">H12*E12</f>
        <v>8256.2999999999993</v>
      </c>
      <c r="J12" s="664">
        <v>15</v>
      </c>
      <c r="K12" s="1179">
        <f t="shared" ref="K12:K21" si="2">J12*E12</f>
        <v>8256.2999999999993</v>
      </c>
      <c r="L12" s="2730"/>
      <c r="M12" s="212"/>
      <c r="N12" s="212"/>
      <c r="O12" s="212"/>
      <c r="P12" s="212"/>
      <c r="Q12" s="2728"/>
    </row>
    <row r="13" spans="1:17" ht="33.75" customHeight="1">
      <c r="A13" s="2702" t="s">
        <v>2798</v>
      </c>
      <c r="B13" s="2712" t="s">
        <v>456</v>
      </c>
      <c r="C13" s="2702">
        <v>7130390003</v>
      </c>
      <c r="D13" s="2702" t="s">
        <v>12</v>
      </c>
      <c r="E13" s="1126">
        <f>VLOOKUP(C13,'[25]SOR RATE'!A:D,4,0)</f>
        <v>96.28</v>
      </c>
      <c r="F13" s="664">
        <v>20</v>
      </c>
      <c r="G13" s="1179">
        <f t="shared" si="0"/>
        <v>1925.6</v>
      </c>
      <c r="H13" s="664">
        <v>20</v>
      </c>
      <c r="I13" s="1179">
        <f t="shared" si="1"/>
        <v>1925.6</v>
      </c>
      <c r="J13" s="664">
        <v>20</v>
      </c>
      <c r="K13" s="1179">
        <f t="shared" si="2"/>
        <v>1925.6</v>
      </c>
      <c r="L13" s="168"/>
      <c r="M13" s="490"/>
      <c r="N13" s="490"/>
      <c r="O13" s="490"/>
      <c r="P13" s="490"/>
      <c r="Q13" s="2728"/>
    </row>
    <row r="14" spans="1:17" ht="33" customHeight="1">
      <c r="A14" s="2702" t="s">
        <v>1494</v>
      </c>
      <c r="B14" s="2712" t="s">
        <v>458</v>
      </c>
      <c r="C14" s="2702">
        <v>7130390004</v>
      </c>
      <c r="D14" s="2702" t="s">
        <v>12</v>
      </c>
      <c r="E14" s="1126">
        <f>VLOOKUP(C14,'[25]SOR RATE'!A:D,4,0)</f>
        <v>125.42</v>
      </c>
      <c r="F14" s="664">
        <v>45</v>
      </c>
      <c r="G14" s="1179">
        <f t="shared" si="0"/>
        <v>5643.9</v>
      </c>
      <c r="H14" s="664">
        <v>45</v>
      </c>
      <c r="I14" s="1179">
        <f t="shared" si="1"/>
        <v>5643.9</v>
      </c>
      <c r="J14" s="664">
        <v>45</v>
      </c>
      <c r="K14" s="1179">
        <f t="shared" si="2"/>
        <v>5643.9</v>
      </c>
      <c r="L14" s="2730"/>
      <c r="M14" s="490"/>
      <c r="N14" s="490"/>
      <c r="O14" s="490"/>
      <c r="P14" s="490"/>
      <c r="Q14" s="490"/>
    </row>
    <row r="15" spans="1:17" ht="31.5" customHeight="1">
      <c r="A15" s="2702" t="s">
        <v>1946</v>
      </c>
      <c r="B15" s="2712" t="s">
        <v>460</v>
      </c>
      <c r="C15" s="2702">
        <v>7130390005</v>
      </c>
      <c r="D15" s="2702" t="s">
        <v>12</v>
      </c>
      <c r="E15" s="1126">
        <f>VLOOKUP(C15,'[25]SOR RATE'!A:D,4,0)</f>
        <v>174.82</v>
      </c>
      <c r="F15" s="664">
        <v>15</v>
      </c>
      <c r="G15" s="1179">
        <f t="shared" si="0"/>
        <v>2622.2999999999997</v>
      </c>
      <c r="H15" s="664">
        <v>15</v>
      </c>
      <c r="I15" s="1179">
        <f t="shared" si="1"/>
        <v>2622.2999999999997</v>
      </c>
      <c r="J15" s="664">
        <v>15</v>
      </c>
      <c r="K15" s="1179">
        <f t="shared" si="2"/>
        <v>2622.2999999999997</v>
      </c>
      <c r="L15" s="168"/>
      <c r="M15" s="3454" t="s">
        <v>2884</v>
      </c>
      <c r="N15" s="3454"/>
      <c r="O15" s="490"/>
      <c r="P15" s="490"/>
      <c r="Q15" s="2728"/>
    </row>
    <row r="16" spans="1:17" ht="18.75" customHeight="1">
      <c r="A16" s="2702">
        <v>4</v>
      </c>
      <c r="B16" s="2706" t="s">
        <v>2800</v>
      </c>
      <c r="C16" s="2702">
        <v>7130390006</v>
      </c>
      <c r="D16" s="2702" t="s">
        <v>33</v>
      </c>
      <c r="E16" s="1126">
        <f>VLOOKUP(C16,'[25]SOR RATE'!A:D,4,0)</f>
        <v>153.72999999999999</v>
      </c>
      <c r="F16" s="664">
        <v>28</v>
      </c>
      <c r="G16" s="1179">
        <f t="shared" si="0"/>
        <v>4304.4399999999996</v>
      </c>
      <c r="H16" s="664">
        <v>28</v>
      </c>
      <c r="I16" s="1179">
        <f t="shared" si="1"/>
        <v>4304.4399999999996</v>
      </c>
      <c r="J16" s="664">
        <v>28</v>
      </c>
      <c r="K16" s="1179">
        <f t="shared" si="2"/>
        <v>4304.4399999999996</v>
      </c>
      <c r="L16" s="168"/>
      <c r="M16" s="4"/>
      <c r="Q16" s="2728"/>
    </row>
    <row r="17" spans="1:17" ht="37.5" customHeight="1">
      <c r="A17" s="2702">
        <v>5</v>
      </c>
      <c r="B17" s="2706" t="s">
        <v>560</v>
      </c>
      <c r="C17" s="426">
        <v>7130797532</v>
      </c>
      <c r="D17" s="2702" t="s">
        <v>12</v>
      </c>
      <c r="E17" s="1126">
        <f>VLOOKUP(C17,'[25]SOR RATE'!A:D,4,0)</f>
        <v>758.33</v>
      </c>
      <c r="F17" s="664">
        <v>14</v>
      </c>
      <c r="G17" s="1179">
        <f t="shared" si="0"/>
        <v>10616.62</v>
      </c>
      <c r="H17" s="664">
        <v>14</v>
      </c>
      <c r="I17" s="1179">
        <f t="shared" si="1"/>
        <v>10616.62</v>
      </c>
      <c r="J17" s="664">
        <v>14</v>
      </c>
      <c r="K17" s="1179">
        <f t="shared" si="2"/>
        <v>10616.62</v>
      </c>
      <c r="L17" s="414"/>
      <c r="M17" s="180"/>
      <c r="Q17" s="2728"/>
    </row>
    <row r="18" spans="1:17" ht="37.5" customHeight="1">
      <c r="A18" s="2702">
        <v>6</v>
      </c>
      <c r="B18" s="1104" t="s">
        <v>2885</v>
      </c>
      <c r="C18" s="1088">
        <v>7130310032</v>
      </c>
      <c r="D18" s="2702" t="s">
        <v>21</v>
      </c>
      <c r="E18" s="1126">
        <f>VLOOKUP(C18,'[25]SOR RATE'!A:D,4,0)/1000</f>
        <v>111.81180999999999</v>
      </c>
      <c r="F18" s="664">
        <v>1100</v>
      </c>
      <c r="G18" s="1179">
        <f t="shared" si="0"/>
        <v>122992.99099999999</v>
      </c>
      <c r="H18" s="664">
        <v>1100</v>
      </c>
      <c r="I18" s="1179">
        <f t="shared" si="1"/>
        <v>122992.99099999999</v>
      </c>
      <c r="J18" s="664">
        <v>1100</v>
      </c>
      <c r="K18" s="1179">
        <f t="shared" si="2"/>
        <v>122992.99099999999</v>
      </c>
      <c r="L18" s="2730"/>
      <c r="M18" s="2729"/>
      <c r="N18" s="490"/>
      <c r="O18" s="490"/>
      <c r="P18" s="490"/>
      <c r="Q18" s="490"/>
    </row>
    <row r="19" spans="1:17" ht="18" customHeight="1">
      <c r="A19" s="3056">
        <v>7</v>
      </c>
      <c r="B19" s="1104" t="s">
        <v>2802</v>
      </c>
      <c r="C19" s="2754">
        <v>7130860032</v>
      </c>
      <c r="D19" s="2702" t="s">
        <v>12</v>
      </c>
      <c r="E19" s="1126">
        <f>VLOOKUP(C19,'[25]SOR RATE'!A:D,4,0)</f>
        <v>566.19000000000005</v>
      </c>
      <c r="F19" s="664">
        <v>12</v>
      </c>
      <c r="G19" s="664">
        <f t="shared" si="0"/>
        <v>6794.2800000000007</v>
      </c>
      <c r="H19" s="664">
        <v>12</v>
      </c>
      <c r="I19" s="664">
        <f t="shared" si="1"/>
        <v>6794.2800000000007</v>
      </c>
      <c r="J19" s="664">
        <v>12</v>
      </c>
      <c r="K19" s="1179">
        <f t="shared" si="2"/>
        <v>6794.2800000000007</v>
      </c>
      <c r="M19" s="2729"/>
    </row>
    <row r="20" spans="1:17" ht="18" customHeight="1">
      <c r="A20" s="3057"/>
      <c r="B20" s="1104" t="s">
        <v>2803</v>
      </c>
      <c r="C20" s="2754">
        <v>7130860077</v>
      </c>
      <c r="D20" s="2702" t="s">
        <v>26</v>
      </c>
      <c r="E20" s="1126">
        <f>VLOOKUP(C20,'[25]SOR RATE'!A:D,4,0)/1000</f>
        <v>93.76643</v>
      </c>
      <c r="F20" s="664">
        <v>72</v>
      </c>
      <c r="G20" s="1179">
        <f t="shared" si="0"/>
        <v>6751.1829600000001</v>
      </c>
      <c r="H20" s="664">
        <v>72</v>
      </c>
      <c r="I20" s="1179">
        <f t="shared" si="1"/>
        <v>6751.1829600000001</v>
      </c>
      <c r="J20" s="664">
        <v>72</v>
      </c>
      <c r="K20" s="1179">
        <f t="shared" si="2"/>
        <v>6751.1829600000001</v>
      </c>
      <c r="M20" s="2729"/>
    </row>
    <row r="21" spans="1:17" ht="17.25" customHeight="1">
      <c r="A21" s="3058"/>
      <c r="B21" s="1104" t="s">
        <v>74</v>
      </c>
      <c r="C21" s="2755">
        <v>7130810026</v>
      </c>
      <c r="D21" s="1120" t="s">
        <v>15</v>
      </c>
      <c r="E21" s="1126">
        <f>VLOOKUP(C21,'[25]SOR RATE'!A201:D201,4,0)</f>
        <v>198.14</v>
      </c>
      <c r="F21" s="664">
        <v>12</v>
      </c>
      <c r="G21" s="1179">
        <f t="shared" si="0"/>
        <v>2377.6799999999998</v>
      </c>
      <c r="H21" s="664">
        <v>12</v>
      </c>
      <c r="I21" s="1179">
        <f t="shared" si="1"/>
        <v>2377.6799999999998</v>
      </c>
      <c r="J21" s="664">
        <v>12</v>
      </c>
      <c r="K21" s="1179">
        <f t="shared" si="2"/>
        <v>2377.6799999999998</v>
      </c>
      <c r="M21" s="2729"/>
    </row>
    <row r="22" spans="1:17" ht="82.5" customHeight="1">
      <c r="A22" s="2704">
        <v>8</v>
      </c>
      <c r="B22" s="1125" t="s">
        <v>2886</v>
      </c>
      <c r="C22" s="2754">
        <v>7130200202</v>
      </c>
      <c r="D22" s="2702" t="s">
        <v>1440</v>
      </c>
      <c r="E22" s="1126">
        <f>VLOOKUP(C22,'[25]SOR RATE'!A:D,4,0)</f>
        <v>2970</v>
      </c>
      <c r="F22" s="664"/>
      <c r="G22" s="1179"/>
      <c r="H22" s="664">
        <f>(20*0.35)+(12*0.2)</f>
        <v>9.4</v>
      </c>
      <c r="I22" s="1179">
        <f>E22*H22</f>
        <v>27918</v>
      </c>
      <c r="J22" s="664">
        <f>(20*0.55)+(12*0.2)</f>
        <v>13.4</v>
      </c>
      <c r="K22" s="1179">
        <f>E22*J22</f>
        <v>39798</v>
      </c>
      <c r="L22" s="2731" t="s">
        <v>47</v>
      </c>
      <c r="M22" s="2729"/>
    </row>
    <row r="23" spans="1:17" ht="36.75" customHeight="1">
      <c r="A23" s="3056">
        <v>9</v>
      </c>
      <c r="B23" s="1104" t="s">
        <v>45</v>
      </c>
      <c r="C23" s="2754"/>
      <c r="D23" s="2702"/>
      <c r="E23" s="1126"/>
      <c r="F23" s="664">
        <f>20+12</f>
        <v>32</v>
      </c>
      <c r="G23" s="1179"/>
      <c r="H23" s="664"/>
      <c r="I23" s="1179"/>
      <c r="J23" s="664"/>
      <c r="K23" s="1179"/>
      <c r="L23" s="174"/>
      <c r="M23" s="2729"/>
    </row>
    <row r="24" spans="1:17" ht="27.75" customHeight="1">
      <c r="A24" s="3058"/>
      <c r="B24" s="1137" t="s">
        <v>1738</v>
      </c>
      <c r="C24" s="2754">
        <v>7130640008</v>
      </c>
      <c r="D24" s="426" t="s">
        <v>33</v>
      </c>
      <c r="E24" s="1126">
        <f>VLOOKUP(C24,'[25]SOR RATE'!A:D,4,0)</f>
        <v>158</v>
      </c>
      <c r="F24" s="664">
        <v>0</v>
      </c>
      <c r="G24" s="1179">
        <f>E24*F24</f>
        <v>0</v>
      </c>
      <c r="H24" s="664"/>
      <c r="I24" s="1179"/>
      <c r="J24" s="664"/>
      <c r="K24" s="1179"/>
      <c r="L24" s="171" t="s">
        <v>47</v>
      </c>
      <c r="M24" s="871"/>
    </row>
    <row r="25" spans="1:17" ht="15.75">
      <c r="A25" s="3056">
        <v>10</v>
      </c>
      <c r="B25" s="1104" t="s">
        <v>1443</v>
      </c>
      <c r="C25" s="2754"/>
      <c r="D25" s="2702" t="s">
        <v>26</v>
      </c>
      <c r="E25" s="1090"/>
      <c r="F25" s="664">
        <v>30</v>
      </c>
      <c r="G25" s="664"/>
      <c r="H25" s="664">
        <v>30</v>
      </c>
      <c r="I25" s="664"/>
      <c r="J25" s="664">
        <v>30</v>
      </c>
      <c r="K25" s="2756"/>
    </row>
    <row r="26" spans="1:17" ht="19.5" customHeight="1">
      <c r="A26" s="3057"/>
      <c r="B26" s="1169" t="s">
        <v>505</v>
      </c>
      <c r="C26" s="2754">
        <v>7130620573</v>
      </c>
      <c r="D26" s="2702" t="s">
        <v>26</v>
      </c>
      <c r="E26" s="1126">
        <f>VLOOKUP(C26,'[25]SOR RATE'!A:D,4,0)</f>
        <v>87.23</v>
      </c>
      <c r="F26" s="664">
        <v>2</v>
      </c>
      <c r="G26" s="1179">
        <f t="shared" ref="G26:G33" si="3">F26*E26</f>
        <v>174.46</v>
      </c>
      <c r="H26" s="664">
        <v>2</v>
      </c>
      <c r="I26" s="1179">
        <f t="shared" ref="I26:I39" si="4">H26*E26</f>
        <v>174.46</v>
      </c>
      <c r="J26" s="664">
        <v>2</v>
      </c>
      <c r="K26" s="1179">
        <f t="shared" ref="K26:K39" si="5">J26*E26</f>
        <v>174.46</v>
      </c>
      <c r="M26" s="2729"/>
    </row>
    <row r="27" spans="1:17" ht="17.25" customHeight="1">
      <c r="A27" s="3057"/>
      <c r="B27" s="1169" t="s">
        <v>79</v>
      </c>
      <c r="C27" s="2754">
        <v>7130620609</v>
      </c>
      <c r="D27" s="2702" t="s">
        <v>26</v>
      </c>
      <c r="E27" s="1126">
        <f>VLOOKUP(C27,'[25]SOR RATE'!A:D,4,0)</f>
        <v>87.23</v>
      </c>
      <c r="F27" s="664">
        <v>14</v>
      </c>
      <c r="G27" s="1179">
        <f t="shared" si="3"/>
        <v>1221.22</v>
      </c>
      <c r="H27" s="664">
        <v>14</v>
      </c>
      <c r="I27" s="1179">
        <f t="shared" si="4"/>
        <v>1221.22</v>
      </c>
      <c r="J27" s="664">
        <v>14</v>
      </c>
      <c r="K27" s="1179">
        <f t="shared" si="5"/>
        <v>1221.22</v>
      </c>
      <c r="M27" s="2729"/>
    </row>
    <row r="28" spans="1:17" ht="21" customHeight="1">
      <c r="A28" s="3058"/>
      <c r="B28" s="1169" t="s">
        <v>111</v>
      </c>
      <c r="C28" s="1088">
        <v>7130620614</v>
      </c>
      <c r="D28" s="2702" t="s">
        <v>26</v>
      </c>
      <c r="E28" s="1126">
        <f>VLOOKUP(C28,'[25]SOR RATE'!A:D,4,0)</f>
        <v>85.77</v>
      </c>
      <c r="F28" s="664">
        <v>14</v>
      </c>
      <c r="G28" s="1179">
        <f t="shared" si="3"/>
        <v>1200.78</v>
      </c>
      <c r="H28" s="664">
        <v>14</v>
      </c>
      <c r="I28" s="1179">
        <f t="shared" si="4"/>
        <v>1200.78</v>
      </c>
      <c r="J28" s="664">
        <v>14</v>
      </c>
      <c r="K28" s="1179">
        <f t="shared" si="5"/>
        <v>1200.78</v>
      </c>
      <c r="M28" s="2729"/>
    </row>
    <row r="29" spans="1:17" ht="20.25" customHeight="1">
      <c r="A29" s="2704">
        <v>11</v>
      </c>
      <c r="B29" s="1155" t="s">
        <v>1782</v>
      </c>
      <c r="C29" s="2754">
        <v>7130870013</v>
      </c>
      <c r="D29" s="2702" t="s">
        <v>12</v>
      </c>
      <c r="E29" s="1126">
        <f>VLOOKUP(C29,'[25]SOR RATE'!A:D,4,0)</f>
        <v>152.88999999999999</v>
      </c>
      <c r="F29" s="664">
        <v>20</v>
      </c>
      <c r="G29" s="1179">
        <f t="shared" si="3"/>
        <v>3057.7999999999997</v>
      </c>
      <c r="H29" s="664">
        <v>20</v>
      </c>
      <c r="I29" s="1179">
        <f t="shared" si="4"/>
        <v>3057.7999999999997</v>
      </c>
      <c r="J29" s="664">
        <v>20</v>
      </c>
      <c r="K29" s="1179">
        <f t="shared" si="5"/>
        <v>3057.7999999999997</v>
      </c>
      <c r="M29" s="2729"/>
    </row>
    <row r="30" spans="1:17" ht="20.25" customHeight="1">
      <c r="A30" s="2704">
        <v>12</v>
      </c>
      <c r="B30" s="1155" t="s">
        <v>2887</v>
      </c>
      <c r="C30" s="2754">
        <v>7131950012</v>
      </c>
      <c r="D30" s="2702" t="s">
        <v>12</v>
      </c>
      <c r="E30" s="1126">
        <f>VLOOKUP(C30,'[25]SOR RATE'!A:D,4,0)</f>
        <v>1531.04</v>
      </c>
      <c r="F30" s="664">
        <v>15</v>
      </c>
      <c r="G30" s="1179">
        <f t="shared" si="3"/>
        <v>22965.599999999999</v>
      </c>
      <c r="H30" s="664">
        <v>15</v>
      </c>
      <c r="I30" s="1179">
        <f t="shared" si="4"/>
        <v>22965.599999999999</v>
      </c>
      <c r="J30" s="664">
        <v>15</v>
      </c>
      <c r="K30" s="1179">
        <f t="shared" si="5"/>
        <v>22965.599999999999</v>
      </c>
      <c r="M30" s="2729"/>
    </row>
    <row r="31" spans="1:17" ht="34.5" customHeight="1">
      <c r="A31" s="2702">
        <v>13</v>
      </c>
      <c r="B31" s="1104" t="s">
        <v>2804</v>
      </c>
      <c r="C31" s="2754">
        <v>7130890973</v>
      </c>
      <c r="D31" s="2702" t="s">
        <v>40</v>
      </c>
      <c r="E31" s="1126">
        <f>VLOOKUP(C31,'[25]SOR RATE'!A:D,4,0)</f>
        <v>71.81</v>
      </c>
      <c r="F31" s="664">
        <v>15</v>
      </c>
      <c r="G31" s="1179">
        <f t="shared" si="3"/>
        <v>1077.1500000000001</v>
      </c>
      <c r="H31" s="664">
        <v>15</v>
      </c>
      <c r="I31" s="1179">
        <f t="shared" si="4"/>
        <v>1077.1500000000001</v>
      </c>
      <c r="J31" s="664">
        <v>15</v>
      </c>
      <c r="K31" s="1179">
        <f t="shared" si="5"/>
        <v>1077.1500000000001</v>
      </c>
      <c r="L31" s="2730"/>
    </row>
    <row r="32" spans="1:17" ht="18.75" customHeight="1">
      <c r="A32" s="2702">
        <v>14</v>
      </c>
      <c r="B32" s="1104" t="s">
        <v>28</v>
      </c>
      <c r="C32" s="1088">
        <v>7130211158</v>
      </c>
      <c r="D32" s="2702" t="s">
        <v>29</v>
      </c>
      <c r="E32" s="1126">
        <f>VLOOKUP(C32,'[25]SOR RATE'!A:D,4,0)</f>
        <v>193.62</v>
      </c>
      <c r="F32" s="2702">
        <v>0</v>
      </c>
      <c r="G32" s="1179">
        <f t="shared" si="3"/>
        <v>0</v>
      </c>
      <c r="H32" s="2702">
        <v>10</v>
      </c>
      <c r="I32" s="1179">
        <f t="shared" si="4"/>
        <v>1936.2</v>
      </c>
      <c r="J32" s="2702">
        <v>10</v>
      </c>
      <c r="K32" s="1179">
        <f t="shared" si="5"/>
        <v>1936.2</v>
      </c>
      <c r="L32" s="60"/>
      <c r="M32" s="168"/>
    </row>
    <row r="33" spans="1:17" ht="18.75" customHeight="1">
      <c r="A33" s="2702">
        <v>15</v>
      </c>
      <c r="B33" s="1104" t="s">
        <v>30</v>
      </c>
      <c r="C33" s="1088">
        <v>7130210809</v>
      </c>
      <c r="D33" s="2702" t="s">
        <v>29</v>
      </c>
      <c r="E33" s="1126">
        <f>VLOOKUP(C33,'[25]SOR RATE'!A:D,4,0)</f>
        <v>432.63</v>
      </c>
      <c r="F33" s="2702">
        <v>0</v>
      </c>
      <c r="G33" s="1179">
        <f t="shared" si="3"/>
        <v>0</v>
      </c>
      <c r="H33" s="2702">
        <v>10</v>
      </c>
      <c r="I33" s="1179">
        <f t="shared" si="4"/>
        <v>4326.3</v>
      </c>
      <c r="J33" s="2702">
        <v>10</v>
      </c>
      <c r="K33" s="1179">
        <f t="shared" si="5"/>
        <v>4326.3</v>
      </c>
      <c r="L33" s="60"/>
      <c r="M33" s="168"/>
    </row>
    <row r="34" spans="1:17" ht="19.5" customHeight="1">
      <c r="A34" s="2702">
        <v>16</v>
      </c>
      <c r="B34" s="1104" t="s">
        <v>583</v>
      </c>
      <c r="C34" s="1088">
        <v>7130810102</v>
      </c>
      <c r="D34" s="2702" t="s">
        <v>12</v>
      </c>
      <c r="E34" s="1126">
        <f>VLOOKUP(C34,'[25]SOR RATE'!A:D,4,0)</f>
        <v>442.47</v>
      </c>
      <c r="F34" s="2702">
        <v>15</v>
      </c>
      <c r="G34" s="1179">
        <f>F34*E34</f>
        <v>6637.05</v>
      </c>
      <c r="H34" s="2702">
        <v>15</v>
      </c>
      <c r="I34" s="1179">
        <f>H34*E34</f>
        <v>6637.05</v>
      </c>
      <c r="J34" s="2702">
        <v>15</v>
      </c>
      <c r="K34" s="1179">
        <f>J34*E34</f>
        <v>6637.05</v>
      </c>
      <c r="L34" s="60"/>
      <c r="M34" s="168"/>
    </row>
    <row r="35" spans="1:17" ht="38.25" customHeight="1">
      <c r="A35" s="2702">
        <v>17</v>
      </c>
      <c r="B35" s="1104" t="s">
        <v>2888</v>
      </c>
      <c r="C35" s="1088">
        <v>7130311008</v>
      </c>
      <c r="D35" s="2702" t="s">
        <v>21</v>
      </c>
      <c r="E35" s="1126">
        <f>VLOOKUP(C35,'[25]SOR RATE'!A:D,4,0)/1000</f>
        <v>24.908200000000001</v>
      </c>
      <c r="F35" s="2702">
        <v>90</v>
      </c>
      <c r="G35" s="1179">
        <f t="shared" ref="G35:G39" si="6">F35*E35</f>
        <v>2241.7380000000003</v>
      </c>
      <c r="H35" s="2702">
        <v>90</v>
      </c>
      <c r="I35" s="1179">
        <f t="shared" si="4"/>
        <v>2241.7380000000003</v>
      </c>
      <c r="J35" s="2702">
        <v>90</v>
      </c>
      <c r="K35" s="1179">
        <f t="shared" si="5"/>
        <v>2241.7380000000003</v>
      </c>
      <c r="L35" s="2730"/>
    </row>
    <row r="36" spans="1:17" ht="20.25" customHeight="1">
      <c r="A36" s="2702">
        <v>18</v>
      </c>
      <c r="B36" s="1104" t="s">
        <v>464</v>
      </c>
      <c r="C36" s="1088">
        <v>7130390007</v>
      </c>
      <c r="D36" s="2702" t="s">
        <v>12</v>
      </c>
      <c r="E36" s="1126">
        <f>VLOOKUP(C36,'[25]SOR RATE'!A:D,4,0)</f>
        <v>217.24</v>
      </c>
      <c r="F36" s="2702">
        <v>4</v>
      </c>
      <c r="G36" s="1179">
        <f t="shared" si="6"/>
        <v>868.96</v>
      </c>
      <c r="H36" s="2702">
        <v>4</v>
      </c>
      <c r="I36" s="1179">
        <f t="shared" si="4"/>
        <v>868.96</v>
      </c>
      <c r="J36" s="2702">
        <v>4</v>
      </c>
      <c r="K36" s="1179">
        <f t="shared" si="5"/>
        <v>868.96</v>
      </c>
      <c r="L36" s="168"/>
      <c r="M36" s="2732"/>
    </row>
    <row r="37" spans="1:17" ht="19.5" customHeight="1">
      <c r="A37" s="2702">
        <v>19</v>
      </c>
      <c r="B37" s="1104" t="s">
        <v>466</v>
      </c>
      <c r="C37" s="1088">
        <v>7130390019</v>
      </c>
      <c r="D37" s="2702" t="s">
        <v>12</v>
      </c>
      <c r="E37" s="1126">
        <f>VLOOKUP(C37,'[25]SOR RATE'!A:D,4,0)</f>
        <v>37.130000000000003</v>
      </c>
      <c r="F37" s="2702">
        <v>14</v>
      </c>
      <c r="G37" s="1179">
        <f t="shared" si="6"/>
        <v>519.82000000000005</v>
      </c>
      <c r="H37" s="2702">
        <v>14</v>
      </c>
      <c r="I37" s="1179">
        <f t="shared" si="4"/>
        <v>519.82000000000005</v>
      </c>
      <c r="J37" s="2702">
        <v>14</v>
      </c>
      <c r="K37" s="1179">
        <f t="shared" si="5"/>
        <v>519.82000000000005</v>
      </c>
      <c r="L37" s="168"/>
      <c r="M37" s="2732"/>
    </row>
    <row r="38" spans="1:17" ht="34.5" customHeight="1">
      <c r="A38" s="2702">
        <v>20</v>
      </c>
      <c r="B38" s="1104" t="s">
        <v>164</v>
      </c>
      <c r="C38" s="1088">
        <v>7130320053</v>
      </c>
      <c r="D38" s="2702" t="s">
        <v>12</v>
      </c>
      <c r="E38" s="1126">
        <f>VLOOKUP(C38,'[25]SOR RATE'!A:D,4,0)</f>
        <v>6.91</v>
      </c>
      <c r="F38" s="2702">
        <v>530</v>
      </c>
      <c r="G38" s="1179">
        <f t="shared" si="6"/>
        <v>3662.3</v>
      </c>
      <c r="H38" s="2702">
        <v>530</v>
      </c>
      <c r="I38" s="1179">
        <f t="shared" si="4"/>
        <v>3662.3</v>
      </c>
      <c r="J38" s="2702">
        <v>530</v>
      </c>
      <c r="K38" s="1179">
        <f t="shared" si="5"/>
        <v>3662.3</v>
      </c>
      <c r="L38" s="2732"/>
    </row>
    <row r="39" spans="1:17" ht="21" customHeight="1">
      <c r="A39" s="2702">
        <v>21</v>
      </c>
      <c r="B39" s="1104" t="s">
        <v>2806</v>
      </c>
      <c r="C39" s="1088">
        <v>7130610206</v>
      </c>
      <c r="D39" s="2702" t="s">
        <v>26</v>
      </c>
      <c r="E39" s="1126">
        <f>VLOOKUP(C39,'[25]SOR RATE'!A:D,4,0)/1000</f>
        <v>97.233429999999998</v>
      </c>
      <c r="F39" s="2702">
        <v>40</v>
      </c>
      <c r="G39" s="1179">
        <f t="shared" si="6"/>
        <v>3889.3371999999999</v>
      </c>
      <c r="H39" s="2702">
        <v>40</v>
      </c>
      <c r="I39" s="1179">
        <f t="shared" si="4"/>
        <v>3889.3371999999999</v>
      </c>
      <c r="J39" s="2702">
        <v>40</v>
      </c>
      <c r="K39" s="1179">
        <f t="shared" si="5"/>
        <v>3889.3371999999999</v>
      </c>
      <c r="L39" s="168"/>
      <c r="M39" s="2733"/>
    </row>
    <row r="40" spans="1:17" ht="18.75" customHeight="1">
      <c r="A40" s="2703">
        <v>22</v>
      </c>
      <c r="B40" s="1116" t="s">
        <v>48</v>
      </c>
      <c r="C40" s="1088"/>
      <c r="D40" s="2757"/>
      <c r="E40" s="2702"/>
      <c r="F40" s="2708"/>
      <c r="G40" s="2708">
        <f>SUM(G9:G39)</f>
        <v>265770.70915999997</v>
      </c>
      <c r="H40" s="2708"/>
      <c r="I40" s="2708">
        <f>SUM(I9:I39)</f>
        <v>503269.20890130004</v>
      </c>
      <c r="J40" s="2708"/>
      <c r="K40" s="2708">
        <f>SUM(K9:K39)</f>
        <v>695434.50972000009</v>
      </c>
      <c r="L40" s="168"/>
    </row>
    <row r="41" spans="1:17" ht="18.75" customHeight="1">
      <c r="A41" s="2703">
        <v>23</v>
      </c>
      <c r="B41" s="1116" t="s">
        <v>49</v>
      </c>
      <c r="C41" s="1088"/>
      <c r="D41" s="2757"/>
      <c r="E41" s="2702"/>
      <c r="F41" s="2708"/>
      <c r="G41" s="2708">
        <f>G40/1.18</f>
        <v>225229.41454237286</v>
      </c>
      <c r="H41" s="2708"/>
      <c r="I41" s="2708">
        <f>I40/1.18</f>
        <v>426499.32957737293</v>
      </c>
      <c r="J41" s="2708"/>
      <c r="K41" s="2708">
        <f>K40/1.18</f>
        <v>589351.27942372893</v>
      </c>
      <c r="L41" s="193"/>
    </row>
    <row r="42" spans="1:17" ht="20.25" customHeight="1">
      <c r="A42" s="2702">
        <v>24</v>
      </c>
      <c r="B42" s="1097" t="s">
        <v>50</v>
      </c>
      <c r="C42" s="1151"/>
      <c r="D42" s="1159"/>
      <c r="E42" s="1088">
        <v>7.4999999999999997E-2</v>
      </c>
      <c r="F42" s="1088"/>
      <c r="G42" s="1090">
        <f>G40*E42</f>
        <v>19932.803186999998</v>
      </c>
      <c r="H42" s="1088"/>
      <c r="I42" s="1090">
        <f>I40*E42</f>
        <v>37745.190667597504</v>
      </c>
      <c r="J42" s="1088"/>
      <c r="K42" s="1090">
        <f>K40*E42</f>
        <v>52157.588229000008</v>
      </c>
      <c r="L42" s="174"/>
      <c r="M42" s="526"/>
      <c r="N42" s="804"/>
    </row>
    <row r="43" spans="1:17" ht="18.75" customHeight="1">
      <c r="A43" s="2705">
        <v>25</v>
      </c>
      <c r="B43" s="1104" t="s">
        <v>2807</v>
      </c>
      <c r="C43" s="2758"/>
      <c r="D43" s="2702" t="s">
        <v>68</v>
      </c>
      <c r="E43" s="1054">
        <f>229.365334460327*1.043</f>
        <v>239.22804384212105</v>
      </c>
      <c r="F43" s="1136">
        <v>20</v>
      </c>
      <c r="G43" s="1090">
        <f>E43*F43</f>
        <v>4784.5608768424208</v>
      </c>
      <c r="H43" s="2702"/>
      <c r="I43" s="1090"/>
      <c r="J43" s="1090"/>
      <c r="K43" s="1090"/>
      <c r="L43" s="197"/>
      <c r="M43" s="526"/>
      <c r="N43" s="1824"/>
    </row>
    <row r="44" spans="1:17" ht="19.5" customHeight="1">
      <c r="A44" s="1098" t="s">
        <v>2889</v>
      </c>
      <c r="B44" s="1169" t="s">
        <v>82</v>
      </c>
      <c r="C44" s="2755"/>
      <c r="D44" s="1098" t="s">
        <v>76</v>
      </c>
      <c r="E44" s="1054">
        <f>665.173187113158*1.043</f>
        <v>693.77563415902364</v>
      </c>
      <c r="F44" s="664"/>
      <c r="G44" s="1090"/>
      <c r="H44" s="664">
        <f>(20*0.35)+(12*0.2)</f>
        <v>9.4</v>
      </c>
      <c r="I44" s="1090">
        <f>H44*E44</f>
        <v>6521.4909610948225</v>
      </c>
      <c r="J44" s="664">
        <f>(20*0.55)+(12*0.2)</f>
        <v>13.4</v>
      </c>
      <c r="K44" s="1090">
        <f>J44*E44</f>
        <v>9296.5934977309171</v>
      </c>
      <c r="L44" s="2734"/>
      <c r="M44" s="633"/>
      <c r="N44" s="526"/>
      <c r="P44" s="2735"/>
      <c r="Q44" s="2736"/>
    </row>
    <row r="45" spans="1:17" ht="18.75" customHeight="1">
      <c r="A45" s="2702">
        <v>27</v>
      </c>
      <c r="B45" s="1104" t="s">
        <v>2890</v>
      </c>
      <c r="C45" s="2755"/>
      <c r="D45" s="1154"/>
      <c r="E45" s="2704"/>
      <c r="F45" s="426"/>
      <c r="G45" s="1154">
        <v>67861.45</v>
      </c>
      <c r="H45" s="2704"/>
      <c r="I45" s="1154">
        <v>74235.28</v>
      </c>
      <c r="J45" s="426"/>
      <c r="K45" s="1154">
        <v>82871.320000000007</v>
      </c>
      <c r="L45" s="639"/>
      <c r="M45" s="633"/>
      <c r="N45" s="804"/>
    </row>
    <row r="46" spans="1:17" ht="18.75" customHeight="1">
      <c r="A46" s="2702">
        <v>28</v>
      </c>
      <c r="B46" s="2331" t="s">
        <v>2780</v>
      </c>
      <c r="C46" s="2755"/>
      <c r="D46" s="1154"/>
      <c r="E46" s="2704">
        <v>0.04</v>
      </c>
      <c r="F46" s="426"/>
      <c r="G46" s="1126">
        <f>G41*E46</f>
        <v>9009.1765816949155</v>
      </c>
      <c r="H46" s="2704"/>
      <c r="I46" s="1126">
        <f>I41*E46</f>
        <v>17059.973183094917</v>
      </c>
      <c r="J46" s="426"/>
      <c r="K46" s="1126">
        <f>K41*E46</f>
        <v>23574.051176949157</v>
      </c>
      <c r="L46" s="814" t="s">
        <v>1827</v>
      </c>
    </row>
    <row r="47" spans="1:17" ht="47.25" customHeight="1">
      <c r="A47" s="2702">
        <v>29</v>
      </c>
      <c r="B47" s="1100" t="s">
        <v>202</v>
      </c>
      <c r="C47" s="2755"/>
      <c r="D47" s="1154"/>
      <c r="E47" s="2704"/>
      <c r="F47" s="426"/>
      <c r="G47" s="2759">
        <f>(G40+G42+G43+G45+G46)*0.125</f>
        <v>45919.837475692162</v>
      </c>
      <c r="H47" s="2759"/>
      <c r="I47" s="2759">
        <f>(I40+I42+I43+I44+I45+I46)*0.125</f>
        <v>79853.892964135914</v>
      </c>
      <c r="J47" s="2759"/>
      <c r="K47" s="2759">
        <f>(K40+K42+K43+K44+K45+K46)*0.125</f>
        <v>107916.75782796001</v>
      </c>
      <c r="L47" s="796"/>
      <c r="M47" s="535"/>
    </row>
    <row r="48" spans="1:17" ht="36" customHeight="1">
      <c r="A48" s="2703">
        <v>30</v>
      </c>
      <c r="B48" s="2760" t="s">
        <v>203</v>
      </c>
      <c r="C48" s="2755"/>
      <c r="D48" s="1154"/>
      <c r="E48" s="2704"/>
      <c r="F48" s="864"/>
      <c r="G48" s="1144">
        <f>SUM(G41:G47)</f>
        <v>372737.24266360234</v>
      </c>
      <c r="H48" s="2709"/>
      <c r="I48" s="1144">
        <f>SUM(I41:I47)</f>
        <v>641915.15735329594</v>
      </c>
      <c r="J48" s="864"/>
      <c r="K48" s="1144">
        <f>SUM(K41:K47)</f>
        <v>865167.5901553689</v>
      </c>
      <c r="L48" s="797"/>
    </row>
    <row r="49" spans="1:12" ht="18.75" customHeight="1">
      <c r="A49" s="2702">
        <v>31</v>
      </c>
      <c r="B49" s="1097" t="s">
        <v>204</v>
      </c>
      <c r="C49" s="2755"/>
      <c r="D49" s="1154"/>
      <c r="E49" s="2704">
        <v>0.09</v>
      </c>
      <c r="F49" s="864"/>
      <c r="G49" s="1154">
        <f>G48*E49</f>
        <v>33546.351839724208</v>
      </c>
      <c r="H49" s="2704"/>
      <c r="I49" s="1154">
        <f>I48*E49</f>
        <v>57772.364161796635</v>
      </c>
      <c r="J49" s="426"/>
      <c r="K49" s="1154">
        <f>K48*E49</f>
        <v>77865.083113983201</v>
      </c>
      <c r="L49" s="797"/>
    </row>
    <row r="50" spans="1:12" ht="18.75" customHeight="1">
      <c r="A50" s="2702">
        <v>32</v>
      </c>
      <c r="B50" s="1097" t="s">
        <v>205</v>
      </c>
      <c r="C50" s="2755"/>
      <c r="D50" s="1154"/>
      <c r="E50" s="2704">
        <v>0.09</v>
      </c>
      <c r="F50" s="426"/>
      <c r="G50" s="1154">
        <f>G48*E50</f>
        <v>33546.351839724208</v>
      </c>
      <c r="H50" s="2704"/>
      <c r="I50" s="1154">
        <f>I48*E50</f>
        <v>57772.364161796635</v>
      </c>
      <c r="J50" s="426"/>
      <c r="K50" s="1154">
        <f>K48*E50</f>
        <v>77865.083113983201</v>
      </c>
      <c r="L50" s="404"/>
    </row>
    <row r="51" spans="1:12" ht="21" customHeight="1">
      <c r="A51" s="2702">
        <v>33</v>
      </c>
      <c r="B51" s="1097" t="s">
        <v>1496</v>
      </c>
      <c r="C51" s="2755"/>
      <c r="D51" s="1090"/>
      <c r="E51" s="2702"/>
      <c r="F51" s="1090"/>
      <c r="G51" s="1090">
        <f>G48+G49+G50</f>
        <v>439829.9463430508</v>
      </c>
      <c r="H51" s="1090"/>
      <c r="I51" s="1090">
        <f>I48+I49+I50</f>
        <v>757459.88567688921</v>
      </c>
      <c r="J51" s="1090"/>
      <c r="K51" s="1090">
        <f>K48+K49+K50</f>
        <v>1020897.7563833352</v>
      </c>
    </row>
    <row r="52" spans="1:12" ht="36" customHeight="1">
      <c r="A52" s="2703">
        <v>34</v>
      </c>
      <c r="B52" s="1128" t="s">
        <v>59</v>
      </c>
      <c r="C52" s="2761"/>
      <c r="D52" s="2708"/>
      <c r="E52" s="2703"/>
      <c r="F52" s="2702"/>
      <c r="G52" s="2708">
        <f>ROUND(G51,0)</f>
        <v>439830</v>
      </c>
      <c r="H52" s="2702"/>
      <c r="I52" s="2708">
        <f>ROUND(I51,0)</f>
        <v>757460</v>
      </c>
      <c r="J52" s="2702"/>
      <c r="K52" s="2708">
        <f>ROUND(K51,0)</f>
        <v>1020898</v>
      </c>
    </row>
    <row r="53" spans="1:12" ht="9.75" customHeight="1">
      <c r="A53" s="2737"/>
      <c r="B53" s="2738"/>
      <c r="C53" s="2739"/>
      <c r="D53" s="2738"/>
      <c r="E53" s="2738"/>
      <c r="F53" s="2738"/>
      <c r="G53" s="2738"/>
      <c r="H53" s="2738"/>
      <c r="I53" s="2740"/>
    </row>
    <row r="54" spans="1:12" ht="18" customHeight="1">
      <c r="A54" s="2741"/>
      <c r="B54" s="3450" t="s">
        <v>2891</v>
      </c>
      <c r="C54" s="3450"/>
      <c r="D54" s="3450"/>
      <c r="E54" s="3450"/>
      <c r="F54" s="3450"/>
      <c r="G54" s="2742"/>
      <c r="H54" s="2742"/>
      <c r="I54" s="2742"/>
      <c r="J54" s="44"/>
      <c r="K54" s="44"/>
    </row>
    <row r="55" spans="1:12" ht="18">
      <c r="A55" s="2743" t="s">
        <v>62</v>
      </c>
      <c r="B55" s="403" t="s">
        <v>63</v>
      </c>
      <c r="C55" s="423"/>
      <c r="D55" s="423"/>
      <c r="E55" s="423"/>
      <c r="F55" s="423"/>
      <c r="G55" s="423"/>
      <c r="H55" s="2738"/>
      <c r="I55" s="2738"/>
    </row>
    <row r="56" spans="1:12">
      <c r="A56" s="2737"/>
      <c r="B56" s="2738"/>
      <c r="C56" s="2738"/>
      <c r="D56" s="2738"/>
      <c r="E56" s="2738"/>
      <c r="F56" s="2744"/>
      <c r="G56" s="2744"/>
      <c r="H56" s="2744"/>
      <c r="I56" s="2744"/>
      <c r="J56" s="2744"/>
      <c r="K56" s="2744"/>
    </row>
    <row r="57" spans="1:12">
      <c r="A57" s="2737"/>
      <c r="B57" s="2738"/>
      <c r="C57" s="2738"/>
      <c r="D57" s="2738"/>
      <c r="E57" s="2738"/>
      <c r="F57" s="2738"/>
      <c r="G57" s="2738"/>
      <c r="H57" s="2738"/>
      <c r="I57" s="2738"/>
    </row>
    <row r="58" spans="1:12">
      <c r="A58" s="2737"/>
      <c r="B58" s="2745"/>
      <c r="C58" s="2746"/>
      <c r="D58" s="2746"/>
      <c r="E58" s="2747"/>
      <c r="F58" s="2747"/>
      <c r="G58" s="2747"/>
      <c r="H58" s="2738"/>
      <c r="I58" s="2738"/>
    </row>
    <row r="59" spans="1:12">
      <c r="A59" s="2737"/>
      <c r="B59" s="2738"/>
      <c r="C59" s="2738"/>
      <c r="D59" s="2738"/>
      <c r="E59" s="2738"/>
      <c r="F59" s="2738"/>
      <c r="G59" s="2738"/>
      <c r="H59" s="2738"/>
      <c r="I59" s="2738"/>
    </row>
    <row r="60" spans="1:12">
      <c r="A60" s="2737"/>
      <c r="B60" s="2738"/>
      <c r="C60" s="2738"/>
      <c r="D60" s="2738"/>
      <c r="E60" s="2738"/>
      <c r="F60" s="2738"/>
      <c r="G60" s="2738"/>
      <c r="H60" s="2738"/>
      <c r="I60" s="2738"/>
    </row>
    <row r="61" spans="1:12">
      <c r="A61" s="2737"/>
      <c r="B61" s="2738"/>
      <c r="C61" s="2738"/>
      <c r="D61" s="2738"/>
      <c r="E61" s="2738"/>
      <c r="F61" s="2738"/>
      <c r="G61" s="2738"/>
      <c r="H61" s="2738"/>
      <c r="I61" s="2738"/>
    </row>
    <row r="62" spans="1:12">
      <c r="A62" s="2737"/>
      <c r="B62" s="2738"/>
      <c r="C62" s="2738"/>
      <c r="D62" s="2738"/>
      <c r="E62" s="2738"/>
      <c r="F62" s="2738"/>
      <c r="G62" s="2738"/>
      <c r="H62" s="2738"/>
      <c r="I62" s="2738"/>
    </row>
    <row r="63" spans="1:12">
      <c r="A63" s="2737"/>
      <c r="B63" s="2738"/>
      <c r="C63" s="2738"/>
      <c r="D63" s="2738"/>
      <c r="E63" s="2738"/>
      <c r="F63" s="2738"/>
      <c r="G63" s="2738"/>
      <c r="H63" s="2738"/>
      <c r="I63" s="2738"/>
    </row>
    <row r="64" spans="1:12">
      <c r="A64" s="2737"/>
      <c r="B64" s="2738"/>
      <c r="C64" s="2738"/>
      <c r="D64" s="2738"/>
      <c r="E64" s="2738"/>
      <c r="F64" s="2738"/>
      <c r="G64" s="2738"/>
      <c r="H64" s="2738"/>
      <c r="I64" s="2738"/>
    </row>
    <row r="65" spans="1:9">
      <c r="A65" s="2737"/>
      <c r="B65" s="2738"/>
      <c r="C65" s="2738"/>
      <c r="D65" s="2738"/>
      <c r="E65" s="2738"/>
      <c r="F65" s="2738"/>
      <c r="G65" s="2738"/>
      <c r="H65" s="2738"/>
      <c r="I65" s="2738"/>
    </row>
    <row r="66" spans="1:9">
      <c r="A66" s="2737"/>
      <c r="B66" s="2738"/>
      <c r="C66" s="2738"/>
      <c r="D66" s="2738"/>
      <c r="E66" s="2738"/>
      <c r="F66" s="2738"/>
      <c r="G66" s="2738"/>
      <c r="H66" s="2738"/>
      <c r="I66" s="2738"/>
    </row>
    <row r="67" spans="1:9">
      <c r="A67" s="2737"/>
      <c r="B67" s="2738"/>
      <c r="C67" s="2738"/>
      <c r="D67" s="2738"/>
      <c r="E67" s="2738"/>
      <c r="F67" s="2738"/>
      <c r="G67" s="2738"/>
      <c r="H67" s="2738"/>
      <c r="I67" s="2738"/>
    </row>
    <row r="68" spans="1:9">
      <c r="A68" s="2737"/>
      <c r="B68" s="2738"/>
      <c r="C68" s="2738"/>
      <c r="D68" s="2738"/>
      <c r="E68" s="2738"/>
      <c r="F68" s="2738"/>
      <c r="G68" s="2738"/>
      <c r="H68" s="2738"/>
      <c r="I68" s="2738"/>
    </row>
    <row r="69" spans="1:9">
      <c r="A69" s="2737"/>
      <c r="B69" s="2738"/>
      <c r="C69" s="2738"/>
      <c r="D69" s="2738"/>
      <c r="E69" s="2738"/>
      <c r="F69" s="2738"/>
      <c r="G69" s="2738"/>
      <c r="H69" s="2738"/>
      <c r="I69" s="2738"/>
    </row>
    <row r="70" spans="1:9">
      <c r="A70" s="2737"/>
      <c r="B70" s="2738"/>
      <c r="C70" s="2738"/>
      <c r="D70" s="2738"/>
      <c r="E70" s="2738"/>
      <c r="F70" s="2738"/>
      <c r="G70" s="2738"/>
      <c r="H70" s="2738"/>
      <c r="I70" s="2738"/>
    </row>
    <row r="71" spans="1:9">
      <c r="A71" s="2737"/>
      <c r="B71" s="2738"/>
      <c r="C71" s="2738"/>
      <c r="D71" s="2738"/>
      <c r="E71" s="2738"/>
      <c r="F71" s="2738"/>
      <c r="G71" s="2738"/>
      <c r="H71" s="2738"/>
      <c r="I71" s="2738"/>
    </row>
    <row r="72" spans="1:9">
      <c r="A72" s="2737"/>
      <c r="B72" s="2738"/>
      <c r="C72" s="2738"/>
      <c r="D72" s="2738"/>
      <c r="E72" s="2738"/>
      <c r="F72" s="2738"/>
      <c r="G72" s="2738"/>
      <c r="H72" s="2738"/>
      <c r="I72" s="2738"/>
    </row>
    <row r="73" spans="1:9">
      <c r="A73" s="2737"/>
      <c r="B73" s="2738"/>
      <c r="C73" s="2738"/>
      <c r="D73" s="2738"/>
      <c r="E73" s="2738"/>
      <c r="F73" s="2738"/>
      <c r="G73" s="2738"/>
      <c r="H73" s="2738"/>
      <c r="I73" s="2738"/>
    </row>
    <row r="74" spans="1:9">
      <c r="A74" s="2737"/>
      <c r="B74" s="2738"/>
      <c r="C74" s="2738"/>
      <c r="D74" s="2738"/>
      <c r="E74" s="2738"/>
      <c r="F74" s="2738"/>
      <c r="G74" s="2738"/>
      <c r="H74" s="2738"/>
      <c r="I74" s="2738"/>
    </row>
    <row r="75" spans="1:9">
      <c r="A75" s="2737"/>
      <c r="B75" s="2738"/>
      <c r="C75" s="2738"/>
      <c r="D75" s="2738"/>
      <c r="E75" s="2738"/>
      <c r="F75" s="2738"/>
      <c r="G75" s="2738"/>
      <c r="H75" s="2738"/>
      <c r="I75" s="2738"/>
    </row>
    <row r="76" spans="1:9">
      <c r="A76" s="2737"/>
      <c r="B76" s="2738"/>
      <c r="C76" s="2738"/>
      <c r="D76" s="2738"/>
      <c r="E76" s="2738"/>
      <c r="F76" s="2738"/>
      <c r="G76" s="2738"/>
      <c r="H76" s="2738"/>
      <c r="I76" s="2738"/>
    </row>
    <row r="77" spans="1:9">
      <c r="A77" s="2737"/>
      <c r="B77" s="2738"/>
      <c r="C77" s="2738"/>
      <c r="D77" s="2738"/>
      <c r="E77" s="2738"/>
      <c r="F77" s="2738"/>
      <c r="G77" s="2738"/>
      <c r="H77" s="2738"/>
      <c r="I77" s="2738"/>
    </row>
    <row r="78" spans="1:9">
      <c r="A78" s="2737"/>
      <c r="B78" s="2738"/>
      <c r="C78" s="2738"/>
      <c r="D78" s="2738"/>
      <c r="E78" s="2738"/>
      <c r="F78" s="2738"/>
      <c r="G78" s="2738"/>
      <c r="H78" s="2738"/>
      <c r="I78" s="2738"/>
    </row>
    <row r="79" spans="1:9">
      <c r="A79" s="2737"/>
      <c r="B79" s="2738"/>
      <c r="C79" s="2738"/>
      <c r="D79" s="2738"/>
      <c r="E79" s="2738"/>
      <c r="F79" s="2738"/>
      <c r="G79" s="2738"/>
      <c r="H79" s="2738"/>
      <c r="I79" s="2738"/>
    </row>
    <row r="80" spans="1:9">
      <c r="A80" s="2737"/>
      <c r="B80" s="2738"/>
      <c r="C80" s="2738"/>
      <c r="D80" s="2738"/>
      <c r="E80" s="2738"/>
      <c r="F80" s="2738"/>
      <c r="G80" s="2738"/>
      <c r="H80" s="2738"/>
      <c r="I80" s="2738"/>
    </row>
    <row r="81" spans="1:9">
      <c r="A81" s="2737"/>
      <c r="B81" s="2738"/>
      <c r="C81" s="2738"/>
      <c r="D81" s="2738"/>
      <c r="E81" s="2738"/>
      <c r="F81" s="2738"/>
      <c r="G81" s="2738"/>
      <c r="H81" s="2738"/>
      <c r="I81" s="2738"/>
    </row>
    <row r="82" spans="1:9">
      <c r="A82" s="2737"/>
      <c r="B82" s="2738"/>
      <c r="C82" s="2738"/>
      <c r="D82" s="2738"/>
      <c r="E82" s="2738"/>
      <c r="F82" s="2738"/>
      <c r="G82" s="2738"/>
      <c r="H82" s="2738"/>
      <c r="I82" s="2738"/>
    </row>
    <row r="83" spans="1:9">
      <c r="A83" s="2737"/>
      <c r="B83" s="2738"/>
      <c r="C83" s="2738"/>
      <c r="D83" s="2738"/>
      <c r="E83" s="2738"/>
      <c r="F83" s="2738"/>
      <c r="G83" s="2738"/>
      <c r="H83" s="2738"/>
      <c r="I83" s="2738"/>
    </row>
    <row r="84" spans="1:9">
      <c r="A84" s="2737"/>
      <c r="B84" s="2738"/>
      <c r="C84" s="2738"/>
      <c r="D84" s="2738"/>
      <c r="E84" s="2738"/>
      <c r="F84" s="2738"/>
      <c r="G84" s="2738"/>
      <c r="H84" s="2738"/>
      <c r="I84" s="2738"/>
    </row>
    <row r="85" spans="1:9">
      <c r="A85" s="2737"/>
      <c r="B85" s="2738"/>
      <c r="C85" s="2738"/>
      <c r="D85" s="2738"/>
      <c r="E85" s="2738"/>
      <c r="F85" s="2738"/>
      <c r="G85" s="2738"/>
      <c r="H85" s="2738"/>
      <c r="I85" s="2738"/>
    </row>
    <row r="86" spans="1:9">
      <c r="A86" s="2737"/>
      <c r="B86" s="2738"/>
      <c r="C86" s="2738"/>
      <c r="D86" s="2738"/>
      <c r="E86" s="2738"/>
      <c r="F86" s="2738"/>
      <c r="G86" s="2738"/>
      <c r="H86" s="2738"/>
      <c r="I86" s="2738"/>
    </row>
    <row r="87" spans="1:9">
      <c r="A87" s="2737"/>
      <c r="B87" s="2738"/>
      <c r="C87" s="2738"/>
      <c r="D87" s="2738"/>
      <c r="E87" s="2738"/>
      <c r="F87" s="2738"/>
      <c r="G87" s="2738"/>
      <c r="H87" s="2738"/>
      <c r="I87" s="2738"/>
    </row>
    <row r="88" spans="1:9">
      <c r="A88" s="2737"/>
      <c r="B88" s="2738"/>
      <c r="C88" s="2738"/>
      <c r="D88" s="2738"/>
      <c r="E88" s="2738"/>
      <c r="F88" s="2738"/>
      <c r="G88" s="2738"/>
      <c r="H88" s="2738"/>
      <c r="I88" s="2738"/>
    </row>
    <row r="89" spans="1:9">
      <c r="A89" s="2737"/>
      <c r="B89" s="2738"/>
      <c r="C89" s="2738"/>
      <c r="D89" s="2738"/>
      <c r="E89" s="2738"/>
      <c r="F89" s="2738"/>
      <c r="G89" s="2738"/>
      <c r="H89" s="2738"/>
      <c r="I89" s="2738"/>
    </row>
    <row r="90" spans="1:9">
      <c r="A90" s="2737"/>
      <c r="B90" s="2738"/>
      <c r="C90" s="2738"/>
      <c r="D90" s="2738"/>
      <c r="E90" s="2738"/>
      <c r="F90" s="2738"/>
      <c r="G90" s="2738"/>
      <c r="H90" s="2738"/>
      <c r="I90" s="2738"/>
    </row>
    <row r="91" spans="1:9">
      <c r="A91" s="2737"/>
      <c r="B91" s="2738"/>
      <c r="C91" s="2738"/>
      <c r="D91" s="2738"/>
      <c r="E91" s="2738"/>
      <c r="F91" s="2738"/>
      <c r="G91" s="2738"/>
      <c r="H91" s="2738"/>
      <c r="I91" s="2738"/>
    </row>
    <row r="92" spans="1:9">
      <c r="A92" s="2737"/>
      <c r="B92" s="2738"/>
      <c r="C92" s="2738"/>
      <c r="D92" s="2738"/>
      <c r="E92" s="2738"/>
      <c r="F92" s="2738"/>
      <c r="G92" s="2738"/>
      <c r="H92" s="2738"/>
      <c r="I92" s="2738"/>
    </row>
    <row r="93" spans="1:9">
      <c r="A93" s="2737"/>
      <c r="B93" s="2738"/>
      <c r="C93" s="2738"/>
      <c r="D93" s="2738"/>
      <c r="E93" s="2738"/>
      <c r="F93" s="2738"/>
      <c r="G93" s="2738"/>
      <c r="H93" s="2738"/>
      <c r="I93" s="2738"/>
    </row>
    <row r="94" spans="1:9">
      <c r="A94" s="2737"/>
      <c r="B94" s="2738"/>
      <c r="C94" s="2738"/>
      <c r="D94" s="2738"/>
      <c r="E94" s="2738"/>
      <c r="F94" s="2738"/>
      <c r="G94" s="2738"/>
      <c r="H94" s="2738"/>
      <c r="I94" s="2738"/>
    </row>
    <row r="95" spans="1:9">
      <c r="A95" s="2737"/>
      <c r="B95" s="2738"/>
      <c r="C95" s="2738"/>
      <c r="D95" s="2738"/>
      <c r="E95" s="2738"/>
      <c r="F95" s="2738"/>
      <c r="G95" s="2738"/>
      <c r="H95" s="2738"/>
      <c r="I95" s="2738"/>
    </row>
    <row r="96" spans="1:9">
      <c r="A96" s="2737"/>
      <c r="B96" s="2738"/>
      <c r="C96" s="2738"/>
      <c r="D96" s="2738"/>
      <c r="E96" s="2738"/>
      <c r="F96" s="2738"/>
      <c r="G96" s="2738"/>
      <c r="H96" s="2738"/>
      <c r="I96" s="2738"/>
    </row>
    <row r="97" spans="1:9">
      <c r="A97" s="2737"/>
      <c r="B97" s="2738"/>
      <c r="C97" s="2738"/>
      <c r="D97" s="2738"/>
      <c r="E97" s="2738"/>
      <c r="F97" s="2738"/>
      <c r="G97" s="2738"/>
      <c r="H97" s="2738"/>
      <c r="I97" s="2738"/>
    </row>
    <row r="98" spans="1:9">
      <c r="A98" s="2737"/>
      <c r="B98" s="2738"/>
      <c r="C98" s="2738"/>
      <c r="D98" s="2738"/>
      <c r="E98" s="2738"/>
      <c r="F98" s="2738"/>
      <c r="G98" s="2738"/>
      <c r="H98" s="2738"/>
      <c r="I98" s="2738"/>
    </row>
    <row r="99" spans="1:9">
      <c r="A99" s="2737"/>
      <c r="B99" s="2738"/>
      <c r="C99" s="2738"/>
      <c r="D99" s="2738"/>
      <c r="E99" s="2738"/>
      <c r="F99" s="2738"/>
      <c r="G99" s="2738"/>
      <c r="H99" s="2738"/>
      <c r="I99" s="2738"/>
    </row>
    <row r="100" spans="1:9">
      <c r="A100" s="2737"/>
      <c r="B100" s="2738"/>
      <c r="C100" s="2738"/>
      <c r="D100" s="2738"/>
      <c r="E100" s="2738"/>
      <c r="F100" s="2738"/>
      <c r="G100" s="2738"/>
      <c r="H100" s="2738"/>
      <c r="I100" s="2738"/>
    </row>
  </sheetData>
  <mergeCells count="19">
    <mergeCell ref="M15:N15"/>
    <mergeCell ref="A19:A21"/>
    <mergeCell ref="C1:F1"/>
    <mergeCell ref="J2:K2"/>
    <mergeCell ref="B3:I3"/>
    <mergeCell ref="A5:A7"/>
    <mergeCell ref="B5:B7"/>
    <mergeCell ref="C5:C7"/>
    <mergeCell ref="D5:D7"/>
    <mergeCell ref="E5:E7"/>
    <mergeCell ref="F5:G5"/>
    <mergeCell ref="H5:I5"/>
    <mergeCell ref="A23:A24"/>
    <mergeCell ref="A25:A28"/>
    <mergeCell ref="B54:F54"/>
    <mergeCell ref="J5:K5"/>
    <mergeCell ref="F6:G6"/>
    <mergeCell ref="H6:I6"/>
    <mergeCell ref="J6:K6"/>
  </mergeCells>
  <conditionalFormatting sqref="B40">
    <cfRule type="cellIs" dxfId="38" priority="2" stopIfTrue="1" operator="equal">
      <formula>"?"</formula>
    </cfRule>
  </conditionalFormatting>
  <conditionalFormatting sqref="B41">
    <cfRule type="cellIs" dxfId="37" priority="1" stopIfTrue="1" operator="equal">
      <formula>"?"</formula>
    </cfRule>
  </conditionalFormatting>
  <printOptions horizontalCentered="1"/>
  <pageMargins left="0.32" right="0" top="0.77" bottom="0.25" header="0.52" footer="0.15"/>
  <pageSetup paperSize="9" scale="88" fitToHeight="3" orientation="landscape" verticalDpi="300" r:id="rId1"/>
  <headerFooter alignWithMargins="0"/>
  <rowBreaks count="3" manualBreakCount="3">
    <brk id="18" max="13" man="1"/>
    <brk id="34" max="16383" man="1"/>
    <brk id="55" max="16383"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4"/>
  <sheetViews>
    <sheetView zoomScale="91" zoomScaleNormal="91" workbookViewId="0">
      <pane xSplit="2" ySplit="7" topLeftCell="C51" activePane="bottomRight" state="frozen"/>
      <selection pane="topRight" activeCell="C1" sqref="C1"/>
      <selection pane="bottomLeft" activeCell="A8" sqref="A8"/>
      <selection pane="bottomRight" activeCell="E8" sqref="E8"/>
    </sheetView>
  </sheetViews>
  <sheetFormatPr defaultRowHeight="12.75"/>
  <cols>
    <col min="1" max="1" width="4.5703125" style="2713" customWidth="1"/>
    <col min="2" max="2" width="49.28515625" style="4" customWidth="1"/>
    <col min="3" max="3" width="14.28515625" style="4" customWidth="1"/>
    <col min="4" max="4" width="5.85546875" style="4" customWidth="1"/>
    <col min="5" max="5" width="10" style="4" customWidth="1"/>
    <col min="6" max="6" width="5.85546875" style="4" customWidth="1"/>
    <col min="7" max="7" width="14.140625" style="4" customWidth="1"/>
    <col min="8" max="8" width="9.140625" style="4" customWidth="1"/>
    <col min="9" max="9" width="19.7109375" style="4" customWidth="1"/>
    <col min="10" max="10" width="6.140625" style="4" customWidth="1"/>
    <col min="11" max="11" width="19.85546875" style="4" customWidth="1"/>
    <col min="12" max="12" width="22.85546875" style="4" customWidth="1"/>
    <col min="13" max="13" width="9.7109375" style="4" customWidth="1"/>
    <col min="14" max="14" width="13.5703125" style="4" customWidth="1"/>
    <col min="15" max="15" width="10.42578125" style="4" customWidth="1"/>
    <col min="16" max="256" width="9.140625" style="4"/>
    <col min="257" max="257" width="4.5703125" style="4" customWidth="1"/>
    <col min="258" max="258" width="49.28515625" style="4" customWidth="1"/>
    <col min="259" max="259" width="14.28515625" style="4" customWidth="1"/>
    <col min="260" max="260" width="5.85546875" style="4" customWidth="1"/>
    <col min="261" max="261" width="10" style="4" customWidth="1"/>
    <col min="262" max="262" width="5.85546875" style="4" customWidth="1"/>
    <col min="263" max="263" width="14.140625" style="4" customWidth="1"/>
    <col min="264" max="264" width="9.140625" style="4" customWidth="1"/>
    <col min="265" max="265" width="19.7109375" style="4" customWidth="1"/>
    <col min="266" max="266" width="6.140625" style="4" customWidth="1"/>
    <col min="267" max="267" width="19.85546875" style="4" customWidth="1"/>
    <col min="268" max="268" width="22.85546875" style="4" customWidth="1"/>
    <col min="269" max="269" width="21.140625" style="4" customWidth="1"/>
    <col min="270" max="270" width="9.140625" style="4"/>
    <col min="271" max="271" width="10.42578125" style="4" customWidth="1"/>
    <col min="272" max="512" width="9.140625" style="4"/>
    <col min="513" max="513" width="4.5703125" style="4" customWidth="1"/>
    <col min="514" max="514" width="49.28515625" style="4" customWidth="1"/>
    <col min="515" max="515" width="14.28515625" style="4" customWidth="1"/>
    <col min="516" max="516" width="5.85546875" style="4" customWidth="1"/>
    <col min="517" max="517" width="10" style="4" customWidth="1"/>
    <col min="518" max="518" width="5.85546875" style="4" customWidth="1"/>
    <col min="519" max="519" width="14.140625" style="4" customWidth="1"/>
    <col min="520" max="520" width="9.140625" style="4" customWidth="1"/>
    <col min="521" max="521" width="19.7109375" style="4" customWidth="1"/>
    <col min="522" max="522" width="6.140625" style="4" customWidth="1"/>
    <col min="523" max="523" width="19.85546875" style="4" customWidth="1"/>
    <col min="524" max="524" width="22.85546875" style="4" customWidth="1"/>
    <col min="525" max="525" width="21.140625" style="4" customWidth="1"/>
    <col min="526" max="526" width="9.140625" style="4"/>
    <col min="527" max="527" width="10.42578125" style="4" customWidth="1"/>
    <col min="528" max="768" width="9.140625" style="4"/>
    <col min="769" max="769" width="4.5703125" style="4" customWidth="1"/>
    <col min="770" max="770" width="49.28515625" style="4" customWidth="1"/>
    <col min="771" max="771" width="14.28515625" style="4" customWidth="1"/>
    <col min="772" max="772" width="5.85546875" style="4" customWidth="1"/>
    <col min="773" max="773" width="10" style="4" customWidth="1"/>
    <col min="774" max="774" width="5.85546875" style="4" customWidth="1"/>
    <col min="775" max="775" width="14.140625" style="4" customWidth="1"/>
    <col min="776" max="776" width="9.140625" style="4" customWidth="1"/>
    <col min="777" max="777" width="19.7109375" style="4" customWidth="1"/>
    <col min="778" max="778" width="6.140625" style="4" customWidth="1"/>
    <col min="779" max="779" width="19.85546875" style="4" customWidth="1"/>
    <col min="780" max="780" width="22.85546875" style="4" customWidth="1"/>
    <col min="781" max="781" width="21.140625" style="4" customWidth="1"/>
    <col min="782" max="782" width="9.140625" style="4"/>
    <col min="783" max="783" width="10.42578125" style="4" customWidth="1"/>
    <col min="784" max="1024" width="9.140625" style="4"/>
    <col min="1025" max="1025" width="4.5703125" style="4" customWidth="1"/>
    <col min="1026" max="1026" width="49.28515625" style="4" customWidth="1"/>
    <col min="1027" max="1027" width="14.28515625" style="4" customWidth="1"/>
    <col min="1028" max="1028" width="5.85546875" style="4" customWidth="1"/>
    <col min="1029" max="1029" width="10" style="4" customWidth="1"/>
    <col min="1030" max="1030" width="5.85546875" style="4" customWidth="1"/>
    <col min="1031" max="1031" width="14.140625" style="4" customWidth="1"/>
    <col min="1032" max="1032" width="9.140625" style="4" customWidth="1"/>
    <col min="1033" max="1033" width="19.7109375" style="4" customWidth="1"/>
    <col min="1034" max="1034" width="6.140625" style="4" customWidth="1"/>
    <col min="1035" max="1035" width="19.85546875" style="4" customWidth="1"/>
    <col min="1036" max="1036" width="22.85546875" style="4" customWidth="1"/>
    <col min="1037" max="1037" width="21.140625" style="4" customWidth="1"/>
    <col min="1038" max="1038" width="9.140625" style="4"/>
    <col min="1039" max="1039" width="10.42578125" style="4" customWidth="1"/>
    <col min="1040" max="1280" width="9.140625" style="4"/>
    <col min="1281" max="1281" width="4.5703125" style="4" customWidth="1"/>
    <col min="1282" max="1282" width="49.28515625" style="4" customWidth="1"/>
    <col min="1283" max="1283" width="14.28515625" style="4" customWidth="1"/>
    <col min="1284" max="1284" width="5.85546875" style="4" customWidth="1"/>
    <col min="1285" max="1285" width="10" style="4" customWidth="1"/>
    <col min="1286" max="1286" width="5.85546875" style="4" customWidth="1"/>
    <col min="1287" max="1287" width="14.140625" style="4" customWidth="1"/>
    <col min="1288" max="1288" width="9.140625" style="4" customWidth="1"/>
    <col min="1289" max="1289" width="19.7109375" style="4" customWidth="1"/>
    <col min="1290" max="1290" width="6.140625" style="4" customWidth="1"/>
    <col min="1291" max="1291" width="19.85546875" style="4" customWidth="1"/>
    <col min="1292" max="1292" width="22.85546875" style="4" customWidth="1"/>
    <col min="1293" max="1293" width="21.140625" style="4" customWidth="1"/>
    <col min="1294" max="1294" width="9.140625" style="4"/>
    <col min="1295" max="1295" width="10.42578125" style="4" customWidth="1"/>
    <col min="1296" max="1536" width="9.140625" style="4"/>
    <col min="1537" max="1537" width="4.5703125" style="4" customWidth="1"/>
    <col min="1538" max="1538" width="49.28515625" style="4" customWidth="1"/>
    <col min="1539" max="1539" width="14.28515625" style="4" customWidth="1"/>
    <col min="1540" max="1540" width="5.85546875" style="4" customWidth="1"/>
    <col min="1541" max="1541" width="10" style="4" customWidth="1"/>
    <col min="1542" max="1542" width="5.85546875" style="4" customWidth="1"/>
    <col min="1543" max="1543" width="14.140625" style="4" customWidth="1"/>
    <col min="1544" max="1544" width="9.140625" style="4" customWidth="1"/>
    <col min="1545" max="1545" width="19.7109375" style="4" customWidth="1"/>
    <col min="1546" max="1546" width="6.140625" style="4" customWidth="1"/>
    <col min="1547" max="1547" width="19.85546875" style="4" customWidth="1"/>
    <col min="1548" max="1548" width="22.85546875" style="4" customWidth="1"/>
    <col min="1549" max="1549" width="21.140625" style="4" customWidth="1"/>
    <col min="1550" max="1550" width="9.140625" style="4"/>
    <col min="1551" max="1551" width="10.42578125" style="4" customWidth="1"/>
    <col min="1552" max="1792" width="9.140625" style="4"/>
    <col min="1793" max="1793" width="4.5703125" style="4" customWidth="1"/>
    <col min="1794" max="1794" width="49.28515625" style="4" customWidth="1"/>
    <col min="1795" max="1795" width="14.28515625" style="4" customWidth="1"/>
    <col min="1796" max="1796" width="5.85546875" style="4" customWidth="1"/>
    <col min="1797" max="1797" width="10" style="4" customWidth="1"/>
    <col min="1798" max="1798" width="5.85546875" style="4" customWidth="1"/>
    <col min="1799" max="1799" width="14.140625" style="4" customWidth="1"/>
    <col min="1800" max="1800" width="9.140625" style="4" customWidth="1"/>
    <col min="1801" max="1801" width="19.7109375" style="4" customWidth="1"/>
    <col min="1802" max="1802" width="6.140625" style="4" customWidth="1"/>
    <col min="1803" max="1803" width="19.85546875" style="4" customWidth="1"/>
    <col min="1804" max="1804" width="22.85546875" style="4" customWidth="1"/>
    <col min="1805" max="1805" width="21.140625" style="4" customWidth="1"/>
    <col min="1806" max="1806" width="9.140625" style="4"/>
    <col min="1807" max="1807" width="10.42578125" style="4" customWidth="1"/>
    <col min="1808" max="2048" width="9.140625" style="4"/>
    <col min="2049" max="2049" width="4.5703125" style="4" customWidth="1"/>
    <col min="2050" max="2050" width="49.28515625" style="4" customWidth="1"/>
    <col min="2051" max="2051" width="14.28515625" style="4" customWidth="1"/>
    <col min="2052" max="2052" width="5.85546875" style="4" customWidth="1"/>
    <col min="2053" max="2053" width="10" style="4" customWidth="1"/>
    <col min="2054" max="2054" width="5.85546875" style="4" customWidth="1"/>
    <col min="2055" max="2055" width="14.140625" style="4" customWidth="1"/>
    <col min="2056" max="2056" width="9.140625" style="4" customWidth="1"/>
    <col min="2057" max="2057" width="19.7109375" style="4" customWidth="1"/>
    <col min="2058" max="2058" width="6.140625" style="4" customWidth="1"/>
    <col min="2059" max="2059" width="19.85546875" style="4" customWidth="1"/>
    <col min="2060" max="2060" width="22.85546875" style="4" customWidth="1"/>
    <col min="2061" max="2061" width="21.140625" style="4" customWidth="1"/>
    <col min="2062" max="2062" width="9.140625" style="4"/>
    <col min="2063" max="2063" width="10.42578125" style="4" customWidth="1"/>
    <col min="2064" max="2304" width="9.140625" style="4"/>
    <col min="2305" max="2305" width="4.5703125" style="4" customWidth="1"/>
    <col min="2306" max="2306" width="49.28515625" style="4" customWidth="1"/>
    <col min="2307" max="2307" width="14.28515625" style="4" customWidth="1"/>
    <col min="2308" max="2308" width="5.85546875" style="4" customWidth="1"/>
    <col min="2309" max="2309" width="10" style="4" customWidth="1"/>
    <col min="2310" max="2310" width="5.85546875" style="4" customWidth="1"/>
    <col min="2311" max="2311" width="14.140625" style="4" customWidth="1"/>
    <col min="2312" max="2312" width="9.140625" style="4" customWidth="1"/>
    <col min="2313" max="2313" width="19.7109375" style="4" customWidth="1"/>
    <col min="2314" max="2314" width="6.140625" style="4" customWidth="1"/>
    <col min="2315" max="2315" width="19.85546875" style="4" customWidth="1"/>
    <col min="2316" max="2316" width="22.85546875" style="4" customWidth="1"/>
    <col min="2317" max="2317" width="21.140625" style="4" customWidth="1"/>
    <col min="2318" max="2318" width="9.140625" style="4"/>
    <col min="2319" max="2319" width="10.42578125" style="4" customWidth="1"/>
    <col min="2320" max="2560" width="9.140625" style="4"/>
    <col min="2561" max="2561" width="4.5703125" style="4" customWidth="1"/>
    <col min="2562" max="2562" width="49.28515625" style="4" customWidth="1"/>
    <col min="2563" max="2563" width="14.28515625" style="4" customWidth="1"/>
    <col min="2564" max="2564" width="5.85546875" style="4" customWidth="1"/>
    <col min="2565" max="2565" width="10" style="4" customWidth="1"/>
    <col min="2566" max="2566" width="5.85546875" style="4" customWidth="1"/>
    <col min="2567" max="2567" width="14.140625" style="4" customWidth="1"/>
    <col min="2568" max="2568" width="9.140625" style="4" customWidth="1"/>
    <col min="2569" max="2569" width="19.7109375" style="4" customWidth="1"/>
    <col min="2570" max="2570" width="6.140625" style="4" customWidth="1"/>
    <col min="2571" max="2571" width="19.85546875" style="4" customWidth="1"/>
    <col min="2572" max="2572" width="22.85546875" style="4" customWidth="1"/>
    <col min="2573" max="2573" width="21.140625" style="4" customWidth="1"/>
    <col min="2574" max="2574" width="9.140625" style="4"/>
    <col min="2575" max="2575" width="10.42578125" style="4" customWidth="1"/>
    <col min="2576" max="2816" width="9.140625" style="4"/>
    <col min="2817" max="2817" width="4.5703125" style="4" customWidth="1"/>
    <col min="2818" max="2818" width="49.28515625" style="4" customWidth="1"/>
    <col min="2819" max="2819" width="14.28515625" style="4" customWidth="1"/>
    <col min="2820" max="2820" width="5.85546875" style="4" customWidth="1"/>
    <col min="2821" max="2821" width="10" style="4" customWidth="1"/>
    <col min="2822" max="2822" width="5.85546875" style="4" customWidth="1"/>
    <col min="2823" max="2823" width="14.140625" style="4" customWidth="1"/>
    <col min="2824" max="2824" width="9.140625" style="4" customWidth="1"/>
    <col min="2825" max="2825" width="19.7109375" style="4" customWidth="1"/>
    <col min="2826" max="2826" width="6.140625" style="4" customWidth="1"/>
    <col min="2827" max="2827" width="19.85546875" style="4" customWidth="1"/>
    <col min="2828" max="2828" width="22.85546875" style="4" customWidth="1"/>
    <col min="2829" max="2829" width="21.140625" style="4" customWidth="1"/>
    <col min="2830" max="2830" width="9.140625" style="4"/>
    <col min="2831" max="2831" width="10.42578125" style="4" customWidth="1"/>
    <col min="2832" max="3072" width="9.140625" style="4"/>
    <col min="3073" max="3073" width="4.5703125" style="4" customWidth="1"/>
    <col min="3074" max="3074" width="49.28515625" style="4" customWidth="1"/>
    <col min="3075" max="3075" width="14.28515625" style="4" customWidth="1"/>
    <col min="3076" max="3076" width="5.85546875" style="4" customWidth="1"/>
    <col min="3077" max="3077" width="10" style="4" customWidth="1"/>
    <col min="3078" max="3078" width="5.85546875" style="4" customWidth="1"/>
    <col min="3079" max="3079" width="14.140625" style="4" customWidth="1"/>
    <col min="3080" max="3080" width="9.140625" style="4" customWidth="1"/>
    <col min="3081" max="3081" width="19.7109375" style="4" customWidth="1"/>
    <col min="3082" max="3082" width="6.140625" style="4" customWidth="1"/>
    <col min="3083" max="3083" width="19.85546875" style="4" customWidth="1"/>
    <col min="3084" max="3084" width="22.85546875" style="4" customWidth="1"/>
    <col min="3085" max="3085" width="21.140625" style="4" customWidth="1"/>
    <col min="3086" max="3086" width="9.140625" style="4"/>
    <col min="3087" max="3087" width="10.42578125" style="4" customWidth="1"/>
    <col min="3088" max="3328" width="9.140625" style="4"/>
    <col min="3329" max="3329" width="4.5703125" style="4" customWidth="1"/>
    <col min="3330" max="3330" width="49.28515625" style="4" customWidth="1"/>
    <col min="3331" max="3331" width="14.28515625" style="4" customWidth="1"/>
    <col min="3332" max="3332" width="5.85546875" style="4" customWidth="1"/>
    <col min="3333" max="3333" width="10" style="4" customWidth="1"/>
    <col min="3334" max="3334" width="5.85546875" style="4" customWidth="1"/>
    <col min="3335" max="3335" width="14.140625" style="4" customWidth="1"/>
    <col min="3336" max="3336" width="9.140625" style="4" customWidth="1"/>
    <col min="3337" max="3337" width="19.7109375" style="4" customWidth="1"/>
    <col min="3338" max="3338" width="6.140625" style="4" customWidth="1"/>
    <col min="3339" max="3339" width="19.85546875" style="4" customWidth="1"/>
    <col min="3340" max="3340" width="22.85546875" style="4" customWidth="1"/>
    <col min="3341" max="3341" width="21.140625" style="4" customWidth="1"/>
    <col min="3342" max="3342" width="9.140625" style="4"/>
    <col min="3343" max="3343" width="10.42578125" style="4" customWidth="1"/>
    <col min="3344" max="3584" width="9.140625" style="4"/>
    <col min="3585" max="3585" width="4.5703125" style="4" customWidth="1"/>
    <col min="3586" max="3586" width="49.28515625" style="4" customWidth="1"/>
    <col min="3587" max="3587" width="14.28515625" style="4" customWidth="1"/>
    <col min="3588" max="3588" width="5.85546875" style="4" customWidth="1"/>
    <col min="3589" max="3589" width="10" style="4" customWidth="1"/>
    <col min="3590" max="3590" width="5.85546875" style="4" customWidth="1"/>
    <col min="3591" max="3591" width="14.140625" style="4" customWidth="1"/>
    <col min="3592" max="3592" width="9.140625" style="4" customWidth="1"/>
    <col min="3593" max="3593" width="19.7109375" style="4" customWidth="1"/>
    <col min="3594" max="3594" width="6.140625" style="4" customWidth="1"/>
    <col min="3595" max="3595" width="19.85546875" style="4" customWidth="1"/>
    <col min="3596" max="3596" width="22.85546875" style="4" customWidth="1"/>
    <col min="3597" max="3597" width="21.140625" style="4" customWidth="1"/>
    <col min="3598" max="3598" width="9.140625" style="4"/>
    <col min="3599" max="3599" width="10.42578125" style="4" customWidth="1"/>
    <col min="3600" max="3840" width="9.140625" style="4"/>
    <col min="3841" max="3841" width="4.5703125" style="4" customWidth="1"/>
    <col min="3842" max="3842" width="49.28515625" style="4" customWidth="1"/>
    <col min="3843" max="3843" width="14.28515625" style="4" customWidth="1"/>
    <col min="3844" max="3844" width="5.85546875" style="4" customWidth="1"/>
    <col min="3845" max="3845" width="10" style="4" customWidth="1"/>
    <col min="3846" max="3846" width="5.85546875" style="4" customWidth="1"/>
    <col min="3847" max="3847" width="14.140625" style="4" customWidth="1"/>
    <col min="3848" max="3848" width="9.140625" style="4" customWidth="1"/>
    <col min="3849" max="3849" width="19.7109375" style="4" customWidth="1"/>
    <col min="3850" max="3850" width="6.140625" style="4" customWidth="1"/>
    <col min="3851" max="3851" width="19.85546875" style="4" customWidth="1"/>
    <col min="3852" max="3852" width="22.85546875" style="4" customWidth="1"/>
    <col min="3853" max="3853" width="21.140625" style="4" customWidth="1"/>
    <col min="3854" max="3854" width="9.140625" style="4"/>
    <col min="3855" max="3855" width="10.42578125" style="4" customWidth="1"/>
    <col min="3856" max="4096" width="9.140625" style="4"/>
    <col min="4097" max="4097" width="4.5703125" style="4" customWidth="1"/>
    <col min="4098" max="4098" width="49.28515625" style="4" customWidth="1"/>
    <col min="4099" max="4099" width="14.28515625" style="4" customWidth="1"/>
    <col min="4100" max="4100" width="5.85546875" style="4" customWidth="1"/>
    <col min="4101" max="4101" width="10" style="4" customWidth="1"/>
    <col min="4102" max="4102" width="5.85546875" style="4" customWidth="1"/>
    <col min="4103" max="4103" width="14.140625" style="4" customWidth="1"/>
    <col min="4104" max="4104" width="9.140625" style="4" customWidth="1"/>
    <col min="4105" max="4105" width="19.7109375" style="4" customWidth="1"/>
    <col min="4106" max="4106" width="6.140625" style="4" customWidth="1"/>
    <col min="4107" max="4107" width="19.85546875" style="4" customWidth="1"/>
    <col min="4108" max="4108" width="22.85546875" style="4" customWidth="1"/>
    <col min="4109" max="4109" width="21.140625" style="4" customWidth="1"/>
    <col min="4110" max="4110" width="9.140625" style="4"/>
    <col min="4111" max="4111" width="10.42578125" style="4" customWidth="1"/>
    <col min="4112" max="4352" width="9.140625" style="4"/>
    <col min="4353" max="4353" width="4.5703125" style="4" customWidth="1"/>
    <col min="4354" max="4354" width="49.28515625" style="4" customWidth="1"/>
    <col min="4355" max="4355" width="14.28515625" style="4" customWidth="1"/>
    <col min="4356" max="4356" width="5.85546875" style="4" customWidth="1"/>
    <col min="4357" max="4357" width="10" style="4" customWidth="1"/>
    <col min="4358" max="4358" width="5.85546875" style="4" customWidth="1"/>
    <col min="4359" max="4359" width="14.140625" style="4" customWidth="1"/>
    <col min="4360" max="4360" width="9.140625" style="4" customWidth="1"/>
    <col min="4361" max="4361" width="19.7109375" style="4" customWidth="1"/>
    <col min="4362" max="4362" width="6.140625" style="4" customWidth="1"/>
    <col min="4363" max="4363" width="19.85546875" style="4" customWidth="1"/>
    <col min="4364" max="4364" width="22.85546875" style="4" customWidth="1"/>
    <col min="4365" max="4365" width="21.140625" style="4" customWidth="1"/>
    <col min="4366" max="4366" width="9.140625" style="4"/>
    <col min="4367" max="4367" width="10.42578125" style="4" customWidth="1"/>
    <col min="4368" max="4608" width="9.140625" style="4"/>
    <col min="4609" max="4609" width="4.5703125" style="4" customWidth="1"/>
    <col min="4610" max="4610" width="49.28515625" style="4" customWidth="1"/>
    <col min="4611" max="4611" width="14.28515625" style="4" customWidth="1"/>
    <col min="4612" max="4612" width="5.85546875" style="4" customWidth="1"/>
    <col min="4613" max="4613" width="10" style="4" customWidth="1"/>
    <col min="4614" max="4614" width="5.85546875" style="4" customWidth="1"/>
    <col min="4615" max="4615" width="14.140625" style="4" customWidth="1"/>
    <col min="4616" max="4616" width="9.140625" style="4" customWidth="1"/>
    <col min="4617" max="4617" width="19.7109375" style="4" customWidth="1"/>
    <col min="4618" max="4618" width="6.140625" style="4" customWidth="1"/>
    <col min="4619" max="4619" width="19.85546875" style="4" customWidth="1"/>
    <col min="4620" max="4620" width="22.85546875" style="4" customWidth="1"/>
    <col min="4621" max="4621" width="21.140625" style="4" customWidth="1"/>
    <col min="4622" max="4622" width="9.140625" style="4"/>
    <col min="4623" max="4623" width="10.42578125" style="4" customWidth="1"/>
    <col min="4624" max="4864" width="9.140625" style="4"/>
    <col min="4865" max="4865" width="4.5703125" style="4" customWidth="1"/>
    <col min="4866" max="4866" width="49.28515625" style="4" customWidth="1"/>
    <col min="4867" max="4867" width="14.28515625" style="4" customWidth="1"/>
    <col min="4868" max="4868" width="5.85546875" style="4" customWidth="1"/>
    <col min="4869" max="4869" width="10" style="4" customWidth="1"/>
    <col min="4870" max="4870" width="5.85546875" style="4" customWidth="1"/>
    <col min="4871" max="4871" width="14.140625" style="4" customWidth="1"/>
    <col min="4872" max="4872" width="9.140625" style="4" customWidth="1"/>
    <col min="4873" max="4873" width="19.7109375" style="4" customWidth="1"/>
    <col min="4874" max="4874" width="6.140625" style="4" customWidth="1"/>
    <col min="4875" max="4875" width="19.85546875" style="4" customWidth="1"/>
    <col min="4876" max="4876" width="22.85546875" style="4" customWidth="1"/>
    <col min="4877" max="4877" width="21.140625" style="4" customWidth="1"/>
    <col min="4878" max="4878" width="9.140625" style="4"/>
    <col min="4879" max="4879" width="10.42578125" style="4" customWidth="1"/>
    <col min="4880" max="5120" width="9.140625" style="4"/>
    <col min="5121" max="5121" width="4.5703125" style="4" customWidth="1"/>
    <col min="5122" max="5122" width="49.28515625" style="4" customWidth="1"/>
    <col min="5123" max="5123" width="14.28515625" style="4" customWidth="1"/>
    <col min="5124" max="5124" width="5.85546875" style="4" customWidth="1"/>
    <col min="5125" max="5125" width="10" style="4" customWidth="1"/>
    <col min="5126" max="5126" width="5.85546875" style="4" customWidth="1"/>
    <col min="5127" max="5127" width="14.140625" style="4" customWidth="1"/>
    <col min="5128" max="5128" width="9.140625" style="4" customWidth="1"/>
    <col min="5129" max="5129" width="19.7109375" style="4" customWidth="1"/>
    <col min="5130" max="5130" width="6.140625" style="4" customWidth="1"/>
    <col min="5131" max="5131" width="19.85546875" style="4" customWidth="1"/>
    <col min="5132" max="5132" width="22.85546875" style="4" customWidth="1"/>
    <col min="5133" max="5133" width="21.140625" style="4" customWidth="1"/>
    <col min="5134" max="5134" width="9.140625" style="4"/>
    <col min="5135" max="5135" width="10.42578125" style="4" customWidth="1"/>
    <col min="5136" max="5376" width="9.140625" style="4"/>
    <col min="5377" max="5377" width="4.5703125" style="4" customWidth="1"/>
    <col min="5378" max="5378" width="49.28515625" style="4" customWidth="1"/>
    <col min="5379" max="5379" width="14.28515625" style="4" customWidth="1"/>
    <col min="5380" max="5380" width="5.85546875" style="4" customWidth="1"/>
    <col min="5381" max="5381" width="10" style="4" customWidth="1"/>
    <col min="5382" max="5382" width="5.85546875" style="4" customWidth="1"/>
    <col min="5383" max="5383" width="14.140625" style="4" customWidth="1"/>
    <col min="5384" max="5384" width="9.140625" style="4" customWidth="1"/>
    <col min="5385" max="5385" width="19.7109375" style="4" customWidth="1"/>
    <col min="5386" max="5386" width="6.140625" style="4" customWidth="1"/>
    <col min="5387" max="5387" width="19.85546875" style="4" customWidth="1"/>
    <col min="5388" max="5388" width="22.85546875" style="4" customWidth="1"/>
    <col min="5389" max="5389" width="21.140625" style="4" customWidth="1"/>
    <col min="5390" max="5390" width="9.140625" style="4"/>
    <col min="5391" max="5391" width="10.42578125" style="4" customWidth="1"/>
    <col min="5392" max="5632" width="9.140625" style="4"/>
    <col min="5633" max="5633" width="4.5703125" style="4" customWidth="1"/>
    <col min="5634" max="5634" width="49.28515625" style="4" customWidth="1"/>
    <col min="5635" max="5635" width="14.28515625" style="4" customWidth="1"/>
    <col min="5636" max="5636" width="5.85546875" style="4" customWidth="1"/>
    <col min="5637" max="5637" width="10" style="4" customWidth="1"/>
    <col min="5638" max="5638" width="5.85546875" style="4" customWidth="1"/>
    <col min="5639" max="5639" width="14.140625" style="4" customWidth="1"/>
    <col min="5640" max="5640" width="9.140625" style="4" customWidth="1"/>
    <col min="5641" max="5641" width="19.7109375" style="4" customWidth="1"/>
    <col min="5642" max="5642" width="6.140625" style="4" customWidth="1"/>
    <col min="5643" max="5643" width="19.85546875" style="4" customWidth="1"/>
    <col min="5644" max="5644" width="22.85546875" style="4" customWidth="1"/>
    <col min="5645" max="5645" width="21.140625" style="4" customWidth="1"/>
    <col min="5646" max="5646" width="9.140625" style="4"/>
    <col min="5647" max="5647" width="10.42578125" style="4" customWidth="1"/>
    <col min="5648" max="5888" width="9.140625" style="4"/>
    <col min="5889" max="5889" width="4.5703125" style="4" customWidth="1"/>
    <col min="5890" max="5890" width="49.28515625" style="4" customWidth="1"/>
    <col min="5891" max="5891" width="14.28515625" style="4" customWidth="1"/>
    <col min="5892" max="5892" width="5.85546875" style="4" customWidth="1"/>
    <col min="5893" max="5893" width="10" style="4" customWidth="1"/>
    <col min="5894" max="5894" width="5.85546875" style="4" customWidth="1"/>
    <col min="5895" max="5895" width="14.140625" style="4" customWidth="1"/>
    <col min="5896" max="5896" width="9.140625" style="4" customWidth="1"/>
    <col min="5897" max="5897" width="19.7109375" style="4" customWidth="1"/>
    <col min="5898" max="5898" width="6.140625" style="4" customWidth="1"/>
    <col min="5899" max="5899" width="19.85546875" style="4" customWidth="1"/>
    <col min="5900" max="5900" width="22.85546875" style="4" customWidth="1"/>
    <col min="5901" max="5901" width="21.140625" style="4" customWidth="1"/>
    <col min="5902" max="5902" width="9.140625" style="4"/>
    <col min="5903" max="5903" width="10.42578125" style="4" customWidth="1"/>
    <col min="5904" max="6144" width="9.140625" style="4"/>
    <col min="6145" max="6145" width="4.5703125" style="4" customWidth="1"/>
    <col min="6146" max="6146" width="49.28515625" style="4" customWidth="1"/>
    <col min="6147" max="6147" width="14.28515625" style="4" customWidth="1"/>
    <col min="6148" max="6148" width="5.85546875" style="4" customWidth="1"/>
    <col min="6149" max="6149" width="10" style="4" customWidth="1"/>
    <col min="6150" max="6150" width="5.85546875" style="4" customWidth="1"/>
    <col min="6151" max="6151" width="14.140625" style="4" customWidth="1"/>
    <col min="6152" max="6152" width="9.140625" style="4" customWidth="1"/>
    <col min="6153" max="6153" width="19.7109375" style="4" customWidth="1"/>
    <col min="6154" max="6154" width="6.140625" style="4" customWidth="1"/>
    <col min="6155" max="6155" width="19.85546875" style="4" customWidth="1"/>
    <col min="6156" max="6156" width="22.85546875" style="4" customWidth="1"/>
    <col min="6157" max="6157" width="21.140625" style="4" customWidth="1"/>
    <col min="6158" max="6158" width="9.140625" style="4"/>
    <col min="6159" max="6159" width="10.42578125" style="4" customWidth="1"/>
    <col min="6160" max="6400" width="9.140625" style="4"/>
    <col min="6401" max="6401" width="4.5703125" style="4" customWidth="1"/>
    <col min="6402" max="6402" width="49.28515625" style="4" customWidth="1"/>
    <col min="6403" max="6403" width="14.28515625" style="4" customWidth="1"/>
    <col min="6404" max="6404" width="5.85546875" style="4" customWidth="1"/>
    <col min="6405" max="6405" width="10" style="4" customWidth="1"/>
    <col min="6406" max="6406" width="5.85546875" style="4" customWidth="1"/>
    <col min="6407" max="6407" width="14.140625" style="4" customWidth="1"/>
    <col min="6408" max="6408" width="9.140625" style="4" customWidth="1"/>
    <col min="6409" max="6409" width="19.7109375" style="4" customWidth="1"/>
    <col min="6410" max="6410" width="6.140625" style="4" customWidth="1"/>
    <col min="6411" max="6411" width="19.85546875" style="4" customWidth="1"/>
    <col min="6412" max="6412" width="22.85546875" style="4" customWidth="1"/>
    <col min="6413" max="6413" width="21.140625" style="4" customWidth="1"/>
    <col min="6414" max="6414" width="9.140625" style="4"/>
    <col min="6415" max="6415" width="10.42578125" style="4" customWidth="1"/>
    <col min="6416" max="6656" width="9.140625" style="4"/>
    <col min="6657" max="6657" width="4.5703125" style="4" customWidth="1"/>
    <col min="6658" max="6658" width="49.28515625" style="4" customWidth="1"/>
    <col min="6659" max="6659" width="14.28515625" style="4" customWidth="1"/>
    <col min="6660" max="6660" width="5.85546875" style="4" customWidth="1"/>
    <col min="6661" max="6661" width="10" style="4" customWidth="1"/>
    <col min="6662" max="6662" width="5.85546875" style="4" customWidth="1"/>
    <col min="6663" max="6663" width="14.140625" style="4" customWidth="1"/>
    <col min="6664" max="6664" width="9.140625" style="4" customWidth="1"/>
    <col min="6665" max="6665" width="19.7109375" style="4" customWidth="1"/>
    <col min="6666" max="6666" width="6.140625" style="4" customWidth="1"/>
    <col min="6667" max="6667" width="19.85546875" style="4" customWidth="1"/>
    <col min="6668" max="6668" width="22.85546875" style="4" customWidth="1"/>
    <col min="6669" max="6669" width="21.140625" style="4" customWidth="1"/>
    <col min="6670" max="6670" width="9.140625" style="4"/>
    <col min="6671" max="6671" width="10.42578125" style="4" customWidth="1"/>
    <col min="6672" max="6912" width="9.140625" style="4"/>
    <col min="6913" max="6913" width="4.5703125" style="4" customWidth="1"/>
    <col min="6914" max="6914" width="49.28515625" style="4" customWidth="1"/>
    <col min="6915" max="6915" width="14.28515625" style="4" customWidth="1"/>
    <col min="6916" max="6916" width="5.85546875" style="4" customWidth="1"/>
    <col min="6917" max="6917" width="10" style="4" customWidth="1"/>
    <col min="6918" max="6918" width="5.85546875" style="4" customWidth="1"/>
    <col min="6919" max="6919" width="14.140625" style="4" customWidth="1"/>
    <col min="6920" max="6920" width="9.140625" style="4" customWidth="1"/>
    <col min="6921" max="6921" width="19.7109375" style="4" customWidth="1"/>
    <col min="6922" max="6922" width="6.140625" style="4" customWidth="1"/>
    <col min="6923" max="6923" width="19.85546875" style="4" customWidth="1"/>
    <col min="6924" max="6924" width="22.85546875" style="4" customWidth="1"/>
    <col min="6925" max="6925" width="21.140625" style="4" customWidth="1"/>
    <col min="6926" max="6926" width="9.140625" style="4"/>
    <col min="6927" max="6927" width="10.42578125" style="4" customWidth="1"/>
    <col min="6928" max="7168" width="9.140625" style="4"/>
    <col min="7169" max="7169" width="4.5703125" style="4" customWidth="1"/>
    <col min="7170" max="7170" width="49.28515625" style="4" customWidth="1"/>
    <col min="7171" max="7171" width="14.28515625" style="4" customWidth="1"/>
    <col min="7172" max="7172" width="5.85546875" style="4" customWidth="1"/>
    <col min="7173" max="7173" width="10" style="4" customWidth="1"/>
    <col min="7174" max="7174" width="5.85546875" style="4" customWidth="1"/>
    <col min="7175" max="7175" width="14.140625" style="4" customWidth="1"/>
    <col min="7176" max="7176" width="9.140625" style="4" customWidth="1"/>
    <col min="7177" max="7177" width="19.7109375" style="4" customWidth="1"/>
    <col min="7178" max="7178" width="6.140625" style="4" customWidth="1"/>
    <col min="7179" max="7179" width="19.85546875" style="4" customWidth="1"/>
    <col min="7180" max="7180" width="22.85546875" style="4" customWidth="1"/>
    <col min="7181" max="7181" width="21.140625" style="4" customWidth="1"/>
    <col min="7182" max="7182" width="9.140625" style="4"/>
    <col min="7183" max="7183" width="10.42578125" style="4" customWidth="1"/>
    <col min="7184" max="7424" width="9.140625" style="4"/>
    <col min="7425" max="7425" width="4.5703125" style="4" customWidth="1"/>
    <col min="7426" max="7426" width="49.28515625" style="4" customWidth="1"/>
    <col min="7427" max="7427" width="14.28515625" style="4" customWidth="1"/>
    <col min="7428" max="7428" width="5.85546875" style="4" customWidth="1"/>
    <col min="7429" max="7429" width="10" style="4" customWidth="1"/>
    <col min="7430" max="7430" width="5.85546875" style="4" customWidth="1"/>
    <col min="7431" max="7431" width="14.140625" style="4" customWidth="1"/>
    <col min="7432" max="7432" width="9.140625" style="4" customWidth="1"/>
    <col min="7433" max="7433" width="19.7109375" style="4" customWidth="1"/>
    <col min="7434" max="7434" width="6.140625" style="4" customWidth="1"/>
    <col min="7435" max="7435" width="19.85546875" style="4" customWidth="1"/>
    <col min="7436" max="7436" width="22.85546875" style="4" customWidth="1"/>
    <col min="7437" max="7437" width="21.140625" style="4" customWidth="1"/>
    <col min="7438" max="7438" width="9.140625" style="4"/>
    <col min="7439" max="7439" width="10.42578125" style="4" customWidth="1"/>
    <col min="7440" max="7680" width="9.140625" style="4"/>
    <col min="7681" max="7681" width="4.5703125" style="4" customWidth="1"/>
    <col min="7682" max="7682" width="49.28515625" style="4" customWidth="1"/>
    <col min="7683" max="7683" width="14.28515625" style="4" customWidth="1"/>
    <col min="7684" max="7684" width="5.85546875" style="4" customWidth="1"/>
    <col min="7685" max="7685" width="10" style="4" customWidth="1"/>
    <col min="7686" max="7686" width="5.85546875" style="4" customWidth="1"/>
    <col min="7687" max="7687" width="14.140625" style="4" customWidth="1"/>
    <col min="7688" max="7688" width="9.140625" style="4" customWidth="1"/>
    <col min="7689" max="7689" width="19.7109375" style="4" customWidth="1"/>
    <col min="7690" max="7690" width="6.140625" style="4" customWidth="1"/>
    <col min="7691" max="7691" width="19.85546875" style="4" customWidth="1"/>
    <col min="7692" max="7692" width="22.85546875" style="4" customWidth="1"/>
    <col min="7693" max="7693" width="21.140625" style="4" customWidth="1"/>
    <col min="7694" max="7694" width="9.140625" style="4"/>
    <col min="7695" max="7695" width="10.42578125" style="4" customWidth="1"/>
    <col min="7696" max="7936" width="9.140625" style="4"/>
    <col min="7937" max="7937" width="4.5703125" style="4" customWidth="1"/>
    <col min="7938" max="7938" width="49.28515625" style="4" customWidth="1"/>
    <col min="7939" max="7939" width="14.28515625" style="4" customWidth="1"/>
    <col min="7940" max="7940" width="5.85546875" style="4" customWidth="1"/>
    <col min="7941" max="7941" width="10" style="4" customWidth="1"/>
    <col min="7942" max="7942" width="5.85546875" style="4" customWidth="1"/>
    <col min="7943" max="7943" width="14.140625" style="4" customWidth="1"/>
    <col min="7944" max="7944" width="9.140625" style="4" customWidth="1"/>
    <col min="7945" max="7945" width="19.7109375" style="4" customWidth="1"/>
    <col min="7946" max="7946" width="6.140625" style="4" customWidth="1"/>
    <col min="7947" max="7947" width="19.85546875" style="4" customWidth="1"/>
    <col min="7948" max="7948" width="22.85546875" style="4" customWidth="1"/>
    <col min="7949" max="7949" width="21.140625" style="4" customWidth="1"/>
    <col min="7950" max="7950" width="9.140625" style="4"/>
    <col min="7951" max="7951" width="10.42578125" style="4" customWidth="1"/>
    <col min="7952" max="8192" width="9.140625" style="4"/>
    <col min="8193" max="8193" width="4.5703125" style="4" customWidth="1"/>
    <col min="8194" max="8194" width="49.28515625" style="4" customWidth="1"/>
    <col min="8195" max="8195" width="14.28515625" style="4" customWidth="1"/>
    <col min="8196" max="8196" width="5.85546875" style="4" customWidth="1"/>
    <col min="8197" max="8197" width="10" style="4" customWidth="1"/>
    <col min="8198" max="8198" width="5.85546875" style="4" customWidth="1"/>
    <col min="8199" max="8199" width="14.140625" style="4" customWidth="1"/>
    <col min="8200" max="8200" width="9.140625" style="4" customWidth="1"/>
    <col min="8201" max="8201" width="19.7109375" style="4" customWidth="1"/>
    <col min="8202" max="8202" width="6.140625" style="4" customWidth="1"/>
    <col min="8203" max="8203" width="19.85546875" style="4" customWidth="1"/>
    <col min="8204" max="8204" width="22.85546875" style="4" customWidth="1"/>
    <col min="8205" max="8205" width="21.140625" style="4" customWidth="1"/>
    <col min="8206" max="8206" width="9.140625" style="4"/>
    <col min="8207" max="8207" width="10.42578125" style="4" customWidth="1"/>
    <col min="8208" max="8448" width="9.140625" style="4"/>
    <col min="8449" max="8449" width="4.5703125" style="4" customWidth="1"/>
    <col min="8450" max="8450" width="49.28515625" style="4" customWidth="1"/>
    <col min="8451" max="8451" width="14.28515625" style="4" customWidth="1"/>
    <col min="8452" max="8452" width="5.85546875" style="4" customWidth="1"/>
    <col min="8453" max="8453" width="10" style="4" customWidth="1"/>
    <col min="8454" max="8454" width="5.85546875" style="4" customWidth="1"/>
    <col min="8455" max="8455" width="14.140625" style="4" customWidth="1"/>
    <col min="8456" max="8456" width="9.140625" style="4" customWidth="1"/>
    <col min="8457" max="8457" width="19.7109375" style="4" customWidth="1"/>
    <col min="8458" max="8458" width="6.140625" style="4" customWidth="1"/>
    <col min="8459" max="8459" width="19.85546875" style="4" customWidth="1"/>
    <col min="8460" max="8460" width="22.85546875" style="4" customWidth="1"/>
    <col min="8461" max="8461" width="21.140625" style="4" customWidth="1"/>
    <col min="8462" max="8462" width="9.140625" style="4"/>
    <col min="8463" max="8463" width="10.42578125" style="4" customWidth="1"/>
    <col min="8464" max="8704" width="9.140625" style="4"/>
    <col min="8705" max="8705" width="4.5703125" style="4" customWidth="1"/>
    <col min="8706" max="8706" width="49.28515625" style="4" customWidth="1"/>
    <col min="8707" max="8707" width="14.28515625" style="4" customWidth="1"/>
    <col min="8708" max="8708" width="5.85546875" style="4" customWidth="1"/>
    <col min="8709" max="8709" width="10" style="4" customWidth="1"/>
    <col min="8710" max="8710" width="5.85546875" style="4" customWidth="1"/>
    <col min="8711" max="8711" width="14.140625" style="4" customWidth="1"/>
    <col min="8712" max="8712" width="9.140625" style="4" customWidth="1"/>
    <col min="8713" max="8713" width="19.7109375" style="4" customWidth="1"/>
    <col min="8714" max="8714" width="6.140625" style="4" customWidth="1"/>
    <col min="8715" max="8715" width="19.85546875" style="4" customWidth="1"/>
    <col min="8716" max="8716" width="22.85546875" style="4" customWidth="1"/>
    <col min="8717" max="8717" width="21.140625" style="4" customWidth="1"/>
    <col min="8718" max="8718" width="9.140625" style="4"/>
    <col min="8719" max="8719" width="10.42578125" style="4" customWidth="1"/>
    <col min="8720" max="8960" width="9.140625" style="4"/>
    <col min="8961" max="8961" width="4.5703125" style="4" customWidth="1"/>
    <col min="8962" max="8962" width="49.28515625" style="4" customWidth="1"/>
    <col min="8963" max="8963" width="14.28515625" style="4" customWidth="1"/>
    <col min="8964" max="8964" width="5.85546875" style="4" customWidth="1"/>
    <col min="8965" max="8965" width="10" style="4" customWidth="1"/>
    <col min="8966" max="8966" width="5.85546875" style="4" customWidth="1"/>
    <col min="8967" max="8967" width="14.140625" style="4" customWidth="1"/>
    <col min="8968" max="8968" width="9.140625" style="4" customWidth="1"/>
    <col min="8969" max="8969" width="19.7109375" style="4" customWidth="1"/>
    <col min="8970" max="8970" width="6.140625" style="4" customWidth="1"/>
    <col min="8971" max="8971" width="19.85546875" style="4" customWidth="1"/>
    <col min="8972" max="8972" width="22.85546875" style="4" customWidth="1"/>
    <col min="8973" max="8973" width="21.140625" style="4" customWidth="1"/>
    <col min="8974" max="8974" width="9.140625" style="4"/>
    <col min="8975" max="8975" width="10.42578125" style="4" customWidth="1"/>
    <col min="8976" max="9216" width="9.140625" style="4"/>
    <col min="9217" max="9217" width="4.5703125" style="4" customWidth="1"/>
    <col min="9218" max="9218" width="49.28515625" style="4" customWidth="1"/>
    <col min="9219" max="9219" width="14.28515625" style="4" customWidth="1"/>
    <col min="9220" max="9220" width="5.85546875" style="4" customWidth="1"/>
    <col min="9221" max="9221" width="10" style="4" customWidth="1"/>
    <col min="9222" max="9222" width="5.85546875" style="4" customWidth="1"/>
    <col min="9223" max="9223" width="14.140625" style="4" customWidth="1"/>
    <col min="9224" max="9224" width="9.140625" style="4" customWidth="1"/>
    <col min="9225" max="9225" width="19.7109375" style="4" customWidth="1"/>
    <col min="9226" max="9226" width="6.140625" style="4" customWidth="1"/>
    <col min="9227" max="9227" width="19.85546875" style="4" customWidth="1"/>
    <col min="9228" max="9228" width="22.85546875" style="4" customWidth="1"/>
    <col min="9229" max="9229" width="21.140625" style="4" customWidth="1"/>
    <col min="9230" max="9230" width="9.140625" style="4"/>
    <col min="9231" max="9231" width="10.42578125" style="4" customWidth="1"/>
    <col min="9232" max="9472" width="9.140625" style="4"/>
    <col min="9473" max="9473" width="4.5703125" style="4" customWidth="1"/>
    <col min="9474" max="9474" width="49.28515625" style="4" customWidth="1"/>
    <col min="9475" max="9475" width="14.28515625" style="4" customWidth="1"/>
    <col min="9476" max="9476" width="5.85546875" style="4" customWidth="1"/>
    <col min="9477" max="9477" width="10" style="4" customWidth="1"/>
    <col min="9478" max="9478" width="5.85546875" style="4" customWidth="1"/>
    <col min="9479" max="9479" width="14.140625" style="4" customWidth="1"/>
    <col min="9480" max="9480" width="9.140625" style="4" customWidth="1"/>
    <col min="9481" max="9481" width="19.7109375" style="4" customWidth="1"/>
    <col min="9482" max="9482" width="6.140625" style="4" customWidth="1"/>
    <col min="9483" max="9483" width="19.85546875" style="4" customWidth="1"/>
    <col min="9484" max="9484" width="22.85546875" style="4" customWidth="1"/>
    <col min="9485" max="9485" width="21.140625" style="4" customWidth="1"/>
    <col min="9486" max="9486" width="9.140625" style="4"/>
    <col min="9487" max="9487" width="10.42578125" style="4" customWidth="1"/>
    <col min="9488" max="9728" width="9.140625" style="4"/>
    <col min="9729" max="9729" width="4.5703125" style="4" customWidth="1"/>
    <col min="9730" max="9730" width="49.28515625" style="4" customWidth="1"/>
    <col min="9731" max="9731" width="14.28515625" style="4" customWidth="1"/>
    <col min="9732" max="9732" width="5.85546875" style="4" customWidth="1"/>
    <col min="9733" max="9733" width="10" style="4" customWidth="1"/>
    <col min="9734" max="9734" width="5.85546875" style="4" customWidth="1"/>
    <col min="9735" max="9735" width="14.140625" style="4" customWidth="1"/>
    <col min="9736" max="9736" width="9.140625" style="4" customWidth="1"/>
    <col min="9737" max="9737" width="19.7109375" style="4" customWidth="1"/>
    <col min="9738" max="9738" width="6.140625" style="4" customWidth="1"/>
    <col min="9739" max="9739" width="19.85546875" style="4" customWidth="1"/>
    <col min="9740" max="9740" width="22.85546875" style="4" customWidth="1"/>
    <col min="9741" max="9741" width="21.140625" style="4" customWidth="1"/>
    <col min="9742" max="9742" width="9.140625" style="4"/>
    <col min="9743" max="9743" width="10.42578125" style="4" customWidth="1"/>
    <col min="9744" max="9984" width="9.140625" style="4"/>
    <col min="9985" max="9985" width="4.5703125" style="4" customWidth="1"/>
    <col min="9986" max="9986" width="49.28515625" style="4" customWidth="1"/>
    <col min="9987" max="9987" width="14.28515625" style="4" customWidth="1"/>
    <col min="9988" max="9988" width="5.85546875" style="4" customWidth="1"/>
    <col min="9989" max="9989" width="10" style="4" customWidth="1"/>
    <col min="9990" max="9990" width="5.85546875" style="4" customWidth="1"/>
    <col min="9991" max="9991" width="14.140625" style="4" customWidth="1"/>
    <col min="9992" max="9992" width="9.140625" style="4" customWidth="1"/>
    <col min="9993" max="9993" width="19.7109375" style="4" customWidth="1"/>
    <col min="9994" max="9994" width="6.140625" style="4" customWidth="1"/>
    <col min="9995" max="9995" width="19.85546875" style="4" customWidth="1"/>
    <col min="9996" max="9996" width="22.85546875" style="4" customWidth="1"/>
    <col min="9997" max="9997" width="21.140625" style="4" customWidth="1"/>
    <col min="9998" max="9998" width="9.140625" style="4"/>
    <col min="9999" max="9999" width="10.42578125" style="4" customWidth="1"/>
    <col min="10000" max="10240" width="9.140625" style="4"/>
    <col min="10241" max="10241" width="4.5703125" style="4" customWidth="1"/>
    <col min="10242" max="10242" width="49.28515625" style="4" customWidth="1"/>
    <col min="10243" max="10243" width="14.28515625" style="4" customWidth="1"/>
    <col min="10244" max="10244" width="5.85546875" style="4" customWidth="1"/>
    <col min="10245" max="10245" width="10" style="4" customWidth="1"/>
    <col min="10246" max="10246" width="5.85546875" style="4" customWidth="1"/>
    <col min="10247" max="10247" width="14.140625" style="4" customWidth="1"/>
    <col min="10248" max="10248" width="9.140625" style="4" customWidth="1"/>
    <col min="10249" max="10249" width="19.7109375" style="4" customWidth="1"/>
    <col min="10250" max="10250" width="6.140625" style="4" customWidth="1"/>
    <col min="10251" max="10251" width="19.85546875" style="4" customWidth="1"/>
    <col min="10252" max="10252" width="22.85546875" style="4" customWidth="1"/>
    <col min="10253" max="10253" width="21.140625" style="4" customWidth="1"/>
    <col min="10254" max="10254" width="9.140625" style="4"/>
    <col min="10255" max="10255" width="10.42578125" style="4" customWidth="1"/>
    <col min="10256" max="10496" width="9.140625" style="4"/>
    <col min="10497" max="10497" width="4.5703125" style="4" customWidth="1"/>
    <col min="10498" max="10498" width="49.28515625" style="4" customWidth="1"/>
    <col min="10499" max="10499" width="14.28515625" style="4" customWidth="1"/>
    <col min="10500" max="10500" width="5.85546875" style="4" customWidth="1"/>
    <col min="10501" max="10501" width="10" style="4" customWidth="1"/>
    <col min="10502" max="10502" width="5.85546875" style="4" customWidth="1"/>
    <col min="10503" max="10503" width="14.140625" style="4" customWidth="1"/>
    <col min="10504" max="10504" width="9.140625" style="4" customWidth="1"/>
    <col min="10505" max="10505" width="19.7109375" style="4" customWidth="1"/>
    <col min="10506" max="10506" width="6.140625" style="4" customWidth="1"/>
    <col min="10507" max="10507" width="19.85546875" style="4" customWidth="1"/>
    <col min="10508" max="10508" width="22.85546875" style="4" customWidth="1"/>
    <col min="10509" max="10509" width="21.140625" style="4" customWidth="1"/>
    <col min="10510" max="10510" width="9.140625" style="4"/>
    <col min="10511" max="10511" width="10.42578125" style="4" customWidth="1"/>
    <col min="10512" max="10752" width="9.140625" style="4"/>
    <col min="10753" max="10753" width="4.5703125" style="4" customWidth="1"/>
    <col min="10754" max="10754" width="49.28515625" style="4" customWidth="1"/>
    <col min="10755" max="10755" width="14.28515625" style="4" customWidth="1"/>
    <col min="10756" max="10756" width="5.85546875" style="4" customWidth="1"/>
    <col min="10757" max="10757" width="10" style="4" customWidth="1"/>
    <col min="10758" max="10758" width="5.85546875" style="4" customWidth="1"/>
    <col min="10759" max="10759" width="14.140625" style="4" customWidth="1"/>
    <col min="10760" max="10760" width="9.140625" style="4" customWidth="1"/>
    <col min="10761" max="10761" width="19.7109375" style="4" customWidth="1"/>
    <col min="10762" max="10762" width="6.140625" style="4" customWidth="1"/>
    <col min="10763" max="10763" width="19.85546875" style="4" customWidth="1"/>
    <col min="10764" max="10764" width="22.85546875" style="4" customWidth="1"/>
    <col min="10765" max="10765" width="21.140625" style="4" customWidth="1"/>
    <col min="10766" max="10766" width="9.140625" style="4"/>
    <col min="10767" max="10767" width="10.42578125" style="4" customWidth="1"/>
    <col min="10768" max="11008" width="9.140625" style="4"/>
    <col min="11009" max="11009" width="4.5703125" style="4" customWidth="1"/>
    <col min="11010" max="11010" width="49.28515625" style="4" customWidth="1"/>
    <col min="11011" max="11011" width="14.28515625" style="4" customWidth="1"/>
    <col min="11012" max="11012" width="5.85546875" style="4" customWidth="1"/>
    <col min="11013" max="11013" width="10" style="4" customWidth="1"/>
    <col min="11014" max="11014" width="5.85546875" style="4" customWidth="1"/>
    <col min="11015" max="11015" width="14.140625" style="4" customWidth="1"/>
    <col min="11016" max="11016" width="9.140625" style="4" customWidth="1"/>
    <col min="11017" max="11017" width="19.7109375" style="4" customWidth="1"/>
    <col min="11018" max="11018" width="6.140625" style="4" customWidth="1"/>
    <col min="11019" max="11019" width="19.85546875" style="4" customWidth="1"/>
    <col min="11020" max="11020" width="22.85546875" style="4" customWidth="1"/>
    <col min="11021" max="11021" width="21.140625" style="4" customWidth="1"/>
    <col min="11022" max="11022" width="9.140625" style="4"/>
    <col min="11023" max="11023" width="10.42578125" style="4" customWidth="1"/>
    <col min="11024" max="11264" width="9.140625" style="4"/>
    <col min="11265" max="11265" width="4.5703125" style="4" customWidth="1"/>
    <col min="11266" max="11266" width="49.28515625" style="4" customWidth="1"/>
    <col min="11267" max="11267" width="14.28515625" style="4" customWidth="1"/>
    <col min="11268" max="11268" width="5.85546875" style="4" customWidth="1"/>
    <col min="11269" max="11269" width="10" style="4" customWidth="1"/>
    <col min="11270" max="11270" width="5.85546875" style="4" customWidth="1"/>
    <col min="11271" max="11271" width="14.140625" style="4" customWidth="1"/>
    <col min="11272" max="11272" width="9.140625" style="4" customWidth="1"/>
    <col min="11273" max="11273" width="19.7109375" style="4" customWidth="1"/>
    <col min="11274" max="11274" width="6.140625" style="4" customWidth="1"/>
    <col min="11275" max="11275" width="19.85546875" style="4" customWidth="1"/>
    <col min="11276" max="11276" width="22.85546875" style="4" customWidth="1"/>
    <col min="11277" max="11277" width="21.140625" style="4" customWidth="1"/>
    <col min="11278" max="11278" width="9.140625" style="4"/>
    <col min="11279" max="11279" width="10.42578125" style="4" customWidth="1"/>
    <col min="11280" max="11520" width="9.140625" style="4"/>
    <col min="11521" max="11521" width="4.5703125" style="4" customWidth="1"/>
    <col min="11522" max="11522" width="49.28515625" style="4" customWidth="1"/>
    <col min="11523" max="11523" width="14.28515625" style="4" customWidth="1"/>
    <col min="11524" max="11524" width="5.85546875" style="4" customWidth="1"/>
    <col min="11525" max="11525" width="10" style="4" customWidth="1"/>
    <col min="11526" max="11526" width="5.85546875" style="4" customWidth="1"/>
    <col min="11527" max="11527" width="14.140625" style="4" customWidth="1"/>
    <col min="11528" max="11528" width="9.140625" style="4" customWidth="1"/>
    <col min="11529" max="11529" width="19.7109375" style="4" customWidth="1"/>
    <col min="11530" max="11530" width="6.140625" style="4" customWidth="1"/>
    <col min="11531" max="11531" width="19.85546875" style="4" customWidth="1"/>
    <col min="11532" max="11532" width="22.85546875" style="4" customWidth="1"/>
    <col min="11533" max="11533" width="21.140625" style="4" customWidth="1"/>
    <col min="11534" max="11534" width="9.140625" style="4"/>
    <col min="11535" max="11535" width="10.42578125" style="4" customWidth="1"/>
    <col min="11536" max="11776" width="9.140625" style="4"/>
    <col min="11777" max="11777" width="4.5703125" style="4" customWidth="1"/>
    <col min="11778" max="11778" width="49.28515625" style="4" customWidth="1"/>
    <col min="11779" max="11779" width="14.28515625" style="4" customWidth="1"/>
    <col min="11780" max="11780" width="5.85546875" style="4" customWidth="1"/>
    <col min="11781" max="11781" width="10" style="4" customWidth="1"/>
    <col min="11782" max="11782" width="5.85546875" style="4" customWidth="1"/>
    <col min="11783" max="11783" width="14.140625" style="4" customWidth="1"/>
    <col min="11784" max="11784" width="9.140625" style="4" customWidth="1"/>
    <col min="11785" max="11785" width="19.7109375" style="4" customWidth="1"/>
    <col min="11786" max="11786" width="6.140625" style="4" customWidth="1"/>
    <col min="11787" max="11787" width="19.85546875" style="4" customWidth="1"/>
    <col min="11788" max="11788" width="22.85546875" style="4" customWidth="1"/>
    <col min="11789" max="11789" width="21.140625" style="4" customWidth="1"/>
    <col min="11790" max="11790" width="9.140625" style="4"/>
    <col min="11791" max="11791" width="10.42578125" style="4" customWidth="1"/>
    <col min="11792" max="12032" width="9.140625" style="4"/>
    <col min="12033" max="12033" width="4.5703125" style="4" customWidth="1"/>
    <col min="12034" max="12034" width="49.28515625" style="4" customWidth="1"/>
    <col min="12035" max="12035" width="14.28515625" style="4" customWidth="1"/>
    <col min="12036" max="12036" width="5.85546875" style="4" customWidth="1"/>
    <col min="12037" max="12037" width="10" style="4" customWidth="1"/>
    <col min="12038" max="12038" width="5.85546875" style="4" customWidth="1"/>
    <col min="12039" max="12039" width="14.140625" style="4" customWidth="1"/>
    <col min="12040" max="12040" width="9.140625" style="4" customWidth="1"/>
    <col min="12041" max="12041" width="19.7109375" style="4" customWidth="1"/>
    <col min="12042" max="12042" width="6.140625" style="4" customWidth="1"/>
    <col min="12043" max="12043" width="19.85546875" style="4" customWidth="1"/>
    <col min="12044" max="12044" width="22.85546875" style="4" customWidth="1"/>
    <col min="12045" max="12045" width="21.140625" style="4" customWidth="1"/>
    <col min="12046" max="12046" width="9.140625" style="4"/>
    <col min="12047" max="12047" width="10.42578125" style="4" customWidth="1"/>
    <col min="12048" max="12288" width="9.140625" style="4"/>
    <col min="12289" max="12289" width="4.5703125" style="4" customWidth="1"/>
    <col min="12290" max="12290" width="49.28515625" style="4" customWidth="1"/>
    <col min="12291" max="12291" width="14.28515625" style="4" customWidth="1"/>
    <col min="12292" max="12292" width="5.85546875" style="4" customWidth="1"/>
    <col min="12293" max="12293" width="10" style="4" customWidth="1"/>
    <col min="12294" max="12294" width="5.85546875" style="4" customWidth="1"/>
    <col min="12295" max="12295" width="14.140625" style="4" customWidth="1"/>
    <col min="12296" max="12296" width="9.140625" style="4" customWidth="1"/>
    <col min="12297" max="12297" width="19.7109375" style="4" customWidth="1"/>
    <col min="12298" max="12298" width="6.140625" style="4" customWidth="1"/>
    <col min="12299" max="12299" width="19.85546875" style="4" customWidth="1"/>
    <col min="12300" max="12300" width="22.85546875" style="4" customWidth="1"/>
    <col min="12301" max="12301" width="21.140625" style="4" customWidth="1"/>
    <col min="12302" max="12302" width="9.140625" style="4"/>
    <col min="12303" max="12303" width="10.42578125" style="4" customWidth="1"/>
    <col min="12304" max="12544" width="9.140625" style="4"/>
    <col min="12545" max="12545" width="4.5703125" style="4" customWidth="1"/>
    <col min="12546" max="12546" width="49.28515625" style="4" customWidth="1"/>
    <col min="12547" max="12547" width="14.28515625" style="4" customWidth="1"/>
    <col min="12548" max="12548" width="5.85546875" style="4" customWidth="1"/>
    <col min="12549" max="12549" width="10" style="4" customWidth="1"/>
    <col min="12550" max="12550" width="5.85546875" style="4" customWidth="1"/>
    <col min="12551" max="12551" width="14.140625" style="4" customWidth="1"/>
    <col min="12552" max="12552" width="9.140625" style="4" customWidth="1"/>
    <col min="12553" max="12553" width="19.7109375" style="4" customWidth="1"/>
    <col min="12554" max="12554" width="6.140625" style="4" customWidth="1"/>
    <col min="12555" max="12555" width="19.85546875" style="4" customWidth="1"/>
    <col min="12556" max="12556" width="22.85546875" style="4" customWidth="1"/>
    <col min="12557" max="12557" width="21.140625" style="4" customWidth="1"/>
    <col min="12558" max="12558" width="9.140625" style="4"/>
    <col min="12559" max="12559" width="10.42578125" style="4" customWidth="1"/>
    <col min="12560" max="12800" width="9.140625" style="4"/>
    <col min="12801" max="12801" width="4.5703125" style="4" customWidth="1"/>
    <col min="12802" max="12802" width="49.28515625" style="4" customWidth="1"/>
    <col min="12803" max="12803" width="14.28515625" style="4" customWidth="1"/>
    <col min="12804" max="12804" width="5.85546875" style="4" customWidth="1"/>
    <col min="12805" max="12805" width="10" style="4" customWidth="1"/>
    <col min="12806" max="12806" width="5.85546875" style="4" customWidth="1"/>
    <col min="12807" max="12807" width="14.140625" style="4" customWidth="1"/>
    <col min="12808" max="12808" width="9.140625" style="4" customWidth="1"/>
    <col min="12809" max="12809" width="19.7109375" style="4" customWidth="1"/>
    <col min="12810" max="12810" width="6.140625" style="4" customWidth="1"/>
    <col min="12811" max="12811" width="19.85546875" style="4" customWidth="1"/>
    <col min="12812" max="12812" width="22.85546875" style="4" customWidth="1"/>
    <col min="12813" max="12813" width="21.140625" style="4" customWidth="1"/>
    <col min="12814" max="12814" width="9.140625" style="4"/>
    <col min="12815" max="12815" width="10.42578125" style="4" customWidth="1"/>
    <col min="12816" max="13056" width="9.140625" style="4"/>
    <col min="13057" max="13057" width="4.5703125" style="4" customWidth="1"/>
    <col min="13058" max="13058" width="49.28515625" style="4" customWidth="1"/>
    <col min="13059" max="13059" width="14.28515625" style="4" customWidth="1"/>
    <col min="13060" max="13060" width="5.85546875" style="4" customWidth="1"/>
    <col min="13061" max="13061" width="10" style="4" customWidth="1"/>
    <col min="13062" max="13062" width="5.85546875" style="4" customWidth="1"/>
    <col min="13063" max="13063" width="14.140625" style="4" customWidth="1"/>
    <col min="13064" max="13064" width="9.140625" style="4" customWidth="1"/>
    <col min="13065" max="13065" width="19.7109375" style="4" customWidth="1"/>
    <col min="13066" max="13066" width="6.140625" style="4" customWidth="1"/>
    <col min="13067" max="13067" width="19.85546875" style="4" customWidth="1"/>
    <col min="13068" max="13068" width="22.85546875" style="4" customWidth="1"/>
    <col min="13069" max="13069" width="21.140625" style="4" customWidth="1"/>
    <col min="13070" max="13070" width="9.140625" style="4"/>
    <col min="13071" max="13071" width="10.42578125" style="4" customWidth="1"/>
    <col min="13072" max="13312" width="9.140625" style="4"/>
    <col min="13313" max="13313" width="4.5703125" style="4" customWidth="1"/>
    <col min="13314" max="13314" width="49.28515625" style="4" customWidth="1"/>
    <col min="13315" max="13315" width="14.28515625" style="4" customWidth="1"/>
    <col min="13316" max="13316" width="5.85546875" style="4" customWidth="1"/>
    <col min="13317" max="13317" width="10" style="4" customWidth="1"/>
    <col min="13318" max="13318" width="5.85546875" style="4" customWidth="1"/>
    <col min="13319" max="13319" width="14.140625" style="4" customWidth="1"/>
    <col min="13320" max="13320" width="9.140625" style="4" customWidth="1"/>
    <col min="13321" max="13321" width="19.7109375" style="4" customWidth="1"/>
    <col min="13322" max="13322" width="6.140625" style="4" customWidth="1"/>
    <col min="13323" max="13323" width="19.85546875" style="4" customWidth="1"/>
    <col min="13324" max="13324" width="22.85546875" style="4" customWidth="1"/>
    <col min="13325" max="13325" width="21.140625" style="4" customWidth="1"/>
    <col min="13326" max="13326" width="9.140625" style="4"/>
    <col min="13327" max="13327" width="10.42578125" style="4" customWidth="1"/>
    <col min="13328" max="13568" width="9.140625" style="4"/>
    <col min="13569" max="13569" width="4.5703125" style="4" customWidth="1"/>
    <col min="13570" max="13570" width="49.28515625" style="4" customWidth="1"/>
    <col min="13571" max="13571" width="14.28515625" style="4" customWidth="1"/>
    <col min="13572" max="13572" width="5.85546875" style="4" customWidth="1"/>
    <col min="13573" max="13573" width="10" style="4" customWidth="1"/>
    <col min="13574" max="13574" width="5.85546875" style="4" customWidth="1"/>
    <col min="13575" max="13575" width="14.140625" style="4" customWidth="1"/>
    <col min="13576" max="13576" width="9.140625" style="4" customWidth="1"/>
    <col min="13577" max="13577" width="19.7109375" style="4" customWidth="1"/>
    <col min="13578" max="13578" width="6.140625" style="4" customWidth="1"/>
    <col min="13579" max="13579" width="19.85546875" style="4" customWidth="1"/>
    <col min="13580" max="13580" width="22.85546875" style="4" customWidth="1"/>
    <col min="13581" max="13581" width="21.140625" style="4" customWidth="1"/>
    <col min="13582" max="13582" width="9.140625" style="4"/>
    <col min="13583" max="13583" width="10.42578125" style="4" customWidth="1"/>
    <col min="13584" max="13824" width="9.140625" style="4"/>
    <col min="13825" max="13825" width="4.5703125" style="4" customWidth="1"/>
    <col min="13826" max="13826" width="49.28515625" style="4" customWidth="1"/>
    <col min="13827" max="13827" width="14.28515625" style="4" customWidth="1"/>
    <col min="13828" max="13828" width="5.85546875" style="4" customWidth="1"/>
    <col min="13829" max="13829" width="10" style="4" customWidth="1"/>
    <col min="13830" max="13830" width="5.85546875" style="4" customWidth="1"/>
    <col min="13831" max="13831" width="14.140625" style="4" customWidth="1"/>
    <col min="13832" max="13832" width="9.140625" style="4" customWidth="1"/>
    <col min="13833" max="13833" width="19.7109375" style="4" customWidth="1"/>
    <col min="13834" max="13834" width="6.140625" style="4" customWidth="1"/>
    <col min="13835" max="13835" width="19.85546875" style="4" customWidth="1"/>
    <col min="13836" max="13836" width="22.85546875" style="4" customWidth="1"/>
    <col min="13837" max="13837" width="21.140625" style="4" customWidth="1"/>
    <col min="13838" max="13838" width="9.140625" style="4"/>
    <col min="13839" max="13839" width="10.42578125" style="4" customWidth="1"/>
    <col min="13840" max="14080" width="9.140625" style="4"/>
    <col min="14081" max="14081" width="4.5703125" style="4" customWidth="1"/>
    <col min="14082" max="14082" width="49.28515625" style="4" customWidth="1"/>
    <col min="14083" max="14083" width="14.28515625" style="4" customWidth="1"/>
    <col min="14084" max="14084" width="5.85546875" style="4" customWidth="1"/>
    <col min="14085" max="14085" width="10" style="4" customWidth="1"/>
    <col min="14086" max="14086" width="5.85546875" style="4" customWidth="1"/>
    <col min="14087" max="14087" width="14.140625" style="4" customWidth="1"/>
    <col min="14088" max="14088" width="9.140625" style="4" customWidth="1"/>
    <col min="14089" max="14089" width="19.7109375" style="4" customWidth="1"/>
    <col min="14090" max="14090" width="6.140625" style="4" customWidth="1"/>
    <col min="14091" max="14091" width="19.85546875" style="4" customWidth="1"/>
    <col min="14092" max="14092" width="22.85546875" style="4" customWidth="1"/>
    <col min="14093" max="14093" width="21.140625" style="4" customWidth="1"/>
    <col min="14094" max="14094" width="9.140625" style="4"/>
    <col min="14095" max="14095" width="10.42578125" style="4" customWidth="1"/>
    <col min="14096" max="14336" width="9.140625" style="4"/>
    <col min="14337" max="14337" width="4.5703125" style="4" customWidth="1"/>
    <col min="14338" max="14338" width="49.28515625" style="4" customWidth="1"/>
    <col min="14339" max="14339" width="14.28515625" style="4" customWidth="1"/>
    <col min="14340" max="14340" width="5.85546875" style="4" customWidth="1"/>
    <col min="14341" max="14341" width="10" style="4" customWidth="1"/>
    <col min="14342" max="14342" width="5.85546875" style="4" customWidth="1"/>
    <col min="14343" max="14343" width="14.140625" style="4" customWidth="1"/>
    <col min="14344" max="14344" width="9.140625" style="4" customWidth="1"/>
    <col min="14345" max="14345" width="19.7109375" style="4" customWidth="1"/>
    <col min="14346" max="14346" width="6.140625" style="4" customWidth="1"/>
    <col min="14347" max="14347" width="19.85546875" style="4" customWidth="1"/>
    <col min="14348" max="14348" width="22.85546875" style="4" customWidth="1"/>
    <col min="14349" max="14349" width="21.140625" style="4" customWidth="1"/>
    <col min="14350" max="14350" width="9.140625" style="4"/>
    <col min="14351" max="14351" width="10.42578125" style="4" customWidth="1"/>
    <col min="14352" max="14592" width="9.140625" style="4"/>
    <col min="14593" max="14593" width="4.5703125" style="4" customWidth="1"/>
    <col min="14594" max="14594" width="49.28515625" style="4" customWidth="1"/>
    <col min="14595" max="14595" width="14.28515625" style="4" customWidth="1"/>
    <col min="14596" max="14596" width="5.85546875" style="4" customWidth="1"/>
    <col min="14597" max="14597" width="10" style="4" customWidth="1"/>
    <col min="14598" max="14598" width="5.85546875" style="4" customWidth="1"/>
    <col min="14599" max="14599" width="14.140625" style="4" customWidth="1"/>
    <col min="14600" max="14600" width="9.140625" style="4" customWidth="1"/>
    <col min="14601" max="14601" width="19.7109375" style="4" customWidth="1"/>
    <col min="14602" max="14602" width="6.140625" style="4" customWidth="1"/>
    <col min="14603" max="14603" width="19.85546875" style="4" customWidth="1"/>
    <col min="14604" max="14604" width="22.85546875" style="4" customWidth="1"/>
    <col min="14605" max="14605" width="21.140625" style="4" customWidth="1"/>
    <col min="14606" max="14606" width="9.140625" style="4"/>
    <col min="14607" max="14607" width="10.42578125" style="4" customWidth="1"/>
    <col min="14608" max="14848" width="9.140625" style="4"/>
    <col min="14849" max="14849" width="4.5703125" style="4" customWidth="1"/>
    <col min="14850" max="14850" width="49.28515625" style="4" customWidth="1"/>
    <col min="14851" max="14851" width="14.28515625" style="4" customWidth="1"/>
    <col min="14852" max="14852" width="5.85546875" style="4" customWidth="1"/>
    <col min="14853" max="14853" width="10" style="4" customWidth="1"/>
    <col min="14854" max="14854" width="5.85546875" style="4" customWidth="1"/>
    <col min="14855" max="14855" width="14.140625" style="4" customWidth="1"/>
    <col min="14856" max="14856" width="9.140625" style="4" customWidth="1"/>
    <col min="14857" max="14857" width="19.7109375" style="4" customWidth="1"/>
    <col min="14858" max="14858" width="6.140625" style="4" customWidth="1"/>
    <col min="14859" max="14859" width="19.85546875" style="4" customWidth="1"/>
    <col min="14860" max="14860" width="22.85546875" style="4" customWidth="1"/>
    <col min="14861" max="14861" width="21.140625" style="4" customWidth="1"/>
    <col min="14862" max="14862" width="9.140625" style="4"/>
    <col min="14863" max="14863" width="10.42578125" style="4" customWidth="1"/>
    <col min="14864" max="15104" width="9.140625" style="4"/>
    <col min="15105" max="15105" width="4.5703125" style="4" customWidth="1"/>
    <col min="15106" max="15106" width="49.28515625" style="4" customWidth="1"/>
    <col min="15107" max="15107" width="14.28515625" style="4" customWidth="1"/>
    <col min="15108" max="15108" width="5.85546875" style="4" customWidth="1"/>
    <col min="15109" max="15109" width="10" style="4" customWidth="1"/>
    <col min="15110" max="15110" width="5.85546875" style="4" customWidth="1"/>
    <col min="15111" max="15111" width="14.140625" style="4" customWidth="1"/>
    <col min="15112" max="15112" width="9.140625" style="4" customWidth="1"/>
    <col min="15113" max="15113" width="19.7109375" style="4" customWidth="1"/>
    <col min="15114" max="15114" width="6.140625" style="4" customWidth="1"/>
    <col min="15115" max="15115" width="19.85546875" style="4" customWidth="1"/>
    <col min="15116" max="15116" width="22.85546875" style="4" customWidth="1"/>
    <col min="15117" max="15117" width="21.140625" style="4" customWidth="1"/>
    <col min="15118" max="15118" width="9.140625" style="4"/>
    <col min="15119" max="15119" width="10.42578125" style="4" customWidth="1"/>
    <col min="15120" max="15360" width="9.140625" style="4"/>
    <col min="15361" max="15361" width="4.5703125" style="4" customWidth="1"/>
    <col min="15362" max="15362" width="49.28515625" style="4" customWidth="1"/>
    <col min="15363" max="15363" width="14.28515625" style="4" customWidth="1"/>
    <col min="15364" max="15364" width="5.85546875" style="4" customWidth="1"/>
    <col min="15365" max="15365" width="10" style="4" customWidth="1"/>
    <col min="15366" max="15366" width="5.85546875" style="4" customWidth="1"/>
    <col min="15367" max="15367" width="14.140625" style="4" customWidth="1"/>
    <col min="15368" max="15368" width="9.140625" style="4" customWidth="1"/>
    <col min="15369" max="15369" width="19.7109375" style="4" customWidth="1"/>
    <col min="15370" max="15370" width="6.140625" style="4" customWidth="1"/>
    <col min="15371" max="15371" width="19.85546875" style="4" customWidth="1"/>
    <col min="15372" max="15372" width="22.85546875" style="4" customWidth="1"/>
    <col min="15373" max="15373" width="21.140625" style="4" customWidth="1"/>
    <col min="15374" max="15374" width="9.140625" style="4"/>
    <col min="15375" max="15375" width="10.42578125" style="4" customWidth="1"/>
    <col min="15376" max="15616" width="9.140625" style="4"/>
    <col min="15617" max="15617" width="4.5703125" style="4" customWidth="1"/>
    <col min="15618" max="15618" width="49.28515625" style="4" customWidth="1"/>
    <col min="15619" max="15619" width="14.28515625" style="4" customWidth="1"/>
    <col min="15620" max="15620" width="5.85546875" style="4" customWidth="1"/>
    <col min="15621" max="15621" width="10" style="4" customWidth="1"/>
    <col min="15622" max="15622" width="5.85546875" style="4" customWidth="1"/>
    <col min="15623" max="15623" width="14.140625" style="4" customWidth="1"/>
    <col min="15624" max="15624" width="9.140625" style="4" customWidth="1"/>
    <col min="15625" max="15625" width="19.7109375" style="4" customWidth="1"/>
    <col min="15626" max="15626" width="6.140625" style="4" customWidth="1"/>
    <col min="15627" max="15627" width="19.85546875" style="4" customWidth="1"/>
    <col min="15628" max="15628" width="22.85546875" style="4" customWidth="1"/>
    <col min="15629" max="15629" width="21.140625" style="4" customWidth="1"/>
    <col min="15630" max="15630" width="9.140625" style="4"/>
    <col min="15631" max="15631" width="10.42578125" style="4" customWidth="1"/>
    <col min="15632" max="15872" width="9.140625" style="4"/>
    <col min="15873" max="15873" width="4.5703125" style="4" customWidth="1"/>
    <col min="15874" max="15874" width="49.28515625" style="4" customWidth="1"/>
    <col min="15875" max="15875" width="14.28515625" style="4" customWidth="1"/>
    <col min="15876" max="15876" width="5.85546875" style="4" customWidth="1"/>
    <col min="15877" max="15877" width="10" style="4" customWidth="1"/>
    <col min="15878" max="15878" width="5.85546875" style="4" customWidth="1"/>
    <col min="15879" max="15879" width="14.140625" style="4" customWidth="1"/>
    <col min="15880" max="15880" width="9.140625" style="4" customWidth="1"/>
    <col min="15881" max="15881" width="19.7109375" style="4" customWidth="1"/>
    <col min="15882" max="15882" width="6.140625" style="4" customWidth="1"/>
    <col min="15883" max="15883" width="19.85546875" style="4" customWidth="1"/>
    <col min="15884" max="15884" width="22.85546875" style="4" customWidth="1"/>
    <col min="15885" max="15885" width="21.140625" style="4" customWidth="1"/>
    <col min="15886" max="15886" width="9.140625" style="4"/>
    <col min="15887" max="15887" width="10.42578125" style="4" customWidth="1"/>
    <col min="15888" max="16128" width="9.140625" style="4"/>
    <col min="16129" max="16129" width="4.5703125" style="4" customWidth="1"/>
    <col min="16130" max="16130" width="49.28515625" style="4" customWidth="1"/>
    <col min="16131" max="16131" width="14.28515625" style="4" customWidth="1"/>
    <col min="16132" max="16132" width="5.85546875" style="4" customWidth="1"/>
    <col min="16133" max="16133" width="10" style="4" customWidth="1"/>
    <col min="16134" max="16134" width="5.85546875" style="4" customWidth="1"/>
    <col min="16135" max="16135" width="14.140625" style="4" customWidth="1"/>
    <col min="16136" max="16136" width="9.140625" style="4" customWidth="1"/>
    <col min="16137" max="16137" width="19.7109375" style="4" customWidth="1"/>
    <col min="16138" max="16138" width="6.140625" style="4" customWidth="1"/>
    <col min="16139" max="16139" width="19.85546875" style="4" customWidth="1"/>
    <col min="16140" max="16140" width="22.85546875" style="4" customWidth="1"/>
    <col min="16141" max="16141" width="21.140625" style="4" customWidth="1"/>
    <col min="16142" max="16142" width="9.140625" style="4"/>
    <col min="16143" max="16143" width="10.42578125" style="4" customWidth="1"/>
    <col min="16144" max="16384" width="9.140625" style="4"/>
  </cols>
  <sheetData>
    <row r="1" spans="1:16" ht="18.75" customHeight="1">
      <c r="A1" s="2714"/>
      <c r="B1" s="2715"/>
      <c r="C1" s="3455" t="s">
        <v>2892</v>
      </c>
      <c r="D1" s="3455"/>
      <c r="E1" s="3455"/>
      <c r="F1" s="3455"/>
      <c r="G1" s="3455"/>
      <c r="H1" s="2715"/>
      <c r="I1" s="2715"/>
      <c r="J1" s="2715"/>
      <c r="K1" s="2715"/>
    </row>
    <row r="2" spans="1:16" ht="18" customHeight="1">
      <c r="A2" s="2714"/>
      <c r="B2" s="2715"/>
      <c r="C2" s="2715"/>
      <c r="D2" s="2718"/>
      <c r="E2" s="2718"/>
      <c r="F2" s="2718"/>
      <c r="G2" s="2715"/>
      <c r="H2" s="2715"/>
      <c r="I2" s="2715"/>
      <c r="J2" s="2715"/>
      <c r="K2" s="2707" t="s">
        <v>89</v>
      </c>
    </row>
    <row r="3" spans="1:16" ht="48.75" customHeight="1">
      <c r="A3" s="2714"/>
      <c r="B3" s="3061" t="s">
        <v>2893</v>
      </c>
      <c r="C3" s="3061"/>
      <c r="D3" s="3061"/>
      <c r="E3" s="3061"/>
      <c r="F3" s="3061"/>
      <c r="G3" s="3061"/>
      <c r="H3" s="3061"/>
      <c r="I3" s="3061"/>
      <c r="J3" s="3061"/>
      <c r="K3" s="2719"/>
    </row>
    <row r="4" spans="1:16" ht="10.5" customHeight="1">
      <c r="A4" s="2721"/>
      <c r="B4" s="2722"/>
      <c r="C4" s="2722"/>
      <c r="D4" s="2722"/>
      <c r="E4" s="2722"/>
      <c r="F4" s="333"/>
      <c r="G4" s="333"/>
      <c r="H4" s="333"/>
      <c r="I4" s="333"/>
      <c r="J4" s="2717"/>
      <c r="K4" s="2717"/>
    </row>
    <row r="5" spans="1:16" ht="107.25" customHeight="1">
      <c r="A5" s="3148" t="s">
        <v>2</v>
      </c>
      <c r="B5" s="3148" t="s">
        <v>3</v>
      </c>
      <c r="C5" s="3148" t="s">
        <v>1720</v>
      </c>
      <c r="D5" s="3148" t="s">
        <v>5</v>
      </c>
      <c r="E5" s="3148" t="s">
        <v>96</v>
      </c>
      <c r="F5" s="3453" t="s">
        <v>2894</v>
      </c>
      <c r="G5" s="3453"/>
      <c r="H5" s="3453" t="s">
        <v>2895</v>
      </c>
      <c r="I5" s="3453"/>
      <c r="J5" s="3453" t="s">
        <v>2896</v>
      </c>
      <c r="K5" s="3453"/>
      <c r="L5" s="2723" t="s">
        <v>1975</v>
      </c>
    </row>
    <row r="6" spans="1:16" ht="17.25" customHeight="1">
      <c r="A6" s="3148"/>
      <c r="B6" s="3148"/>
      <c r="C6" s="3148"/>
      <c r="D6" s="3148"/>
      <c r="E6" s="3148"/>
      <c r="F6" s="2711" t="s">
        <v>95</v>
      </c>
      <c r="G6" s="2711" t="s">
        <v>10</v>
      </c>
      <c r="H6" s="2711" t="s">
        <v>95</v>
      </c>
      <c r="I6" s="2711" t="s">
        <v>10</v>
      </c>
      <c r="J6" s="2711" t="s">
        <v>95</v>
      </c>
      <c r="K6" s="2711" t="s">
        <v>10</v>
      </c>
    </row>
    <row r="7" spans="1:16" ht="15">
      <c r="A7" s="2726" t="s">
        <v>1470</v>
      </c>
      <c r="B7" s="2726" t="s">
        <v>1425</v>
      </c>
      <c r="C7" s="2727">
        <v>3</v>
      </c>
      <c r="D7" s="2726">
        <v>4</v>
      </c>
      <c r="E7" s="2726">
        <v>5</v>
      </c>
      <c r="F7" s="2726">
        <v>6</v>
      </c>
      <c r="G7" s="2726">
        <v>7</v>
      </c>
      <c r="H7" s="2726">
        <v>6</v>
      </c>
      <c r="I7" s="2726">
        <v>7</v>
      </c>
      <c r="J7" s="2726">
        <v>6</v>
      </c>
      <c r="K7" s="2726">
        <v>7</v>
      </c>
    </row>
    <row r="8" spans="1:16" ht="45.75" customHeight="1">
      <c r="A8" s="1867" t="s">
        <v>1796</v>
      </c>
      <c r="B8" s="1868" t="s">
        <v>2881</v>
      </c>
      <c r="C8" s="1875">
        <v>7130600675</v>
      </c>
      <c r="D8" s="1867" t="s">
        <v>26</v>
      </c>
      <c r="E8" s="2762">
        <f>VLOOKUP(C8,'[25]SOR RATE'!A:D,4,0)/1000</f>
        <v>68.748589999999993</v>
      </c>
      <c r="F8" s="1867"/>
      <c r="G8" s="2763"/>
      <c r="H8" s="1090">
        <f>19.495*9.3*20</f>
        <v>3626.07</v>
      </c>
      <c r="I8" s="2764">
        <f>H8*E8</f>
        <v>249287.19974129999</v>
      </c>
      <c r="J8" s="1867"/>
      <c r="K8" s="2763"/>
    </row>
    <row r="9" spans="1:16" ht="30.75" customHeight="1">
      <c r="A9" s="1867" t="s">
        <v>2882</v>
      </c>
      <c r="B9" s="1874" t="s">
        <v>2883</v>
      </c>
      <c r="C9" s="1875">
        <v>7130601958</v>
      </c>
      <c r="D9" s="1867" t="s">
        <v>26</v>
      </c>
      <c r="E9" s="2762">
        <f>VLOOKUP(C9,'[25]SOR RATE'!A:D,4,0)/1000</f>
        <v>64.326520000000002</v>
      </c>
      <c r="F9" s="1867"/>
      <c r="G9" s="2764"/>
      <c r="H9" s="1867"/>
      <c r="I9" s="2763"/>
      <c r="J9" s="2765">
        <v>6678</v>
      </c>
      <c r="K9" s="2764">
        <f>J9*E9</f>
        <v>429572.50056000001</v>
      </c>
    </row>
    <row r="10" spans="1:16" ht="18" customHeight="1">
      <c r="A10" s="1867" t="s">
        <v>2581</v>
      </c>
      <c r="B10" s="2766" t="s">
        <v>2797</v>
      </c>
      <c r="C10" s="2767">
        <v>7130800012</v>
      </c>
      <c r="D10" s="2768" t="s">
        <v>12</v>
      </c>
      <c r="E10" s="2762">
        <f>VLOOKUP(C10,'[25]SOR RATE'!A:D,4,0)</f>
        <v>2298.46</v>
      </c>
      <c r="F10" s="2763">
        <v>20</v>
      </c>
      <c r="G10" s="2764">
        <f t="shared" ref="G10:G16" si="0">F10*E10</f>
        <v>45969.2</v>
      </c>
      <c r="H10" s="2763"/>
      <c r="I10" s="2763"/>
      <c r="J10" s="2763"/>
      <c r="K10" s="2764"/>
    </row>
    <row r="11" spans="1:16" ht="42.75" customHeight="1">
      <c r="A11" s="1867">
        <v>2</v>
      </c>
      <c r="B11" s="1868" t="s">
        <v>562</v>
      </c>
      <c r="C11" s="1875">
        <v>7130797533</v>
      </c>
      <c r="D11" s="1867" t="s">
        <v>12</v>
      </c>
      <c r="E11" s="2762">
        <f>VLOOKUP(C11,'[25]SOR RATE'!A:D,4,0)</f>
        <v>550.41999999999996</v>
      </c>
      <c r="F11" s="2763">
        <v>15</v>
      </c>
      <c r="G11" s="2764">
        <f t="shared" si="0"/>
        <v>8256.2999999999993</v>
      </c>
      <c r="H11" s="2763">
        <v>15</v>
      </c>
      <c r="I11" s="2764">
        <f t="shared" ref="I11:I16" si="1">H11*E11</f>
        <v>8256.2999999999993</v>
      </c>
      <c r="J11" s="2763">
        <v>15</v>
      </c>
      <c r="K11" s="2764">
        <f t="shared" ref="K11:K16" si="2">J11*E11</f>
        <v>8256.2999999999993</v>
      </c>
      <c r="L11" s="2748"/>
      <c r="M11" s="212"/>
      <c r="N11" s="212"/>
      <c r="O11" s="212"/>
      <c r="P11" s="212"/>
    </row>
    <row r="12" spans="1:16" ht="42.75" customHeight="1">
      <c r="A12" s="1867" t="s">
        <v>2798</v>
      </c>
      <c r="B12" s="1873" t="s">
        <v>456</v>
      </c>
      <c r="C12" s="1875">
        <v>7130390003</v>
      </c>
      <c r="D12" s="1867" t="s">
        <v>12</v>
      </c>
      <c r="E12" s="2762">
        <f>VLOOKUP(C12,'[25]SOR RATE'!A:D,4,0)</f>
        <v>96.28</v>
      </c>
      <c r="F12" s="2763">
        <v>20</v>
      </c>
      <c r="G12" s="2764">
        <f t="shared" si="0"/>
        <v>1925.6</v>
      </c>
      <c r="H12" s="2763">
        <v>20</v>
      </c>
      <c r="I12" s="2764">
        <f t="shared" si="1"/>
        <v>1925.6</v>
      </c>
      <c r="J12" s="2763">
        <v>20</v>
      </c>
      <c r="K12" s="2764">
        <f t="shared" si="2"/>
        <v>1925.6</v>
      </c>
      <c r="L12" s="2748"/>
      <c r="M12" s="490"/>
      <c r="N12" s="490"/>
      <c r="O12" s="490"/>
      <c r="P12" s="490"/>
    </row>
    <row r="13" spans="1:16" ht="31.5" customHeight="1">
      <c r="A13" s="1867" t="s">
        <v>1494</v>
      </c>
      <c r="B13" s="1873" t="s">
        <v>458</v>
      </c>
      <c r="C13" s="1867">
        <v>7130390004</v>
      </c>
      <c r="D13" s="1867" t="s">
        <v>12</v>
      </c>
      <c r="E13" s="2762">
        <f>VLOOKUP(C13,'[25]SOR RATE'!A:D,4,0)</f>
        <v>125.42</v>
      </c>
      <c r="F13" s="2763">
        <v>45</v>
      </c>
      <c r="G13" s="2764">
        <f t="shared" si="0"/>
        <v>5643.9</v>
      </c>
      <c r="H13" s="2763">
        <v>45</v>
      </c>
      <c r="I13" s="2764">
        <f t="shared" si="1"/>
        <v>5643.9</v>
      </c>
      <c r="J13" s="2763">
        <v>45</v>
      </c>
      <c r="K13" s="2764">
        <f t="shared" si="2"/>
        <v>5643.9</v>
      </c>
      <c r="L13" s="645"/>
      <c r="M13" s="490"/>
      <c r="N13" s="490"/>
      <c r="O13" s="490"/>
      <c r="P13" s="490"/>
    </row>
    <row r="14" spans="1:16" ht="32.25" customHeight="1">
      <c r="A14" s="1867" t="s">
        <v>1946</v>
      </c>
      <c r="B14" s="1873" t="s">
        <v>460</v>
      </c>
      <c r="C14" s="1867">
        <v>7130390005</v>
      </c>
      <c r="D14" s="1867" t="s">
        <v>12</v>
      </c>
      <c r="E14" s="2762">
        <f>VLOOKUP(C14,'[25]SOR RATE'!A:D,4,0)</f>
        <v>174.82</v>
      </c>
      <c r="F14" s="2763">
        <v>15</v>
      </c>
      <c r="G14" s="2764">
        <f t="shared" si="0"/>
        <v>2622.2999999999997</v>
      </c>
      <c r="H14" s="2763">
        <v>15</v>
      </c>
      <c r="I14" s="2764">
        <f t="shared" si="1"/>
        <v>2622.2999999999997</v>
      </c>
      <c r="J14" s="2763">
        <v>15</v>
      </c>
      <c r="K14" s="2764">
        <f t="shared" si="2"/>
        <v>2622.2999999999997</v>
      </c>
      <c r="L14" s="2748"/>
      <c r="M14" s="490"/>
      <c r="N14" s="490"/>
      <c r="O14" s="490"/>
      <c r="P14" s="490"/>
    </row>
    <row r="15" spans="1:16" ht="17.25" customHeight="1">
      <c r="A15" s="1867">
        <v>4</v>
      </c>
      <c r="B15" s="1868" t="s">
        <v>2800</v>
      </c>
      <c r="C15" s="1867">
        <v>7130390006</v>
      </c>
      <c r="D15" s="1867" t="s">
        <v>33</v>
      </c>
      <c r="E15" s="2762">
        <f>VLOOKUP(C15,'[25]SOR RATE'!A:D,4,0)</f>
        <v>153.72999999999999</v>
      </c>
      <c r="F15" s="2763">
        <v>28</v>
      </c>
      <c r="G15" s="2764">
        <f t="shared" si="0"/>
        <v>4304.4399999999996</v>
      </c>
      <c r="H15" s="2763">
        <v>28</v>
      </c>
      <c r="I15" s="2764">
        <f t="shared" si="1"/>
        <v>4304.4399999999996</v>
      </c>
      <c r="J15" s="2763">
        <v>28</v>
      </c>
      <c r="K15" s="2764">
        <f t="shared" si="2"/>
        <v>4304.4399999999996</v>
      </c>
      <c r="L15" s="2748"/>
    </row>
    <row r="16" spans="1:16" ht="33.75" customHeight="1">
      <c r="A16" s="1867">
        <v>5</v>
      </c>
      <c r="B16" s="1868" t="s">
        <v>560</v>
      </c>
      <c r="C16" s="2769">
        <v>7130797532</v>
      </c>
      <c r="D16" s="1867" t="s">
        <v>12</v>
      </c>
      <c r="E16" s="2762">
        <f>VLOOKUP(C16,'[25]SOR RATE'!A:D,4,0)</f>
        <v>758.33</v>
      </c>
      <c r="F16" s="2763">
        <v>14</v>
      </c>
      <c r="G16" s="2764">
        <f t="shared" si="0"/>
        <v>10616.62</v>
      </c>
      <c r="H16" s="2763">
        <v>14</v>
      </c>
      <c r="I16" s="2764">
        <f t="shared" si="1"/>
        <v>10616.62</v>
      </c>
      <c r="J16" s="2763">
        <v>14</v>
      </c>
      <c r="K16" s="2764">
        <f t="shared" si="2"/>
        <v>10616.62</v>
      </c>
      <c r="L16" s="2748"/>
      <c r="M16" s="2748"/>
      <c r="N16" s="2749"/>
      <c r="O16" s="2749"/>
    </row>
    <row r="17" spans="1:13" ht="18" customHeight="1">
      <c r="A17" s="1867">
        <v>6</v>
      </c>
      <c r="B17" s="2770" t="s">
        <v>2897</v>
      </c>
      <c r="C17" s="2771"/>
      <c r="D17" s="2772"/>
      <c r="E17" s="2772"/>
      <c r="F17" s="2772"/>
      <c r="G17" s="2772"/>
      <c r="H17" s="2772"/>
      <c r="I17" s="2772"/>
      <c r="J17" s="2772"/>
      <c r="K17" s="2773"/>
    </row>
    <row r="18" spans="1:13" ht="18" customHeight="1">
      <c r="A18" s="1867" t="s">
        <v>2898</v>
      </c>
      <c r="B18" s="2774" t="s">
        <v>2899</v>
      </c>
      <c r="C18" s="2775">
        <v>7130300025</v>
      </c>
      <c r="D18" s="1867" t="s">
        <v>21</v>
      </c>
      <c r="E18" s="2762">
        <f>VLOOKUP(C18,'[25]SOR RATE'!A:D,4,0)/1000</f>
        <v>242.28292999999999</v>
      </c>
      <c r="F18" s="2763">
        <v>1100</v>
      </c>
      <c r="G18" s="2764">
        <f>F18*E18</f>
        <v>266511.223</v>
      </c>
      <c r="H18" s="2763">
        <v>1100</v>
      </c>
      <c r="I18" s="2764">
        <f>H18*E18</f>
        <v>266511.223</v>
      </c>
      <c r="J18" s="2763">
        <v>1100</v>
      </c>
      <c r="K18" s="2764">
        <f>J18*E18</f>
        <v>266511.223</v>
      </c>
      <c r="L18" s="168"/>
    </row>
    <row r="19" spans="1:13" ht="18" customHeight="1">
      <c r="A19" s="3457">
        <v>7</v>
      </c>
      <c r="B19" s="1874" t="s">
        <v>2802</v>
      </c>
      <c r="C19" s="1875">
        <v>7130860032</v>
      </c>
      <c r="D19" s="1867" t="s">
        <v>12</v>
      </c>
      <c r="E19" s="2762">
        <f>VLOOKUP(C19,'[25]SOR RATE'!A:D,4,0)</f>
        <v>566.19000000000005</v>
      </c>
      <c r="F19" s="2763">
        <v>12</v>
      </c>
      <c r="G19" s="2764">
        <f>F19*E19</f>
        <v>6794.2800000000007</v>
      </c>
      <c r="H19" s="2763">
        <v>12</v>
      </c>
      <c r="I19" s="2764">
        <f>H19*E19</f>
        <v>6794.2800000000007</v>
      </c>
      <c r="J19" s="2763">
        <v>12</v>
      </c>
      <c r="K19" s="2764">
        <f>J19*E19</f>
        <v>6794.2800000000007</v>
      </c>
    </row>
    <row r="20" spans="1:13" ht="18" customHeight="1">
      <c r="A20" s="3458"/>
      <c r="B20" s="1874" t="s">
        <v>2803</v>
      </c>
      <c r="C20" s="2775">
        <v>7130860077</v>
      </c>
      <c r="D20" s="1867" t="s">
        <v>26</v>
      </c>
      <c r="E20" s="2762">
        <f>VLOOKUP(C20,'[25]SOR RATE'!A:D,4,0)/1000</f>
        <v>93.76643</v>
      </c>
      <c r="F20" s="2763">
        <v>72</v>
      </c>
      <c r="G20" s="2764">
        <f>F20*E20</f>
        <v>6751.1829600000001</v>
      </c>
      <c r="H20" s="2763">
        <v>72</v>
      </c>
      <c r="I20" s="2764">
        <f>H20*E20</f>
        <v>6751.1829600000001</v>
      </c>
      <c r="J20" s="2763">
        <v>72</v>
      </c>
      <c r="K20" s="2764">
        <f>J20*E20</f>
        <v>6751.1829600000001</v>
      </c>
    </row>
    <row r="21" spans="1:13" ht="18" customHeight="1">
      <c r="A21" s="3459"/>
      <c r="B21" s="1874" t="s">
        <v>74</v>
      </c>
      <c r="C21" s="2776">
        <v>7130810026</v>
      </c>
      <c r="D21" s="1120" t="s">
        <v>15</v>
      </c>
      <c r="E21" s="2762">
        <f>VLOOKUP(C21,'[25]SOR RATE'!A201:D201,4,0)</f>
        <v>198.14</v>
      </c>
      <c r="F21" s="2763">
        <v>12</v>
      </c>
      <c r="G21" s="2764">
        <f>F21*E21</f>
        <v>2377.6799999999998</v>
      </c>
      <c r="H21" s="2763">
        <v>12</v>
      </c>
      <c r="I21" s="2764">
        <f>H21*E21</f>
        <v>2377.6799999999998</v>
      </c>
      <c r="J21" s="2763">
        <v>12</v>
      </c>
      <c r="K21" s="2764">
        <f>J21*E21</f>
        <v>2377.6799999999998</v>
      </c>
    </row>
    <row r="22" spans="1:13" ht="74.25" customHeight="1">
      <c r="A22" s="2777">
        <v>8</v>
      </c>
      <c r="B22" s="1868" t="s">
        <v>2886</v>
      </c>
      <c r="C22" s="2775">
        <v>7130200202</v>
      </c>
      <c r="D22" s="1867" t="s">
        <v>1440</v>
      </c>
      <c r="E22" s="2762">
        <f>VLOOKUP(C22,'[25]SOR RATE'!A:D,4,0)</f>
        <v>2970</v>
      </c>
      <c r="F22" s="2763"/>
      <c r="G22" s="2763"/>
      <c r="H22" s="2769">
        <f>(20*0.35)+(12*0.2)</f>
        <v>9.4</v>
      </c>
      <c r="I22" s="2764">
        <f>E22*H22</f>
        <v>27918</v>
      </c>
      <c r="J22" s="2769">
        <f>(20*0.55)+(12*0.2)</f>
        <v>13.4</v>
      </c>
      <c r="K22" s="2764">
        <f>E22*J22</f>
        <v>39798</v>
      </c>
      <c r="L22" s="2750" t="s">
        <v>47</v>
      </c>
    </row>
    <row r="23" spans="1:13" ht="46.5" customHeight="1">
      <c r="A23" s="3457">
        <v>9</v>
      </c>
      <c r="B23" s="2774" t="s">
        <v>45</v>
      </c>
      <c r="C23" s="2775"/>
      <c r="D23" s="1867"/>
      <c r="E23" s="2762"/>
      <c r="F23" s="2763">
        <f>20+12</f>
        <v>32</v>
      </c>
      <c r="G23" s="2764"/>
      <c r="H23" s="2778"/>
      <c r="I23" s="2764"/>
      <c r="J23" s="2763"/>
      <c r="K23" s="2764"/>
    </row>
    <row r="24" spans="1:13" ht="24" customHeight="1">
      <c r="A24" s="3459"/>
      <c r="B24" s="2774" t="s">
        <v>1738</v>
      </c>
      <c r="C24" s="2775">
        <v>7130640008</v>
      </c>
      <c r="D24" s="2769" t="s">
        <v>33</v>
      </c>
      <c r="E24" s="2762">
        <f>VLOOKUP(C24,'[25]SOR RATE'!A:D,4,0)</f>
        <v>158</v>
      </c>
      <c r="F24" s="2763">
        <v>0</v>
      </c>
      <c r="G24" s="2764">
        <f>E24*F24</f>
        <v>0</v>
      </c>
      <c r="H24" s="2778"/>
      <c r="I24" s="2764"/>
      <c r="J24" s="2763"/>
      <c r="K24" s="2764"/>
      <c r="L24" s="3460" t="s">
        <v>47</v>
      </c>
      <c r="M24" s="3461"/>
    </row>
    <row r="25" spans="1:13" ht="18" customHeight="1">
      <c r="A25" s="3457">
        <v>10</v>
      </c>
      <c r="B25" s="2774" t="s">
        <v>1443</v>
      </c>
      <c r="C25" s="2775"/>
      <c r="D25" s="1867" t="s">
        <v>26</v>
      </c>
      <c r="E25" s="1167"/>
      <c r="F25" s="2763">
        <v>30</v>
      </c>
      <c r="G25" s="2763"/>
      <c r="H25" s="2763">
        <v>30</v>
      </c>
      <c r="I25" s="2763"/>
      <c r="J25" s="2763">
        <v>30</v>
      </c>
      <c r="K25" s="2779"/>
    </row>
    <row r="26" spans="1:13" ht="18" customHeight="1">
      <c r="A26" s="3458"/>
      <c r="B26" s="2780" t="s">
        <v>505</v>
      </c>
      <c r="C26" s="2775">
        <v>7130620573</v>
      </c>
      <c r="D26" s="1867" t="s">
        <v>26</v>
      </c>
      <c r="E26" s="2762">
        <f>VLOOKUP(C26,'[25]SOR RATE'!A:D,4,0)</f>
        <v>87.23</v>
      </c>
      <c r="F26" s="2763">
        <v>2</v>
      </c>
      <c r="G26" s="2764">
        <f t="shared" ref="G26:G33" si="3">F26*E26</f>
        <v>174.46</v>
      </c>
      <c r="H26" s="2763">
        <v>2</v>
      </c>
      <c r="I26" s="2764">
        <f t="shared" ref="I26:I39" si="4">H26*E26</f>
        <v>174.46</v>
      </c>
      <c r="J26" s="2763">
        <v>2</v>
      </c>
      <c r="K26" s="2764">
        <f t="shared" ref="K26:K39" si="5">J26*E26</f>
        <v>174.46</v>
      </c>
    </row>
    <row r="27" spans="1:13" ht="18" customHeight="1">
      <c r="A27" s="3458"/>
      <c r="B27" s="2780" t="s">
        <v>79</v>
      </c>
      <c r="C27" s="2775">
        <v>7130620609</v>
      </c>
      <c r="D27" s="1867" t="s">
        <v>26</v>
      </c>
      <c r="E27" s="2762">
        <f>VLOOKUP(C27,'[25]SOR RATE'!A:D,4,0)</f>
        <v>87.23</v>
      </c>
      <c r="F27" s="2763">
        <v>14</v>
      </c>
      <c r="G27" s="2764">
        <f t="shared" si="3"/>
        <v>1221.22</v>
      </c>
      <c r="H27" s="2763">
        <v>14</v>
      </c>
      <c r="I27" s="2764">
        <f t="shared" si="4"/>
        <v>1221.22</v>
      </c>
      <c r="J27" s="2763">
        <v>14</v>
      </c>
      <c r="K27" s="2764">
        <f t="shared" si="5"/>
        <v>1221.22</v>
      </c>
    </row>
    <row r="28" spans="1:13" ht="18" customHeight="1">
      <c r="A28" s="3459"/>
      <c r="B28" s="2780" t="s">
        <v>111</v>
      </c>
      <c r="C28" s="1875">
        <v>7130620614</v>
      </c>
      <c r="D28" s="1867" t="s">
        <v>26</v>
      </c>
      <c r="E28" s="2762">
        <f>VLOOKUP(C28,'[25]SOR RATE'!A:D,4,0)</f>
        <v>85.77</v>
      </c>
      <c r="F28" s="2763">
        <v>14</v>
      </c>
      <c r="G28" s="2764">
        <f t="shared" si="3"/>
        <v>1200.78</v>
      </c>
      <c r="H28" s="2763">
        <v>14</v>
      </c>
      <c r="I28" s="2764">
        <f t="shared" si="4"/>
        <v>1200.78</v>
      </c>
      <c r="J28" s="2763">
        <v>14</v>
      </c>
      <c r="K28" s="2764">
        <f t="shared" si="5"/>
        <v>1200.78</v>
      </c>
    </row>
    <row r="29" spans="1:13" ht="29.25" customHeight="1">
      <c r="A29" s="1867">
        <v>11</v>
      </c>
      <c r="B29" s="1874" t="s">
        <v>1740</v>
      </c>
      <c r="C29" s="2781">
        <v>7130870013</v>
      </c>
      <c r="D29" s="1867" t="s">
        <v>12</v>
      </c>
      <c r="E29" s="2762">
        <f>VLOOKUP(C29,'[25]SOR RATE'!A:D,4,0)</f>
        <v>152.88999999999999</v>
      </c>
      <c r="F29" s="2763">
        <v>20</v>
      </c>
      <c r="G29" s="2764">
        <f t="shared" si="3"/>
        <v>3057.7999999999997</v>
      </c>
      <c r="H29" s="2763">
        <v>20</v>
      </c>
      <c r="I29" s="2764">
        <f t="shared" si="4"/>
        <v>3057.7999999999997</v>
      </c>
      <c r="J29" s="2763">
        <v>20</v>
      </c>
      <c r="K29" s="2764">
        <f t="shared" si="5"/>
        <v>3057.7999999999997</v>
      </c>
      <c r="L29" s="242"/>
    </row>
    <row r="30" spans="1:13" ht="17.25" customHeight="1">
      <c r="A30" s="1867">
        <v>12</v>
      </c>
      <c r="B30" s="2782" t="s">
        <v>2887</v>
      </c>
      <c r="C30" s="2775">
        <v>7131950012</v>
      </c>
      <c r="D30" s="1867" t="s">
        <v>12</v>
      </c>
      <c r="E30" s="2762">
        <f>VLOOKUP(C30,'[25]SOR RATE'!A:D,4,0)</f>
        <v>1531.04</v>
      </c>
      <c r="F30" s="2763">
        <v>15</v>
      </c>
      <c r="G30" s="2764">
        <f t="shared" si="3"/>
        <v>22965.599999999999</v>
      </c>
      <c r="H30" s="2763">
        <v>15</v>
      </c>
      <c r="I30" s="2764">
        <f t="shared" si="4"/>
        <v>22965.599999999999</v>
      </c>
      <c r="J30" s="2763">
        <v>15</v>
      </c>
      <c r="K30" s="2764">
        <f t="shared" si="5"/>
        <v>22965.599999999999</v>
      </c>
      <c r="L30" s="242"/>
    </row>
    <row r="31" spans="1:13" ht="28.5">
      <c r="A31" s="1867">
        <v>13</v>
      </c>
      <c r="B31" s="1874" t="s">
        <v>2804</v>
      </c>
      <c r="C31" s="2775">
        <v>7130890973</v>
      </c>
      <c r="D31" s="1867" t="s">
        <v>40</v>
      </c>
      <c r="E31" s="2762">
        <f>VLOOKUP(C31,'[25]SOR RATE'!A:D,4,0)</f>
        <v>71.81</v>
      </c>
      <c r="F31" s="2763">
        <v>15</v>
      </c>
      <c r="G31" s="2764">
        <f t="shared" si="3"/>
        <v>1077.1500000000001</v>
      </c>
      <c r="H31" s="2763">
        <v>15</v>
      </c>
      <c r="I31" s="2764">
        <f t="shared" si="4"/>
        <v>1077.1500000000001</v>
      </c>
      <c r="J31" s="2763">
        <v>15</v>
      </c>
      <c r="K31" s="2764">
        <f t="shared" si="5"/>
        <v>1077.1500000000001</v>
      </c>
      <c r="L31" s="2730"/>
    </row>
    <row r="32" spans="1:13" ht="16.5" customHeight="1">
      <c r="A32" s="1867">
        <v>14</v>
      </c>
      <c r="B32" s="1874" t="s">
        <v>28</v>
      </c>
      <c r="C32" s="1875">
        <v>7130211158</v>
      </c>
      <c r="D32" s="1867" t="s">
        <v>29</v>
      </c>
      <c r="E32" s="2762">
        <f>VLOOKUP(C32,'[25]SOR RATE'!A:D,4,0)</f>
        <v>193.62</v>
      </c>
      <c r="F32" s="1867">
        <v>0</v>
      </c>
      <c r="G32" s="2764">
        <f t="shared" si="3"/>
        <v>0</v>
      </c>
      <c r="H32" s="1867">
        <v>10</v>
      </c>
      <c r="I32" s="2764">
        <f t="shared" si="4"/>
        <v>1936.2</v>
      </c>
      <c r="J32" s="1867">
        <v>10</v>
      </c>
      <c r="K32" s="2764">
        <f t="shared" si="5"/>
        <v>1936.2</v>
      </c>
      <c r="L32" s="2748"/>
    </row>
    <row r="33" spans="1:14" ht="16.5" customHeight="1">
      <c r="A33" s="1867">
        <v>15</v>
      </c>
      <c r="B33" s="1874" t="s">
        <v>30</v>
      </c>
      <c r="C33" s="1875">
        <v>7130210809</v>
      </c>
      <c r="D33" s="1867" t="s">
        <v>29</v>
      </c>
      <c r="E33" s="2762">
        <f>VLOOKUP(C33,'[25]SOR RATE'!A:D,4,0)</f>
        <v>432.63</v>
      </c>
      <c r="F33" s="1867">
        <v>0</v>
      </c>
      <c r="G33" s="2764">
        <f t="shared" si="3"/>
        <v>0</v>
      </c>
      <c r="H33" s="1867">
        <v>10</v>
      </c>
      <c r="I33" s="2764">
        <f t="shared" si="4"/>
        <v>4326.3</v>
      </c>
      <c r="J33" s="1867">
        <v>10</v>
      </c>
      <c r="K33" s="2764">
        <f t="shared" si="5"/>
        <v>4326.3</v>
      </c>
      <c r="L33" s="2748"/>
    </row>
    <row r="34" spans="1:14" ht="18" customHeight="1">
      <c r="A34" s="1867">
        <v>16</v>
      </c>
      <c r="B34" s="1874" t="s">
        <v>583</v>
      </c>
      <c r="C34" s="1875">
        <v>7130810102</v>
      </c>
      <c r="D34" s="1867" t="s">
        <v>12</v>
      </c>
      <c r="E34" s="2762">
        <f>VLOOKUP(C34,'[25]SOR RATE'!A:D,4,0)</f>
        <v>442.47</v>
      </c>
      <c r="F34" s="1867">
        <v>15</v>
      </c>
      <c r="G34" s="2764">
        <f>F34*E34</f>
        <v>6637.05</v>
      </c>
      <c r="H34" s="1867">
        <v>15</v>
      </c>
      <c r="I34" s="2764">
        <f>H34*E34</f>
        <v>6637.05</v>
      </c>
      <c r="J34" s="1867">
        <v>15</v>
      </c>
      <c r="K34" s="2764">
        <f>J34*E34</f>
        <v>6637.05</v>
      </c>
      <c r="L34" s="168"/>
      <c r="M34" s="22"/>
    </row>
    <row r="35" spans="1:14" ht="31.5" customHeight="1">
      <c r="A35" s="1867">
        <v>17</v>
      </c>
      <c r="B35" s="1874" t="s">
        <v>2888</v>
      </c>
      <c r="C35" s="1875">
        <v>7130311008</v>
      </c>
      <c r="D35" s="1867" t="s">
        <v>21</v>
      </c>
      <c r="E35" s="2762">
        <f>VLOOKUP(C35,'[25]SOR RATE'!A:D,4,0)/1000</f>
        <v>24.908200000000001</v>
      </c>
      <c r="F35" s="1867">
        <v>90</v>
      </c>
      <c r="G35" s="2764">
        <f t="shared" ref="G35:G39" si="6">F35*E35</f>
        <v>2241.7380000000003</v>
      </c>
      <c r="H35" s="1867">
        <v>90</v>
      </c>
      <c r="I35" s="2764">
        <f t="shared" si="4"/>
        <v>2241.7380000000003</v>
      </c>
      <c r="J35" s="1867">
        <v>90</v>
      </c>
      <c r="K35" s="2764">
        <f t="shared" si="5"/>
        <v>2241.7380000000003</v>
      </c>
      <c r="L35" s="2717"/>
    </row>
    <row r="36" spans="1:14" ht="17.25" customHeight="1">
      <c r="A36" s="1867">
        <v>18</v>
      </c>
      <c r="B36" s="1874" t="s">
        <v>464</v>
      </c>
      <c r="C36" s="1875">
        <v>7130390007</v>
      </c>
      <c r="D36" s="1867" t="s">
        <v>12</v>
      </c>
      <c r="E36" s="2762">
        <f>VLOOKUP(C36,'[25]SOR RATE'!A:D,4,0)</f>
        <v>217.24</v>
      </c>
      <c r="F36" s="1867">
        <v>4</v>
      </c>
      <c r="G36" s="2764">
        <f t="shared" si="6"/>
        <v>868.96</v>
      </c>
      <c r="H36" s="1867">
        <v>4</v>
      </c>
      <c r="I36" s="2764">
        <f t="shared" si="4"/>
        <v>868.96</v>
      </c>
      <c r="J36" s="1867">
        <v>4</v>
      </c>
      <c r="K36" s="2764">
        <f t="shared" si="5"/>
        <v>868.96</v>
      </c>
      <c r="L36" s="168"/>
      <c r="M36" s="29"/>
    </row>
    <row r="37" spans="1:14" ht="18" customHeight="1">
      <c r="A37" s="1867">
        <v>19</v>
      </c>
      <c r="B37" s="1874" t="s">
        <v>466</v>
      </c>
      <c r="C37" s="1875">
        <v>7130390019</v>
      </c>
      <c r="D37" s="1867" t="s">
        <v>12</v>
      </c>
      <c r="E37" s="2762">
        <f>VLOOKUP(C37,'[25]SOR RATE'!A:D,4,0)</f>
        <v>37.130000000000003</v>
      </c>
      <c r="F37" s="1867">
        <v>14</v>
      </c>
      <c r="G37" s="2764">
        <f t="shared" si="6"/>
        <v>519.82000000000005</v>
      </c>
      <c r="H37" s="1867">
        <v>42</v>
      </c>
      <c r="I37" s="2764">
        <f t="shared" si="4"/>
        <v>1559.46</v>
      </c>
      <c r="J37" s="1867">
        <v>42</v>
      </c>
      <c r="K37" s="2764">
        <f t="shared" si="5"/>
        <v>1559.46</v>
      </c>
      <c r="L37" s="168"/>
      <c r="M37" s="22"/>
    </row>
    <row r="38" spans="1:14" ht="30" customHeight="1">
      <c r="A38" s="1867">
        <v>20</v>
      </c>
      <c r="B38" s="1874" t="s">
        <v>164</v>
      </c>
      <c r="C38" s="1875">
        <v>7130320053</v>
      </c>
      <c r="D38" s="1867" t="s">
        <v>12</v>
      </c>
      <c r="E38" s="2762">
        <f>VLOOKUP(C38,'[25]SOR RATE'!A:D,4,0)</f>
        <v>6.91</v>
      </c>
      <c r="F38" s="1867">
        <v>530</v>
      </c>
      <c r="G38" s="2764">
        <f t="shared" si="6"/>
        <v>3662.3</v>
      </c>
      <c r="H38" s="1867">
        <v>530</v>
      </c>
      <c r="I38" s="2764">
        <f t="shared" si="4"/>
        <v>3662.3</v>
      </c>
      <c r="J38" s="1867">
        <v>530</v>
      </c>
      <c r="K38" s="2764">
        <f t="shared" si="5"/>
        <v>3662.3</v>
      </c>
      <c r="L38" s="2717"/>
    </row>
    <row r="39" spans="1:14" ht="16.5" customHeight="1">
      <c r="A39" s="1867">
        <v>21</v>
      </c>
      <c r="B39" s="1874" t="s">
        <v>2806</v>
      </c>
      <c r="C39" s="1875">
        <v>7130610206</v>
      </c>
      <c r="D39" s="1867" t="s">
        <v>26</v>
      </c>
      <c r="E39" s="2762">
        <f>VLOOKUP(C39,'[25]SOR RATE'!A:D,4,0)/1000</f>
        <v>97.233429999999998</v>
      </c>
      <c r="F39" s="1867">
        <v>40</v>
      </c>
      <c r="G39" s="2764">
        <f t="shared" si="6"/>
        <v>3889.3371999999999</v>
      </c>
      <c r="H39" s="1867">
        <v>40</v>
      </c>
      <c r="I39" s="2764">
        <f t="shared" si="4"/>
        <v>3889.3371999999999</v>
      </c>
      <c r="J39" s="1867">
        <v>40</v>
      </c>
      <c r="K39" s="2764">
        <f t="shared" si="5"/>
        <v>3889.3371999999999</v>
      </c>
      <c r="L39" s="168"/>
      <c r="N39" s="2733"/>
    </row>
    <row r="40" spans="1:14" ht="18" customHeight="1">
      <c r="A40" s="2711">
        <v>22</v>
      </c>
      <c r="B40" s="2783" t="s">
        <v>48</v>
      </c>
      <c r="C40" s="1875"/>
      <c r="D40" s="1867"/>
      <c r="E40" s="1867"/>
      <c r="F40" s="1166"/>
      <c r="G40" s="1166">
        <f>SUM(G8:G39)</f>
        <v>409288.94116000005</v>
      </c>
      <c r="H40" s="1166"/>
      <c r="I40" s="1166">
        <f>SUM(I8:I39)</f>
        <v>647827.08090130007</v>
      </c>
      <c r="J40" s="1166"/>
      <c r="K40" s="1166">
        <f>SUM(K8:K39)</f>
        <v>839992.38172000006</v>
      </c>
      <c r="L40" s="793"/>
      <c r="M40" s="2717"/>
    </row>
    <row r="41" spans="1:14" ht="32.25" customHeight="1">
      <c r="A41" s="2711">
        <v>23</v>
      </c>
      <c r="B41" s="2783" t="s">
        <v>49</v>
      </c>
      <c r="C41" s="1875"/>
      <c r="D41" s="1867"/>
      <c r="E41" s="1867"/>
      <c r="F41" s="1166"/>
      <c r="G41" s="1166">
        <f>G40/1.18</f>
        <v>346855.034881356</v>
      </c>
      <c r="H41" s="1166"/>
      <c r="I41" s="1166">
        <f>I40/1.18</f>
        <v>549006.00076381362</v>
      </c>
      <c r="J41" s="1166"/>
      <c r="K41" s="1166">
        <f>K40/1.18</f>
        <v>711857.95061016956</v>
      </c>
      <c r="L41" s="2733"/>
      <c r="M41" s="2717"/>
    </row>
    <row r="42" spans="1:14" ht="20.25" customHeight="1">
      <c r="A42" s="1867">
        <v>24</v>
      </c>
      <c r="B42" s="2784" t="s">
        <v>50</v>
      </c>
      <c r="C42" s="2785"/>
      <c r="D42" s="2785"/>
      <c r="E42" s="1875">
        <v>7.4999999999999997E-2</v>
      </c>
      <c r="F42" s="1875"/>
      <c r="G42" s="1167">
        <f>G40*E42</f>
        <v>30696.670587000001</v>
      </c>
      <c r="H42" s="1875"/>
      <c r="I42" s="1167">
        <f>I40*E42</f>
        <v>48587.031067597505</v>
      </c>
      <c r="J42" s="1875"/>
      <c r="K42" s="1167">
        <f>K40*E42</f>
        <v>62999.428629000002</v>
      </c>
      <c r="L42" s="17"/>
      <c r="M42" s="2733"/>
    </row>
    <row r="43" spans="1:14" ht="29.25" customHeight="1">
      <c r="A43" s="2786">
        <v>25</v>
      </c>
      <c r="B43" s="1874" t="s">
        <v>2807</v>
      </c>
      <c r="C43" s="2787"/>
      <c r="D43" s="1867" t="s">
        <v>68</v>
      </c>
      <c r="E43" s="1054">
        <f>229.365334460327*1.043</f>
        <v>239.22804384212105</v>
      </c>
      <c r="F43" s="2778">
        <v>20</v>
      </c>
      <c r="G43" s="1167">
        <f>E43*F43</f>
        <v>4784.5608768424208</v>
      </c>
      <c r="H43" s="1867"/>
      <c r="I43" s="1167"/>
      <c r="J43" s="1167"/>
      <c r="K43" s="1167"/>
      <c r="M43" s="526"/>
      <c r="N43" s="804"/>
    </row>
    <row r="44" spans="1:14" ht="18" customHeight="1">
      <c r="A44" s="2786">
        <v>26</v>
      </c>
      <c r="B44" s="2780" t="s">
        <v>82</v>
      </c>
      <c r="C44" s="2787"/>
      <c r="D44" s="2788" t="s">
        <v>76</v>
      </c>
      <c r="E44" s="1054">
        <f>665.173187113158*1.043</f>
        <v>693.77563415902364</v>
      </c>
      <c r="F44" s="2778"/>
      <c r="G44" s="1167"/>
      <c r="H44" s="2769">
        <f>(20*0.35)+(12*0.2)</f>
        <v>9.4</v>
      </c>
      <c r="I44" s="1167">
        <f>E44*H44</f>
        <v>6521.4909610948225</v>
      </c>
      <c r="J44" s="2769">
        <f>(20*0.55)+(12*0.2)</f>
        <v>13.4</v>
      </c>
      <c r="K44" s="1167">
        <f>E44*J44</f>
        <v>9296.5934977309171</v>
      </c>
      <c r="L44" s="2734"/>
      <c r="M44" s="526"/>
      <c r="N44" s="1824"/>
    </row>
    <row r="45" spans="1:14" ht="16.5" customHeight="1">
      <c r="A45" s="1867">
        <v>27</v>
      </c>
      <c r="B45" s="2784" t="s">
        <v>2890</v>
      </c>
      <c r="C45" s="2776"/>
      <c r="D45" s="2789"/>
      <c r="E45" s="2777"/>
      <c r="F45" s="2769"/>
      <c r="G45" s="1167">
        <v>67861.45</v>
      </c>
      <c r="H45" s="1867"/>
      <c r="I45" s="1167">
        <v>74235.28</v>
      </c>
      <c r="J45" s="2769"/>
      <c r="K45" s="1167">
        <v>82987.37</v>
      </c>
      <c r="L45" s="250"/>
      <c r="M45" s="633"/>
      <c r="N45" s="526"/>
    </row>
    <row r="46" spans="1:14" ht="18.75" customHeight="1">
      <c r="A46" s="1867">
        <v>28</v>
      </c>
      <c r="B46" s="2331" t="s">
        <v>2780</v>
      </c>
      <c r="C46" s="2776"/>
      <c r="D46" s="2789"/>
      <c r="E46" s="2777">
        <v>0.04</v>
      </c>
      <c r="F46" s="2769"/>
      <c r="G46" s="2762">
        <f>G41*E46</f>
        <v>13874.20139525424</v>
      </c>
      <c r="H46" s="1867"/>
      <c r="I46" s="2762">
        <f>I41*E46</f>
        <v>21960.240030552544</v>
      </c>
      <c r="J46" s="2769"/>
      <c r="K46" s="2762">
        <f>K41*E46</f>
        <v>28474.318024406784</v>
      </c>
      <c r="L46" s="814" t="s">
        <v>1827</v>
      </c>
      <c r="M46" s="633"/>
      <c r="N46" s="804"/>
    </row>
    <row r="47" spans="1:14" ht="42.75">
      <c r="A47" s="1867">
        <v>29</v>
      </c>
      <c r="B47" s="2790" t="s">
        <v>202</v>
      </c>
      <c r="C47" s="2776"/>
      <c r="D47" s="2789"/>
      <c r="E47" s="2777"/>
      <c r="F47" s="2769"/>
      <c r="G47" s="1764">
        <f>(G40+G42+G43+G44+G45+G46)*0.125</f>
        <v>65813.228002387084</v>
      </c>
      <c r="H47" s="1764"/>
      <c r="I47" s="1764">
        <f>(I40+I42+I43+I44+I45+I46)*0.125</f>
        <v>99891.390370068111</v>
      </c>
      <c r="J47" s="1764"/>
      <c r="K47" s="1764">
        <f>(K40+K42+K43+K44+K45+K46)*0.125</f>
        <v>127968.76148389222</v>
      </c>
      <c r="L47" s="201"/>
      <c r="M47" s="2751"/>
    </row>
    <row r="48" spans="1:14" ht="30">
      <c r="A48" s="2711">
        <v>30</v>
      </c>
      <c r="B48" s="2791" t="s">
        <v>203</v>
      </c>
      <c r="C48" s="2776"/>
      <c r="D48" s="2789"/>
      <c r="E48" s="2777"/>
      <c r="F48" s="2710"/>
      <c r="G48" s="1166">
        <f>SUM(G41:G47)</f>
        <v>529885.14574283978</v>
      </c>
      <c r="H48" s="2711"/>
      <c r="I48" s="1166">
        <f>SUM(I41:I47)</f>
        <v>800201.43319312669</v>
      </c>
      <c r="J48" s="2710"/>
      <c r="K48" s="1166">
        <f>SUM(K41:K47)</f>
        <v>1023584.4222451994</v>
      </c>
      <c r="L48" s="797"/>
    </row>
    <row r="49" spans="1:15" ht="18.75" customHeight="1">
      <c r="A49" s="1867">
        <v>31</v>
      </c>
      <c r="B49" s="2784" t="s">
        <v>204</v>
      </c>
      <c r="C49" s="2776"/>
      <c r="D49" s="2789"/>
      <c r="E49" s="2777">
        <v>0.09</v>
      </c>
      <c r="F49" s="2710"/>
      <c r="G49" s="1167">
        <f>G48*E49</f>
        <v>47689.663116855576</v>
      </c>
      <c r="H49" s="1867"/>
      <c r="I49" s="1167">
        <f>I48*E49</f>
        <v>72018.128987381395</v>
      </c>
      <c r="J49" s="2769"/>
      <c r="K49" s="1167">
        <f>K48*E49</f>
        <v>92122.598002067942</v>
      </c>
      <c r="L49" s="797"/>
    </row>
    <row r="50" spans="1:15" ht="18.75" customHeight="1">
      <c r="A50" s="1867">
        <v>32</v>
      </c>
      <c r="B50" s="2784" t="s">
        <v>205</v>
      </c>
      <c r="C50" s="2776"/>
      <c r="D50" s="2789"/>
      <c r="E50" s="2777">
        <v>0.09</v>
      </c>
      <c r="F50" s="2769"/>
      <c r="G50" s="1167">
        <f>G48*E50</f>
        <v>47689.663116855576</v>
      </c>
      <c r="H50" s="1867"/>
      <c r="I50" s="1167">
        <f>I48*E50</f>
        <v>72018.128987381395</v>
      </c>
      <c r="J50" s="2769"/>
      <c r="K50" s="1167">
        <f>K48*E50</f>
        <v>92122.598002067942</v>
      </c>
      <c r="L50" s="795"/>
    </row>
    <row r="51" spans="1:15" ht="30.75" customHeight="1">
      <c r="A51" s="1867">
        <v>33</v>
      </c>
      <c r="B51" s="2784" t="s">
        <v>1496</v>
      </c>
      <c r="C51" s="2776"/>
      <c r="D51" s="1167"/>
      <c r="E51" s="1867"/>
      <c r="F51" s="1167"/>
      <c r="G51" s="1167">
        <f>G48+G49+G50</f>
        <v>625264.47197655088</v>
      </c>
      <c r="H51" s="1167"/>
      <c r="I51" s="1167">
        <f>I48+I49+I50</f>
        <v>944237.6911678894</v>
      </c>
      <c r="J51" s="1167"/>
      <c r="K51" s="1167">
        <f>K48+K49+K50</f>
        <v>1207829.6182493353</v>
      </c>
      <c r="L51" s="227"/>
    </row>
    <row r="52" spans="1:15" ht="31.5" customHeight="1">
      <c r="A52" s="2711">
        <v>34</v>
      </c>
      <c r="B52" s="2792" t="s">
        <v>59</v>
      </c>
      <c r="C52" s="2793"/>
      <c r="D52" s="1166"/>
      <c r="E52" s="2711"/>
      <c r="F52" s="1867"/>
      <c r="G52" s="1166">
        <f>ROUND(G51,0)</f>
        <v>625264</v>
      </c>
      <c r="H52" s="1867"/>
      <c r="I52" s="1166">
        <f>ROUND(I51,0)</f>
        <v>944238</v>
      </c>
      <c r="J52" s="1867"/>
      <c r="K52" s="1166">
        <f>ROUND(K51,0)</f>
        <v>1207830</v>
      </c>
    </row>
    <row r="53" spans="1:15" ht="14.25">
      <c r="A53" s="2737"/>
      <c r="B53" s="2738"/>
      <c r="C53" s="2739"/>
      <c r="D53" s="2738"/>
      <c r="E53" s="2738"/>
      <c r="F53" s="2738"/>
      <c r="G53" s="2738"/>
      <c r="H53" s="2738"/>
      <c r="I53" s="2740"/>
      <c r="J53" s="2717"/>
      <c r="K53" s="2717"/>
    </row>
    <row r="54" spans="1:15" ht="15" customHeight="1">
      <c r="A54" s="2741"/>
      <c r="B54" s="3462" t="s">
        <v>1806</v>
      </c>
      <c r="C54" s="3462"/>
      <c r="D54" s="2738"/>
      <c r="E54" s="2738"/>
      <c r="F54" s="2738"/>
      <c r="G54" s="2738"/>
      <c r="H54" s="2738"/>
      <c r="I54" s="2738"/>
      <c r="J54" s="2717"/>
      <c r="K54" s="2717"/>
    </row>
    <row r="55" spans="1:15" ht="15.75" customHeight="1">
      <c r="A55" s="44" t="s">
        <v>62</v>
      </c>
      <c r="B55" s="2732" t="s">
        <v>63</v>
      </c>
      <c r="C55" s="45"/>
      <c r="H55" s="2752"/>
      <c r="I55" s="2752"/>
      <c r="J55" s="2752"/>
      <c r="K55" s="2752"/>
      <c r="L55" s="2752"/>
      <c r="M55" s="2752"/>
      <c r="N55" s="2752"/>
      <c r="O55" s="2752"/>
    </row>
    <row r="56" spans="1:15" ht="15.75" customHeight="1">
      <c r="A56" s="44"/>
      <c r="B56" s="2732"/>
      <c r="C56" s="45"/>
      <c r="H56" s="2752"/>
      <c r="I56" s="2752"/>
      <c r="J56" s="2752"/>
      <c r="K56" s="2752"/>
      <c r="L56" s="2752"/>
      <c r="M56" s="2752"/>
      <c r="N56" s="2752"/>
      <c r="O56" s="2752"/>
    </row>
    <row r="57" spans="1:15" ht="15.75" customHeight="1">
      <c r="A57" s="44"/>
      <c r="B57" s="2732"/>
      <c r="C57" s="45"/>
      <c r="H57" s="2752"/>
      <c r="I57" s="2752"/>
      <c r="J57" s="2752"/>
      <c r="K57" s="2752"/>
      <c r="L57" s="2752"/>
      <c r="M57" s="2752"/>
      <c r="N57" s="2752"/>
      <c r="O57" s="2752"/>
    </row>
    <row r="58" spans="1:15" ht="15.75">
      <c r="A58" s="44"/>
      <c r="B58" s="2732"/>
      <c r="C58" s="45"/>
      <c r="H58" s="2752"/>
      <c r="I58" s="2752"/>
      <c r="J58" s="2752"/>
      <c r="K58" s="2752"/>
      <c r="L58" s="2752"/>
      <c r="M58" s="2752"/>
      <c r="N58" s="2752"/>
      <c r="O58" s="2752"/>
    </row>
    <row r="59" spans="1:15" ht="15.75" customHeight="1">
      <c r="A59" s="44"/>
      <c r="B59" s="2732"/>
      <c r="C59" s="45"/>
      <c r="H59" s="2752"/>
      <c r="I59" s="2752"/>
      <c r="J59" s="2752"/>
      <c r="K59" s="2752"/>
      <c r="L59" s="2752"/>
      <c r="M59" s="2752"/>
      <c r="N59" s="2752"/>
      <c r="O59" s="2752"/>
    </row>
    <row r="60" spans="1:15" ht="15.75" customHeight="1">
      <c r="A60" s="44"/>
      <c r="B60" s="2732"/>
      <c r="C60" s="45"/>
      <c r="H60" s="2752"/>
      <c r="I60" s="2752"/>
      <c r="J60" s="2752"/>
      <c r="K60" s="2752"/>
      <c r="L60" s="2752"/>
      <c r="M60" s="2752"/>
      <c r="N60" s="2752"/>
      <c r="O60" s="2752"/>
    </row>
    <row r="61" spans="1:15" ht="15.75" customHeight="1">
      <c r="A61" s="44"/>
      <c r="B61" s="2732"/>
      <c r="C61" s="45"/>
      <c r="H61" s="2752"/>
      <c r="I61" s="2752"/>
      <c r="J61" s="2752"/>
      <c r="K61" s="2752"/>
      <c r="L61" s="2752"/>
      <c r="M61" s="2752"/>
      <c r="N61" s="2752"/>
      <c r="O61" s="2752"/>
    </row>
    <row r="62" spans="1:15" ht="15.75" customHeight="1">
      <c r="A62" s="44"/>
      <c r="B62" s="2732"/>
      <c r="C62" s="45"/>
      <c r="H62" s="2752"/>
      <c r="I62" s="2752"/>
      <c r="J62" s="2752"/>
      <c r="K62" s="2752"/>
      <c r="L62" s="2752"/>
      <c r="M62" s="2752"/>
      <c r="N62" s="2752"/>
      <c r="O62" s="2752"/>
    </row>
    <row r="63" spans="1:15" ht="15.75" customHeight="1">
      <c r="A63" s="44"/>
      <c r="B63" s="2732"/>
      <c r="C63" s="45"/>
      <c r="H63" s="2752"/>
      <c r="I63" s="2752"/>
      <c r="J63" s="2752"/>
      <c r="K63" s="2752"/>
      <c r="L63" s="2752"/>
      <c r="M63" s="2752"/>
      <c r="N63" s="2752"/>
      <c r="O63" s="2752"/>
    </row>
    <row r="64" spans="1:15" ht="15.75" customHeight="1">
      <c r="A64" s="44"/>
      <c r="B64" s="2732"/>
      <c r="C64" s="45"/>
      <c r="H64" s="2752"/>
      <c r="I64" s="2752"/>
      <c r="J64" s="2752"/>
      <c r="K64" s="2752"/>
      <c r="L64" s="2752"/>
      <c r="M64" s="2752"/>
      <c r="N64" s="2752"/>
      <c r="O64" s="2752"/>
    </row>
    <row r="65" spans="1:15" ht="15.75" customHeight="1">
      <c r="A65" s="44"/>
      <c r="B65" s="2732"/>
      <c r="C65" s="45"/>
      <c r="H65" s="2752"/>
      <c r="I65" s="2752"/>
      <c r="J65" s="2752"/>
      <c r="K65" s="2752"/>
      <c r="L65" s="2752"/>
      <c r="M65" s="2752"/>
      <c r="N65" s="2752"/>
      <c r="O65" s="2752"/>
    </row>
    <row r="66" spans="1:15" ht="15.75" customHeight="1">
      <c r="A66" s="44"/>
      <c r="B66" s="2732"/>
      <c r="C66" s="45"/>
      <c r="H66" s="2752"/>
      <c r="I66" s="2752"/>
      <c r="J66" s="2752"/>
      <c r="K66" s="2752"/>
      <c r="L66" s="2752"/>
      <c r="M66" s="2752"/>
      <c r="N66" s="2752"/>
      <c r="O66" s="2752"/>
    </row>
    <row r="67" spans="1:15" ht="15.75" customHeight="1">
      <c r="A67" s="44"/>
      <c r="B67" s="2732"/>
      <c r="C67" s="45"/>
      <c r="H67" s="2752"/>
      <c r="I67" s="2752"/>
      <c r="J67" s="2752"/>
      <c r="K67" s="2752"/>
      <c r="L67" s="2752"/>
      <c r="M67" s="2752"/>
      <c r="N67" s="2752"/>
      <c r="O67" s="2752"/>
    </row>
    <row r="68" spans="1:15" ht="15.75" customHeight="1">
      <c r="A68" s="44"/>
      <c r="B68" s="2732"/>
      <c r="C68" s="45"/>
      <c r="H68" s="2752"/>
      <c r="I68" s="2752"/>
      <c r="J68" s="2752"/>
      <c r="K68" s="2752"/>
      <c r="L68" s="2752"/>
      <c r="M68" s="2752"/>
      <c r="N68" s="2752"/>
      <c r="O68" s="2752"/>
    </row>
    <row r="69" spans="1:15" ht="15.75" customHeight="1">
      <c r="A69" s="44"/>
      <c r="B69" s="2732"/>
      <c r="C69" s="45"/>
      <c r="H69" s="2752"/>
      <c r="I69" s="2752"/>
      <c r="J69" s="2752"/>
      <c r="K69" s="2752"/>
      <c r="L69" s="2752"/>
      <c r="M69" s="2752"/>
      <c r="N69" s="2752"/>
      <c r="O69" s="2752"/>
    </row>
    <row r="70" spans="1:15" ht="14.25">
      <c r="A70" s="2737"/>
      <c r="B70" s="2738"/>
      <c r="C70" s="2738"/>
      <c r="D70" s="2738"/>
      <c r="E70" s="2738"/>
      <c r="F70" s="2738"/>
      <c r="G70" s="2738"/>
      <c r="H70" s="2738"/>
      <c r="I70" s="2738"/>
      <c r="J70" s="2717"/>
      <c r="K70" s="2717"/>
    </row>
    <row r="71" spans="1:15" ht="14.25">
      <c r="A71" s="2737"/>
      <c r="B71" s="2738"/>
      <c r="C71" s="2738"/>
      <c r="D71" s="2738"/>
      <c r="E71" s="2738"/>
      <c r="F71" s="2738"/>
      <c r="G71" s="2738"/>
      <c r="H71" s="2738"/>
      <c r="I71" s="2738"/>
      <c r="J71" s="2717"/>
      <c r="K71" s="2717"/>
    </row>
    <row r="72" spans="1:15" ht="14.25">
      <c r="A72" s="2737"/>
      <c r="B72" s="2738"/>
      <c r="C72" s="2738"/>
      <c r="D72" s="2738"/>
      <c r="E72" s="2738"/>
      <c r="F72" s="2738"/>
      <c r="G72" s="2738"/>
      <c r="H72" s="2738"/>
      <c r="I72" s="2738"/>
      <c r="J72" s="2717"/>
      <c r="K72" s="2717"/>
    </row>
    <row r="73" spans="1:15" ht="14.25">
      <c r="A73" s="2737"/>
      <c r="B73" s="2738"/>
      <c r="C73" s="2738"/>
      <c r="D73" s="2738"/>
      <c r="E73" s="2738"/>
      <c r="F73" s="2738"/>
      <c r="G73" s="2738"/>
      <c r="H73" s="2738"/>
      <c r="I73" s="2738"/>
      <c r="J73" s="2717"/>
      <c r="K73" s="2717"/>
    </row>
    <row r="74" spans="1:15" ht="14.25">
      <c r="A74" s="2737"/>
      <c r="B74" s="2738"/>
      <c r="C74" s="2738"/>
      <c r="D74" s="2738"/>
      <c r="E74" s="2738"/>
      <c r="F74" s="2738"/>
      <c r="G74" s="2738"/>
      <c r="H74" s="2738"/>
      <c r="I74" s="2738"/>
      <c r="J74" s="2717"/>
      <c r="K74" s="2717"/>
    </row>
    <row r="75" spans="1:15" ht="14.25">
      <c r="A75" s="2737"/>
      <c r="B75" s="2738"/>
      <c r="C75" s="2738"/>
      <c r="D75" s="2738"/>
      <c r="E75" s="2738"/>
      <c r="F75" s="2738"/>
      <c r="G75" s="2738"/>
      <c r="H75" s="2738"/>
      <c r="I75" s="2738"/>
      <c r="J75" s="2717"/>
      <c r="K75" s="2717"/>
    </row>
    <row r="77" spans="1:15" ht="14.25">
      <c r="A77" s="2737"/>
      <c r="B77" s="2738"/>
      <c r="C77" s="2738"/>
      <c r="D77" s="2738"/>
      <c r="E77" s="2738"/>
      <c r="F77" s="2738"/>
      <c r="G77" s="2738"/>
      <c r="H77" s="2738"/>
      <c r="I77" s="2738"/>
      <c r="J77" s="2717"/>
      <c r="K77" s="2717"/>
    </row>
    <row r="79" spans="1:15" ht="14.25">
      <c r="D79" s="2753"/>
      <c r="E79" s="2753"/>
      <c r="F79" s="2753"/>
      <c r="G79" s="2753"/>
    </row>
    <row r="80" spans="1:15" ht="14.25">
      <c r="D80" s="2753"/>
      <c r="E80" s="2753"/>
      <c r="F80" s="2753"/>
      <c r="G80" s="2753"/>
    </row>
    <row r="81" spans="4:7" ht="14.25">
      <c r="D81" s="2753"/>
      <c r="E81" s="2753"/>
      <c r="F81" s="2753"/>
      <c r="G81" s="2753"/>
    </row>
    <row r="82" spans="4:7" ht="14.25">
      <c r="D82" s="2753"/>
      <c r="E82" s="2753"/>
      <c r="F82" s="2753"/>
      <c r="G82" s="2753"/>
    </row>
    <row r="83" spans="4:7" ht="14.25">
      <c r="D83" s="2753"/>
      <c r="E83" s="2753"/>
      <c r="F83" s="2753"/>
      <c r="G83" s="2753"/>
    </row>
    <row r="84" spans="4:7" ht="14.25">
      <c r="D84" s="2753"/>
      <c r="E84" s="2753"/>
      <c r="F84" s="2753"/>
      <c r="G84" s="2753"/>
    </row>
  </sheetData>
  <mergeCells count="15">
    <mergeCell ref="C1:G1"/>
    <mergeCell ref="B3:J3"/>
    <mergeCell ref="A5:A6"/>
    <mergeCell ref="B5:B6"/>
    <mergeCell ref="C5:C6"/>
    <mergeCell ref="D5:D6"/>
    <mergeCell ref="E5:E6"/>
    <mergeCell ref="F5:G5"/>
    <mergeCell ref="H5:I5"/>
    <mergeCell ref="J5:K5"/>
    <mergeCell ref="A19:A21"/>
    <mergeCell ref="A23:A24"/>
    <mergeCell ref="L24:M24"/>
    <mergeCell ref="A25:A28"/>
    <mergeCell ref="B54:C54"/>
  </mergeCells>
  <conditionalFormatting sqref="B40">
    <cfRule type="cellIs" dxfId="36" priority="2" stopIfTrue="1" operator="equal">
      <formula>"?"</formula>
    </cfRule>
  </conditionalFormatting>
  <conditionalFormatting sqref="B41">
    <cfRule type="cellIs" dxfId="35" priority="1" stopIfTrue="1" operator="equal">
      <formula>"?"</formula>
    </cfRule>
  </conditionalFormatting>
  <pageMargins left="0.74803149606299213" right="0.15748031496062992" top="0.59055118110236227" bottom="0.31496062992125984" header="0.51181102362204722" footer="0.15748031496062992"/>
  <pageSetup paperSize="9" scale="88" orientation="landscape" r:id="rId1"/>
  <headerFooter alignWithMargins="0"/>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0"/>
  <sheetViews>
    <sheetView workbookViewId="0">
      <pane xSplit="2" ySplit="7" topLeftCell="C43" activePane="bottomRight" state="frozen"/>
      <selection pane="topRight" activeCell="C1" sqref="C1"/>
      <selection pane="bottomLeft" activeCell="A8" sqref="A8"/>
      <selection pane="bottomRight" activeCell="I36" sqref="I36"/>
    </sheetView>
  </sheetViews>
  <sheetFormatPr defaultRowHeight="12.75"/>
  <cols>
    <col min="1" max="1" width="4.42578125" style="137" customWidth="1"/>
    <col min="2" max="2" width="72.7109375" style="70" customWidth="1"/>
    <col min="3" max="3" width="13.42578125" style="70" customWidth="1"/>
    <col min="4" max="4" width="6.28515625" style="70" customWidth="1"/>
    <col min="5" max="5" width="9" style="70" bestFit="1" customWidth="1"/>
    <col min="6" max="6" width="6.42578125" style="70" bestFit="1" customWidth="1"/>
    <col min="7" max="7" width="14.140625" style="70" customWidth="1"/>
    <col min="8" max="8" width="23.140625" style="70" customWidth="1"/>
    <col min="9" max="9" width="20.42578125" style="70" customWidth="1"/>
    <col min="10" max="10" width="14.28515625" style="70" customWidth="1"/>
    <col min="11" max="11" width="15.85546875" style="70" customWidth="1"/>
    <col min="12" max="12" width="15.28515625" style="70" customWidth="1"/>
    <col min="13" max="13" width="14.7109375" style="70" customWidth="1"/>
    <col min="14" max="256" width="9.140625" style="70"/>
    <col min="257" max="257" width="4.42578125" style="70" customWidth="1"/>
    <col min="258" max="258" width="72.7109375" style="70" customWidth="1"/>
    <col min="259" max="259" width="13.42578125" style="70" customWidth="1"/>
    <col min="260" max="260" width="6.28515625" style="70" customWidth="1"/>
    <col min="261" max="261" width="9" style="70" bestFit="1" customWidth="1"/>
    <col min="262" max="262" width="6.42578125" style="70" bestFit="1" customWidth="1"/>
    <col min="263" max="263" width="14.140625" style="70" customWidth="1"/>
    <col min="264" max="264" width="23.140625" style="70" customWidth="1"/>
    <col min="265" max="265" width="20.42578125" style="70" customWidth="1"/>
    <col min="266" max="266" width="14.28515625" style="70" customWidth="1"/>
    <col min="267" max="267" width="15.85546875" style="70" customWidth="1"/>
    <col min="268" max="268" width="15.28515625" style="70" customWidth="1"/>
    <col min="269" max="269" width="14.7109375" style="70" customWidth="1"/>
    <col min="270" max="512" width="9.140625" style="70"/>
    <col min="513" max="513" width="4.42578125" style="70" customWidth="1"/>
    <col min="514" max="514" width="72.7109375" style="70" customWidth="1"/>
    <col min="515" max="515" width="13.42578125" style="70" customWidth="1"/>
    <col min="516" max="516" width="6.28515625" style="70" customWidth="1"/>
    <col min="517" max="517" width="9" style="70" bestFit="1" customWidth="1"/>
    <col min="518" max="518" width="6.42578125" style="70" bestFit="1" customWidth="1"/>
    <col min="519" max="519" width="14.140625" style="70" customWidth="1"/>
    <col min="520" max="520" width="23.140625" style="70" customWidth="1"/>
    <col min="521" max="521" width="20.42578125" style="70" customWidth="1"/>
    <col min="522" max="522" width="14.28515625" style="70" customWidth="1"/>
    <col min="523" max="523" width="15.85546875" style="70" customWidth="1"/>
    <col min="524" max="524" width="15.28515625" style="70" customWidth="1"/>
    <col min="525" max="525" width="14.7109375" style="70" customWidth="1"/>
    <col min="526" max="768" width="9.140625" style="70"/>
    <col min="769" max="769" width="4.42578125" style="70" customWidth="1"/>
    <col min="770" max="770" width="72.7109375" style="70" customWidth="1"/>
    <col min="771" max="771" width="13.42578125" style="70" customWidth="1"/>
    <col min="772" max="772" width="6.28515625" style="70" customWidth="1"/>
    <col min="773" max="773" width="9" style="70" bestFit="1" customWidth="1"/>
    <col min="774" max="774" width="6.42578125" style="70" bestFit="1" customWidth="1"/>
    <col min="775" max="775" width="14.140625" style="70" customWidth="1"/>
    <col min="776" max="776" width="23.140625" style="70" customWidth="1"/>
    <col min="777" max="777" width="20.42578125" style="70" customWidth="1"/>
    <col min="778" max="778" width="14.28515625" style="70" customWidth="1"/>
    <col min="779" max="779" width="15.85546875" style="70" customWidth="1"/>
    <col min="780" max="780" width="15.28515625" style="70" customWidth="1"/>
    <col min="781" max="781" width="14.7109375" style="70" customWidth="1"/>
    <col min="782" max="1024" width="9.140625" style="70"/>
    <col min="1025" max="1025" width="4.42578125" style="70" customWidth="1"/>
    <col min="1026" max="1026" width="72.7109375" style="70" customWidth="1"/>
    <col min="1027" max="1027" width="13.42578125" style="70" customWidth="1"/>
    <col min="1028" max="1028" width="6.28515625" style="70" customWidth="1"/>
    <col min="1029" max="1029" width="9" style="70" bestFit="1" customWidth="1"/>
    <col min="1030" max="1030" width="6.42578125" style="70" bestFit="1" customWidth="1"/>
    <col min="1031" max="1031" width="14.140625" style="70" customWidth="1"/>
    <col min="1032" max="1032" width="23.140625" style="70" customWidth="1"/>
    <col min="1033" max="1033" width="20.42578125" style="70" customWidth="1"/>
    <col min="1034" max="1034" width="14.28515625" style="70" customWidth="1"/>
    <col min="1035" max="1035" width="15.85546875" style="70" customWidth="1"/>
    <col min="1036" max="1036" width="15.28515625" style="70" customWidth="1"/>
    <col min="1037" max="1037" width="14.7109375" style="70" customWidth="1"/>
    <col min="1038" max="1280" width="9.140625" style="70"/>
    <col min="1281" max="1281" width="4.42578125" style="70" customWidth="1"/>
    <col min="1282" max="1282" width="72.7109375" style="70" customWidth="1"/>
    <col min="1283" max="1283" width="13.42578125" style="70" customWidth="1"/>
    <col min="1284" max="1284" width="6.28515625" style="70" customWidth="1"/>
    <col min="1285" max="1285" width="9" style="70" bestFit="1" customWidth="1"/>
    <col min="1286" max="1286" width="6.42578125" style="70" bestFit="1" customWidth="1"/>
    <col min="1287" max="1287" width="14.140625" style="70" customWidth="1"/>
    <col min="1288" max="1288" width="23.140625" style="70" customWidth="1"/>
    <col min="1289" max="1289" width="20.42578125" style="70" customWidth="1"/>
    <col min="1290" max="1290" width="14.28515625" style="70" customWidth="1"/>
    <col min="1291" max="1291" width="15.85546875" style="70" customWidth="1"/>
    <col min="1292" max="1292" width="15.28515625" style="70" customWidth="1"/>
    <col min="1293" max="1293" width="14.7109375" style="70" customWidth="1"/>
    <col min="1294" max="1536" width="9.140625" style="70"/>
    <col min="1537" max="1537" width="4.42578125" style="70" customWidth="1"/>
    <col min="1538" max="1538" width="72.7109375" style="70" customWidth="1"/>
    <col min="1539" max="1539" width="13.42578125" style="70" customWidth="1"/>
    <col min="1540" max="1540" width="6.28515625" style="70" customWidth="1"/>
    <col min="1541" max="1541" width="9" style="70" bestFit="1" customWidth="1"/>
    <col min="1542" max="1542" width="6.42578125" style="70" bestFit="1" customWidth="1"/>
    <col min="1543" max="1543" width="14.140625" style="70" customWidth="1"/>
    <col min="1544" max="1544" width="23.140625" style="70" customWidth="1"/>
    <col min="1545" max="1545" width="20.42578125" style="70" customWidth="1"/>
    <col min="1546" max="1546" width="14.28515625" style="70" customWidth="1"/>
    <col min="1547" max="1547" width="15.85546875" style="70" customWidth="1"/>
    <col min="1548" max="1548" width="15.28515625" style="70" customWidth="1"/>
    <col min="1549" max="1549" width="14.7109375" style="70" customWidth="1"/>
    <col min="1550" max="1792" width="9.140625" style="70"/>
    <col min="1793" max="1793" width="4.42578125" style="70" customWidth="1"/>
    <col min="1794" max="1794" width="72.7109375" style="70" customWidth="1"/>
    <col min="1795" max="1795" width="13.42578125" style="70" customWidth="1"/>
    <col min="1796" max="1796" width="6.28515625" style="70" customWidth="1"/>
    <col min="1797" max="1797" width="9" style="70" bestFit="1" customWidth="1"/>
    <col min="1798" max="1798" width="6.42578125" style="70" bestFit="1" customWidth="1"/>
    <col min="1799" max="1799" width="14.140625" style="70" customWidth="1"/>
    <col min="1800" max="1800" width="23.140625" style="70" customWidth="1"/>
    <col min="1801" max="1801" width="20.42578125" style="70" customWidth="1"/>
    <col min="1802" max="1802" width="14.28515625" style="70" customWidth="1"/>
    <col min="1803" max="1803" width="15.85546875" style="70" customWidth="1"/>
    <col min="1804" max="1804" width="15.28515625" style="70" customWidth="1"/>
    <col min="1805" max="1805" width="14.7109375" style="70" customWidth="1"/>
    <col min="1806" max="2048" width="9.140625" style="70"/>
    <col min="2049" max="2049" width="4.42578125" style="70" customWidth="1"/>
    <col min="2050" max="2050" width="72.7109375" style="70" customWidth="1"/>
    <col min="2051" max="2051" width="13.42578125" style="70" customWidth="1"/>
    <col min="2052" max="2052" width="6.28515625" style="70" customWidth="1"/>
    <col min="2053" max="2053" width="9" style="70" bestFit="1" customWidth="1"/>
    <col min="2054" max="2054" width="6.42578125" style="70" bestFit="1" customWidth="1"/>
    <col min="2055" max="2055" width="14.140625" style="70" customWidth="1"/>
    <col min="2056" max="2056" width="23.140625" style="70" customWidth="1"/>
    <col min="2057" max="2057" width="20.42578125" style="70" customWidth="1"/>
    <col min="2058" max="2058" width="14.28515625" style="70" customWidth="1"/>
    <col min="2059" max="2059" width="15.85546875" style="70" customWidth="1"/>
    <col min="2060" max="2060" width="15.28515625" style="70" customWidth="1"/>
    <col min="2061" max="2061" width="14.7109375" style="70" customWidth="1"/>
    <col min="2062" max="2304" width="9.140625" style="70"/>
    <col min="2305" max="2305" width="4.42578125" style="70" customWidth="1"/>
    <col min="2306" max="2306" width="72.7109375" style="70" customWidth="1"/>
    <col min="2307" max="2307" width="13.42578125" style="70" customWidth="1"/>
    <col min="2308" max="2308" width="6.28515625" style="70" customWidth="1"/>
    <col min="2309" max="2309" width="9" style="70" bestFit="1" customWidth="1"/>
    <col min="2310" max="2310" width="6.42578125" style="70" bestFit="1" customWidth="1"/>
    <col min="2311" max="2311" width="14.140625" style="70" customWidth="1"/>
    <col min="2312" max="2312" width="23.140625" style="70" customWidth="1"/>
    <col min="2313" max="2313" width="20.42578125" style="70" customWidth="1"/>
    <col min="2314" max="2314" width="14.28515625" style="70" customWidth="1"/>
    <col min="2315" max="2315" width="15.85546875" style="70" customWidth="1"/>
    <col min="2316" max="2316" width="15.28515625" style="70" customWidth="1"/>
    <col min="2317" max="2317" width="14.7109375" style="70" customWidth="1"/>
    <col min="2318" max="2560" width="9.140625" style="70"/>
    <col min="2561" max="2561" width="4.42578125" style="70" customWidth="1"/>
    <col min="2562" max="2562" width="72.7109375" style="70" customWidth="1"/>
    <col min="2563" max="2563" width="13.42578125" style="70" customWidth="1"/>
    <col min="2564" max="2564" width="6.28515625" style="70" customWidth="1"/>
    <col min="2565" max="2565" width="9" style="70" bestFit="1" customWidth="1"/>
    <col min="2566" max="2566" width="6.42578125" style="70" bestFit="1" customWidth="1"/>
    <col min="2567" max="2567" width="14.140625" style="70" customWidth="1"/>
    <col min="2568" max="2568" width="23.140625" style="70" customWidth="1"/>
    <col min="2569" max="2569" width="20.42578125" style="70" customWidth="1"/>
    <col min="2570" max="2570" width="14.28515625" style="70" customWidth="1"/>
    <col min="2571" max="2571" width="15.85546875" style="70" customWidth="1"/>
    <col min="2572" max="2572" width="15.28515625" style="70" customWidth="1"/>
    <col min="2573" max="2573" width="14.7109375" style="70" customWidth="1"/>
    <col min="2574" max="2816" width="9.140625" style="70"/>
    <col min="2817" max="2817" width="4.42578125" style="70" customWidth="1"/>
    <col min="2818" max="2818" width="72.7109375" style="70" customWidth="1"/>
    <col min="2819" max="2819" width="13.42578125" style="70" customWidth="1"/>
    <col min="2820" max="2820" width="6.28515625" style="70" customWidth="1"/>
    <col min="2821" max="2821" width="9" style="70" bestFit="1" customWidth="1"/>
    <col min="2822" max="2822" width="6.42578125" style="70" bestFit="1" customWidth="1"/>
    <col min="2823" max="2823" width="14.140625" style="70" customWidth="1"/>
    <col min="2824" max="2824" width="23.140625" style="70" customWidth="1"/>
    <col min="2825" max="2825" width="20.42578125" style="70" customWidth="1"/>
    <col min="2826" max="2826" width="14.28515625" style="70" customWidth="1"/>
    <col min="2827" max="2827" width="15.85546875" style="70" customWidth="1"/>
    <col min="2828" max="2828" width="15.28515625" style="70" customWidth="1"/>
    <col min="2829" max="2829" width="14.7109375" style="70" customWidth="1"/>
    <col min="2830" max="3072" width="9.140625" style="70"/>
    <col min="3073" max="3073" width="4.42578125" style="70" customWidth="1"/>
    <col min="3074" max="3074" width="72.7109375" style="70" customWidth="1"/>
    <col min="3075" max="3075" width="13.42578125" style="70" customWidth="1"/>
    <col min="3076" max="3076" width="6.28515625" style="70" customWidth="1"/>
    <col min="3077" max="3077" width="9" style="70" bestFit="1" customWidth="1"/>
    <col min="3078" max="3078" width="6.42578125" style="70" bestFit="1" customWidth="1"/>
    <col min="3079" max="3079" width="14.140625" style="70" customWidth="1"/>
    <col min="3080" max="3080" width="23.140625" style="70" customWidth="1"/>
    <col min="3081" max="3081" width="20.42578125" style="70" customWidth="1"/>
    <col min="3082" max="3082" width="14.28515625" style="70" customWidth="1"/>
    <col min="3083" max="3083" width="15.85546875" style="70" customWidth="1"/>
    <col min="3084" max="3084" width="15.28515625" style="70" customWidth="1"/>
    <col min="3085" max="3085" width="14.7109375" style="70" customWidth="1"/>
    <col min="3086" max="3328" width="9.140625" style="70"/>
    <col min="3329" max="3329" width="4.42578125" style="70" customWidth="1"/>
    <col min="3330" max="3330" width="72.7109375" style="70" customWidth="1"/>
    <col min="3331" max="3331" width="13.42578125" style="70" customWidth="1"/>
    <col min="3332" max="3332" width="6.28515625" style="70" customWidth="1"/>
    <col min="3333" max="3333" width="9" style="70" bestFit="1" customWidth="1"/>
    <col min="3334" max="3334" width="6.42578125" style="70" bestFit="1" customWidth="1"/>
    <col min="3335" max="3335" width="14.140625" style="70" customWidth="1"/>
    <col min="3336" max="3336" width="23.140625" style="70" customWidth="1"/>
    <col min="3337" max="3337" width="20.42578125" style="70" customWidth="1"/>
    <col min="3338" max="3338" width="14.28515625" style="70" customWidth="1"/>
    <col min="3339" max="3339" width="15.85546875" style="70" customWidth="1"/>
    <col min="3340" max="3340" width="15.28515625" style="70" customWidth="1"/>
    <col min="3341" max="3341" width="14.7109375" style="70" customWidth="1"/>
    <col min="3342" max="3584" width="9.140625" style="70"/>
    <col min="3585" max="3585" width="4.42578125" style="70" customWidth="1"/>
    <col min="3586" max="3586" width="72.7109375" style="70" customWidth="1"/>
    <col min="3587" max="3587" width="13.42578125" style="70" customWidth="1"/>
    <col min="3588" max="3588" width="6.28515625" style="70" customWidth="1"/>
    <col min="3589" max="3589" width="9" style="70" bestFit="1" customWidth="1"/>
    <col min="3590" max="3590" width="6.42578125" style="70" bestFit="1" customWidth="1"/>
    <col min="3591" max="3591" width="14.140625" style="70" customWidth="1"/>
    <col min="3592" max="3592" width="23.140625" style="70" customWidth="1"/>
    <col min="3593" max="3593" width="20.42578125" style="70" customWidth="1"/>
    <col min="3594" max="3594" width="14.28515625" style="70" customWidth="1"/>
    <col min="3595" max="3595" width="15.85546875" style="70" customWidth="1"/>
    <col min="3596" max="3596" width="15.28515625" style="70" customWidth="1"/>
    <col min="3597" max="3597" width="14.7109375" style="70" customWidth="1"/>
    <col min="3598" max="3840" width="9.140625" style="70"/>
    <col min="3841" max="3841" width="4.42578125" style="70" customWidth="1"/>
    <col min="3842" max="3842" width="72.7109375" style="70" customWidth="1"/>
    <col min="3843" max="3843" width="13.42578125" style="70" customWidth="1"/>
    <col min="3844" max="3844" width="6.28515625" style="70" customWidth="1"/>
    <col min="3845" max="3845" width="9" style="70" bestFit="1" customWidth="1"/>
    <col min="3846" max="3846" width="6.42578125" style="70" bestFit="1" customWidth="1"/>
    <col min="3847" max="3847" width="14.140625" style="70" customWidth="1"/>
    <col min="3848" max="3848" width="23.140625" style="70" customWidth="1"/>
    <col min="3849" max="3849" width="20.42578125" style="70" customWidth="1"/>
    <col min="3850" max="3850" width="14.28515625" style="70" customWidth="1"/>
    <col min="3851" max="3851" width="15.85546875" style="70" customWidth="1"/>
    <col min="3852" max="3852" width="15.28515625" style="70" customWidth="1"/>
    <col min="3853" max="3853" width="14.7109375" style="70" customWidth="1"/>
    <col min="3854" max="4096" width="9.140625" style="70"/>
    <col min="4097" max="4097" width="4.42578125" style="70" customWidth="1"/>
    <col min="4098" max="4098" width="72.7109375" style="70" customWidth="1"/>
    <col min="4099" max="4099" width="13.42578125" style="70" customWidth="1"/>
    <col min="4100" max="4100" width="6.28515625" style="70" customWidth="1"/>
    <col min="4101" max="4101" width="9" style="70" bestFit="1" customWidth="1"/>
    <col min="4102" max="4102" width="6.42578125" style="70" bestFit="1" customWidth="1"/>
    <col min="4103" max="4103" width="14.140625" style="70" customWidth="1"/>
    <col min="4104" max="4104" width="23.140625" style="70" customWidth="1"/>
    <col min="4105" max="4105" width="20.42578125" style="70" customWidth="1"/>
    <col min="4106" max="4106" width="14.28515625" style="70" customWidth="1"/>
    <col min="4107" max="4107" width="15.85546875" style="70" customWidth="1"/>
    <col min="4108" max="4108" width="15.28515625" style="70" customWidth="1"/>
    <col min="4109" max="4109" width="14.7109375" style="70" customWidth="1"/>
    <col min="4110" max="4352" width="9.140625" style="70"/>
    <col min="4353" max="4353" width="4.42578125" style="70" customWidth="1"/>
    <col min="4354" max="4354" width="72.7109375" style="70" customWidth="1"/>
    <col min="4355" max="4355" width="13.42578125" style="70" customWidth="1"/>
    <col min="4356" max="4356" width="6.28515625" style="70" customWidth="1"/>
    <col min="4357" max="4357" width="9" style="70" bestFit="1" customWidth="1"/>
    <col min="4358" max="4358" width="6.42578125" style="70" bestFit="1" customWidth="1"/>
    <col min="4359" max="4359" width="14.140625" style="70" customWidth="1"/>
    <col min="4360" max="4360" width="23.140625" style="70" customWidth="1"/>
    <col min="4361" max="4361" width="20.42578125" style="70" customWidth="1"/>
    <col min="4362" max="4362" width="14.28515625" style="70" customWidth="1"/>
    <col min="4363" max="4363" width="15.85546875" style="70" customWidth="1"/>
    <col min="4364" max="4364" width="15.28515625" style="70" customWidth="1"/>
    <col min="4365" max="4365" width="14.7109375" style="70" customWidth="1"/>
    <col min="4366" max="4608" width="9.140625" style="70"/>
    <col min="4609" max="4609" width="4.42578125" style="70" customWidth="1"/>
    <col min="4610" max="4610" width="72.7109375" style="70" customWidth="1"/>
    <col min="4611" max="4611" width="13.42578125" style="70" customWidth="1"/>
    <col min="4612" max="4612" width="6.28515625" style="70" customWidth="1"/>
    <col min="4613" max="4613" width="9" style="70" bestFit="1" customWidth="1"/>
    <col min="4614" max="4614" width="6.42578125" style="70" bestFit="1" customWidth="1"/>
    <col min="4615" max="4615" width="14.140625" style="70" customWidth="1"/>
    <col min="4616" max="4616" width="23.140625" style="70" customWidth="1"/>
    <col min="4617" max="4617" width="20.42578125" style="70" customWidth="1"/>
    <col min="4618" max="4618" width="14.28515625" style="70" customWidth="1"/>
    <col min="4619" max="4619" width="15.85546875" style="70" customWidth="1"/>
    <col min="4620" max="4620" width="15.28515625" style="70" customWidth="1"/>
    <col min="4621" max="4621" width="14.7109375" style="70" customWidth="1"/>
    <col min="4622" max="4864" width="9.140625" style="70"/>
    <col min="4865" max="4865" width="4.42578125" style="70" customWidth="1"/>
    <col min="4866" max="4866" width="72.7109375" style="70" customWidth="1"/>
    <col min="4867" max="4867" width="13.42578125" style="70" customWidth="1"/>
    <col min="4868" max="4868" width="6.28515625" style="70" customWidth="1"/>
    <col min="4869" max="4869" width="9" style="70" bestFit="1" customWidth="1"/>
    <col min="4870" max="4870" width="6.42578125" style="70" bestFit="1" customWidth="1"/>
    <col min="4871" max="4871" width="14.140625" style="70" customWidth="1"/>
    <col min="4872" max="4872" width="23.140625" style="70" customWidth="1"/>
    <col min="4873" max="4873" width="20.42578125" style="70" customWidth="1"/>
    <col min="4874" max="4874" width="14.28515625" style="70" customWidth="1"/>
    <col min="4875" max="4875" width="15.85546875" style="70" customWidth="1"/>
    <col min="4876" max="4876" width="15.28515625" style="70" customWidth="1"/>
    <col min="4877" max="4877" width="14.7109375" style="70" customWidth="1"/>
    <col min="4878" max="5120" width="9.140625" style="70"/>
    <col min="5121" max="5121" width="4.42578125" style="70" customWidth="1"/>
    <col min="5122" max="5122" width="72.7109375" style="70" customWidth="1"/>
    <col min="5123" max="5123" width="13.42578125" style="70" customWidth="1"/>
    <col min="5124" max="5124" width="6.28515625" style="70" customWidth="1"/>
    <col min="5125" max="5125" width="9" style="70" bestFit="1" customWidth="1"/>
    <col min="5126" max="5126" width="6.42578125" style="70" bestFit="1" customWidth="1"/>
    <col min="5127" max="5127" width="14.140625" style="70" customWidth="1"/>
    <col min="5128" max="5128" width="23.140625" style="70" customWidth="1"/>
    <col min="5129" max="5129" width="20.42578125" style="70" customWidth="1"/>
    <col min="5130" max="5130" width="14.28515625" style="70" customWidth="1"/>
    <col min="5131" max="5131" width="15.85546875" style="70" customWidth="1"/>
    <col min="5132" max="5132" width="15.28515625" style="70" customWidth="1"/>
    <col min="5133" max="5133" width="14.7109375" style="70" customWidth="1"/>
    <col min="5134" max="5376" width="9.140625" style="70"/>
    <col min="5377" max="5377" width="4.42578125" style="70" customWidth="1"/>
    <col min="5378" max="5378" width="72.7109375" style="70" customWidth="1"/>
    <col min="5379" max="5379" width="13.42578125" style="70" customWidth="1"/>
    <col min="5380" max="5380" width="6.28515625" style="70" customWidth="1"/>
    <col min="5381" max="5381" width="9" style="70" bestFit="1" customWidth="1"/>
    <col min="5382" max="5382" width="6.42578125" style="70" bestFit="1" customWidth="1"/>
    <col min="5383" max="5383" width="14.140625" style="70" customWidth="1"/>
    <col min="5384" max="5384" width="23.140625" style="70" customWidth="1"/>
    <col min="5385" max="5385" width="20.42578125" style="70" customWidth="1"/>
    <col min="5386" max="5386" width="14.28515625" style="70" customWidth="1"/>
    <col min="5387" max="5387" width="15.85546875" style="70" customWidth="1"/>
    <col min="5388" max="5388" width="15.28515625" style="70" customWidth="1"/>
    <col min="5389" max="5389" width="14.7109375" style="70" customWidth="1"/>
    <col min="5390" max="5632" width="9.140625" style="70"/>
    <col min="5633" max="5633" width="4.42578125" style="70" customWidth="1"/>
    <col min="5634" max="5634" width="72.7109375" style="70" customWidth="1"/>
    <col min="5635" max="5635" width="13.42578125" style="70" customWidth="1"/>
    <col min="5636" max="5636" width="6.28515625" style="70" customWidth="1"/>
    <col min="5637" max="5637" width="9" style="70" bestFit="1" customWidth="1"/>
    <col min="5638" max="5638" width="6.42578125" style="70" bestFit="1" customWidth="1"/>
    <col min="5639" max="5639" width="14.140625" style="70" customWidth="1"/>
    <col min="5640" max="5640" width="23.140625" style="70" customWidth="1"/>
    <col min="5641" max="5641" width="20.42578125" style="70" customWidth="1"/>
    <col min="5642" max="5642" width="14.28515625" style="70" customWidth="1"/>
    <col min="5643" max="5643" width="15.85546875" style="70" customWidth="1"/>
    <col min="5644" max="5644" width="15.28515625" style="70" customWidth="1"/>
    <col min="5645" max="5645" width="14.7109375" style="70" customWidth="1"/>
    <col min="5646" max="5888" width="9.140625" style="70"/>
    <col min="5889" max="5889" width="4.42578125" style="70" customWidth="1"/>
    <col min="5890" max="5890" width="72.7109375" style="70" customWidth="1"/>
    <col min="5891" max="5891" width="13.42578125" style="70" customWidth="1"/>
    <col min="5892" max="5892" width="6.28515625" style="70" customWidth="1"/>
    <col min="5893" max="5893" width="9" style="70" bestFit="1" customWidth="1"/>
    <col min="5894" max="5894" width="6.42578125" style="70" bestFit="1" customWidth="1"/>
    <col min="5895" max="5895" width="14.140625" style="70" customWidth="1"/>
    <col min="5896" max="5896" width="23.140625" style="70" customWidth="1"/>
    <col min="5897" max="5897" width="20.42578125" style="70" customWidth="1"/>
    <col min="5898" max="5898" width="14.28515625" style="70" customWidth="1"/>
    <col min="5899" max="5899" width="15.85546875" style="70" customWidth="1"/>
    <col min="5900" max="5900" width="15.28515625" style="70" customWidth="1"/>
    <col min="5901" max="5901" width="14.7109375" style="70" customWidth="1"/>
    <col min="5902" max="6144" width="9.140625" style="70"/>
    <col min="6145" max="6145" width="4.42578125" style="70" customWidth="1"/>
    <col min="6146" max="6146" width="72.7109375" style="70" customWidth="1"/>
    <col min="6147" max="6147" width="13.42578125" style="70" customWidth="1"/>
    <col min="6148" max="6148" width="6.28515625" style="70" customWidth="1"/>
    <col min="6149" max="6149" width="9" style="70" bestFit="1" customWidth="1"/>
    <col min="6150" max="6150" width="6.42578125" style="70" bestFit="1" customWidth="1"/>
    <col min="6151" max="6151" width="14.140625" style="70" customWidth="1"/>
    <col min="6152" max="6152" width="23.140625" style="70" customWidth="1"/>
    <col min="6153" max="6153" width="20.42578125" style="70" customWidth="1"/>
    <col min="6154" max="6154" width="14.28515625" style="70" customWidth="1"/>
    <col min="6155" max="6155" width="15.85546875" style="70" customWidth="1"/>
    <col min="6156" max="6156" width="15.28515625" style="70" customWidth="1"/>
    <col min="6157" max="6157" width="14.7109375" style="70" customWidth="1"/>
    <col min="6158" max="6400" width="9.140625" style="70"/>
    <col min="6401" max="6401" width="4.42578125" style="70" customWidth="1"/>
    <col min="6402" max="6402" width="72.7109375" style="70" customWidth="1"/>
    <col min="6403" max="6403" width="13.42578125" style="70" customWidth="1"/>
    <col min="6404" max="6404" width="6.28515625" style="70" customWidth="1"/>
    <col min="6405" max="6405" width="9" style="70" bestFit="1" customWidth="1"/>
    <col min="6406" max="6406" width="6.42578125" style="70" bestFit="1" customWidth="1"/>
    <col min="6407" max="6407" width="14.140625" style="70" customWidth="1"/>
    <col min="6408" max="6408" width="23.140625" style="70" customWidth="1"/>
    <col min="6409" max="6409" width="20.42578125" style="70" customWidth="1"/>
    <col min="6410" max="6410" width="14.28515625" style="70" customWidth="1"/>
    <col min="6411" max="6411" width="15.85546875" style="70" customWidth="1"/>
    <col min="6412" max="6412" width="15.28515625" style="70" customWidth="1"/>
    <col min="6413" max="6413" width="14.7109375" style="70" customWidth="1"/>
    <col min="6414" max="6656" width="9.140625" style="70"/>
    <col min="6657" max="6657" width="4.42578125" style="70" customWidth="1"/>
    <col min="6658" max="6658" width="72.7109375" style="70" customWidth="1"/>
    <col min="6659" max="6659" width="13.42578125" style="70" customWidth="1"/>
    <col min="6660" max="6660" width="6.28515625" style="70" customWidth="1"/>
    <col min="6661" max="6661" width="9" style="70" bestFit="1" customWidth="1"/>
    <col min="6662" max="6662" width="6.42578125" style="70" bestFit="1" customWidth="1"/>
    <col min="6663" max="6663" width="14.140625" style="70" customWidth="1"/>
    <col min="6664" max="6664" width="23.140625" style="70" customWidth="1"/>
    <col min="6665" max="6665" width="20.42578125" style="70" customWidth="1"/>
    <col min="6666" max="6666" width="14.28515625" style="70" customWidth="1"/>
    <col min="6667" max="6667" width="15.85546875" style="70" customWidth="1"/>
    <col min="6668" max="6668" width="15.28515625" style="70" customWidth="1"/>
    <col min="6669" max="6669" width="14.7109375" style="70" customWidth="1"/>
    <col min="6670" max="6912" width="9.140625" style="70"/>
    <col min="6913" max="6913" width="4.42578125" style="70" customWidth="1"/>
    <col min="6914" max="6914" width="72.7109375" style="70" customWidth="1"/>
    <col min="6915" max="6915" width="13.42578125" style="70" customWidth="1"/>
    <col min="6916" max="6916" width="6.28515625" style="70" customWidth="1"/>
    <col min="6917" max="6917" width="9" style="70" bestFit="1" customWidth="1"/>
    <col min="6918" max="6918" width="6.42578125" style="70" bestFit="1" customWidth="1"/>
    <col min="6919" max="6919" width="14.140625" style="70" customWidth="1"/>
    <col min="6920" max="6920" width="23.140625" style="70" customWidth="1"/>
    <col min="6921" max="6921" width="20.42578125" style="70" customWidth="1"/>
    <col min="6922" max="6922" width="14.28515625" style="70" customWidth="1"/>
    <col min="6923" max="6923" width="15.85546875" style="70" customWidth="1"/>
    <col min="6924" max="6924" width="15.28515625" style="70" customWidth="1"/>
    <col min="6925" max="6925" width="14.7109375" style="70" customWidth="1"/>
    <col min="6926" max="7168" width="9.140625" style="70"/>
    <col min="7169" max="7169" width="4.42578125" style="70" customWidth="1"/>
    <col min="7170" max="7170" width="72.7109375" style="70" customWidth="1"/>
    <col min="7171" max="7171" width="13.42578125" style="70" customWidth="1"/>
    <col min="7172" max="7172" width="6.28515625" style="70" customWidth="1"/>
    <col min="7173" max="7173" width="9" style="70" bestFit="1" customWidth="1"/>
    <col min="7174" max="7174" width="6.42578125" style="70" bestFit="1" customWidth="1"/>
    <col min="7175" max="7175" width="14.140625" style="70" customWidth="1"/>
    <col min="7176" max="7176" width="23.140625" style="70" customWidth="1"/>
    <col min="7177" max="7177" width="20.42578125" style="70" customWidth="1"/>
    <col min="7178" max="7178" width="14.28515625" style="70" customWidth="1"/>
    <col min="7179" max="7179" width="15.85546875" style="70" customWidth="1"/>
    <col min="7180" max="7180" width="15.28515625" style="70" customWidth="1"/>
    <col min="7181" max="7181" width="14.7109375" style="70" customWidth="1"/>
    <col min="7182" max="7424" width="9.140625" style="70"/>
    <col min="7425" max="7425" width="4.42578125" style="70" customWidth="1"/>
    <col min="7426" max="7426" width="72.7109375" style="70" customWidth="1"/>
    <col min="7427" max="7427" width="13.42578125" style="70" customWidth="1"/>
    <col min="7428" max="7428" width="6.28515625" style="70" customWidth="1"/>
    <col min="7429" max="7429" width="9" style="70" bestFit="1" customWidth="1"/>
    <col min="7430" max="7430" width="6.42578125" style="70" bestFit="1" customWidth="1"/>
    <col min="7431" max="7431" width="14.140625" style="70" customWidth="1"/>
    <col min="7432" max="7432" width="23.140625" style="70" customWidth="1"/>
    <col min="7433" max="7433" width="20.42578125" style="70" customWidth="1"/>
    <col min="7434" max="7434" width="14.28515625" style="70" customWidth="1"/>
    <col min="7435" max="7435" width="15.85546875" style="70" customWidth="1"/>
    <col min="7436" max="7436" width="15.28515625" style="70" customWidth="1"/>
    <col min="7437" max="7437" width="14.7109375" style="70" customWidth="1"/>
    <col min="7438" max="7680" width="9.140625" style="70"/>
    <col min="7681" max="7681" width="4.42578125" style="70" customWidth="1"/>
    <col min="7682" max="7682" width="72.7109375" style="70" customWidth="1"/>
    <col min="7683" max="7683" width="13.42578125" style="70" customWidth="1"/>
    <col min="7684" max="7684" width="6.28515625" style="70" customWidth="1"/>
    <col min="7685" max="7685" width="9" style="70" bestFit="1" customWidth="1"/>
    <col min="7686" max="7686" width="6.42578125" style="70" bestFit="1" customWidth="1"/>
    <col min="7687" max="7687" width="14.140625" style="70" customWidth="1"/>
    <col min="7688" max="7688" width="23.140625" style="70" customWidth="1"/>
    <col min="7689" max="7689" width="20.42578125" style="70" customWidth="1"/>
    <col min="7690" max="7690" width="14.28515625" style="70" customWidth="1"/>
    <col min="7691" max="7691" width="15.85546875" style="70" customWidth="1"/>
    <col min="7692" max="7692" width="15.28515625" style="70" customWidth="1"/>
    <col min="7693" max="7693" width="14.7109375" style="70" customWidth="1"/>
    <col min="7694" max="7936" width="9.140625" style="70"/>
    <col min="7937" max="7937" width="4.42578125" style="70" customWidth="1"/>
    <col min="7938" max="7938" width="72.7109375" style="70" customWidth="1"/>
    <col min="7939" max="7939" width="13.42578125" style="70" customWidth="1"/>
    <col min="7940" max="7940" width="6.28515625" style="70" customWidth="1"/>
    <col min="7941" max="7941" width="9" style="70" bestFit="1" customWidth="1"/>
    <col min="7942" max="7942" width="6.42578125" style="70" bestFit="1" customWidth="1"/>
    <col min="7943" max="7943" width="14.140625" style="70" customWidth="1"/>
    <col min="7944" max="7944" width="23.140625" style="70" customWidth="1"/>
    <col min="7945" max="7945" width="20.42578125" style="70" customWidth="1"/>
    <col min="7946" max="7946" width="14.28515625" style="70" customWidth="1"/>
    <col min="7947" max="7947" width="15.85546875" style="70" customWidth="1"/>
    <col min="7948" max="7948" width="15.28515625" style="70" customWidth="1"/>
    <col min="7949" max="7949" width="14.7109375" style="70" customWidth="1"/>
    <col min="7950" max="8192" width="9.140625" style="70"/>
    <col min="8193" max="8193" width="4.42578125" style="70" customWidth="1"/>
    <col min="8194" max="8194" width="72.7109375" style="70" customWidth="1"/>
    <col min="8195" max="8195" width="13.42578125" style="70" customWidth="1"/>
    <col min="8196" max="8196" width="6.28515625" style="70" customWidth="1"/>
    <col min="8197" max="8197" width="9" style="70" bestFit="1" customWidth="1"/>
    <col min="8198" max="8198" width="6.42578125" style="70" bestFit="1" customWidth="1"/>
    <col min="8199" max="8199" width="14.140625" style="70" customWidth="1"/>
    <col min="8200" max="8200" width="23.140625" style="70" customWidth="1"/>
    <col min="8201" max="8201" width="20.42578125" style="70" customWidth="1"/>
    <col min="8202" max="8202" width="14.28515625" style="70" customWidth="1"/>
    <col min="8203" max="8203" width="15.85546875" style="70" customWidth="1"/>
    <col min="8204" max="8204" width="15.28515625" style="70" customWidth="1"/>
    <col min="8205" max="8205" width="14.7109375" style="70" customWidth="1"/>
    <col min="8206" max="8448" width="9.140625" style="70"/>
    <col min="8449" max="8449" width="4.42578125" style="70" customWidth="1"/>
    <col min="8450" max="8450" width="72.7109375" style="70" customWidth="1"/>
    <col min="8451" max="8451" width="13.42578125" style="70" customWidth="1"/>
    <col min="8452" max="8452" width="6.28515625" style="70" customWidth="1"/>
    <col min="8453" max="8453" width="9" style="70" bestFit="1" customWidth="1"/>
    <col min="8454" max="8454" width="6.42578125" style="70" bestFit="1" customWidth="1"/>
    <col min="8455" max="8455" width="14.140625" style="70" customWidth="1"/>
    <col min="8456" max="8456" width="23.140625" style="70" customWidth="1"/>
    <col min="8457" max="8457" width="20.42578125" style="70" customWidth="1"/>
    <col min="8458" max="8458" width="14.28515625" style="70" customWidth="1"/>
    <col min="8459" max="8459" width="15.85546875" style="70" customWidth="1"/>
    <col min="8460" max="8460" width="15.28515625" style="70" customWidth="1"/>
    <col min="8461" max="8461" width="14.7109375" style="70" customWidth="1"/>
    <col min="8462" max="8704" width="9.140625" style="70"/>
    <col min="8705" max="8705" width="4.42578125" style="70" customWidth="1"/>
    <col min="8706" max="8706" width="72.7109375" style="70" customWidth="1"/>
    <col min="8707" max="8707" width="13.42578125" style="70" customWidth="1"/>
    <col min="8708" max="8708" width="6.28515625" style="70" customWidth="1"/>
    <col min="8709" max="8709" width="9" style="70" bestFit="1" customWidth="1"/>
    <col min="8710" max="8710" width="6.42578125" style="70" bestFit="1" customWidth="1"/>
    <col min="8711" max="8711" width="14.140625" style="70" customWidth="1"/>
    <col min="8712" max="8712" width="23.140625" style="70" customWidth="1"/>
    <col min="8713" max="8713" width="20.42578125" style="70" customWidth="1"/>
    <col min="8714" max="8714" width="14.28515625" style="70" customWidth="1"/>
    <col min="8715" max="8715" width="15.85546875" style="70" customWidth="1"/>
    <col min="8716" max="8716" width="15.28515625" style="70" customWidth="1"/>
    <col min="8717" max="8717" width="14.7109375" style="70" customWidth="1"/>
    <col min="8718" max="8960" width="9.140625" style="70"/>
    <col min="8961" max="8961" width="4.42578125" style="70" customWidth="1"/>
    <col min="8962" max="8962" width="72.7109375" style="70" customWidth="1"/>
    <col min="8963" max="8963" width="13.42578125" style="70" customWidth="1"/>
    <col min="8964" max="8964" width="6.28515625" style="70" customWidth="1"/>
    <col min="8965" max="8965" width="9" style="70" bestFit="1" customWidth="1"/>
    <col min="8966" max="8966" width="6.42578125" style="70" bestFit="1" customWidth="1"/>
    <col min="8967" max="8967" width="14.140625" style="70" customWidth="1"/>
    <col min="8968" max="8968" width="23.140625" style="70" customWidth="1"/>
    <col min="8969" max="8969" width="20.42578125" style="70" customWidth="1"/>
    <col min="8970" max="8970" width="14.28515625" style="70" customWidth="1"/>
    <col min="8971" max="8971" width="15.85546875" style="70" customWidth="1"/>
    <col min="8972" max="8972" width="15.28515625" style="70" customWidth="1"/>
    <col min="8973" max="8973" width="14.7109375" style="70" customWidth="1"/>
    <col min="8974" max="9216" width="9.140625" style="70"/>
    <col min="9217" max="9217" width="4.42578125" style="70" customWidth="1"/>
    <col min="9218" max="9218" width="72.7109375" style="70" customWidth="1"/>
    <col min="9219" max="9219" width="13.42578125" style="70" customWidth="1"/>
    <col min="9220" max="9220" width="6.28515625" style="70" customWidth="1"/>
    <col min="9221" max="9221" width="9" style="70" bestFit="1" customWidth="1"/>
    <col min="9222" max="9222" width="6.42578125" style="70" bestFit="1" customWidth="1"/>
    <col min="9223" max="9223" width="14.140625" style="70" customWidth="1"/>
    <col min="9224" max="9224" width="23.140625" style="70" customWidth="1"/>
    <col min="9225" max="9225" width="20.42578125" style="70" customWidth="1"/>
    <col min="9226" max="9226" width="14.28515625" style="70" customWidth="1"/>
    <col min="9227" max="9227" width="15.85546875" style="70" customWidth="1"/>
    <col min="9228" max="9228" width="15.28515625" style="70" customWidth="1"/>
    <col min="9229" max="9229" width="14.7109375" style="70" customWidth="1"/>
    <col min="9230" max="9472" width="9.140625" style="70"/>
    <col min="9473" max="9473" width="4.42578125" style="70" customWidth="1"/>
    <col min="9474" max="9474" width="72.7109375" style="70" customWidth="1"/>
    <col min="9475" max="9475" width="13.42578125" style="70" customWidth="1"/>
    <col min="9476" max="9476" width="6.28515625" style="70" customWidth="1"/>
    <col min="9477" max="9477" width="9" style="70" bestFit="1" customWidth="1"/>
    <col min="9478" max="9478" width="6.42578125" style="70" bestFit="1" customWidth="1"/>
    <col min="9479" max="9479" width="14.140625" style="70" customWidth="1"/>
    <col min="9480" max="9480" width="23.140625" style="70" customWidth="1"/>
    <col min="9481" max="9481" width="20.42578125" style="70" customWidth="1"/>
    <col min="9482" max="9482" width="14.28515625" style="70" customWidth="1"/>
    <col min="9483" max="9483" width="15.85546875" style="70" customWidth="1"/>
    <col min="9484" max="9484" width="15.28515625" style="70" customWidth="1"/>
    <col min="9485" max="9485" width="14.7109375" style="70" customWidth="1"/>
    <col min="9486" max="9728" width="9.140625" style="70"/>
    <col min="9729" max="9729" width="4.42578125" style="70" customWidth="1"/>
    <col min="9730" max="9730" width="72.7109375" style="70" customWidth="1"/>
    <col min="9731" max="9731" width="13.42578125" style="70" customWidth="1"/>
    <col min="9732" max="9732" width="6.28515625" style="70" customWidth="1"/>
    <col min="9733" max="9733" width="9" style="70" bestFit="1" customWidth="1"/>
    <col min="9734" max="9734" width="6.42578125" style="70" bestFit="1" customWidth="1"/>
    <col min="9735" max="9735" width="14.140625" style="70" customWidth="1"/>
    <col min="9736" max="9736" width="23.140625" style="70" customWidth="1"/>
    <col min="9737" max="9737" width="20.42578125" style="70" customWidth="1"/>
    <col min="9738" max="9738" width="14.28515625" style="70" customWidth="1"/>
    <col min="9739" max="9739" width="15.85546875" style="70" customWidth="1"/>
    <col min="9740" max="9740" width="15.28515625" style="70" customWidth="1"/>
    <col min="9741" max="9741" width="14.7109375" style="70" customWidth="1"/>
    <col min="9742" max="9984" width="9.140625" style="70"/>
    <col min="9985" max="9985" width="4.42578125" style="70" customWidth="1"/>
    <col min="9986" max="9986" width="72.7109375" style="70" customWidth="1"/>
    <col min="9987" max="9987" width="13.42578125" style="70" customWidth="1"/>
    <col min="9988" max="9988" width="6.28515625" style="70" customWidth="1"/>
    <col min="9989" max="9989" width="9" style="70" bestFit="1" customWidth="1"/>
    <col min="9990" max="9990" width="6.42578125" style="70" bestFit="1" customWidth="1"/>
    <col min="9991" max="9991" width="14.140625" style="70" customWidth="1"/>
    <col min="9992" max="9992" width="23.140625" style="70" customWidth="1"/>
    <col min="9993" max="9993" width="20.42578125" style="70" customWidth="1"/>
    <col min="9994" max="9994" width="14.28515625" style="70" customWidth="1"/>
    <col min="9995" max="9995" width="15.85546875" style="70" customWidth="1"/>
    <col min="9996" max="9996" width="15.28515625" style="70" customWidth="1"/>
    <col min="9997" max="9997" width="14.7109375" style="70" customWidth="1"/>
    <col min="9998" max="10240" width="9.140625" style="70"/>
    <col min="10241" max="10241" width="4.42578125" style="70" customWidth="1"/>
    <col min="10242" max="10242" width="72.7109375" style="70" customWidth="1"/>
    <col min="10243" max="10243" width="13.42578125" style="70" customWidth="1"/>
    <col min="10244" max="10244" width="6.28515625" style="70" customWidth="1"/>
    <col min="10245" max="10245" width="9" style="70" bestFit="1" customWidth="1"/>
    <col min="10246" max="10246" width="6.42578125" style="70" bestFit="1" customWidth="1"/>
    <col min="10247" max="10247" width="14.140625" style="70" customWidth="1"/>
    <col min="10248" max="10248" width="23.140625" style="70" customWidth="1"/>
    <col min="10249" max="10249" width="20.42578125" style="70" customWidth="1"/>
    <col min="10250" max="10250" width="14.28515625" style="70" customWidth="1"/>
    <col min="10251" max="10251" width="15.85546875" style="70" customWidth="1"/>
    <col min="10252" max="10252" width="15.28515625" style="70" customWidth="1"/>
    <col min="10253" max="10253" width="14.7109375" style="70" customWidth="1"/>
    <col min="10254" max="10496" width="9.140625" style="70"/>
    <col min="10497" max="10497" width="4.42578125" style="70" customWidth="1"/>
    <col min="10498" max="10498" width="72.7109375" style="70" customWidth="1"/>
    <col min="10499" max="10499" width="13.42578125" style="70" customWidth="1"/>
    <col min="10500" max="10500" width="6.28515625" style="70" customWidth="1"/>
    <col min="10501" max="10501" width="9" style="70" bestFit="1" customWidth="1"/>
    <col min="10502" max="10502" width="6.42578125" style="70" bestFit="1" customWidth="1"/>
    <col min="10503" max="10503" width="14.140625" style="70" customWidth="1"/>
    <col min="10504" max="10504" width="23.140625" style="70" customWidth="1"/>
    <col min="10505" max="10505" width="20.42578125" style="70" customWidth="1"/>
    <col min="10506" max="10506" width="14.28515625" style="70" customWidth="1"/>
    <col min="10507" max="10507" width="15.85546875" style="70" customWidth="1"/>
    <col min="10508" max="10508" width="15.28515625" style="70" customWidth="1"/>
    <col min="10509" max="10509" width="14.7109375" style="70" customWidth="1"/>
    <col min="10510" max="10752" width="9.140625" style="70"/>
    <col min="10753" max="10753" width="4.42578125" style="70" customWidth="1"/>
    <col min="10754" max="10754" width="72.7109375" style="70" customWidth="1"/>
    <col min="10755" max="10755" width="13.42578125" style="70" customWidth="1"/>
    <col min="10756" max="10756" width="6.28515625" style="70" customWidth="1"/>
    <col min="10757" max="10757" width="9" style="70" bestFit="1" customWidth="1"/>
    <col min="10758" max="10758" width="6.42578125" style="70" bestFit="1" customWidth="1"/>
    <col min="10759" max="10759" width="14.140625" style="70" customWidth="1"/>
    <col min="10760" max="10760" width="23.140625" style="70" customWidth="1"/>
    <col min="10761" max="10761" width="20.42578125" style="70" customWidth="1"/>
    <col min="10762" max="10762" width="14.28515625" style="70" customWidth="1"/>
    <col min="10763" max="10763" width="15.85546875" style="70" customWidth="1"/>
    <col min="10764" max="10764" width="15.28515625" style="70" customWidth="1"/>
    <col min="10765" max="10765" width="14.7109375" style="70" customWidth="1"/>
    <col min="10766" max="11008" width="9.140625" style="70"/>
    <col min="11009" max="11009" width="4.42578125" style="70" customWidth="1"/>
    <col min="11010" max="11010" width="72.7109375" style="70" customWidth="1"/>
    <col min="11011" max="11011" width="13.42578125" style="70" customWidth="1"/>
    <col min="11012" max="11012" width="6.28515625" style="70" customWidth="1"/>
    <col min="11013" max="11013" width="9" style="70" bestFit="1" customWidth="1"/>
    <col min="11014" max="11014" width="6.42578125" style="70" bestFit="1" customWidth="1"/>
    <col min="11015" max="11015" width="14.140625" style="70" customWidth="1"/>
    <col min="11016" max="11016" width="23.140625" style="70" customWidth="1"/>
    <col min="11017" max="11017" width="20.42578125" style="70" customWidth="1"/>
    <col min="11018" max="11018" width="14.28515625" style="70" customWidth="1"/>
    <col min="11019" max="11019" width="15.85546875" style="70" customWidth="1"/>
    <col min="11020" max="11020" width="15.28515625" style="70" customWidth="1"/>
    <col min="11021" max="11021" width="14.7109375" style="70" customWidth="1"/>
    <col min="11022" max="11264" width="9.140625" style="70"/>
    <col min="11265" max="11265" width="4.42578125" style="70" customWidth="1"/>
    <col min="11266" max="11266" width="72.7109375" style="70" customWidth="1"/>
    <col min="11267" max="11267" width="13.42578125" style="70" customWidth="1"/>
    <col min="11268" max="11268" width="6.28515625" style="70" customWidth="1"/>
    <col min="11269" max="11269" width="9" style="70" bestFit="1" customWidth="1"/>
    <col min="11270" max="11270" width="6.42578125" style="70" bestFit="1" customWidth="1"/>
    <col min="11271" max="11271" width="14.140625" style="70" customWidth="1"/>
    <col min="11272" max="11272" width="23.140625" style="70" customWidth="1"/>
    <col min="11273" max="11273" width="20.42578125" style="70" customWidth="1"/>
    <col min="11274" max="11274" width="14.28515625" style="70" customWidth="1"/>
    <col min="11275" max="11275" width="15.85546875" style="70" customWidth="1"/>
    <col min="11276" max="11276" width="15.28515625" style="70" customWidth="1"/>
    <col min="11277" max="11277" width="14.7109375" style="70" customWidth="1"/>
    <col min="11278" max="11520" width="9.140625" style="70"/>
    <col min="11521" max="11521" width="4.42578125" style="70" customWidth="1"/>
    <col min="11522" max="11522" width="72.7109375" style="70" customWidth="1"/>
    <col min="11523" max="11523" width="13.42578125" style="70" customWidth="1"/>
    <col min="11524" max="11524" width="6.28515625" style="70" customWidth="1"/>
    <col min="11525" max="11525" width="9" style="70" bestFit="1" customWidth="1"/>
    <col min="11526" max="11526" width="6.42578125" style="70" bestFit="1" customWidth="1"/>
    <col min="11527" max="11527" width="14.140625" style="70" customWidth="1"/>
    <col min="11528" max="11528" width="23.140625" style="70" customWidth="1"/>
    <col min="11529" max="11529" width="20.42578125" style="70" customWidth="1"/>
    <col min="11530" max="11530" width="14.28515625" style="70" customWidth="1"/>
    <col min="11531" max="11531" width="15.85546875" style="70" customWidth="1"/>
    <col min="11532" max="11532" width="15.28515625" style="70" customWidth="1"/>
    <col min="11533" max="11533" width="14.7109375" style="70" customWidth="1"/>
    <col min="11534" max="11776" width="9.140625" style="70"/>
    <col min="11777" max="11777" width="4.42578125" style="70" customWidth="1"/>
    <col min="11778" max="11778" width="72.7109375" style="70" customWidth="1"/>
    <col min="11779" max="11779" width="13.42578125" style="70" customWidth="1"/>
    <col min="11780" max="11780" width="6.28515625" style="70" customWidth="1"/>
    <col min="11781" max="11781" width="9" style="70" bestFit="1" customWidth="1"/>
    <col min="11782" max="11782" width="6.42578125" style="70" bestFit="1" customWidth="1"/>
    <col min="11783" max="11783" width="14.140625" style="70" customWidth="1"/>
    <col min="11784" max="11784" width="23.140625" style="70" customWidth="1"/>
    <col min="11785" max="11785" width="20.42578125" style="70" customWidth="1"/>
    <col min="11786" max="11786" width="14.28515625" style="70" customWidth="1"/>
    <col min="11787" max="11787" width="15.85546875" style="70" customWidth="1"/>
    <col min="11788" max="11788" width="15.28515625" style="70" customWidth="1"/>
    <col min="11789" max="11789" width="14.7109375" style="70" customWidth="1"/>
    <col min="11790" max="12032" width="9.140625" style="70"/>
    <col min="12033" max="12033" width="4.42578125" style="70" customWidth="1"/>
    <col min="12034" max="12034" width="72.7109375" style="70" customWidth="1"/>
    <col min="12035" max="12035" width="13.42578125" style="70" customWidth="1"/>
    <col min="12036" max="12036" width="6.28515625" style="70" customWidth="1"/>
    <col min="12037" max="12037" width="9" style="70" bestFit="1" customWidth="1"/>
    <col min="12038" max="12038" width="6.42578125" style="70" bestFit="1" customWidth="1"/>
    <col min="12039" max="12039" width="14.140625" style="70" customWidth="1"/>
    <col min="12040" max="12040" width="23.140625" style="70" customWidth="1"/>
    <col min="12041" max="12041" width="20.42578125" style="70" customWidth="1"/>
    <col min="12042" max="12042" width="14.28515625" style="70" customWidth="1"/>
    <col min="12043" max="12043" width="15.85546875" style="70" customWidth="1"/>
    <col min="12044" max="12044" width="15.28515625" style="70" customWidth="1"/>
    <col min="12045" max="12045" width="14.7109375" style="70" customWidth="1"/>
    <col min="12046" max="12288" width="9.140625" style="70"/>
    <col min="12289" max="12289" width="4.42578125" style="70" customWidth="1"/>
    <col min="12290" max="12290" width="72.7109375" style="70" customWidth="1"/>
    <col min="12291" max="12291" width="13.42578125" style="70" customWidth="1"/>
    <col min="12292" max="12292" width="6.28515625" style="70" customWidth="1"/>
    <col min="12293" max="12293" width="9" style="70" bestFit="1" customWidth="1"/>
    <col min="12294" max="12294" width="6.42578125" style="70" bestFit="1" customWidth="1"/>
    <col min="12295" max="12295" width="14.140625" style="70" customWidth="1"/>
    <col min="12296" max="12296" width="23.140625" style="70" customWidth="1"/>
    <col min="12297" max="12297" width="20.42578125" style="70" customWidth="1"/>
    <col min="12298" max="12298" width="14.28515625" style="70" customWidth="1"/>
    <col min="12299" max="12299" width="15.85546875" style="70" customWidth="1"/>
    <col min="12300" max="12300" width="15.28515625" style="70" customWidth="1"/>
    <col min="12301" max="12301" width="14.7109375" style="70" customWidth="1"/>
    <col min="12302" max="12544" width="9.140625" style="70"/>
    <col min="12545" max="12545" width="4.42578125" style="70" customWidth="1"/>
    <col min="12546" max="12546" width="72.7109375" style="70" customWidth="1"/>
    <col min="12547" max="12547" width="13.42578125" style="70" customWidth="1"/>
    <col min="12548" max="12548" width="6.28515625" style="70" customWidth="1"/>
    <col min="12549" max="12549" width="9" style="70" bestFit="1" customWidth="1"/>
    <col min="12550" max="12550" width="6.42578125" style="70" bestFit="1" customWidth="1"/>
    <col min="12551" max="12551" width="14.140625" style="70" customWidth="1"/>
    <col min="12552" max="12552" width="23.140625" style="70" customWidth="1"/>
    <col min="12553" max="12553" width="20.42578125" style="70" customWidth="1"/>
    <col min="12554" max="12554" width="14.28515625" style="70" customWidth="1"/>
    <col min="12555" max="12555" width="15.85546875" style="70" customWidth="1"/>
    <col min="12556" max="12556" width="15.28515625" style="70" customWidth="1"/>
    <col min="12557" max="12557" width="14.7109375" style="70" customWidth="1"/>
    <col min="12558" max="12800" width="9.140625" style="70"/>
    <col min="12801" max="12801" width="4.42578125" style="70" customWidth="1"/>
    <col min="12802" max="12802" width="72.7109375" style="70" customWidth="1"/>
    <col min="12803" max="12803" width="13.42578125" style="70" customWidth="1"/>
    <col min="12804" max="12804" width="6.28515625" style="70" customWidth="1"/>
    <col min="12805" max="12805" width="9" style="70" bestFit="1" customWidth="1"/>
    <col min="12806" max="12806" width="6.42578125" style="70" bestFit="1" customWidth="1"/>
    <col min="12807" max="12807" width="14.140625" style="70" customWidth="1"/>
    <col min="12808" max="12808" width="23.140625" style="70" customWidth="1"/>
    <col min="12809" max="12809" width="20.42578125" style="70" customWidth="1"/>
    <col min="12810" max="12810" width="14.28515625" style="70" customWidth="1"/>
    <col min="12811" max="12811" width="15.85546875" style="70" customWidth="1"/>
    <col min="12812" max="12812" width="15.28515625" style="70" customWidth="1"/>
    <col min="12813" max="12813" width="14.7109375" style="70" customWidth="1"/>
    <col min="12814" max="13056" width="9.140625" style="70"/>
    <col min="13057" max="13057" width="4.42578125" style="70" customWidth="1"/>
    <col min="13058" max="13058" width="72.7109375" style="70" customWidth="1"/>
    <col min="13059" max="13059" width="13.42578125" style="70" customWidth="1"/>
    <col min="13060" max="13060" width="6.28515625" style="70" customWidth="1"/>
    <col min="13061" max="13061" width="9" style="70" bestFit="1" customWidth="1"/>
    <col min="13062" max="13062" width="6.42578125" style="70" bestFit="1" customWidth="1"/>
    <col min="13063" max="13063" width="14.140625" style="70" customWidth="1"/>
    <col min="13064" max="13064" width="23.140625" style="70" customWidth="1"/>
    <col min="13065" max="13065" width="20.42578125" style="70" customWidth="1"/>
    <col min="13066" max="13066" width="14.28515625" style="70" customWidth="1"/>
    <col min="13067" max="13067" width="15.85546875" style="70" customWidth="1"/>
    <col min="13068" max="13068" width="15.28515625" style="70" customWidth="1"/>
    <col min="13069" max="13069" width="14.7109375" style="70" customWidth="1"/>
    <col min="13070" max="13312" width="9.140625" style="70"/>
    <col min="13313" max="13313" width="4.42578125" style="70" customWidth="1"/>
    <col min="13314" max="13314" width="72.7109375" style="70" customWidth="1"/>
    <col min="13315" max="13315" width="13.42578125" style="70" customWidth="1"/>
    <col min="13316" max="13316" width="6.28515625" style="70" customWidth="1"/>
    <col min="13317" max="13317" width="9" style="70" bestFit="1" customWidth="1"/>
    <col min="13318" max="13318" width="6.42578125" style="70" bestFit="1" customWidth="1"/>
    <col min="13319" max="13319" width="14.140625" style="70" customWidth="1"/>
    <col min="13320" max="13320" width="23.140625" style="70" customWidth="1"/>
    <col min="13321" max="13321" width="20.42578125" style="70" customWidth="1"/>
    <col min="13322" max="13322" width="14.28515625" style="70" customWidth="1"/>
    <col min="13323" max="13323" width="15.85546875" style="70" customWidth="1"/>
    <col min="13324" max="13324" width="15.28515625" style="70" customWidth="1"/>
    <col min="13325" max="13325" width="14.7109375" style="70" customWidth="1"/>
    <col min="13326" max="13568" width="9.140625" style="70"/>
    <col min="13569" max="13569" width="4.42578125" style="70" customWidth="1"/>
    <col min="13570" max="13570" width="72.7109375" style="70" customWidth="1"/>
    <col min="13571" max="13571" width="13.42578125" style="70" customWidth="1"/>
    <col min="13572" max="13572" width="6.28515625" style="70" customWidth="1"/>
    <col min="13573" max="13573" width="9" style="70" bestFit="1" customWidth="1"/>
    <col min="13574" max="13574" width="6.42578125" style="70" bestFit="1" customWidth="1"/>
    <col min="13575" max="13575" width="14.140625" style="70" customWidth="1"/>
    <col min="13576" max="13576" width="23.140625" style="70" customWidth="1"/>
    <col min="13577" max="13577" width="20.42578125" style="70" customWidth="1"/>
    <col min="13578" max="13578" width="14.28515625" style="70" customWidth="1"/>
    <col min="13579" max="13579" width="15.85546875" style="70" customWidth="1"/>
    <col min="13580" max="13580" width="15.28515625" style="70" customWidth="1"/>
    <col min="13581" max="13581" width="14.7109375" style="70" customWidth="1"/>
    <col min="13582" max="13824" width="9.140625" style="70"/>
    <col min="13825" max="13825" width="4.42578125" style="70" customWidth="1"/>
    <col min="13826" max="13826" width="72.7109375" style="70" customWidth="1"/>
    <col min="13827" max="13827" width="13.42578125" style="70" customWidth="1"/>
    <col min="13828" max="13828" width="6.28515625" style="70" customWidth="1"/>
    <col min="13829" max="13829" width="9" style="70" bestFit="1" customWidth="1"/>
    <col min="13830" max="13830" width="6.42578125" style="70" bestFit="1" customWidth="1"/>
    <col min="13831" max="13831" width="14.140625" style="70" customWidth="1"/>
    <col min="13832" max="13832" width="23.140625" style="70" customWidth="1"/>
    <col min="13833" max="13833" width="20.42578125" style="70" customWidth="1"/>
    <col min="13834" max="13834" width="14.28515625" style="70" customWidth="1"/>
    <col min="13835" max="13835" width="15.85546875" style="70" customWidth="1"/>
    <col min="13836" max="13836" width="15.28515625" style="70" customWidth="1"/>
    <col min="13837" max="13837" width="14.7109375" style="70" customWidth="1"/>
    <col min="13838" max="14080" width="9.140625" style="70"/>
    <col min="14081" max="14081" width="4.42578125" style="70" customWidth="1"/>
    <col min="14082" max="14082" width="72.7109375" style="70" customWidth="1"/>
    <col min="14083" max="14083" width="13.42578125" style="70" customWidth="1"/>
    <col min="14084" max="14084" width="6.28515625" style="70" customWidth="1"/>
    <col min="14085" max="14085" width="9" style="70" bestFit="1" customWidth="1"/>
    <col min="14086" max="14086" width="6.42578125" style="70" bestFit="1" customWidth="1"/>
    <col min="14087" max="14087" width="14.140625" style="70" customWidth="1"/>
    <col min="14088" max="14088" width="23.140625" style="70" customWidth="1"/>
    <col min="14089" max="14089" width="20.42578125" style="70" customWidth="1"/>
    <col min="14090" max="14090" width="14.28515625" style="70" customWidth="1"/>
    <col min="14091" max="14091" width="15.85546875" style="70" customWidth="1"/>
    <col min="14092" max="14092" width="15.28515625" style="70" customWidth="1"/>
    <col min="14093" max="14093" width="14.7109375" style="70" customWidth="1"/>
    <col min="14094" max="14336" width="9.140625" style="70"/>
    <col min="14337" max="14337" width="4.42578125" style="70" customWidth="1"/>
    <col min="14338" max="14338" width="72.7109375" style="70" customWidth="1"/>
    <col min="14339" max="14339" width="13.42578125" style="70" customWidth="1"/>
    <col min="14340" max="14340" width="6.28515625" style="70" customWidth="1"/>
    <col min="14341" max="14341" width="9" style="70" bestFit="1" customWidth="1"/>
    <col min="14342" max="14342" width="6.42578125" style="70" bestFit="1" customWidth="1"/>
    <col min="14343" max="14343" width="14.140625" style="70" customWidth="1"/>
    <col min="14344" max="14344" width="23.140625" style="70" customWidth="1"/>
    <col min="14345" max="14345" width="20.42578125" style="70" customWidth="1"/>
    <col min="14346" max="14346" width="14.28515625" style="70" customWidth="1"/>
    <col min="14347" max="14347" width="15.85546875" style="70" customWidth="1"/>
    <col min="14348" max="14348" width="15.28515625" style="70" customWidth="1"/>
    <col min="14349" max="14349" width="14.7109375" style="70" customWidth="1"/>
    <col min="14350" max="14592" width="9.140625" style="70"/>
    <col min="14593" max="14593" width="4.42578125" style="70" customWidth="1"/>
    <col min="14594" max="14594" width="72.7109375" style="70" customWidth="1"/>
    <col min="14595" max="14595" width="13.42578125" style="70" customWidth="1"/>
    <col min="14596" max="14596" width="6.28515625" style="70" customWidth="1"/>
    <col min="14597" max="14597" width="9" style="70" bestFit="1" customWidth="1"/>
    <col min="14598" max="14598" width="6.42578125" style="70" bestFit="1" customWidth="1"/>
    <col min="14599" max="14599" width="14.140625" style="70" customWidth="1"/>
    <col min="14600" max="14600" width="23.140625" style="70" customWidth="1"/>
    <col min="14601" max="14601" width="20.42578125" style="70" customWidth="1"/>
    <col min="14602" max="14602" width="14.28515625" style="70" customWidth="1"/>
    <col min="14603" max="14603" width="15.85546875" style="70" customWidth="1"/>
    <col min="14604" max="14604" width="15.28515625" style="70" customWidth="1"/>
    <col min="14605" max="14605" width="14.7109375" style="70" customWidth="1"/>
    <col min="14606" max="14848" width="9.140625" style="70"/>
    <col min="14849" max="14849" width="4.42578125" style="70" customWidth="1"/>
    <col min="14850" max="14850" width="72.7109375" style="70" customWidth="1"/>
    <col min="14851" max="14851" width="13.42578125" style="70" customWidth="1"/>
    <col min="14852" max="14852" width="6.28515625" style="70" customWidth="1"/>
    <col min="14853" max="14853" width="9" style="70" bestFit="1" customWidth="1"/>
    <col min="14854" max="14854" width="6.42578125" style="70" bestFit="1" customWidth="1"/>
    <col min="14855" max="14855" width="14.140625" style="70" customWidth="1"/>
    <col min="14856" max="14856" width="23.140625" style="70" customWidth="1"/>
    <col min="14857" max="14857" width="20.42578125" style="70" customWidth="1"/>
    <col min="14858" max="14858" width="14.28515625" style="70" customWidth="1"/>
    <col min="14859" max="14859" width="15.85546875" style="70" customWidth="1"/>
    <col min="14860" max="14860" width="15.28515625" style="70" customWidth="1"/>
    <col min="14861" max="14861" width="14.7109375" style="70" customWidth="1"/>
    <col min="14862" max="15104" width="9.140625" style="70"/>
    <col min="15105" max="15105" width="4.42578125" style="70" customWidth="1"/>
    <col min="15106" max="15106" width="72.7109375" style="70" customWidth="1"/>
    <col min="15107" max="15107" width="13.42578125" style="70" customWidth="1"/>
    <col min="15108" max="15108" width="6.28515625" style="70" customWidth="1"/>
    <col min="15109" max="15109" width="9" style="70" bestFit="1" customWidth="1"/>
    <col min="15110" max="15110" width="6.42578125" style="70" bestFit="1" customWidth="1"/>
    <col min="15111" max="15111" width="14.140625" style="70" customWidth="1"/>
    <col min="15112" max="15112" width="23.140625" style="70" customWidth="1"/>
    <col min="15113" max="15113" width="20.42578125" style="70" customWidth="1"/>
    <col min="15114" max="15114" width="14.28515625" style="70" customWidth="1"/>
    <col min="15115" max="15115" width="15.85546875" style="70" customWidth="1"/>
    <col min="15116" max="15116" width="15.28515625" style="70" customWidth="1"/>
    <col min="15117" max="15117" width="14.7109375" style="70" customWidth="1"/>
    <col min="15118" max="15360" width="9.140625" style="70"/>
    <col min="15361" max="15361" width="4.42578125" style="70" customWidth="1"/>
    <col min="15362" max="15362" width="72.7109375" style="70" customWidth="1"/>
    <col min="15363" max="15363" width="13.42578125" style="70" customWidth="1"/>
    <col min="15364" max="15364" width="6.28515625" style="70" customWidth="1"/>
    <col min="15365" max="15365" width="9" style="70" bestFit="1" customWidth="1"/>
    <col min="15366" max="15366" width="6.42578125" style="70" bestFit="1" customWidth="1"/>
    <col min="15367" max="15367" width="14.140625" style="70" customWidth="1"/>
    <col min="15368" max="15368" width="23.140625" style="70" customWidth="1"/>
    <col min="15369" max="15369" width="20.42578125" style="70" customWidth="1"/>
    <col min="15370" max="15370" width="14.28515625" style="70" customWidth="1"/>
    <col min="15371" max="15371" width="15.85546875" style="70" customWidth="1"/>
    <col min="15372" max="15372" width="15.28515625" style="70" customWidth="1"/>
    <col min="15373" max="15373" width="14.7109375" style="70" customWidth="1"/>
    <col min="15374" max="15616" width="9.140625" style="70"/>
    <col min="15617" max="15617" width="4.42578125" style="70" customWidth="1"/>
    <col min="15618" max="15618" width="72.7109375" style="70" customWidth="1"/>
    <col min="15619" max="15619" width="13.42578125" style="70" customWidth="1"/>
    <col min="15620" max="15620" width="6.28515625" style="70" customWidth="1"/>
    <col min="15621" max="15621" width="9" style="70" bestFit="1" customWidth="1"/>
    <col min="15622" max="15622" width="6.42578125" style="70" bestFit="1" customWidth="1"/>
    <col min="15623" max="15623" width="14.140625" style="70" customWidth="1"/>
    <col min="15624" max="15624" width="23.140625" style="70" customWidth="1"/>
    <col min="15625" max="15625" width="20.42578125" style="70" customWidth="1"/>
    <col min="15626" max="15626" width="14.28515625" style="70" customWidth="1"/>
    <col min="15627" max="15627" width="15.85546875" style="70" customWidth="1"/>
    <col min="15628" max="15628" width="15.28515625" style="70" customWidth="1"/>
    <col min="15629" max="15629" width="14.7109375" style="70" customWidth="1"/>
    <col min="15630" max="15872" width="9.140625" style="70"/>
    <col min="15873" max="15873" width="4.42578125" style="70" customWidth="1"/>
    <col min="15874" max="15874" width="72.7109375" style="70" customWidth="1"/>
    <col min="15875" max="15875" width="13.42578125" style="70" customWidth="1"/>
    <col min="15876" max="15876" width="6.28515625" style="70" customWidth="1"/>
    <col min="15877" max="15877" width="9" style="70" bestFit="1" customWidth="1"/>
    <col min="15878" max="15878" width="6.42578125" style="70" bestFit="1" customWidth="1"/>
    <col min="15879" max="15879" width="14.140625" style="70" customWidth="1"/>
    <col min="15880" max="15880" width="23.140625" style="70" customWidth="1"/>
    <col min="15881" max="15881" width="20.42578125" style="70" customWidth="1"/>
    <col min="15882" max="15882" width="14.28515625" style="70" customWidth="1"/>
    <col min="15883" max="15883" width="15.85546875" style="70" customWidth="1"/>
    <col min="15884" max="15884" width="15.28515625" style="70" customWidth="1"/>
    <col min="15885" max="15885" width="14.7109375" style="70" customWidth="1"/>
    <col min="15886" max="16128" width="9.140625" style="70"/>
    <col min="16129" max="16129" width="4.42578125" style="70" customWidth="1"/>
    <col min="16130" max="16130" width="72.7109375" style="70" customWidth="1"/>
    <col min="16131" max="16131" width="13.42578125" style="70" customWidth="1"/>
    <col min="16132" max="16132" width="6.28515625" style="70" customWidth="1"/>
    <col min="16133" max="16133" width="9" style="70" bestFit="1" customWidth="1"/>
    <col min="16134" max="16134" width="6.42578125" style="70" bestFit="1" customWidth="1"/>
    <col min="16135" max="16135" width="14.140625" style="70" customWidth="1"/>
    <col min="16136" max="16136" width="23.140625" style="70" customWidth="1"/>
    <col min="16137" max="16137" width="20.42578125" style="70" customWidth="1"/>
    <col min="16138" max="16138" width="14.28515625" style="70" customWidth="1"/>
    <col min="16139" max="16139" width="15.85546875" style="70" customWidth="1"/>
    <col min="16140" max="16140" width="15.28515625" style="70" customWidth="1"/>
    <col min="16141" max="16141" width="14.7109375" style="70" customWidth="1"/>
    <col min="16142" max="16384" width="9.140625" style="70"/>
  </cols>
  <sheetData>
    <row r="1" spans="1:14" ht="21" customHeight="1">
      <c r="A1" s="2560"/>
      <c r="B1" s="3470" t="s">
        <v>2794</v>
      </c>
      <c r="C1" s="3470"/>
      <c r="D1" s="2561"/>
      <c r="E1" s="2561"/>
      <c r="F1" s="2562"/>
      <c r="G1" s="570"/>
      <c r="H1" s="2563"/>
      <c r="I1" s="2563"/>
      <c r="J1" s="2563"/>
    </row>
    <row r="2" spans="1:14" ht="15.75" customHeight="1">
      <c r="A2" s="2560"/>
      <c r="B2" s="2563"/>
      <c r="C2" s="2563"/>
      <c r="D2" s="2564"/>
      <c r="E2" s="2564"/>
      <c r="F2" s="2564"/>
      <c r="G2" s="1581" t="s">
        <v>89</v>
      </c>
      <c r="H2" s="2563"/>
      <c r="I2" s="2563"/>
      <c r="J2" s="2563"/>
    </row>
    <row r="3" spans="1:14" ht="38.25" customHeight="1">
      <c r="A3" s="2560"/>
      <c r="B3" s="3095" t="s">
        <v>2795</v>
      </c>
      <c r="C3" s="3095"/>
      <c r="D3" s="3095"/>
      <c r="E3" s="3095"/>
      <c r="F3" s="3095"/>
      <c r="G3" s="3095"/>
      <c r="H3" s="2021"/>
      <c r="I3" s="2021"/>
      <c r="J3" s="2021"/>
    </row>
    <row r="4" spans="1:14" ht="9" customHeight="1"/>
    <row r="5" spans="1:14" ht="76.5" customHeight="1">
      <c r="A5" s="3471" t="s">
        <v>2</v>
      </c>
      <c r="B5" s="3471" t="s">
        <v>3</v>
      </c>
      <c r="C5" s="3471" t="s">
        <v>1720</v>
      </c>
      <c r="D5" s="3471" t="s">
        <v>5</v>
      </c>
      <c r="E5" s="3471" t="s">
        <v>9</v>
      </c>
      <c r="F5" s="3471" t="s">
        <v>2796</v>
      </c>
      <c r="G5" s="3471"/>
      <c r="H5" s="2565"/>
    </row>
    <row r="6" spans="1:14" ht="16.5" customHeight="1">
      <c r="A6" s="3471"/>
      <c r="B6" s="3471"/>
      <c r="C6" s="3471"/>
      <c r="D6" s="3471"/>
      <c r="E6" s="3471"/>
      <c r="F6" s="2356" t="s">
        <v>8</v>
      </c>
      <c r="G6" s="2356" t="s">
        <v>10</v>
      </c>
      <c r="H6" s="2566"/>
      <c r="I6" s="2566"/>
      <c r="J6" s="2566"/>
      <c r="K6" s="2566"/>
    </row>
    <row r="7" spans="1:14" ht="15">
      <c r="A7" s="2567">
        <v>1</v>
      </c>
      <c r="B7" s="2567">
        <v>2</v>
      </c>
      <c r="C7" s="2568">
        <v>3</v>
      </c>
      <c r="D7" s="2567">
        <v>4</v>
      </c>
      <c r="E7" s="2567">
        <v>5</v>
      </c>
      <c r="F7" s="2567">
        <v>6</v>
      </c>
      <c r="G7" s="2567">
        <v>7</v>
      </c>
      <c r="H7" s="605"/>
      <c r="I7" s="605"/>
      <c r="J7" s="605"/>
      <c r="K7" s="605"/>
    </row>
    <row r="8" spans="1:14" ht="18" customHeight="1">
      <c r="A8" s="2335">
        <v>1</v>
      </c>
      <c r="B8" s="2336" t="s">
        <v>2797</v>
      </c>
      <c r="C8" s="2326">
        <v>7130800012</v>
      </c>
      <c r="D8" s="2584" t="s">
        <v>12</v>
      </c>
      <c r="E8" s="1132">
        <f>VLOOKUP(C8,'[25]SOR RATE'!A:D,4,0)</f>
        <v>2298.46</v>
      </c>
      <c r="F8" s="2585">
        <v>20</v>
      </c>
      <c r="G8" s="2586">
        <f t="shared" ref="G8:G19" si="0">F8*E8</f>
        <v>45969.2</v>
      </c>
      <c r="H8" s="2569"/>
      <c r="I8" s="2053"/>
      <c r="J8" s="2053"/>
    </row>
    <row r="9" spans="1:14" ht="32.25" customHeight="1">
      <c r="A9" s="2335">
        <v>2</v>
      </c>
      <c r="B9" s="2333" t="s">
        <v>562</v>
      </c>
      <c r="C9" s="1625">
        <v>7130797533</v>
      </c>
      <c r="D9" s="2335" t="s">
        <v>12</v>
      </c>
      <c r="E9" s="1132">
        <f>VLOOKUP(C9,'[25]SOR RATE'!A:D,4,0)</f>
        <v>550.41999999999996</v>
      </c>
      <c r="F9" s="2585">
        <v>15</v>
      </c>
      <c r="G9" s="2586">
        <f t="shared" si="0"/>
        <v>8256.2999999999993</v>
      </c>
      <c r="H9" s="2570"/>
      <c r="J9" s="2571"/>
    </row>
    <row r="10" spans="1:14" ht="30" customHeight="1">
      <c r="A10" s="2335" t="s">
        <v>2798</v>
      </c>
      <c r="B10" s="2587" t="s">
        <v>456</v>
      </c>
      <c r="C10" s="2335">
        <v>7130390003</v>
      </c>
      <c r="D10" s="2335" t="s">
        <v>12</v>
      </c>
      <c r="E10" s="1132">
        <f>VLOOKUP(C10,'[25]SOR RATE'!A:D,4,0)</f>
        <v>96.28</v>
      </c>
      <c r="F10" s="2585">
        <v>20</v>
      </c>
      <c r="G10" s="2586">
        <f t="shared" si="0"/>
        <v>1925.6</v>
      </c>
      <c r="H10" s="802"/>
      <c r="J10" s="2019"/>
      <c r="K10" s="2019"/>
      <c r="L10" s="2019"/>
      <c r="M10" s="2019"/>
    </row>
    <row r="11" spans="1:14" ht="29.25" customHeight="1">
      <c r="A11" s="2335" t="s">
        <v>1494</v>
      </c>
      <c r="B11" s="2587" t="s">
        <v>458</v>
      </c>
      <c r="C11" s="2335">
        <v>7130390004</v>
      </c>
      <c r="D11" s="2335" t="s">
        <v>12</v>
      </c>
      <c r="E11" s="1132">
        <f>VLOOKUP(C11,'[25]SOR RATE'!A:D,4,0)</f>
        <v>125.42</v>
      </c>
      <c r="F11" s="2585">
        <v>40</v>
      </c>
      <c r="G11" s="2586">
        <f t="shared" si="0"/>
        <v>5016.8</v>
      </c>
      <c r="H11" s="802"/>
      <c r="J11" s="2019"/>
      <c r="K11" s="2019"/>
      <c r="L11" s="2019"/>
      <c r="M11" s="2019"/>
      <c r="N11" s="2019"/>
    </row>
    <row r="12" spans="1:14" ht="29.25" customHeight="1">
      <c r="A12" s="2335" t="s">
        <v>1946</v>
      </c>
      <c r="B12" s="2587" t="s">
        <v>460</v>
      </c>
      <c r="C12" s="2335">
        <v>7130390005</v>
      </c>
      <c r="D12" s="2335" t="s">
        <v>12</v>
      </c>
      <c r="E12" s="1132">
        <f>VLOOKUP(C12,'[25]SOR RATE'!A:D,4,0)</f>
        <v>174.82</v>
      </c>
      <c r="F12" s="2585">
        <v>10</v>
      </c>
      <c r="G12" s="2586">
        <f t="shared" si="0"/>
        <v>1748.1999999999998</v>
      </c>
      <c r="H12" s="798"/>
      <c r="J12" s="2019"/>
      <c r="K12" s="2019"/>
      <c r="L12" s="2019"/>
      <c r="M12" s="2019"/>
    </row>
    <row r="13" spans="1:14" ht="18" customHeight="1">
      <c r="A13" s="2335">
        <v>4</v>
      </c>
      <c r="B13" s="2588" t="s">
        <v>2799</v>
      </c>
      <c r="C13" s="2335">
        <v>7131950010</v>
      </c>
      <c r="D13" s="2335" t="s">
        <v>33</v>
      </c>
      <c r="E13" s="1132">
        <f>VLOOKUP(C13,'[25]SOR RATE'!A:D,4,0)</f>
        <v>1270.98</v>
      </c>
      <c r="F13" s="2585">
        <v>20</v>
      </c>
      <c r="G13" s="2586">
        <f t="shared" si="0"/>
        <v>25419.599999999999</v>
      </c>
    </row>
    <row r="14" spans="1:14" ht="17.25" customHeight="1">
      <c r="A14" s="2335">
        <v>5</v>
      </c>
      <c r="B14" s="2333" t="s">
        <v>2800</v>
      </c>
      <c r="C14" s="1291">
        <v>7130390006</v>
      </c>
      <c r="D14" s="2335" t="s">
        <v>12</v>
      </c>
      <c r="E14" s="1132">
        <f>VLOOKUP(C14,'[25]SOR RATE'!A:D,4,0)</f>
        <v>153.72999999999999</v>
      </c>
      <c r="F14" s="2585">
        <v>33</v>
      </c>
      <c r="G14" s="2586">
        <f t="shared" si="0"/>
        <v>5073.0899999999992</v>
      </c>
      <c r="H14" s="802"/>
    </row>
    <row r="15" spans="1:14" ht="31.5" customHeight="1">
      <c r="A15" s="2335">
        <v>6</v>
      </c>
      <c r="B15" s="2333" t="s">
        <v>560</v>
      </c>
      <c r="C15" s="2519">
        <v>7130797532</v>
      </c>
      <c r="D15" s="2335" t="s">
        <v>12</v>
      </c>
      <c r="E15" s="1132">
        <f>VLOOKUP(C15,'[25]SOR RATE'!A:D,4,0)</f>
        <v>758.33</v>
      </c>
      <c r="F15" s="2585">
        <v>14</v>
      </c>
      <c r="G15" s="2586">
        <f t="shared" si="0"/>
        <v>10616.62</v>
      </c>
      <c r="H15" s="802"/>
      <c r="J15" s="2571"/>
    </row>
    <row r="16" spans="1:14" ht="18.75" customHeight="1">
      <c r="A16" s="2335">
        <v>7</v>
      </c>
      <c r="B16" s="2589" t="s">
        <v>2801</v>
      </c>
      <c r="C16" s="2590">
        <v>7130310063</v>
      </c>
      <c r="D16" s="2335" t="s">
        <v>21</v>
      </c>
      <c r="E16" s="1132">
        <f>VLOOKUP(C16,'[25]SOR RATE'!A:D,4,0)/1000</f>
        <v>62.281099999999995</v>
      </c>
      <c r="F16" s="2585">
        <v>1100</v>
      </c>
      <c r="G16" s="2586">
        <f t="shared" si="0"/>
        <v>68509.209999999992</v>
      </c>
      <c r="H16" s="2570"/>
      <c r="J16" s="579"/>
    </row>
    <row r="17" spans="1:9" ht="16.5" customHeight="1">
      <c r="A17" s="3463">
        <v>8</v>
      </c>
      <c r="B17" s="2331" t="s">
        <v>2802</v>
      </c>
      <c r="C17" s="2590">
        <v>7130860032</v>
      </c>
      <c r="D17" s="2335" t="s">
        <v>12</v>
      </c>
      <c r="E17" s="1132">
        <f>VLOOKUP(C17,'[25]SOR RATE'!A:D,4,0)</f>
        <v>566.19000000000005</v>
      </c>
      <c r="F17" s="2585">
        <v>12</v>
      </c>
      <c r="G17" s="2586">
        <f t="shared" si="0"/>
        <v>6794.2800000000007</v>
      </c>
      <c r="H17" s="2570"/>
    </row>
    <row r="18" spans="1:9" ht="16.5" customHeight="1">
      <c r="A18" s="3464"/>
      <c r="B18" s="2331" t="s">
        <v>2803</v>
      </c>
      <c r="C18" s="2590">
        <v>7130860077</v>
      </c>
      <c r="D18" s="2335" t="s">
        <v>26</v>
      </c>
      <c r="E18" s="1132">
        <f>VLOOKUP(C18,'[25]SOR RATE'!A:D,4,0)/1000</f>
        <v>93.76643</v>
      </c>
      <c r="F18" s="2585">
        <v>72</v>
      </c>
      <c r="G18" s="2586">
        <f t="shared" si="0"/>
        <v>6751.1829600000001</v>
      </c>
    </row>
    <row r="19" spans="1:9" ht="16.5" customHeight="1">
      <c r="A19" s="3465"/>
      <c r="B19" s="2331" t="s">
        <v>74</v>
      </c>
      <c r="C19" s="2591">
        <v>7130810026</v>
      </c>
      <c r="D19" s="2584" t="s">
        <v>15</v>
      </c>
      <c r="E19" s="1132">
        <f>VLOOKUP(C19,'[25]SOR RATE'!A201:D201,4,0)</f>
        <v>198.14</v>
      </c>
      <c r="F19" s="2585">
        <v>12</v>
      </c>
      <c r="G19" s="2586">
        <f t="shared" si="0"/>
        <v>2377.6799999999998</v>
      </c>
    </row>
    <row r="20" spans="1:9" ht="32.25" customHeight="1">
      <c r="A20" s="3463">
        <v>9</v>
      </c>
      <c r="B20" s="2588" t="s">
        <v>45</v>
      </c>
      <c r="C20" s="2590"/>
      <c r="D20" s="2335"/>
      <c r="E20" s="2339"/>
      <c r="F20" s="2585">
        <f>20+12</f>
        <v>32</v>
      </c>
      <c r="G20" s="2586"/>
    </row>
    <row r="21" spans="1:9" ht="17.25" customHeight="1">
      <c r="A21" s="3465"/>
      <c r="B21" s="2336" t="s">
        <v>1738</v>
      </c>
      <c r="C21" s="2332">
        <v>7130640008</v>
      </c>
      <c r="D21" s="1815" t="s">
        <v>33</v>
      </c>
      <c r="E21" s="1132">
        <f>VLOOKUP(C21,'[25]SOR RATE'!A:D,4,0)</f>
        <v>158</v>
      </c>
      <c r="F21" s="2585">
        <f>20+(12*2)</f>
        <v>44</v>
      </c>
      <c r="G21" s="2592">
        <f>F21*E21</f>
        <v>6952</v>
      </c>
      <c r="H21" s="3411" t="s">
        <v>47</v>
      </c>
      <c r="I21" s="3466"/>
    </row>
    <row r="22" spans="1:9" ht="16.5" customHeight="1">
      <c r="A22" s="3467">
        <v>10</v>
      </c>
      <c r="B22" s="2589" t="s">
        <v>1443</v>
      </c>
      <c r="C22" s="2332"/>
      <c r="D22" s="2335" t="s">
        <v>26</v>
      </c>
      <c r="E22" s="2339"/>
      <c r="F22" s="2585">
        <v>30</v>
      </c>
      <c r="G22" s="2378"/>
    </row>
    <row r="23" spans="1:9" ht="16.5" customHeight="1">
      <c r="A23" s="3468"/>
      <c r="B23" s="2343" t="s">
        <v>505</v>
      </c>
      <c r="C23" s="2332">
        <v>7130620573</v>
      </c>
      <c r="D23" s="2335" t="s">
        <v>26</v>
      </c>
      <c r="E23" s="1132">
        <f>VLOOKUP(C23,'[25]SOR RATE'!A:D,4,0)</f>
        <v>87.23</v>
      </c>
      <c r="F23" s="2585">
        <v>2</v>
      </c>
      <c r="G23" s="2592">
        <f t="shared" ref="G23:G35" si="1">F23*E23</f>
        <v>174.46</v>
      </c>
    </row>
    <row r="24" spans="1:9" ht="16.5" customHeight="1">
      <c r="A24" s="3468"/>
      <c r="B24" s="2343" t="s">
        <v>79</v>
      </c>
      <c r="C24" s="2590">
        <v>7130620609</v>
      </c>
      <c r="D24" s="2335" t="s">
        <v>26</v>
      </c>
      <c r="E24" s="1132">
        <f>VLOOKUP(C24,'[25]SOR RATE'!A:D,4,0)</f>
        <v>87.23</v>
      </c>
      <c r="F24" s="2585">
        <v>14</v>
      </c>
      <c r="G24" s="2592">
        <f t="shared" si="1"/>
        <v>1221.22</v>
      </c>
    </row>
    <row r="25" spans="1:9" ht="16.5" customHeight="1">
      <c r="A25" s="3469"/>
      <c r="B25" s="2343" t="s">
        <v>111</v>
      </c>
      <c r="C25" s="2590">
        <v>7130620614</v>
      </c>
      <c r="D25" s="2335" t="s">
        <v>26</v>
      </c>
      <c r="E25" s="1132">
        <f>VLOOKUP(C25,'[25]SOR RATE'!A:D,4,0)</f>
        <v>85.77</v>
      </c>
      <c r="F25" s="2585">
        <v>14</v>
      </c>
      <c r="G25" s="2592">
        <f t="shared" si="1"/>
        <v>1200.78</v>
      </c>
    </row>
    <row r="26" spans="1:9" ht="16.5" customHeight="1">
      <c r="A26" s="2335">
        <v>11</v>
      </c>
      <c r="B26" s="2331" t="s">
        <v>1740</v>
      </c>
      <c r="C26" s="2332">
        <v>7130870013</v>
      </c>
      <c r="D26" s="2335" t="s">
        <v>12</v>
      </c>
      <c r="E26" s="1132">
        <f>VLOOKUP(C26,'[25]SOR RATE'!A:D,4,0)</f>
        <v>152.88999999999999</v>
      </c>
      <c r="F26" s="2585">
        <v>20</v>
      </c>
      <c r="G26" s="2592">
        <f t="shared" si="1"/>
        <v>3057.7999999999997</v>
      </c>
      <c r="H26" s="802"/>
    </row>
    <row r="27" spans="1:9" ht="18" customHeight="1">
      <c r="A27" s="2335">
        <v>12</v>
      </c>
      <c r="B27" s="2331" t="s">
        <v>2804</v>
      </c>
      <c r="C27" s="2593">
        <v>7130890973</v>
      </c>
      <c r="D27" s="2335" t="s">
        <v>40</v>
      </c>
      <c r="E27" s="1132">
        <f>VLOOKUP(C27,'[25]SOR RATE'!A:D,4,0)</f>
        <v>71.81</v>
      </c>
      <c r="F27" s="2585">
        <v>20</v>
      </c>
      <c r="G27" s="2592">
        <f t="shared" si="1"/>
        <v>1436.2</v>
      </c>
      <c r="H27" s="2572"/>
    </row>
    <row r="28" spans="1:9" ht="16.5" customHeight="1">
      <c r="A28" s="2335">
        <v>13</v>
      </c>
      <c r="B28" s="2331" t="s">
        <v>28</v>
      </c>
      <c r="C28" s="2332">
        <v>7130211158</v>
      </c>
      <c r="D28" s="2335" t="s">
        <v>29</v>
      </c>
      <c r="E28" s="1132">
        <f>VLOOKUP(C28,'[25]SOR RATE'!A:D,4,0)</f>
        <v>193.62</v>
      </c>
      <c r="F28" s="2335">
        <v>3</v>
      </c>
      <c r="G28" s="2592">
        <f t="shared" si="1"/>
        <v>580.86</v>
      </c>
    </row>
    <row r="29" spans="1:9" ht="16.5" customHeight="1">
      <c r="A29" s="2335">
        <v>14</v>
      </c>
      <c r="B29" s="2331" t="s">
        <v>30</v>
      </c>
      <c r="C29" s="2332">
        <v>7130210809</v>
      </c>
      <c r="D29" s="2335" t="s">
        <v>29</v>
      </c>
      <c r="E29" s="1132">
        <f>VLOOKUP(C29,'[25]SOR RATE'!A:D,4,0)</f>
        <v>432.63</v>
      </c>
      <c r="F29" s="2335">
        <v>3</v>
      </c>
      <c r="G29" s="2592">
        <f t="shared" si="1"/>
        <v>1297.8899999999999</v>
      </c>
    </row>
    <row r="30" spans="1:9" ht="17.25" customHeight="1">
      <c r="A30" s="2335">
        <v>15</v>
      </c>
      <c r="B30" s="2331" t="s">
        <v>583</v>
      </c>
      <c r="C30" s="1625">
        <v>7130810102</v>
      </c>
      <c r="D30" s="2335" t="s">
        <v>12</v>
      </c>
      <c r="E30" s="1132">
        <f>VLOOKUP(C30,'[25]SOR RATE'!A:D,4,0)</f>
        <v>442.47</v>
      </c>
      <c r="F30" s="2335">
        <v>20</v>
      </c>
      <c r="G30" s="2592">
        <f t="shared" si="1"/>
        <v>8849.4000000000015</v>
      </c>
      <c r="H30" s="802"/>
    </row>
    <row r="31" spans="1:9" ht="18" customHeight="1">
      <c r="A31" s="2335">
        <v>16</v>
      </c>
      <c r="B31" s="2331" t="s">
        <v>2805</v>
      </c>
      <c r="C31" s="2332">
        <v>7130311008</v>
      </c>
      <c r="D31" s="2335" t="s">
        <v>21</v>
      </c>
      <c r="E31" s="1132">
        <f>VLOOKUP(C31,'[25]SOR RATE'!A:D,4,0)/1000</f>
        <v>24.908200000000001</v>
      </c>
      <c r="F31" s="2335">
        <v>60</v>
      </c>
      <c r="G31" s="2592">
        <f t="shared" si="1"/>
        <v>1494.492</v>
      </c>
      <c r="H31" s="2350"/>
    </row>
    <row r="32" spans="1:9" ht="16.5" customHeight="1">
      <c r="A32" s="2335">
        <v>17</v>
      </c>
      <c r="B32" s="2331" t="s">
        <v>464</v>
      </c>
      <c r="C32" s="2332">
        <v>7130390007</v>
      </c>
      <c r="D32" s="2335" t="s">
        <v>12</v>
      </c>
      <c r="E32" s="1132">
        <f>VLOOKUP(C32,'[25]SOR RATE'!A:D,4,0)</f>
        <v>217.24</v>
      </c>
      <c r="F32" s="2335">
        <v>4</v>
      </c>
      <c r="G32" s="2592">
        <f t="shared" si="1"/>
        <v>868.96</v>
      </c>
      <c r="H32" s="802"/>
    </row>
    <row r="33" spans="1:10" ht="15" customHeight="1">
      <c r="A33" s="2335">
        <v>18</v>
      </c>
      <c r="B33" s="2331" t="s">
        <v>466</v>
      </c>
      <c r="C33" s="2332">
        <v>7130390019</v>
      </c>
      <c r="D33" s="2335" t="s">
        <v>12</v>
      </c>
      <c r="E33" s="1132">
        <f>VLOOKUP(C33,'[25]SOR RATE'!A:D,4,0)</f>
        <v>37.130000000000003</v>
      </c>
      <c r="F33" s="2335">
        <v>14</v>
      </c>
      <c r="G33" s="2586">
        <f t="shared" si="1"/>
        <v>519.82000000000005</v>
      </c>
      <c r="H33" s="802"/>
    </row>
    <row r="34" spans="1:10" ht="18" customHeight="1">
      <c r="A34" s="2335">
        <v>19</v>
      </c>
      <c r="B34" s="2331" t="s">
        <v>164</v>
      </c>
      <c r="C34" s="2332">
        <v>7130320053</v>
      </c>
      <c r="D34" s="2335" t="s">
        <v>12</v>
      </c>
      <c r="E34" s="1132">
        <f>VLOOKUP(C34,'[25]SOR RATE'!A:D,4,0)</f>
        <v>6.91</v>
      </c>
      <c r="F34" s="2335">
        <v>530</v>
      </c>
      <c r="G34" s="2586">
        <f t="shared" si="1"/>
        <v>3662.3</v>
      </c>
      <c r="H34" s="2350"/>
    </row>
    <row r="35" spans="1:10" ht="19.5" customHeight="1">
      <c r="A35" s="2335">
        <v>20</v>
      </c>
      <c r="B35" s="2331" t="s">
        <v>2806</v>
      </c>
      <c r="C35" s="2332">
        <v>7130610206</v>
      </c>
      <c r="D35" s="2335" t="s">
        <v>26</v>
      </c>
      <c r="E35" s="1132">
        <f>VLOOKUP(C35,'[25]SOR RATE'!A:D,4,0)/1000</f>
        <v>97.233429999999998</v>
      </c>
      <c r="F35" s="2335">
        <v>40</v>
      </c>
      <c r="G35" s="2586">
        <f t="shared" si="1"/>
        <v>3889.3371999999999</v>
      </c>
      <c r="H35" s="2573"/>
      <c r="I35" s="2029"/>
    </row>
    <row r="36" spans="1:10" ht="18" customHeight="1">
      <c r="A36" s="2356">
        <v>21</v>
      </c>
      <c r="B36" s="2345" t="s">
        <v>48</v>
      </c>
      <c r="C36" s="2332"/>
      <c r="D36" s="2335"/>
      <c r="E36" s="2335"/>
      <c r="F36" s="2335"/>
      <c r="G36" s="2357">
        <f>SUM(G8:G35)</f>
        <v>223663.28215999997</v>
      </c>
      <c r="H36" s="2574"/>
      <c r="I36" s="2350"/>
    </row>
    <row r="37" spans="1:10" ht="18" customHeight="1">
      <c r="A37" s="2356">
        <v>22</v>
      </c>
      <c r="B37" s="2345" t="s">
        <v>49</v>
      </c>
      <c r="C37" s="2332"/>
      <c r="D37" s="2335"/>
      <c r="E37" s="2335"/>
      <c r="F37" s="2594"/>
      <c r="G37" s="2357">
        <f>G36/1.18</f>
        <v>189545.15437288134</v>
      </c>
      <c r="H37" s="85"/>
      <c r="I37" s="2350"/>
    </row>
    <row r="38" spans="1:10" ht="18" customHeight="1">
      <c r="A38" s="2335">
        <v>23</v>
      </c>
      <c r="B38" s="1822" t="s">
        <v>50</v>
      </c>
      <c r="C38" s="2595"/>
      <c r="D38" s="2595"/>
      <c r="E38" s="2332">
        <v>7.4999999999999997E-2</v>
      </c>
      <c r="F38" s="2596"/>
      <c r="G38" s="2339">
        <f>G36*E38</f>
        <v>16774.746161999996</v>
      </c>
      <c r="H38" s="87"/>
      <c r="I38" s="2029"/>
    </row>
    <row r="39" spans="1:10" ht="18.75" customHeight="1">
      <c r="A39" s="2443">
        <v>24</v>
      </c>
      <c r="B39" s="2331" t="s">
        <v>2807</v>
      </c>
      <c r="C39" s="2597"/>
      <c r="D39" s="2335" t="s">
        <v>68</v>
      </c>
      <c r="E39" s="1202">
        <f>229.365334460327*1.043</f>
        <v>239.22804384212105</v>
      </c>
      <c r="F39" s="2598">
        <v>20</v>
      </c>
      <c r="G39" s="2339">
        <f>F39*E39</f>
        <v>4784.5608768424208</v>
      </c>
      <c r="I39" s="526"/>
      <c r="J39" s="804"/>
    </row>
    <row r="40" spans="1:10" ht="18" customHeight="1">
      <c r="A40" s="2335">
        <v>25</v>
      </c>
      <c r="B40" s="2331" t="s">
        <v>2808</v>
      </c>
      <c r="C40" s="2591"/>
      <c r="D40" s="2599"/>
      <c r="E40" s="2442"/>
      <c r="F40" s="2325"/>
      <c r="G40" s="2599">
        <v>58111</v>
      </c>
      <c r="H40" s="618"/>
      <c r="I40" s="526"/>
      <c r="J40" s="1824"/>
    </row>
    <row r="41" spans="1:10" ht="18.75" customHeight="1">
      <c r="A41" s="2335">
        <v>26</v>
      </c>
      <c r="B41" s="2331" t="s">
        <v>2511</v>
      </c>
      <c r="C41" s="2591"/>
      <c r="D41" s="2599"/>
      <c r="E41" s="2442">
        <v>0.04</v>
      </c>
      <c r="F41" s="2325"/>
      <c r="G41" s="1132">
        <f>G37*E41</f>
        <v>7581.8061749152539</v>
      </c>
      <c r="H41" s="737" t="s">
        <v>1827</v>
      </c>
      <c r="I41" s="82"/>
    </row>
    <row r="42" spans="1:10" ht="30.75" customHeight="1">
      <c r="A42" s="2335">
        <v>27</v>
      </c>
      <c r="B42" s="1820" t="s">
        <v>2512</v>
      </c>
      <c r="C42" s="2591"/>
      <c r="D42" s="2599"/>
      <c r="E42" s="2442"/>
      <c r="F42" s="2325"/>
      <c r="G42" s="1132">
        <f>(G36+G38+G39+G40+G41)*0.125</f>
        <v>38864.424421719705</v>
      </c>
      <c r="I42" s="82"/>
    </row>
    <row r="43" spans="1:10" ht="15.75" customHeight="1">
      <c r="A43" s="2356">
        <v>28</v>
      </c>
      <c r="B43" s="1821" t="s">
        <v>2513</v>
      </c>
      <c r="C43" s="2591"/>
      <c r="D43" s="2599"/>
      <c r="E43" s="2442"/>
      <c r="F43" s="2325"/>
      <c r="G43" s="2600">
        <f>SUM(G37:G42)</f>
        <v>315661.69200835866</v>
      </c>
      <c r="H43" s="2575"/>
    </row>
    <row r="44" spans="1:10" ht="15.75" customHeight="1">
      <c r="A44" s="2335">
        <v>29</v>
      </c>
      <c r="B44" s="1822" t="s">
        <v>1460</v>
      </c>
      <c r="C44" s="2591"/>
      <c r="D44" s="2599"/>
      <c r="E44" s="2442">
        <v>0.09</v>
      </c>
      <c r="F44" s="2325"/>
      <c r="G44" s="2599">
        <f>G43*E44</f>
        <v>28409.552280752279</v>
      </c>
      <c r="H44" s="2575"/>
    </row>
    <row r="45" spans="1:10" ht="15.75" customHeight="1">
      <c r="A45" s="2335">
        <v>30</v>
      </c>
      <c r="B45" s="1822" t="s">
        <v>1461</v>
      </c>
      <c r="C45" s="2591"/>
      <c r="D45" s="2599"/>
      <c r="E45" s="2442">
        <v>0.09</v>
      </c>
      <c r="F45" s="2325"/>
      <c r="G45" s="2599">
        <f>G43*E45</f>
        <v>28409.552280752279</v>
      </c>
      <c r="H45" s="2576"/>
    </row>
    <row r="46" spans="1:10" ht="16.5" customHeight="1">
      <c r="A46" s="2335">
        <v>31</v>
      </c>
      <c r="B46" s="1822" t="s">
        <v>1462</v>
      </c>
      <c r="C46" s="2591"/>
      <c r="D46" s="2339"/>
      <c r="E46" s="2335"/>
      <c r="F46" s="2325"/>
      <c r="G46" s="2339">
        <f>G43+G44+G45</f>
        <v>372480.79656986322</v>
      </c>
      <c r="H46" s="579"/>
    </row>
    <row r="47" spans="1:10" ht="18" customHeight="1">
      <c r="A47" s="2356">
        <v>32</v>
      </c>
      <c r="B47" s="1823" t="s">
        <v>59</v>
      </c>
      <c r="C47" s="2358"/>
      <c r="D47" s="2357"/>
      <c r="E47" s="2356"/>
      <c r="F47" s="2325"/>
      <c r="G47" s="2357">
        <f>ROUND(G46,0)</f>
        <v>372481</v>
      </c>
    </row>
    <row r="48" spans="1:10" ht="14.25">
      <c r="A48" s="2577"/>
      <c r="B48" s="2019"/>
      <c r="C48" s="2578"/>
      <c r="D48" s="2579"/>
      <c r="E48" s="2577"/>
      <c r="F48" s="2580"/>
      <c r="G48" s="2579"/>
    </row>
    <row r="49" spans="1:15" ht="19.5" customHeight="1">
      <c r="A49" s="2581"/>
      <c r="B49" s="2019" t="s">
        <v>1806</v>
      </c>
      <c r="C49" s="2582"/>
      <c r="D49" s="2583"/>
      <c r="E49" s="2583"/>
      <c r="F49" s="2583"/>
      <c r="G49" s="2583"/>
    </row>
    <row r="50" spans="1:15" ht="15.75" customHeight="1">
      <c r="A50" s="2560" t="s">
        <v>62</v>
      </c>
      <c r="B50" s="2571" t="s">
        <v>63</v>
      </c>
      <c r="C50" s="111"/>
      <c r="H50" s="587"/>
      <c r="I50" s="587"/>
      <c r="J50" s="587"/>
      <c r="K50" s="587"/>
      <c r="L50" s="587"/>
      <c r="M50" s="587"/>
      <c r="N50" s="587"/>
      <c r="O50" s="587"/>
    </row>
  </sheetData>
  <mergeCells count="12">
    <mergeCell ref="A17:A19"/>
    <mergeCell ref="A20:A21"/>
    <mergeCell ref="H21:I21"/>
    <mergeCell ref="A22:A25"/>
    <mergeCell ref="B1:C1"/>
    <mergeCell ref="B3:G3"/>
    <mergeCell ref="A5:A6"/>
    <mergeCell ref="B5:B6"/>
    <mergeCell ref="C5:C6"/>
    <mergeCell ref="D5:D6"/>
    <mergeCell ref="E5:E6"/>
    <mergeCell ref="F5:G5"/>
  </mergeCells>
  <conditionalFormatting sqref="B36">
    <cfRule type="cellIs" dxfId="34" priority="2" stopIfTrue="1" operator="equal">
      <formula>"?"</formula>
    </cfRule>
  </conditionalFormatting>
  <conditionalFormatting sqref="B37">
    <cfRule type="cellIs" dxfId="33" priority="1" stopIfTrue="1" operator="equal">
      <formula>"?"</formula>
    </cfRule>
  </conditionalFormatting>
  <pageMargins left="0.91" right="0.16" top="0.73" bottom="0.23" header="0.5" footer="0.16"/>
  <pageSetup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1"/>
  <sheetViews>
    <sheetView workbookViewId="0">
      <pane xSplit="2" ySplit="7" topLeftCell="E47" activePane="bottomRight" state="frozen"/>
      <selection pane="topRight" activeCell="C1" sqref="C1"/>
      <selection pane="bottomLeft" activeCell="A8" sqref="A8"/>
      <selection pane="bottomRight" activeCell="I8" sqref="I8"/>
    </sheetView>
  </sheetViews>
  <sheetFormatPr defaultRowHeight="12.75"/>
  <cols>
    <col min="1" max="1" width="4.42578125" style="70" bestFit="1" customWidth="1"/>
    <col min="2" max="2" width="86.7109375" style="70" bestFit="1" customWidth="1"/>
    <col min="3" max="3" width="13.5703125" style="70" customWidth="1"/>
    <col min="4" max="4" width="6.5703125" style="70" customWidth="1"/>
    <col min="5" max="5" width="9.5703125" style="70" bestFit="1" customWidth="1"/>
    <col min="6" max="6" width="5.5703125" style="70" bestFit="1" customWidth="1"/>
    <col min="7" max="7" width="11.28515625" style="70" customWidth="1"/>
    <col min="8" max="8" width="22" style="70" customWidth="1"/>
    <col min="9" max="9" width="20.7109375" style="70" bestFit="1" customWidth="1"/>
    <col min="10" max="10" width="16.140625" style="70" customWidth="1"/>
    <col min="11" max="11" width="14.7109375" style="70" customWidth="1"/>
    <col min="12" max="12" width="15" style="70" customWidth="1"/>
    <col min="13" max="13" width="14.140625" style="70" customWidth="1"/>
    <col min="14" max="256" width="9.140625" style="70"/>
    <col min="257" max="257" width="4.42578125" style="70" bestFit="1" customWidth="1"/>
    <col min="258" max="258" width="86.7109375" style="70" bestFit="1" customWidth="1"/>
    <col min="259" max="259" width="13.5703125" style="70" customWidth="1"/>
    <col min="260" max="260" width="6.5703125" style="70" customWidth="1"/>
    <col min="261" max="261" width="9.5703125" style="70" bestFit="1" customWidth="1"/>
    <col min="262" max="262" width="5.5703125" style="70" bestFit="1" customWidth="1"/>
    <col min="263" max="263" width="11.28515625" style="70" customWidth="1"/>
    <col min="264" max="264" width="22" style="70" customWidth="1"/>
    <col min="265" max="265" width="20.7109375" style="70" bestFit="1" customWidth="1"/>
    <col min="266" max="266" width="16.140625" style="70" customWidth="1"/>
    <col min="267" max="267" width="14.7109375" style="70" customWidth="1"/>
    <col min="268" max="268" width="15" style="70" customWidth="1"/>
    <col min="269" max="269" width="14.140625" style="70" customWidth="1"/>
    <col min="270" max="512" width="9.140625" style="70"/>
    <col min="513" max="513" width="4.42578125" style="70" bestFit="1" customWidth="1"/>
    <col min="514" max="514" width="86.7109375" style="70" bestFit="1" customWidth="1"/>
    <col min="515" max="515" width="13.5703125" style="70" customWidth="1"/>
    <col min="516" max="516" width="6.5703125" style="70" customWidth="1"/>
    <col min="517" max="517" width="9.5703125" style="70" bestFit="1" customWidth="1"/>
    <col min="518" max="518" width="5.5703125" style="70" bestFit="1" customWidth="1"/>
    <col min="519" max="519" width="11.28515625" style="70" customWidth="1"/>
    <col min="520" max="520" width="22" style="70" customWidth="1"/>
    <col min="521" max="521" width="20.7109375" style="70" bestFit="1" customWidth="1"/>
    <col min="522" max="522" width="16.140625" style="70" customWidth="1"/>
    <col min="523" max="523" width="14.7109375" style="70" customWidth="1"/>
    <col min="524" max="524" width="15" style="70" customWidth="1"/>
    <col min="525" max="525" width="14.140625" style="70" customWidth="1"/>
    <col min="526" max="768" width="9.140625" style="70"/>
    <col min="769" max="769" width="4.42578125" style="70" bestFit="1" customWidth="1"/>
    <col min="770" max="770" width="86.7109375" style="70" bestFit="1" customWidth="1"/>
    <col min="771" max="771" width="13.5703125" style="70" customWidth="1"/>
    <col min="772" max="772" width="6.5703125" style="70" customWidth="1"/>
    <col min="773" max="773" width="9.5703125" style="70" bestFit="1" customWidth="1"/>
    <col min="774" max="774" width="5.5703125" style="70" bestFit="1" customWidth="1"/>
    <col min="775" max="775" width="11.28515625" style="70" customWidth="1"/>
    <col min="776" max="776" width="22" style="70" customWidth="1"/>
    <col min="777" max="777" width="20.7109375" style="70" bestFit="1" customWidth="1"/>
    <col min="778" max="778" width="16.140625" style="70" customWidth="1"/>
    <col min="779" max="779" width="14.7109375" style="70" customWidth="1"/>
    <col min="780" max="780" width="15" style="70" customWidth="1"/>
    <col min="781" max="781" width="14.140625" style="70" customWidth="1"/>
    <col min="782" max="1024" width="9.140625" style="70"/>
    <col min="1025" max="1025" width="4.42578125" style="70" bestFit="1" customWidth="1"/>
    <col min="1026" max="1026" width="86.7109375" style="70" bestFit="1" customWidth="1"/>
    <col min="1027" max="1027" width="13.5703125" style="70" customWidth="1"/>
    <col min="1028" max="1028" width="6.5703125" style="70" customWidth="1"/>
    <col min="1029" max="1029" width="9.5703125" style="70" bestFit="1" customWidth="1"/>
    <col min="1030" max="1030" width="5.5703125" style="70" bestFit="1" customWidth="1"/>
    <col min="1031" max="1031" width="11.28515625" style="70" customWidth="1"/>
    <col min="1032" max="1032" width="22" style="70" customWidth="1"/>
    <col min="1033" max="1033" width="20.7109375" style="70" bestFit="1" customWidth="1"/>
    <col min="1034" max="1034" width="16.140625" style="70" customWidth="1"/>
    <col min="1035" max="1035" width="14.7109375" style="70" customWidth="1"/>
    <col min="1036" max="1036" width="15" style="70" customWidth="1"/>
    <col min="1037" max="1037" width="14.140625" style="70" customWidth="1"/>
    <col min="1038" max="1280" width="9.140625" style="70"/>
    <col min="1281" max="1281" width="4.42578125" style="70" bestFit="1" customWidth="1"/>
    <col min="1282" max="1282" width="86.7109375" style="70" bestFit="1" customWidth="1"/>
    <col min="1283" max="1283" width="13.5703125" style="70" customWidth="1"/>
    <col min="1284" max="1284" width="6.5703125" style="70" customWidth="1"/>
    <col min="1285" max="1285" width="9.5703125" style="70" bestFit="1" customWidth="1"/>
    <col min="1286" max="1286" width="5.5703125" style="70" bestFit="1" customWidth="1"/>
    <col min="1287" max="1287" width="11.28515625" style="70" customWidth="1"/>
    <col min="1288" max="1288" width="22" style="70" customWidth="1"/>
    <col min="1289" max="1289" width="20.7109375" style="70" bestFit="1" customWidth="1"/>
    <col min="1290" max="1290" width="16.140625" style="70" customWidth="1"/>
    <col min="1291" max="1291" width="14.7109375" style="70" customWidth="1"/>
    <col min="1292" max="1292" width="15" style="70" customWidth="1"/>
    <col min="1293" max="1293" width="14.140625" style="70" customWidth="1"/>
    <col min="1294" max="1536" width="9.140625" style="70"/>
    <col min="1537" max="1537" width="4.42578125" style="70" bestFit="1" customWidth="1"/>
    <col min="1538" max="1538" width="86.7109375" style="70" bestFit="1" customWidth="1"/>
    <col min="1539" max="1539" width="13.5703125" style="70" customWidth="1"/>
    <col min="1540" max="1540" width="6.5703125" style="70" customWidth="1"/>
    <col min="1541" max="1541" width="9.5703125" style="70" bestFit="1" customWidth="1"/>
    <col min="1542" max="1542" width="5.5703125" style="70" bestFit="1" customWidth="1"/>
    <col min="1543" max="1543" width="11.28515625" style="70" customWidth="1"/>
    <col min="1544" max="1544" width="22" style="70" customWidth="1"/>
    <col min="1545" max="1545" width="20.7109375" style="70" bestFit="1" customWidth="1"/>
    <col min="1546" max="1546" width="16.140625" style="70" customWidth="1"/>
    <col min="1547" max="1547" width="14.7109375" style="70" customWidth="1"/>
    <col min="1548" max="1548" width="15" style="70" customWidth="1"/>
    <col min="1549" max="1549" width="14.140625" style="70" customWidth="1"/>
    <col min="1550" max="1792" width="9.140625" style="70"/>
    <col min="1793" max="1793" width="4.42578125" style="70" bestFit="1" customWidth="1"/>
    <col min="1794" max="1794" width="86.7109375" style="70" bestFit="1" customWidth="1"/>
    <col min="1795" max="1795" width="13.5703125" style="70" customWidth="1"/>
    <col min="1796" max="1796" width="6.5703125" style="70" customWidth="1"/>
    <col min="1797" max="1797" width="9.5703125" style="70" bestFit="1" customWidth="1"/>
    <col min="1798" max="1798" width="5.5703125" style="70" bestFit="1" customWidth="1"/>
    <col min="1799" max="1799" width="11.28515625" style="70" customWidth="1"/>
    <col min="1800" max="1800" width="22" style="70" customWidth="1"/>
    <col min="1801" max="1801" width="20.7109375" style="70" bestFit="1" customWidth="1"/>
    <col min="1802" max="1802" width="16.140625" style="70" customWidth="1"/>
    <col min="1803" max="1803" width="14.7109375" style="70" customWidth="1"/>
    <col min="1804" max="1804" width="15" style="70" customWidth="1"/>
    <col min="1805" max="1805" width="14.140625" style="70" customWidth="1"/>
    <col min="1806" max="2048" width="9.140625" style="70"/>
    <col min="2049" max="2049" width="4.42578125" style="70" bestFit="1" customWidth="1"/>
    <col min="2050" max="2050" width="86.7109375" style="70" bestFit="1" customWidth="1"/>
    <col min="2051" max="2051" width="13.5703125" style="70" customWidth="1"/>
    <col min="2052" max="2052" width="6.5703125" style="70" customWidth="1"/>
    <col min="2053" max="2053" width="9.5703125" style="70" bestFit="1" customWidth="1"/>
    <col min="2054" max="2054" width="5.5703125" style="70" bestFit="1" customWidth="1"/>
    <col min="2055" max="2055" width="11.28515625" style="70" customWidth="1"/>
    <col min="2056" max="2056" width="22" style="70" customWidth="1"/>
    <col min="2057" max="2057" width="20.7109375" style="70" bestFit="1" customWidth="1"/>
    <col min="2058" max="2058" width="16.140625" style="70" customWidth="1"/>
    <col min="2059" max="2059" width="14.7109375" style="70" customWidth="1"/>
    <col min="2060" max="2060" width="15" style="70" customWidth="1"/>
    <col min="2061" max="2061" width="14.140625" style="70" customWidth="1"/>
    <col min="2062" max="2304" width="9.140625" style="70"/>
    <col min="2305" max="2305" width="4.42578125" style="70" bestFit="1" customWidth="1"/>
    <col min="2306" max="2306" width="86.7109375" style="70" bestFit="1" customWidth="1"/>
    <col min="2307" max="2307" width="13.5703125" style="70" customWidth="1"/>
    <col min="2308" max="2308" width="6.5703125" style="70" customWidth="1"/>
    <col min="2309" max="2309" width="9.5703125" style="70" bestFit="1" customWidth="1"/>
    <col min="2310" max="2310" width="5.5703125" style="70" bestFit="1" customWidth="1"/>
    <col min="2311" max="2311" width="11.28515625" style="70" customWidth="1"/>
    <col min="2312" max="2312" width="22" style="70" customWidth="1"/>
    <col min="2313" max="2313" width="20.7109375" style="70" bestFit="1" customWidth="1"/>
    <col min="2314" max="2314" width="16.140625" style="70" customWidth="1"/>
    <col min="2315" max="2315" width="14.7109375" style="70" customWidth="1"/>
    <col min="2316" max="2316" width="15" style="70" customWidth="1"/>
    <col min="2317" max="2317" width="14.140625" style="70" customWidth="1"/>
    <col min="2318" max="2560" width="9.140625" style="70"/>
    <col min="2561" max="2561" width="4.42578125" style="70" bestFit="1" customWidth="1"/>
    <col min="2562" max="2562" width="86.7109375" style="70" bestFit="1" customWidth="1"/>
    <col min="2563" max="2563" width="13.5703125" style="70" customWidth="1"/>
    <col min="2564" max="2564" width="6.5703125" style="70" customWidth="1"/>
    <col min="2565" max="2565" width="9.5703125" style="70" bestFit="1" customWidth="1"/>
    <col min="2566" max="2566" width="5.5703125" style="70" bestFit="1" customWidth="1"/>
    <col min="2567" max="2567" width="11.28515625" style="70" customWidth="1"/>
    <col min="2568" max="2568" width="22" style="70" customWidth="1"/>
    <col min="2569" max="2569" width="20.7109375" style="70" bestFit="1" customWidth="1"/>
    <col min="2570" max="2570" width="16.140625" style="70" customWidth="1"/>
    <col min="2571" max="2571" width="14.7109375" style="70" customWidth="1"/>
    <col min="2572" max="2572" width="15" style="70" customWidth="1"/>
    <col min="2573" max="2573" width="14.140625" style="70" customWidth="1"/>
    <col min="2574" max="2816" width="9.140625" style="70"/>
    <col min="2817" max="2817" width="4.42578125" style="70" bestFit="1" customWidth="1"/>
    <col min="2818" max="2818" width="86.7109375" style="70" bestFit="1" customWidth="1"/>
    <col min="2819" max="2819" width="13.5703125" style="70" customWidth="1"/>
    <col min="2820" max="2820" width="6.5703125" style="70" customWidth="1"/>
    <col min="2821" max="2821" width="9.5703125" style="70" bestFit="1" customWidth="1"/>
    <col min="2822" max="2822" width="5.5703125" style="70" bestFit="1" customWidth="1"/>
    <col min="2823" max="2823" width="11.28515625" style="70" customWidth="1"/>
    <col min="2824" max="2824" width="22" style="70" customWidth="1"/>
    <col min="2825" max="2825" width="20.7109375" style="70" bestFit="1" customWidth="1"/>
    <col min="2826" max="2826" width="16.140625" style="70" customWidth="1"/>
    <col min="2827" max="2827" width="14.7109375" style="70" customWidth="1"/>
    <col min="2828" max="2828" width="15" style="70" customWidth="1"/>
    <col min="2829" max="2829" width="14.140625" style="70" customWidth="1"/>
    <col min="2830" max="3072" width="9.140625" style="70"/>
    <col min="3073" max="3073" width="4.42578125" style="70" bestFit="1" customWidth="1"/>
    <col min="3074" max="3074" width="86.7109375" style="70" bestFit="1" customWidth="1"/>
    <col min="3075" max="3075" width="13.5703125" style="70" customWidth="1"/>
    <col min="3076" max="3076" width="6.5703125" style="70" customWidth="1"/>
    <col min="3077" max="3077" width="9.5703125" style="70" bestFit="1" customWidth="1"/>
    <col min="3078" max="3078" width="5.5703125" style="70" bestFit="1" customWidth="1"/>
    <col min="3079" max="3079" width="11.28515625" style="70" customWidth="1"/>
    <col min="3080" max="3080" width="22" style="70" customWidth="1"/>
    <col min="3081" max="3081" width="20.7109375" style="70" bestFit="1" customWidth="1"/>
    <col min="3082" max="3082" width="16.140625" style="70" customWidth="1"/>
    <col min="3083" max="3083" width="14.7109375" style="70" customWidth="1"/>
    <col min="3084" max="3084" width="15" style="70" customWidth="1"/>
    <col min="3085" max="3085" width="14.140625" style="70" customWidth="1"/>
    <col min="3086" max="3328" width="9.140625" style="70"/>
    <col min="3329" max="3329" width="4.42578125" style="70" bestFit="1" customWidth="1"/>
    <col min="3330" max="3330" width="86.7109375" style="70" bestFit="1" customWidth="1"/>
    <col min="3331" max="3331" width="13.5703125" style="70" customWidth="1"/>
    <col min="3332" max="3332" width="6.5703125" style="70" customWidth="1"/>
    <col min="3333" max="3333" width="9.5703125" style="70" bestFit="1" customWidth="1"/>
    <col min="3334" max="3334" width="5.5703125" style="70" bestFit="1" customWidth="1"/>
    <col min="3335" max="3335" width="11.28515625" style="70" customWidth="1"/>
    <col min="3336" max="3336" width="22" style="70" customWidth="1"/>
    <col min="3337" max="3337" width="20.7109375" style="70" bestFit="1" customWidth="1"/>
    <col min="3338" max="3338" width="16.140625" style="70" customWidth="1"/>
    <col min="3339" max="3339" width="14.7109375" style="70" customWidth="1"/>
    <col min="3340" max="3340" width="15" style="70" customWidth="1"/>
    <col min="3341" max="3341" width="14.140625" style="70" customWidth="1"/>
    <col min="3342" max="3584" width="9.140625" style="70"/>
    <col min="3585" max="3585" width="4.42578125" style="70" bestFit="1" customWidth="1"/>
    <col min="3586" max="3586" width="86.7109375" style="70" bestFit="1" customWidth="1"/>
    <col min="3587" max="3587" width="13.5703125" style="70" customWidth="1"/>
    <col min="3588" max="3588" width="6.5703125" style="70" customWidth="1"/>
    <col min="3589" max="3589" width="9.5703125" style="70" bestFit="1" customWidth="1"/>
    <col min="3590" max="3590" width="5.5703125" style="70" bestFit="1" customWidth="1"/>
    <col min="3591" max="3591" width="11.28515625" style="70" customWidth="1"/>
    <col min="3592" max="3592" width="22" style="70" customWidth="1"/>
    <col min="3593" max="3593" width="20.7109375" style="70" bestFit="1" customWidth="1"/>
    <col min="3594" max="3594" width="16.140625" style="70" customWidth="1"/>
    <col min="3595" max="3595" width="14.7109375" style="70" customWidth="1"/>
    <col min="3596" max="3596" width="15" style="70" customWidth="1"/>
    <col min="3597" max="3597" width="14.140625" style="70" customWidth="1"/>
    <col min="3598" max="3840" width="9.140625" style="70"/>
    <col min="3841" max="3841" width="4.42578125" style="70" bestFit="1" customWidth="1"/>
    <col min="3842" max="3842" width="86.7109375" style="70" bestFit="1" customWidth="1"/>
    <col min="3843" max="3843" width="13.5703125" style="70" customWidth="1"/>
    <col min="3844" max="3844" width="6.5703125" style="70" customWidth="1"/>
    <col min="3845" max="3845" width="9.5703125" style="70" bestFit="1" customWidth="1"/>
    <col min="3846" max="3846" width="5.5703125" style="70" bestFit="1" customWidth="1"/>
    <col min="3847" max="3847" width="11.28515625" style="70" customWidth="1"/>
    <col min="3848" max="3848" width="22" style="70" customWidth="1"/>
    <col min="3849" max="3849" width="20.7109375" style="70" bestFit="1" customWidth="1"/>
    <col min="3850" max="3850" width="16.140625" style="70" customWidth="1"/>
    <col min="3851" max="3851" width="14.7109375" style="70" customWidth="1"/>
    <col min="3852" max="3852" width="15" style="70" customWidth="1"/>
    <col min="3853" max="3853" width="14.140625" style="70" customWidth="1"/>
    <col min="3854" max="4096" width="9.140625" style="70"/>
    <col min="4097" max="4097" width="4.42578125" style="70" bestFit="1" customWidth="1"/>
    <col min="4098" max="4098" width="86.7109375" style="70" bestFit="1" customWidth="1"/>
    <col min="4099" max="4099" width="13.5703125" style="70" customWidth="1"/>
    <col min="4100" max="4100" width="6.5703125" style="70" customWidth="1"/>
    <col min="4101" max="4101" width="9.5703125" style="70" bestFit="1" customWidth="1"/>
    <col min="4102" max="4102" width="5.5703125" style="70" bestFit="1" customWidth="1"/>
    <col min="4103" max="4103" width="11.28515625" style="70" customWidth="1"/>
    <col min="4104" max="4104" width="22" style="70" customWidth="1"/>
    <col min="4105" max="4105" width="20.7109375" style="70" bestFit="1" customWidth="1"/>
    <col min="4106" max="4106" width="16.140625" style="70" customWidth="1"/>
    <col min="4107" max="4107" width="14.7109375" style="70" customWidth="1"/>
    <col min="4108" max="4108" width="15" style="70" customWidth="1"/>
    <col min="4109" max="4109" width="14.140625" style="70" customWidth="1"/>
    <col min="4110" max="4352" width="9.140625" style="70"/>
    <col min="4353" max="4353" width="4.42578125" style="70" bestFit="1" customWidth="1"/>
    <col min="4354" max="4354" width="86.7109375" style="70" bestFit="1" customWidth="1"/>
    <col min="4355" max="4355" width="13.5703125" style="70" customWidth="1"/>
    <col min="4356" max="4356" width="6.5703125" style="70" customWidth="1"/>
    <col min="4357" max="4357" width="9.5703125" style="70" bestFit="1" customWidth="1"/>
    <col min="4358" max="4358" width="5.5703125" style="70" bestFit="1" customWidth="1"/>
    <col min="4359" max="4359" width="11.28515625" style="70" customWidth="1"/>
    <col min="4360" max="4360" width="22" style="70" customWidth="1"/>
    <col min="4361" max="4361" width="20.7109375" style="70" bestFit="1" customWidth="1"/>
    <col min="4362" max="4362" width="16.140625" style="70" customWidth="1"/>
    <col min="4363" max="4363" width="14.7109375" style="70" customWidth="1"/>
    <col min="4364" max="4364" width="15" style="70" customWidth="1"/>
    <col min="4365" max="4365" width="14.140625" style="70" customWidth="1"/>
    <col min="4366" max="4608" width="9.140625" style="70"/>
    <col min="4609" max="4609" width="4.42578125" style="70" bestFit="1" customWidth="1"/>
    <col min="4610" max="4610" width="86.7109375" style="70" bestFit="1" customWidth="1"/>
    <col min="4611" max="4611" width="13.5703125" style="70" customWidth="1"/>
    <col min="4612" max="4612" width="6.5703125" style="70" customWidth="1"/>
    <col min="4613" max="4613" width="9.5703125" style="70" bestFit="1" customWidth="1"/>
    <col min="4614" max="4614" width="5.5703125" style="70" bestFit="1" customWidth="1"/>
    <col min="4615" max="4615" width="11.28515625" style="70" customWidth="1"/>
    <col min="4616" max="4616" width="22" style="70" customWidth="1"/>
    <col min="4617" max="4617" width="20.7109375" style="70" bestFit="1" customWidth="1"/>
    <col min="4618" max="4618" width="16.140625" style="70" customWidth="1"/>
    <col min="4619" max="4619" width="14.7109375" style="70" customWidth="1"/>
    <col min="4620" max="4620" width="15" style="70" customWidth="1"/>
    <col min="4621" max="4621" width="14.140625" style="70" customWidth="1"/>
    <col min="4622" max="4864" width="9.140625" style="70"/>
    <col min="4865" max="4865" width="4.42578125" style="70" bestFit="1" customWidth="1"/>
    <col min="4866" max="4866" width="86.7109375" style="70" bestFit="1" customWidth="1"/>
    <col min="4867" max="4867" width="13.5703125" style="70" customWidth="1"/>
    <col min="4868" max="4868" width="6.5703125" style="70" customWidth="1"/>
    <col min="4869" max="4869" width="9.5703125" style="70" bestFit="1" customWidth="1"/>
    <col min="4870" max="4870" width="5.5703125" style="70" bestFit="1" customWidth="1"/>
    <col min="4871" max="4871" width="11.28515625" style="70" customWidth="1"/>
    <col min="4872" max="4872" width="22" style="70" customWidth="1"/>
    <col min="4873" max="4873" width="20.7109375" style="70" bestFit="1" customWidth="1"/>
    <col min="4874" max="4874" width="16.140625" style="70" customWidth="1"/>
    <col min="4875" max="4875" width="14.7109375" style="70" customWidth="1"/>
    <col min="4876" max="4876" width="15" style="70" customWidth="1"/>
    <col min="4877" max="4877" width="14.140625" style="70" customWidth="1"/>
    <col min="4878" max="5120" width="9.140625" style="70"/>
    <col min="5121" max="5121" width="4.42578125" style="70" bestFit="1" customWidth="1"/>
    <col min="5122" max="5122" width="86.7109375" style="70" bestFit="1" customWidth="1"/>
    <col min="5123" max="5123" width="13.5703125" style="70" customWidth="1"/>
    <col min="5124" max="5124" width="6.5703125" style="70" customWidth="1"/>
    <col min="5125" max="5125" width="9.5703125" style="70" bestFit="1" customWidth="1"/>
    <col min="5126" max="5126" width="5.5703125" style="70" bestFit="1" customWidth="1"/>
    <col min="5127" max="5127" width="11.28515625" style="70" customWidth="1"/>
    <col min="5128" max="5128" width="22" style="70" customWidth="1"/>
    <col min="5129" max="5129" width="20.7109375" style="70" bestFit="1" customWidth="1"/>
    <col min="5130" max="5130" width="16.140625" style="70" customWidth="1"/>
    <col min="5131" max="5131" width="14.7109375" style="70" customWidth="1"/>
    <col min="5132" max="5132" width="15" style="70" customWidth="1"/>
    <col min="5133" max="5133" width="14.140625" style="70" customWidth="1"/>
    <col min="5134" max="5376" width="9.140625" style="70"/>
    <col min="5377" max="5377" width="4.42578125" style="70" bestFit="1" customWidth="1"/>
    <col min="5378" max="5378" width="86.7109375" style="70" bestFit="1" customWidth="1"/>
    <col min="5379" max="5379" width="13.5703125" style="70" customWidth="1"/>
    <col min="5380" max="5380" width="6.5703125" style="70" customWidth="1"/>
    <col min="5381" max="5381" width="9.5703125" style="70" bestFit="1" customWidth="1"/>
    <col min="5382" max="5382" width="5.5703125" style="70" bestFit="1" customWidth="1"/>
    <col min="5383" max="5383" width="11.28515625" style="70" customWidth="1"/>
    <col min="5384" max="5384" width="22" style="70" customWidth="1"/>
    <col min="5385" max="5385" width="20.7109375" style="70" bestFit="1" customWidth="1"/>
    <col min="5386" max="5386" width="16.140625" style="70" customWidth="1"/>
    <col min="5387" max="5387" width="14.7109375" style="70" customWidth="1"/>
    <col min="5388" max="5388" width="15" style="70" customWidth="1"/>
    <col min="5389" max="5389" width="14.140625" style="70" customWidth="1"/>
    <col min="5390" max="5632" width="9.140625" style="70"/>
    <col min="5633" max="5633" width="4.42578125" style="70" bestFit="1" customWidth="1"/>
    <col min="5634" max="5634" width="86.7109375" style="70" bestFit="1" customWidth="1"/>
    <col min="5635" max="5635" width="13.5703125" style="70" customWidth="1"/>
    <col min="5636" max="5636" width="6.5703125" style="70" customWidth="1"/>
    <col min="5637" max="5637" width="9.5703125" style="70" bestFit="1" customWidth="1"/>
    <col min="5638" max="5638" width="5.5703125" style="70" bestFit="1" customWidth="1"/>
    <col min="5639" max="5639" width="11.28515625" style="70" customWidth="1"/>
    <col min="5640" max="5640" width="22" style="70" customWidth="1"/>
    <col min="5641" max="5641" width="20.7109375" style="70" bestFit="1" customWidth="1"/>
    <col min="5642" max="5642" width="16.140625" style="70" customWidth="1"/>
    <col min="5643" max="5643" width="14.7109375" style="70" customWidth="1"/>
    <col min="5644" max="5644" width="15" style="70" customWidth="1"/>
    <col min="5645" max="5645" width="14.140625" style="70" customWidth="1"/>
    <col min="5646" max="5888" width="9.140625" style="70"/>
    <col min="5889" max="5889" width="4.42578125" style="70" bestFit="1" customWidth="1"/>
    <col min="5890" max="5890" width="86.7109375" style="70" bestFit="1" customWidth="1"/>
    <col min="5891" max="5891" width="13.5703125" style="70" customWidth="1"/>
    <col min="5892" max="5892" width="6.5703125" style="70" customWidth="1"/>
    <col min="5893" max="5893" width="9.5703125" style="70" bestFit="1" customWidth="1"/>
    <col min="5894" max="5894" width="5.5703125" style="70" bestFit="1" customWidth="1"/>
    <col min="5895" max="5895" width="11.28515625" style="70" customWidth="1"/>
    <col min="5896" max="5896" width="22" style="70" customWidth="1"/>
    <col min="5897" max="5897" width="20.7109375" style="70" bestFit="1" customWidth="1"/>
    <col min="5898" max="5898" width="16.140625" style="70" customWidth="1"/>
    <col min="5899" max="5899" width="14.7109375" style="70" customWidth="1"/>
    <col min="5900" max="5900" width="15" style="70" customWidth="1"/>
    <col min="5901" max="5901" width="14.140625" style="70" customWidth="1"/>
    <col min="5902" max="6144" width="9.140625" style="70"/>
    <col min="6145" max="6145" width="4.42578125" style="70" bestFit="1" customWidth="1"/>
    <col min="6146" max="6146" width="86.7109375" style="70" bestFit="1" customWidth="1"/>
    <col min="6147" max="6147" width="13.5703125" style="70" customWidth="1"/>
    <col min="6148" max="6148" width="6.5703125" style="70" customWidth="1"/>
    <col min="6149" max="6149" width="9.5703125" style="70" bestFit="1" customWidth="1"/>
    <col min="6150" max="6150" width="5.5703125" style="70" bestFit="1" customWidth="1"/>
    <col min="6151" max="6151" width="11.28515625" style="70" customWidth="1"/>
    <col min="6152" max="6152" width="22" style="70" customWidth="1"/>
    <col min="6153" max="6153" width="20.7109375" style="70" bestFit="1" customWidth="1"/>
    <col min="6154" max="6154" width="16.140625" style="70" customWidth="1"/>
    <col min="6155" max="6155" width="14.7109375" style="70" customWidth="1"/>
    <col min="6156" max="6156" width="15" style="70" customWidth="1"/>
    <col min="6157" max="6157" width="14.140625" style="70" customWidth="1"/>
    <col min="6158" max="6400" width="9.140625" style="70"/>
    <col min="6401" max="6401" width="4.42578125" style="70" bestFit="1" customWidth="1"/>
    <col min="6402" max="6402" width="86.7109375" style="70" bestFit="1" customWidth="1"/>
    <col min="6403" max="6403" width="13.5703125" style="70" customWidth="1"/>
    <col min="6404" max="6404" width="6.5703125" style="70" customWidth="1"/>
    <col min="6405" max="6405" width="9.5703125" style="70" bestFit="1" customWidth="1"/>
    <col min="6406" max="6406" width="5.5703125" style="70" bestFit="1" customWidth="1"/>
    <col min="6407" max="6407" width="11.28515625" style="70" customWidth="1"/>
    <col min="6408" max="6408" width="22" style="70" customWidth="1"/>
    <col min="6409" max="6409" width="20.7109375" style="70" bestFit="1" customWidth="1"/>
    <col min="6410" max="6410" width="16.140625" style="70" customWidth="1"/>
    <col min="6411" max="6411" width="14.7109375" style="70" customWidth="1"/>
    <col min="6412" max="6412" width="15" style="70" customWidth="1"/>
    <col min="6413" max="6413" width="14.140625" style="70" customWidth="1"/>
    <col min="6414" max="6656" width="9.140625" style="70"/>
    <col min="6657" max="6657" width="4.42578125" style="70" bestFit="1" customWidth="1"/>
    <col min="6658" max="6658" width="86.7109375" style="70" bestFit="1" customWidth="1"/>
    <col min="6659" max="6659" width="13.5703125" style="70" customWidth="1"/>
    <col min="6660" max="6660" width="6.5703125" style="70" customWidth="1"/>
    <col min="6661" max="6661" width="9.5703125" style="70" bestFit="1" customWidth="1"/>
    <col min="6662" max="6662" width="5.5703125" style="70" bestFit="1" customWidth="1"/>
    <col min="6663" max="6663" width="11.28515625" style="70" customWidth="1"/>
    <col min="6664" max="6664" width="22" style="70" customWidth="1"/>
    <col min="6665" max="6665" width="20.7109375" style="70" bestFit="1" customWidth="1"/>
    <col min="6666" max="6666" width="16.140625" style="70" customWidth="1"/>
    <col min="6667" max="6667" width="14.7109375" style="70" customWidth="1"/>
    <col min="6668" max="6668" width="15" style="70" customWidth="1"/>
    <col min="6669" max="6669" width="14.140625" style="70" customWidth="1"/>
    <col min="6670" max="6912" width="9.140625" style="70"/>
    <col min="6913" max="6913" width="4.42578125" style="70" bestFit="1" customWidth="1"/>
    <col min="6914" max="6914" width="86.7109375" style="70" bestFit="1" customWidth="1"/>
    <col min="6915" max="6915" width="13.5703125" style="70" customWidth="1"/>
    <col min="6916" max="6916" width="6.5703125" style="70" customWidth="1"/>
    <col min="6917" max="6917" width="9.5703125" style="70" bestFit="1" customWidth="1"/>
    <col min="6918" max="6918" width="5.5703125" style="70" bestFit="1" customWidth="1"/>
    <col min="6919" max="6919" width="11.28515625" style="70" customWidth="1"/>
    <col min="6920" max="6920" width="22" style="70" customWidth="1"/>
    <col min="6921" max="6921" width="20.7109375" style="70" bestFit="1" customWidth="1"/>
    <col min="6922" max="6922" width="16.140625" style="70" customWidth="1"/>
    <col min="6923" max="6923" width="14.7109375" style="70" customWidth="1"/>
    <col min="6924" max="6924" width="15" style="70" customWidth="1"/>
    <col min="6925" max="6925" width="14.140625" style="70" customWidth="1"/>
    <col min="6926" max="7168" width="9.140625" style="70"/>
    <col min="7169" max="7169" width="4.42578125" style="70" bestFit="1" customWidth="1"/>
    <col min="7170" max="7170" width="86.7109375" style="70" bestFit="1" customWidth="1"/>
    <col min="7171" max="7171" width="13.5703125" style="70" customWidth="1"/>
    <col min="7172" max="7172" width="6.5703125" style="70" customWidth="1"/>
    <col min="7173" max="7173" width="9.5703125" style="70" bestFit="1" customWidth="1"/>
    <col min="7174" max="7174" width="5.5703125" style="70" bestFit="1" customWidth="1"/>
    <col min="7175" max="7175" width="11.28515625" style="70" customWidth="1"/>
    <col min="7176" max="7176" width="22" style="70" customWidth="1"/>
    <col min="7177" max="7177" width="20.7109375" style="70" bestFit="1" customWidth="1"/>
    <col min="7178" max="7178" width="16.140625" style="70" customWidth="1"/>
    <col min="7179" max="7179" width="14.7109375" style="70" customWidth="1"/>
    <col min="7180" max="7180" width="15" style="70" customWidth="1"/>
    <col min="7181" max="7181" width="14.140625" style="70" customWidth="1"/>
    <col min="7182" max="7424" width="9.140625" style="70"/>
    <col min="7425" max="7425" width="4.42578125" style="70" bestFit="1" customWidth="1"/>
    <col min="7426" max="7426" width="86.7109375" style="70" bestFit="1" customWidth="1"/>
    <col min="7427" max="7427" width="13.5703125" style="70" customWidth="1"/>
    <col min="7428" max="7428" width="6.5703125" style="70" customWidth="1"/>
    <col min="7429" max="7429" width="9.5703125" style="70" bestFit="1" customWidth="1"/>
    <col min="7430" max="7430" width="5.5703125" style="70" bestFit="1" customWidth="1"/>
    <col min="7431" max="7431" width="11.28515625" style="70" customWidth="1"/>
    <col min="7432" max="7432" width="22" style="70" customWidth="1"/>
    <col min="7433" max="7433" width="20.7109375" style="70" bestFit="1" customWidth="1"/>
    <col min="7434" max="7434" width="16.140625" style="70" customWidth="1"/>
    <col min="7435" max="7435" width="14.7109375" style="70" customWidth="1"/>
    <col min="7436" max="7436" width="15" style="70" customWidth="1"/>
    <col min="7437" max="7437" width="14.140625" style="70" customWidth="1"/>
    <col min="7438" max="7680" width="9.140625" style="70"/>
    <col min="7681" max="7681" width="4.42578125" style="70" bestFit="1" customWidth="1"/>
    <col min="7682" max="7682" width="86.7109375" style="70" bestFit="1" customWidth="1"/>
    <col min="7683" max="7683" width="13.5703125" style="70" customWidth="1"/>
    <col min="7684" max="7684" width="6.5703125" style="70" customWidth="1"/>
    <col min="7685" max="7685" width="9.5703125" style="70" bestFit="1" customWidth="1"/>
    <col min="7686" max="7686" width="5.5703125" style="70" bestFit="1" customWidth="1"/>
    <col min="7687" max="7687" width="11.28515625" style="70" customWidth="1"/>
    <col min="7688" max="7688" width="22" style="70" customWidth="1"/>
    <col min="7689" max="7689" width="20.7109375" style="70" bestFit="1" customWidth="1"/>
    <col min="7690" max="7690" width="16.140625" style="70" customWidth="1"/>
    <col min="7691" max="7691" width="14.7109375" style="70" customWidth="1"/>
    <col min="7692" max="7692" width="15" style="70" customWidth="1"/>
    <col min="7693" max="7693" width="14.140625" style="70" customWidth="1"/>
    <col min="7694" max="7936" width="9.140625" style="70"/>
    <col min="7937" max="7937" width="4.42578125" style="70" bestFit="1" customWidth="1"/>
    <col min="7938" max="7938" width="86.7109375" style="70" bestFit="1" customWidth="1"/>
    <col min="7939" max="7939" width="13.5703125" style="70" customWidth="1"/>
    <col min="7940" max="7940" width="6.5703125" style="70" customWidth="1"/>
    <col min="7941" max="7941" width="9.5703125" style="70" bestFit="1" customWidth="1"/>
    <col min="7942" max="7942" width="5.5703125" style="70" bestFit="1" customWidth="1"/>
    <col min="7943" max="7943" width="11.28515625" style="70" customWidth="1"/>
    <col min="7944" max="7944" width="22" style="70" customWidth="1"/>
    <col min="7945" max="7945" width="20.7109375" style="70" bestFit="1" customWidth="1"/>
    <col min="7946" max="7946" width="16.140625" style="70" customWidth="1"/>
    <col min="7947" max="7947" width="14.7109375" style="70" customWidth="1"/>
    <col min="7948" max="7948" width="15" style="70" customWidth="1"/>
    <col min="7949" max="7949" width="14.140625" style="70" customWidth="1"/>
    <col min="7950" max="8192" width="9.140625" style="70"/>
    <col min="8193" max="8193" width="4.42578125" style="70" bestFit="1" customWidth="1"/>
    <col min="8194" max="8194" width="86.7109375" style="70" bestFit="1" customWidth="1"/>
    <col min="8195" max="8195" width="13.5703125" style="70" customWidth="1"/>
    <col min="8196" max="8196" width="6.5703125" style="70" customWidth="1"/>
    <col min="8197" max="8197" width="9.5703125" style="70" bestFit="1" customWidth="1"/>
    <col min="8198" max="8198" width="5.5703125" style="70" bestFit="1" customWidth="1"/>
    <col min="8199" max="8199" width="11.28515625" style="70" customWidth="1"/>
    <col min="8200" max="8200" width="22" style="70" customWidth="1"/>
    <col min="8201" max="8201" width="20.7109375" style="70" bestFit="1" customWidth="1"/>
    <col min="8202" max="8202" width="16.140625" style="70" customWidth="1"/>
    <col min="8203" max="8203" width="14.7109375" style="70" customWidth="1"/>
    <col min="8204" max="8204" width="15" style="70" customWidth="1"/>
    <col min="8205" max="8205" width="14.140625" style="70" customWidth="1"/>
    <col min="8206" max="8448" width="9.140625" style="70"/>
    <col min="8449" max="8449" width="4.42578125" style="70" bestFit="1" customWidth="1"/>
    <col min="8450" max="8450" width="86.7109375" style="70" bestFit="1" customWidth="1"/>
    <col min="8451" max="8451" width="13.5703125" style="70" customWidth="1"/>
    <col min="8452" max="8452" width="6.5703125" style="70" customWidth="1"/>
    <col min="8453" max="8453" width="9.5703125" style="70" bestFit="1" customWidth="1"/>
    <col min="8454" max="8454" width="5.5703125" style="70" bestFit="1" customWidth="1"/>
    <col min="8455" max="8455" width="11.28515625" style="70" customWidth="1"/>
    <col min="8456" max="8456" width="22" style="70" customWidth="1"/>
    <col min="8457" max="8457" width="20.7109375" style="70" bestFit="1" customWidth="1"/>
    <col min="8458" max="8458" width="16.140625" style="70" customWidth="1"/>
    <col min="8459" max="8459" width="14.7109375" style="70" customWidth="1"/>
    <col min="8460" max="8460" width="15" style="70" customWidth="1"/>
    <col min="8461" max="8461" width="14.140625" style="70" customWidth="1"/>
    <col min="8462" max="8704" width="9.140625" style="70"/>
    <col min="8705" max="8705" width="4.42578125" style="70" bestFit="1" customWidth="1"/>
    <col min="8706" max="8706" width="86.7109375" style="70" bestFit="1" customWidth="1"/>
    <col min="8707" max="8707" width="13.5703125" style="70" customWidth="1"/>
    <col min="8708" max="8708" width="6.5703125" style="70" customWidth="1"/>
    <col min="8709" max="8709" width="9.5703125" style="70" bestFit="1" customWidth="1"/>
    <col min="8710" max="8710" width="5.5703125" style="70" bestFit="1" customWidth="1"/>
    <col min="8711" max="8711" width="11.28515625" style="70" customWidth="1"/>
    <col min="8712" max="8712" width="22" style="70" customWidth="1"/>
    <col min="8713" max="8713" width="20.7109375" style="70" bestFit="1" customWidth="1"/>
    <col min="8714" max="8714" width="16.140625" style="70" customWidth="1"/>
    <col min="8715" max="8715" width="14.7109375" style="70" customWidth="1"/>
    <col min="8716" max="8716" width="15" style="70" customWidth="1"/>
    <col min="8717" max="8717" width="14.140625" style="70" customWidth="1"/>
    <col min="8718" max="8960" width="9.140625" style="70"/>
    <col min="8961" max="8961" width="4.42578125" style="70" bestFit="1" customWidth="1"/>
    <col min="8962" max="8962" width="86.7109375" style="70" bestFit="1" customWidth="1"/>
    <col min="8963" max="8963" width="13.5703125" style="70" customWidth="1"/>
    <col min="8964" max="8964" width="6.5703125" style="70" customWidth="1"/>
    <col min="8965" max="8965" width="9.5703125" style="70" bestFit="1" customWidth="1"/>
    <col min="8966" max="8966" width="5.5703125" style="70" bestFit="1" customWidth="1"/>
    <col min="8967" max="8967" width="11.28515625" style="70" customWidth="1"/>
    <col min="8968" max="8968" width="22" style="70" customWidth="1"/>
    <col min="8969" max="8969" width="20.7109375" style="70" bestFit="1" customWidth="1"/>
    <col min="8970" max="8970" width="16.140625" style="70" customWidth="1"/>
    <col min="8971" max="8971" width="14.7109375" style="70" customWidth="1"/>
    <col min="8972" max="8972" width="15" style="70" customWidth="1"/>
    <col min="8973" max="8973" width="14.140625" style="70" customWidth="1"/>
    <col min="8974" max="9216" width="9.140625" style="70"/>
    <col min="9217" max="9217" width="4.42578125" style="70" bestFit="1" customWidth="1"/>
    <col min="9218" max="9218" width="86.7109375" style="70" bestFit="1" customWidth="1"/>
    <col min="9219" max="9219" width="13.5703125" style="70" customWidth="1"/>
    <col min="9220" max="9220" width="6.5703125" style="70" customWidth="1"/>
    <col min="9221" max="9221" width="9.5703125" style="70" bestFit="1" customWidth="1"/>
    <col min="9222" max="9222" width="5.5703125" style="70" bestFit="1" customWidth="1"/>
    <col min="9223" max="9223" width="11.28515625" style="70" customWidth="1"/>
    <col min="9224" max="9224" width="22" style="70" customWidth="1"/>
    <col min="9225" max="9225" width="20.7109375" style="70" bestFit="1" customWidth="1"/>
    <col min="9226" max="9226" width="16.140625" style="70" customWidth="1"/>
    <col min="9227" max="9227" width="14.7109375" style="70" customWidth="1"/>
    <col min="9228" max="9228" width="15" style="70" customWidth="1"/>
    <col min="9229" max="9229" width="14.140625" style="70" customWidth="1"/>
    <col min="9230" max="9472" width="9.140625" style="70"/>
    <col min="9473" max="9473" width="4.42578125" style="70" bestFit="1" customWidth="1"/>
    <col min="9474" max="9474" width="86.7109375" style="70" bestFit="1" customWidth="1"/>
    <col min="9475" max="9475" width="13.5703125" style="70" customWidth="1"/>
    <col min="9476" max="9476" width="6.5703125" style="70" customWidth="1"/>
    <col min="9477" max="9477" width="9.5703125" style="70" bestFit="1" customWidth="1"/>
    <col min="9478" max="9478" width="5.5703125" style="70" bestFit="1" customWidth="1"/>
    <col min="9479" max="9479" width="11.28515625" style="70" customWidth="1"/>
    <col min="9480" max="9480" width="22" style="70" customWidth="1"/>
    <col min="9481" max="9481" width="20.7109375" style="70" bestFit="1" customWidth="1"/>
    <col min="9482" max="9482" width="16.140625" style="70" customWidth="1"/>
    <col min="9483" max="9483" width="14.7109375" style="70" customWidth="1"/>
    <col min="9484" max="9484" width="15" style="70" customWidth="1"/>
    <col min="9485" max="9485" width="14.140625" style="70" customWidth="1"/>
    <col min="9486" max="9728" width="9.140625" style="70"/>
    <col min="9729" max="9729" width="4.42578125" style="70" bestFit="1" customWidth="1"/>
    <col min="9730" max="9730" width="86.7109375" style="70" bestFit="1" customWidth="1"/>
    <col min="9731" max="9731" width="13.5703125" style="70" customWidth="1"/>
    <col min="9732" max="9732" width="6.5703125" style="70" customWidth="1"/>
    <col min="9733" max="9733" width="9.5703125" style="70" bestFit="1" customWidth="1"/>
    <col min="9734" max="9734" width="5.5703125" style="70" bestFit="1" customWidth="1"/>
    <col min="9735" max="9735" width="11.28515625" style="70" customWidth="1"/>
    <col min="9736" max="9736" width="22" style="70" customWidth="1"/>
    <col min="9737" max="9737" width="20.7109375" style="70" bestFit="1" customWidth="1"/>
    <col min="9738" max="9738" width="16.140625" style="70" customWidth="1"/>
    <col min="9739" max="9739" width="14.7109375" style="70" customWidth="1"/>
    <col min="9740" max="9740" width="15" style="70" customWidth="1"/>
    <col min="9741" max="9741" width="14.140625" style="70" customWidth="1"/>
    <col min="9742" max="9984" width="9.140625" style="70"/>
    <col min="9985" max="9985" width="4.42578125" style="70" bestFit="1" customWidth="1"/>
    <col min="9986" max="9986" width="86.7109375" style="70" bestFit="1" customWidth="1"/>
    <col min="9987" max="9987" width="13.5703125" style="70" customWidth="1"/>
    <col min="9988" max="9988" width="6.5703125" style="70" customWidth="1"/>
    <col min="9989" max="9989" width="9.5703125" style="70" bestFit="1" customWidth="1"/>
    <col min="9990" max="9990" width="5.5703125" style="70" bestFit="1" customWidth="1"/>
    <col min="9991" max="9991" width="11.28515625" style="70" customWidth="1"/>
    <col min="9992" max="9992" width="22" style="70" customWidth="1"/>
    <col min="9993" max="9993" width="20.7109375" style="70" bestFit="1" customWidth="1"/>
    <col min="9994" max="9994" width="16.140625" style="70" customWidth="1"/>
    <col min="9995" max="9995" width="14.7109375" style="70" customWidth="1"/>
    <col min="9996" max="9996" width="15" style="70" customWidth="1"/>
    <col min="9997" max="9997" width="14.140625" style="70" customWidth="1"/>
    <col min="9998" max="10240" width="9.140625" style="70"/>
    <col min="10241" max="10241" width="4.42578125" style="70" bestFit="1" customWidth="1"/>
    <col min="10242" max="10242" width="86.7109375" style="70" bestFit="1" customWidth="1"/>
    <col min="10243" max="10243" width="13.5703125" style="70" customWidth="1"/>
    <col min="10244" max="10244" width="6.5703125" style="70" customWidth="1"/>
    <col min="10245" max="10245" width="9.5703125" style="70" bestFit="1" customWidth="1"/>
    <col min="10246" max="10246" width="5.5703125" style="70" bestFit="1" customWidth="1"/>
    <col min="10247" max="10247" width="11.28515625" style="70" customWidth="1"/>
    <col min="10248" max="10248" width="22" style="70" customWidth="1"/>
    <col min="10249" max="10249" width="20.7109375" style="70" bestFit="1" customWidth="1"/>
    <col min="10250" max="10250" width="16.140625" style="70" customWidth="1"/>
    <col min="10251" max="10251" width="14.7109375" style="70" customWidth="1"/>
    <col min="10252" max="10252" width="15" style="70" customWidth="1"/>
    <col min="10253" max="10253" width="14.140625" style="70" customWidth="1"/>
    <col min="10254" max="10496" width="9.140625" style="70"/>
    <col min="10497" max="10497" width="4.42578125" style="70" bestFit="1" customWidth="1"/>
    <col min="10498" max="10498" width="86.7109375" style="70" bestFit="1" customWidth="1"/>
    <col min="10499" max="10499" width="13.5703125" style="70" customWidth="1"/>
    <col min="10500" max="10500" width="6.5703125" style="70" customWidth="1"/>
    <col min="10501" max="10501" width="9.5703125" style="70" bestFit="1" customWidth="1"/>
    <col min="10502" max="10502" width="5.5703125" style="70" bestFit="1" customWidth="1"/>
    <col min="10503" max="10503" width="11.28515625" style="70" customWidth="1"/>
    <col min="10504" max="10504" width="22" style="70" customWidth="1"/>
    <col min="10505" max="10505" width="20.7109375" style="70" bestFit="1" customWidth="1"/>
    <col min="10506" max="10506" width="16.140625" style="70" customWidth="1"/>
    <col min="10507" max="10507" width="14.7109375" style="70" customWidth="1"/>
    <col min="10508" max="10508" width="15" style="70" customWidth="1"/>
    <col min="10509" max="10509" width="14.140625" style="70" customWidth="1"/>
    <col min="10510" max="10752" width="9.140625" style="70"/>
    <col min="10753" max="10753" width="4.42578125" style="70" bestFit="1" customWidth="1"/>
    <col min="10754" max="10754" width="86.7109375" style="70" bestFit="1" customWidth="1"/>
    <col min="10755" max="10755" width="13.5703125" style="70" customWidth="1"/>
    <col min="10756" max="10756" width="6.5703125" style="70" customWidth="1"/>
    <col min="10757" max="10757" width="9.5703125" style="70" bestFit="1" customWidth="1"/>
    <col min="10758" max="10758" width="5.5703125" style="70" bestFit="1" customWidth="1"/>
    <col min="10759" max="10759" width="11.28515625" style="70" customWidth="1"/>
    <col min="10760" max="10760" width="22" style="70" customWidth="1"/>
    <col min="10761" max="10761" width="20.7109375" style="70" bestFit="1" customWidth="1"/>
    <col min="10762" max="10762" width="16.140625" style="70" customWidth="1"/>
    <col min="10763" max="10763" width="14.7109375" style="70" customWidth="1"/>
    <col min="10764" max="10764" width="15" style="70" customWidth="1"/>
    <col min="10765" max="10765" width="14.140625" style="70" customWidth="1"/>
    <col min="10766" max="11008" width="9.140625" style="70"/>
    <col min="11009" max="11009" width="4.42578125" style="70" bestFit="1" customWidth="1"/>
    <col min="11010" max="11010" width="86.7109375" style="70" bestFit="1" customWidth="1"/>
    <col min="11011" max="11011" width="13.5703125" style="70" customWidth="1"/>
    <col min="11012" max="11012" width="6.5703125" style="70" customWidth="1"/>
    <col min="11013" max="11013" width="9.5703125" style="70" bestFit="1" customWidth="1"/>
    <col min="11014" max="11014" width="5.5703125" style="70" bestFit="1" customWidth="1"/>
    <col min="11015" max="11015" width="11.28515625" style="70" customWidth="1"/>
    <col min="11016" max="11016" width="22" style="70" customWidth="1"/>
    <col min="11017" max="11017" width="20.7109375" style="70" bestFit="1" customWidth="1"/>
    <col min="11018" max="11018" width="16.140625" style="70" customWidth="1"/>
    <col min="11019" max="11019" width="14.7109375" style="70" customWidth="1"/>
    <col min="11020" max="11020" width="15" style="70" customWidth="1"/>
    <col min="11021" max="11021" width="14.140625" style="70" customWidth="1"/>
    <col min="11022" max="11264" width="9.140625" style="70"/>
    <col min="11265" max="11265" width="4.42578125" style="70" bestFit="1" customWidth="1"/>
    <col min="11266" max="11266" width="86.7109375" style="70" bestFit="1" customWidth="1"/>
    <col min="11267" max="11267" width="13.5703125" style="70" customWidth="1"/>
    <col min="11268" max="11268" width="6.5703125" style="70" customWidth="1"/>
    <col min="11269" max="11269" width="9.5703125" style="70" bestFit="1" customWidth="1"/>
    <col min="11270" max="11270" width="5.5703125" style="70" bestFit="1" customWidth="1"/>
    <col min="11271" max="11271" width="11.28515625" style="70" customWidth="1"/>
    <col min="11272" max="11272" width="22" style="70" customWidth="1"/>
    <col min="11273" max="11273" width="20.7109375" style="70" bestFit="1" customWidth="1"/>
    <col min="11274" max="11274" width="16.140625" style="70" customWidth="1"/>
    <col min="11275" max="11275" width="14.7109375" style="70" customWidth="1"/>
    <col min="11276" max="11276" width="15" style="70" customWidth="1"/>
    <col min="11277" max="11277" width="14.140625" style="70" customWidth="1"/>
    <col min="11278" max="11520" width="9.140625" style="70"/>
    <col min="11521" max="11521" width="4.42578125" style="70" bestFit="1" customWidth="1"/>
    <col min="11522" max="11522" width="86.7109375" style="70" bestFit="1" customWidth="1"/>
    <col min="11523" max="11523" width="13.5703125" style="70" customWidth="1"/>
    <col min="11524" max="11524" width="6.5703125" style="70" customWidth="1"/>
    <col min="11525" max="11525" width="9.5703125" style="70" bestFit="1" customWidth="1"/>
    <col min="11526" max="11526" width="5.5703125" style="70" bestFit="1" customWidth="1"/>
    <col min="11527" max="11527" width="11.28515625" style="70" customWidth="1"/>
    <col min="11528" max="11528" width="22" style="70" customWidth="1"/>
    <col min="11529" max="11529" width="20.7109375" style="70" bestFit="1" customWidth="1"/>
    <col min="11530" max="11530" width="16.140625" style="70" customWidth="1"/>
    <col min="11531" max="11531" width="14.7109375" style="70" customWidth="1"/>
    <col min="11532" max="11532" width="15" style="70" customWidth="1"/>
    <col min="11533" max="11533" width="14.140625" style="70" customWidth="1"/>
    <col min="11534" max="11776" width="9.140625" style="70"/>
    <col min="11777" max="11777" width="4.42578125" style="70" bestFit="1" customWidth="1"/>
    <col min="11778" max="11778" width="86.7109375" style="70" bestFit="1" customWidth="1"/>
    <col min="11779" max="11779" width="13.5703125" style="70" customWidth="1"/>
    <col min="11780" max="11780" width="6.5703125" style="70" customWidth="1"/>
    <col min="11781" max="11781" width="9.5703125" style="70" bestFit="1" customWidth="1"/>
    <col min="11782" max="11782" width="5.5703125" style="70" bestFit="1" customWidth="1"/>
    <col min="11783" max="11783" width="11.28515625" style="70" customWidth="1"/>
    <col min="11784" max="11784" width="22" style="70" customWidth="1"/>
    <col min="11785" max="11785" width="20.7109375" style="70" bestFit="1" customWidth="1"/>
    <col min="11786" max="11786" width="16.140625" style="70" customWidth="1"/>
    <col min="11787" max="11787" width="14.7109375" style="70" customWidth="1"/>
    <col min="11788" max="11788" width="15" style="70" customWidth="1"/>
    <col min="11789" max="11789" width="14.140625" style="70" customWidth="1"/>
    <col min="11790" max="12032" width="9.140625" style="70"/>
    <col min="12033" max="12033" width="4.42578125" style="70" bestFit="1" customWidth="1"/>
    <col min="12034" max="12034" width="86.7109375" style="70" bestFit="1" customWidth="1"/>
    <col min="12035" max="12035" width="13.5703125" style="70" customWidth="1"/>
    <col min="12036" max="12036" width="6.5703125" style="70" customWidth="1"/>
    <col min="12037" max="12037" width="9.5703125" style="70" bestFit="1" customWidth="1"/>
    <col min="12038" max="12038" width="5.5703125" style="70" bestFit="1" customWidth="1"/>
    <col min="12039" max="12039" width="11.28515625" style="70" customWidth="1"/>
    <col min="12040" max="12040" width="22" style="70" customWidth="1"/>
    <col min="12041" max="12041" width="20.7109375" style="70" bestFit="1" customWidth="1"/>
    <col min="12042" max="12042" width="16.140625" style="70" customWidth="1"/>
    <col min="12043" max="12043" width="14.7109375" style="70" customWidth="1"/>
    <col min="12044" max="12044" width="15" style="70" customWidth="1"/>
    <col min="12045" max="12045" width="14.140625" style="70" customWidth="1"/>
    <col min="12046" max="12288" width="9.140625" style="70"/>
    <col min="12289" max="12289" width="4.42578125" style="70" bestFit="1" customWidth="1"/>
    <col min="12290" max="12290" width="86.7109375" style="70" bestFit="1" customWidth="1"/>
    <col min="12291" max="12291" width="13.5703125" style="70" customWidth="1"/>
    <col min="12292" max="12292" width="6.5703125" style="70" customWidth="1"/>
    <col min="12293" max="12293" width="9.5703125" style="70" bestFit="1" customWidth="1"/>
    <col min="12294" max="12294" width="5.5703125" style="70" bestFit="1" customWidth="1"/>
    <col min="12295" max="12295" width="11.28515625" style="70" customWidth="1"/>
    <col min="12296" max="12296" width="22" style="70" customWidth="1"/>
    <col min="12297" max="12297" width="20.7109375" style="70" bestFit="1" customWidth="1"/>
    <col min="12298" max="12298" width="16.140625" style="70" customWidth="1"/>
    <col min="12299" max="12299" width="14.7109375" style="70" customWidth="1"/>
    <col min="12300" max="12300" width="15" style="70" customWidth="1"/>
    <col min="12301" max="12301" width="14.140625" style="70" customWidth="1"/>
    <col min="12302" max="12544" width="9.140625" style="70"/>
    <col min="12545" max="12545" width="4.42578125" style="70" bestFit="1" customWidth="1"/>
    <col min="12546" max="12546" width="86.7109375" style="70" bestFit="1" customWidth="1"/>
    <col min="12547" max="12547" width="13.5703125" style="70" customWidth="1"/>
    <col min="12548" max="12548" width="6.5703125" style="70" customWidth="1"/>
    <col min="12549" max="12549" width="9.5703125" style="70" bestFit="1" customWidth="1"/>
    <col min="12550" max="12550" width="5.5703125" style="70" bestFit="1" customWidth="1"/>
    <col min="12551" max="12551" width="11.28515625" style="70" customWidth="1"/>
    <col min="12552" max="12552" width="22" style="70" customWidth="1"/>
    <col min="12553" max="12553" width="20.7109375" style="70" bestFit="1" customWidth="1"/>
    <col min="12554" max="12554" width="16.140625" style="70" customWidth="1"/>
    <col min="12555" max="12555" width="14.7109375" style="70" customWidth="1"/>
    <col min="12556" max="12556" width="15" style="70" customWidth="1"/>
    <col min="12557" max="12557" width="14.140625" style="70" customWidth="1"/>
    <col min="12558" max="12800" width="9.140625" style="70"/>
    <col min="12801" max="12801" width="4.42578125" style="70" bestFit="1" customWidth="1"/>
    <col min="12802" max="12802" width="86.7109375" style="70" bestFit="1" customWidth="1"/>
    <col min="12803" max="12803" width="13.5703125" style="70" customWidth="1"/>
    <col min="12804" max="12804" width="6.5703125" style="70" customWidth="1"/>
    <col min="12805" max="12805" width="9.5703125" style="70" bestFit="1" customWidth="1"/>
    <col min="12806" max="12806" width="5.5703125" style="70" bestFit="1" customWidth="1"/>
    <col min="12807" max="12807" width="11.28515625" style="70" customWidth="1"/>
    <col min="12808" max="12808" width="22" style="70" customWidth="1"/>
    <col min="12809" max="12809" width="20.7109375" style="70" bestFit="1" customWidth="1"/>
    <col min="12810" max="12810" width="16.140625" style="70" customWidth="1"/>
    <col min="12811" max="12811" width="14.7109375" style="70" customWidth="1"/>
    <col min="12812" max="12812" width="15" style="70" customWidth="1"/>
    <col min="12813" max="12813" width="14.140625" style="70" customWidth="1"/>
    <col min="12814" max="13056" width="9.140625" style="70"/>
    <col min="13057" max="13057" width="4.42578125" style="70" bestFit="1" customWidth="1"/>
    <col min="13058" max="13058" width="86.7109375" style="70" bestFit="1" customWidth="1"/>
    <col min="13059" max="13059" width="13.5703125" style="70" customWidth="1"/>
    <col min="13060" max="13060" width="6.5703125" style="70" customWidth="1"/>
    <col min="13061" max="13061" width="9.5703125" style="70" bestFit="1" customWidth="1"/>
    <col min="13062" max="13062" width="5.5703125" style="70" bestFit="1" customWidth="1"/>
    <col min="13063" max="13063" width="11.28515625" style="70" customWidth="1"/>
    <col min="13064" max="13064" width="22" style="70" customWidth="1"/>
    <col min="13065" max="13065" width="20.7109375" style="70" bestFit="1" customWidth="1"/>
    <col min="13066" max="13066" width="16.140625" style="70" customWidth="1"/>
    <col min="13067" max="13067" width="14.7109375" style="70" customWidth="1"/>
    <col min="13068" max="13068" width="15" style="70" customWidth="1"/>
    <col min="13069" max="13069" width="14.140625" style="70" customWidth="1"/>
    <col min="13070" max="13312" width="9.140625" style="70"/>
    <col min="13313" max="13313" width="4.42578125" style="70" bestFit="1" customWidth="1"/>
    <col min="13314" max="13314" width="86.7109375" style="70" bestFit="1" customWidth="1"/>
    <col min="13315" max="13315" width="13.5703125" style="70" customWidth="1"/>
    <col min="13316" max="13316" width="6.5703125" style="70" customWidth="1"/>
    <col min="13317" max="13317" width="9.5703125" style="70" bestFit="1" customWidth="1"/>
    <col min="13318" max="13318" width="5.5703125" style="70" bestFit="1" customWidth="1"/>
    <col min="13319" max="13319" width="11.28515625" style="70" customWidth="1"/>
    <col min="13320" max="13320" width="22" style="70" customWidth="1"/>
    <col min="13321" max="13321" width="20.7109375" style="70" bestFit="1" customWidth="1"/>
    <col min="13322" max="13322" width="16.140625" style="70" customWidth="1"/>
    <col min="13323" max="13323" width="14.7109375" style="70" customWidth="1"/>
    <col min="13324" max="13324" width="15" style="70" customWidth="1"/>
    <col min="13325" max="13325" width="14.140625" style="70" customWidth="1"/>
    <col min="13326" max="13568" width="9.140625" style="70"/>
    <col min="13569" max="13569" width="4.42578125" style="70" bestFit="1" customWidth="1"/>
    <col min="13570" max="13570" width="86.7109375" style="70" bestFit="1" customWidth="1"/>
    <col min="13571" max="13571" width="13.5703125" style="70" customWidth="1"/>
    <col min="13572" max="13572" width="6.5703125" style="70" customWidth="1"/>
    <col min="13573" max="13573" width="9.5703125" style="70" bestFit="1" customWidth="1"/>
    <col min="13574" max="13574" width="5.5703125" style="70" bestFit="1" customWidth="1"/>
    <col min="13575" max="13575" width="11.28515625" style="70" customWidth="1"/>
    <col min="13576" max="13576" width="22" style="70" customWidth="1"/>
    <col min="13577" max="13577" width="20.7109375" style="70" bestFit="1" customWidth="1"/>
    <col min="13578" max="13578" width="16.140625" style="70" customWidth="1"/>
    <col min="13579" max="13579" width="14.7109375" style="70" customWidth="1"/>
    <col min="13580" max="13580" width="15" style="70" customWidth="1"/>
    <col min="13581" max="13581" width="14.140625" style="70" customWidth="1"/>
    <col min="13582" max="13824" width="9.140625" style="70"/>
    <col min="13825" max="13825" width="4.42578125" style="70" bestFit="1" customWidth="1"/>
    <col min="13826" max="13826" width="86.7109375" style="70" bestFit="1" customWidth="1"/>
    <col min="13827" max="13827" width="13.5703125" style="70" customWidth="1"/>
    <col min="13828" max="13828" width="6.5703125" style="70" customWidth="1"/>
    <col min="13829" max="13829" width="9.5703125" style="70" bestFit="1" customWidth="1"/>
    <col min="13830" max="13830" width="5.5703125" style="70" bestFit="1" customWidth="1"/>
    <col min="13831" max="13831" width="11.28515625" style="70" customWidth="1"/>
    <col min="13832" max="13832" width="22" style="70" customWidth="1"/>
    <col min="13833" max="13833" width="20.7109375" style="70" bestFit="1" customWidth="1"/>
    <col min="13834" max="13834" width="16.140625" style="70" customWidth="1"/>
    <col min="13835" max="13835" width="14.7109375" style="70" customWidth="1"/>
    <col min="13836" max="13836" width="15" style="70" customWidth="1"/>
    <col min="13837" max="13837" width="14.140625" style="70" customWidth="1"/>
    <col min="13838" max="14080" width="9.140625" style="70"/>
    <col min="14081" max="14081" width="4.42578125" style="70" bestFit="1" customWidth="1"/>
    <col min="14082" max="14082" width="86.7109375" style="70" bestFit="1" customWidth="1"/>
    <col min="14083" max="14083" width="13.5703125" style="70" customWidth="1"/>
    <col min="14084" max="14084" width="6.5703125" style="70" customWidth="1"/>
    <col min="14085" max="14085" width="9.5703125" style="70" bestFit="1" customWidth="1"/>
    <col min="14086" max="14086" width="5.5703125" style="70" bestFit="1" customWidth="1"/>
    <col min="14087" max="14087" width="11.28515625" style="70" customWidth="1"/>
    <col min="14088" max="14088" width="22" style="70" customWidth="1"/>
    <col min="14089" max="14089" width="20.7109375" style="70" bestFit="1" customWidth="1"/>
    <col min="14090" max="14090" width="16.140625" style="70" customWidth="1"/>
    <col min="14091" max="14091" width="14.7109375" style="70" customWidth="1"/>
    <col min="14092" max="14092" width="15" style="70" customWidth="1"/>
    <col min="14093" max="14093" width="14.140625" style="70" customWidth="1"/>
    <col min="14094" max="14336" width="9.140625" style="70"/>
    <col min="14337" max="14337" width="4.42578125" style="70" bestFit="1" customWidth="1"/>
    <col min="14338" max="14338" width="86.7109375" style="70" bestFit="1" customWidth="1"/>
    <col min="14339" max="14339" width="13.5703125" style="70" customWidth="1"/>
    <col min="14340" max="14340" width="6.5703125" style="70" customWidth="1"/>
    <col min="14341" max="14341" width="9.5703125" style="70" bestFit="1" customWidth="1"/>
    <col min="14342" max="14342" width="5.5703125" style="70" bestFit="1" customWidth="1"/>
    <col min="14343" max="14343" width="11.28515625" style="70" customWidth="1"/>
    <col min="14344" max="14344" width="22" style="70" customWidth="1"/>
    <col min="14345" max="14345" width="20.7109375" style="70" bestFit="1" customWidth="1"/>
    <col min="14346" max="14346" width="16.140625" style="70" customWidth="1"/>
    <col min="14347" max="14347" width="14.7109375" style="70" customWidth="1"/>
    <col min="14348" max="14348" width="15" style="70" customWidth="1"/>
    <col min="14349" max="14349" width="14.140625" style="70" customWidth="1"/>
    <col min="14350" max="14592" width="9.140625" style="70"/>
    <col min="14593" max="14593" width="4.42578125" style="70" bestFit="1" customWidth="1"/>
    <col min="14594" max="14594" width="86.7109375" style="70" bestFit="1" customWidth="1"/>
    <col min="14595" max="14595" width="13.5703125" style="70" customWidth="1"/>
    <col min="14596" max="14596" width="6.5703125" style="70" customWidth="1"/>
    <col min="14597" max="14597" width="9.5703125" style="70" bestFit="1" customWidth="1"/>
    <col min="14598" max="14598" width="5.5703125" style="70" bestFit="1" customWidth="1"/>
    <col min="14599" max="14599" width="11.28515625" style="70" customWidth="1"/>
    <col min="14600" max="14600" width="22" style="70" customWidth="1"/>
    <col min="14601" max="14601" width="20.7109375" style="70" bestFit="1" customWidth="1"/>
    <col min="14602" max="14602" width="16.140625" style="70" customWidth="1"/>
    <col min="14603" max="14603" width="14.7109375" style="70" customWidth="1"/>
    <col min="14604" max="14604" width="15" style="70" customWidth="1"/>
    <col min="14605" max="14605" width="14.140625" style="70" customWidth="1"/>
    <col min="14606" max="14848" width="9.140625" style="70"/>
    <col min="14849" max="14849" width="4.42578125" style="70" bestFit="1" customWidth="1"/>
    <col min="14850" max="14850" width="86.7109375" style="70" bestFit="1" customWidth="1"/>
    <col min="14851" max="14851" width="13.5703125" style="70" customWidth="1"/>
    <col min="14852" max="14852" width="6.5703125" style="70" customWidth="1"/>
    <col min="14853" max="14853" width="9.5703125" style="70" bestFit="1" customWidth="1"/>
    <col min="14854" max="14854" width="5.5703125" style="70" bestFit="1" customWidth="1"/>
    <col min="14855" max="14855" width="11.28515625" style="70" customWidth="1"/>
    <col min="14856" max="14856" width="22" style="70" customWidth="1"/>
    <col min="14857" max="14857" width="20.7109375" style="70" bestFit="1" customWidth="1"/>
    <col min="14858" max="14858" width="16.140625" style="70" customWidth="1"/>
    <col min="14859" max="14859" width="14.7109375" style="70" customWidth="1"/>
    <col min="14860" max="14860" width="15" style="70" customWidth="1"/>
    <col min="14861" max="14861" width="14.140625" style="70" customWidth="1"/>
    <col min="14862" max="15104" width="9.140625" style="70"/>
    <col min="15105" max="15105" width="4.42578125" style="70" bestFit="1" customWidth="1"/>
    <col min="15106" max="15106" width="86.7109375" style="70" bestFit="1" customWidth="1"/>
    <col min="15107" max="15107" width="13.5703125" style="70" customWidth="1"/>
    <col min="15108" max="15108" width="6.5703125" style="70" customWidth="1"/>
    <col min="15109" max="15109" width="9.5703125" style="70" bestFit="1" customWidth="1"/>
    <col min="15110" max="15110" width="5.5703125" style="70" bestFit="1" customWidth="1"/>
    <col min="15111" max="15111" width="11.28515625" style="70" customWidth="1"/>
    <col min="15112" max="15112" width="22" style="70" customWidth="1"/>
    <col min="15113" max="15113" width="20.7109375" style="70" bestFit="1" customWidth="1"/>
    <col min="15114" max="15114" width="16.140625" style="70" customWidth="1"/>
    <col min="15115" max="15115" width="14.7109375" style="70" customWidth="1"/>
    <col min="15116" max="15116" width="15" style="70" customWidth="1"/>
    <col min="15117" max="15117" width="14.140625" style="70" customWidth="1"/>
    <col min="15118" max="15360" width="9.140625" style="70"/>
    <col min="15361" max="15361" width="4.42578125" style="70" bestFit="1" customWidth="1"/>
    <col min="15362" max="15362" width="86.7109375" style="70" bestFit="1" customWidth="1"/>
    <col min="15363" max="15363" width="13.5703125" style="70" customWidth="1"/>
    <col min="15364" max="15364" width="6.5703125" style="70" customWidth="1"/>
    <col min="15365" max="15365" width="9.5703125" style="70" bestFit="1" customWidth="1"/>
    <col min="15366" max="15366" width="5.5703125" style="70" bestFit="1" customWidth="1"/>
    <col min="15367" max="15367" width="11.28515625" style="70" customWidth="1"/>
    <col min="15368" max="15368" width="22" style="70" customWidth="1"/>
    <col min="15369" max="15369" width="20.7109375" style="70" bestFit="1" customWidth="1"/>
    <col min="15370" max="15370" width="16.140625" style="70" customWidth="1"/>
    <col min="15371" max="15371" width="14.7109375" style="70" customWidth="1"/>
    <col min="15372" max="15372" width="15" style="70" customWidth="1"/>
    <col min="15373" max="15373" width="14.140625" style="70" customWidth="1"/>
    <col min="15374" max="15616" width="9.140625" style="70"/>
    <col min="15617" max="15617" width="4.42578125" style="70" bestFit="1" customWidth="1"/>
    <col min="15618" max="15618" width="86.7109375" style="70" bestFit="1" customWidth="1"/>
    <col min="15619" max="15619" width="13.5703125" style="70" customWidth="1"/>
    <col min="15620" max="15620" width="6.5703125" style="70" customWidth="1"/>
    <col min="15621" max="15621" width="9.5703125" style="70" bestFit="1" customWidth="1"/>
    <col min="15622" max="15622" width="5.5703125" style="70" bestFit="1" customWidth="1"/>
    <col min="15623" max="15623" width="11.28515625" style="70" customWidth="1"/>
    <col min="15624" max="15624" width="22" style="70" customWidth="1"/>
    <col min="15625" max="15625" width="20.7109375" style="70" bestFit="1" customWidth="1"/>
    <col min="15626" max="15626" width="16.140625" style="70" customWidth="1"/>
    <col min="15627" max="15627" width="14.7109375" style="70" customWidth="1"/>
    <col min="15628" max="15628" width="15" style="70" customWidth="1"/>
    <col min="15629" max="15629" width="14.140625" style="70" customWidth="1"/>
    <col min="15630" max="15872" width="9.140625" style="70"/>
    <col min="15873" max="15873" width="4.42578125" style="70" bestFit="1" customWidth="1"/>
    <col min="15874" max="15874" width="86.7109375" style="70" bestFit="1" customWidth="1"/>
    <col min="15875" max="15875" width="13.5703125" style="70" customWidth="1"/>
    <col min="15876" max="15876" width="6.5703125" style="70" customWidth="1"/>
    <col min="15877" max="15877" width="9.5703125" style="70" bestFit="1" customWidth="1"/>
    <col min="15878" max="15878" width="5.5703125" style="70" bestFit="1" customWidth="1"/>
    <col min="15879" max="15879" width="11.28515625" style="70" customWidth="1"/>
    <col min="15880" max="15880" width="22" style="70" customWidth="1"/>
    <col min="15881" max="15881" width="20.7109375" style="70" bestFit="1" customWidth="1"/>
    <col min="15882" max="15882" width="16.140625" style="70" customWidth="1"/>
    <col min="15883" max="15883" width="14.7109375" style="70" customWidth="1"/>
    <col min="15884" max="15884" width="15" style="70" customWidth="1"/>
    <col min="15885" max="15885" width="14.140625" style="70" customWidth="1"/>
    <col min="15886" max="16128" width="9.140625" style="70"/>
    <col min="16129" max="16129" width="4.42578125" style="70" bestFit="1" customWidth="1"/>
    <col min="16130" max="16130" width="86.7109375" style="70" bestFit="1" customWidth="1"/>
    <col min="16131" max="16131" width="13.5703125" style="70" customWidth="1"/>
    <col min="16132" max="16132" width="6.5703125" style="70" customWidth="1"/>
    <col min="16133" max="16133" width="9.5703125" style="70" bestFit="1" customWidth="1"/>
    <col min="16134" max="16134" width="5.5703125" style="70" bestFit="1" customWidth="1"/>
    <col min="16135" max="16135" width="11.28515625" style="70" customWidth="1"/>
    <col min="16136" max="16136" width="22" style="70" customWidth="1"/>
    <col min="16137" max="16137" width="20.7109375" style="70" bestFit="1" customWidth="1"/>
    <col min="16138" max="16138" width="16.140625" style="70" customWidth="1"/>
    <col min="16139" max="16139" width="14.7109375" style="70" customWidth="1"/>
    <col min="16140" max="16140" width="15" style="70" customWidth="1"/>
    <col min="16141" max="16141" width="14.140625" style="70" customWidth="1"/>
    <col min="16142" max="16384" width="9.140625" style="70"/>
  </cols>
  <sheetData>
    <row r="1" spans="1:14" ht="18.75" customHeight="1">
      <c r="A1" s="2601"/>
      <c r="B1" s="3478" t="s">
        <v>2809</v>
      </c>
      <c r="C1" s="3478"/>
      <c r="D1" s="3478"/>
      <c r="E1" s="2602"/>
      <c r="F1" s="2602"/>
      <c r="G1" s="2602"/>
      <c r="H1" s="2602"/>
      <c r="I1" s="2602"/>
      <c r="J1" s="2602"/>
    </row>
    <row r="2" spans="1:14" ht="16.5" customHeight="1">
      <c r="B2" s="2603"/>
      <c r="C2" s="2603"/>
      <c r="D2" s="2603"/>
      <c r="E2" s="2603"/>
      <c r="F2" s="3479" t="s">
        <v>89</v>
      </c>
      <c r="G2" s="3479"/>
      <c r="H2" s="2603"/>
      <c r="I2" s="2603"/>
      <c r="J2" s="2603"/>
    </row>
    <row r="3" spans="1:14" ht="37.5" customHeight="1">
      <c r="B3" s="3480" t="s">
        <v>2810</v>
      </c>
      <c r="C3" s="3480"/>
      <c r="D3" s="3480"/>
      <c r="E3" s="3480"/>
      <c r="F3" s="2604"/>
      <c r="G3" s="2604"/>
      <c r="H3" s="2604"/>
      <c r="I3" s="2604"/>
      <c r="J3" s="2604"/>
    </row>
    <row r="4" spans="1:14" ht="7.5" customHeight="1">
      <c r="A4" s="2605"/>
      <c r="B4" s="2606"/>
      <c r="C4" s="2606"/>
      <c r="D4" s="2605"/>
      <c r="E4" s="2607"/>
      <c r="H4" s="2607"/>
      <c r="I4" s="2607"/>
      <c r="J4" s="2607"/>
      <c r="N4" s="2603"/>
    </row>
    <row r="5" spans="1:14" ht="75.75" customHeight="1">
      <c r="A5" s="3481" t="s">
        <v>233</v>
      </c>
      <c r="B5" s="3481" t="s">
        <v>1538</v>
      </c>
      <c r="C5" s="3471" t="s">
        <v>1720</v>
      </c>
      <c r="D5" s="3481" t="s">
        <v>5</v>
      </c>
      <c r="E5" s="3481" t="s">
        <v>2811</v>
      </c>
      <c r="F5" s="3117" t="s">
        <v>2812</v>
      </c>
      <c r="G5" s="3117"/>
      <c r="H5" s="2607"/>
      <c r="I5" s="2607"/>
      <c r="J5" s="2607"/>
      <c r="N5" s="2603"/>
    </row>
    <row r="6" spans="1:14" ht="19.5" customHeight="1">
      <c r="A6" s="3481"/>
      <c r="B6" s="3481"/>
      <c r="C6" s="3471"/>
      <c r="D6" s="3481"/>
      <c r="E6" s="3481"/>
      <c r="F6" s="2608" t="s">
        <v>143</v>
      </c>
      <c r="G6" s="2608" t="s">
        <v>2813</v>
      </c>
      <c r="H6" s="2609"/>
      <c r="I6" s="2609"/>
      <c r="J6" s="2609"/>
    </row>
    <row r="7" spans="1:14" ht="13.5" customHeight="1">
      <c r="A7" s="2317" t="s">
        <v>1470</v>
      </c>
      <c r="B7" s="2610" t="s">
        <v>1425</v>
      </c>
      <c r="C7" s="2610">
        <v>3</v>
      </c>
      <c r="D7" s="2317">
        <v>4</v>
      </c>
      <c r="E7" s="2611">
        <v>5</v>
      </c>
      <c r="F7" s="2610">
        <v>6</v>
      </c>
      <c r="G7" s="2317">
        <v>7</v>
      </c>
      <c r="H7" s="2612"/>
      <c r="I7" s="2612"/>
      <c r="J7" s="2612"/>
    </row>
    <row r="8" spans="1:14" ht="17.25" customHeight="1">
      <c r="A8" s="2317">
        <v>1</v>
      </c>
      <c r="B8" s="2620" t="s">
        <v>2814</v>
      </c>
      <c r="C8" s="1616">
        <v>7130800012</v>
      </c>
      <c r="D8" s="2317" t="s">
        <v>68</v>
      </c>
      <c r="E8" s="1132">
        <f>VLOOKUP(C8,'[25]SOR RATE'!A:D,4,0)</f>
        <v>2298.46</v>
      </c>
      <c r="F8" s="2621">
        <v>20</v>
      </c>
      <c r="G8" s="2622">
        <f t="shared" ref="G8:G18" si="0">E8*F8</f>
        <v>45969.2</v>
      </c>
      <c r="H8" s="2613"/>
      <c r="I8" s="2053"/>
      <c r="J8" s="2053"/>
    </row>
    <row r="9" spans="1:14" ht="17.25" customHeight="1">
      <c r="A9" s="2317">
        <v>2</v>
      </c>
      <c r="B9" s="1807" t="s">
        <v>1740</v>
      </c>
      <c r="C9" s="1616">
        <v>7130870013</v>
      </c>
      <c r="D9" s="2623" t="s">
        <v>68</v>
      </c>
      <c r="E9" s="1132">
        <f>VLOOKUP(C9,'[25]SOR RATE'!A:D,4,0)</f>
        <v>152.88999999999999</v>
      </c>
      <c r="F9" s="2621">
        <v>6</v>
      </c>
      <c r="G9" s="2622">
        <f t="shared" si="0"/>
        <v>917.33999999999992</v>
      </c>
      <c r="H9" s="2053"/>
      <c r="I9" s="2614"/>
      <c r="J9" s="2614"/>
    </row>
    <row r="10" spans="1:14" ht="30" customHeight="1">
      <c r="A10" s="2335" t="s">
        <v>2798</v>
      </c>
      <c r="B10" s="2587" t="s">
        <v>456</v>
      </c>
      <c r="C10" s="1616">
        <v>7130390003</v>
      </c>
      <c r="D10" s="2317" t="s">
        <v>68</v>
      </c>
      <c r="E10" s="1132">
        <f>VLOOKUP(C10,'[25]SOR RATE'!A:D,4,0)</f>
        <v>96.28</v>
      </c>
      <c r="F10" s="2624">
        <v>30</v>
      </c>
      <c r="G10" s="2622">
        <f t="shared" si="0"/>
        <v>2888.4</v>
      </c>
      <c r="H10" s="2615"/>
      <c r="I10" s="2615"/>
      <c r="J10" s="2019"/>
      <c r="K10" s="2019"/>
      <c r="L10" s="2019"/>
      <c r="M10" s="2019"/>
    </row>
    <row r="11" spans="1:14" ht="18" customHeight="1">
      <c r="A11" s="2335" t="s">
        <v>1494</v>
      </c>
      <c r="B11" s="2333" t="s">
        <v>458</v>
      </c>
      <c r="C11" s="2335">
        <v>7130390004</v>
      </c>
      <c r="D11" s="2335" t="s">
        <v>12</v>
      </c>
      <c r="E11" s="1132">
        <f>VLOOKUP(C11,'[25]SOR RATE'!A:D,4,0)</f>
        <v>125.42</v>
      </c>
      <c r="F11" s="2624">
        <v>15</v>
      </c>
      <c r="G11" s="2622">
        <f t="shared" si="0"/>
        <v>1881.3</v>
      </c>
      <c r="H11" s="2615"/>
      <c r="I11" s="2615"/>
      <c r="J11" s="806"/>
      <c r="K11" s="806"/>
      <c r="L11" s="806"/>
      <c r="M11" s="806"/>
    </row>
    <row r="12" spans="1:14" ht="18.75" customHeight="1">
      <c r="A12" s="2335" t="s">
        <v>1946</v>
      </c>
      <c r="B12" s="2333" t="s">
        <v>460</v>
      </c>
      <c r="C12" s="2335">
        <v>7130390005</v>
      </c>
      <c r="D12" s="2335" t="s">
        <v>12</v>
      </c>
      <c r="E12" s="1132">
        <f>VLOOKUP(C12,'[25]SOR RATE'!A:D,4,0)</f>
        <v>174.82</v>
      </c>
      <c r="F12" s="2624">
        <v>24</v>
      </c>
      <c r="G12" s="2622">
        <f t="shared" si="0"/>
        <v>4195.68</v>
      </c>
      <c r="H12" s="2615"/>
      <c r="I12" s="2615"/>
      <c r="J12" s="806"/>
      <c r="K12" s="806"/>
      <c r="L12" s="806"/>
      <c r="M12" s="806"/>
    </row>
    <row r="13" spans="1:14" ht="18" customHeight="1">
      <c r="A13" s="2317">
        <v>4</v>
      </c>
      <c r="B13" s="2625" t="s">
        <v>2815</v>
      </c>
      <c r="C13" s="2590">
        <v>7130310070</v>
      </c>
      <c r="D13" s="2317" t="s">
        <v>21</v>
      </c>
      <c r="E13" s="1132">
        <f>VLOOKUP(C13,'[25]SOR RATE'!A:D,4,0)/1000</f>
        <v>73.683499999999995</v>
      </c>
      <c r="F13" s="2621">
        <v>1100</v>
      </c>
      <c r="G13" s="2622">
        <f t="shared" si="0"/>
        <v>81051.849999999991</v>
      </c>
      <c r="H13" s="2614"/>
      <c r="I13" s="2614"/>
      <c r="J13" s="2614"/>
    </row>
    <row r="14" spans="1:14" ht="16.5" customHeight="1">
      <c r="A14" s="2317" t="s">
        <v>2816</v>
      </c>
      <c r="B14" s="2331" t="s">
        <v>2817</v>
      </c>
      <c r="C14" s="2332">
        <v>7130890007</v>
      </c>
      <c r="D14" s="2332" t="s">
        <v>33</v>
      </c>
      <c r="E14" s="1132">
        <f>VLOOKUP(C14,'[25]SOR RATE'!A:D,4,0)</f>
        <v>19738.599999999999</v>
      </c>
      <c r="F14" s="2621">
        <v>1</v>
      </c>
      <c r="G14" s="2622">
        <f t="shared" si="0"/>
        <v>19738.599999999999</v>
      </c>
      <c r="H14" s="2614"/>
      <c r="I14" s="2614"/>
      <c r="J14" s="2614"/>
    </row>
    <row r="15" spans="1:14" ht="18.75" customHeight="1">
      <c r="A15" s="2317" t="s">
        <v>1494</v>
      </c>
      <c r="B15" s="2331" t="s">
        <v>958</v>
      </c>
      <c r="C15" s="2332">
        <v>7131950012</v>
      </c>
      <c r="D15" s="2332" t="s">
        <v>33</v>
      </c>
      <c r="E15" s="1132">
        <f>VLOOKUP(C15,'[25]SOR RATE'!A:D,4,0)</f>
        <v>1531.04</v>
      </c>
      <c r="F15" s="2621">
        <v>5</v>
      </c>
      <c r="G15" s="2622">
        <f t="shared" si="0"/>
        <v>7655.2</v>
      </c>
      <c r="H15" s="2614"/>
      <c r="I15" s="806"/>
      <c r="J15" s="806"/>
      <c r="K15" s="806"/>
      <c r="L15" s="806"/>
      <c r="M15" s="806"/>
      <c r="N15" s="806"/>
    </row>
    <row r="16" spans="1:14" ht="16.5" customHeight="1">
      <c r="A16" s="3472">
        <v>6</v>
      </c>
      <c r="B16" s="2331" t="s">
        <v>2802</v>
      </c>
      <c r="C16" s="2593">
        <v>7130860032</v>
      </c>
      <c r="D16" s="2335" t="s">
        <v>12</v>
      </c>
      <c r="E16" s="1132">
        <f>VLOOKUP(C16,'[25]SOR RATE'!A:D,4,0)</f>
        <v>566.19000000000005</v>
      </c>
      <c r="F16" s="2598">
        <v>12</v>
      </c>
      <c r="G16" s="2622">
        <f t="shared" si="0"/>
        <v>6794.2800000000007</v>
      </c>
      <c r="H16" s="583"/>
      <c r="I16" s="583"/>
      <c r="J16" s="583"/>
    </row>
    <row r="17" spans="1:12" ht="17.25" customHeight="1">
      <c r="A17" s="3473"/>
      <c r="B17" s="2331" t="s">
        <v>2803</v>
      </c>
      <c r="C17" s="2593">
        <v>7130860077</v>
      </c>
      <c r="D17" s="2335" t="s">
        <v>26</v>
      </c>
      <c r="E17" s="1132">
        <f>VLOOKUP(C17,'[25]SOR RATE'!A:D,4,0)/1000</f>
        <v>93.76643</v>
      </c>
      <c r="F17" s="2598">
        <v>72</v>
      </c>
      <c r="G17" s="2622">
        <f t="shared" si="0"/>
        <v>6751.1829600000001</v>
      </c>
      <c r="H17" s="583"/>
      <c r="I17" s="583"/>
      <c r="J17" s="583"/>
    </row>
    <row r="18" spans="1:12" ht="17.25" customHeight="1">
      <c r="A18" s="3474"/>
      <c r="B18" s="2331" t="s">
        <v>74</v>
      </c>
      <c r="C18" s="2313">
        <v>7130810026</v>
      </c>
      <c r="D18" s="2584" t="s">
        <v>15</v>
      </c>
      <c r="E18" s="1132">
        <f>VLOOKUP(C18,'[25]SOR RATE'!A201:D201,4,0)</f>
        <v>198.14</v>
      </c>
      <c r="F18" s="2598">
        <v>12</v>
      </c>
      <c r="G18" s="2622">
        <f t="shared" si="0"/>
        <v>2377.6799999999998</v>
      </c>
      <c r="H18" s="583"/>
      <c r="I18" s="583"/>
      <c r="J18" s="583"/>
    </row>
    <row r="19" spans="1:12" ht="31.5" customHeight="1">
      <c r="A19" s="3472">
        <v>7</v>
      </c>
      <c r="B19" s="1807" t="s">
        <v>45</v>
      </c>
      <c r="C19" s="1625"/>
      <c r="D19" s="2335"/>
      <c r="E19" s="1617"/>
      <c r="F19" s="2585">
        <f>20+12</f>
        <v>32</v>
      </c>
      <c r="G19" s="2622"/>
      <c r="H19" s="583"/>
      <c r="I19" s="583"/>
      <c r="J19" s="583"/>
    </row>
    <row r="20" spans="1:12" ht="17.25" customHeight="1">
      <c r="A20" s="3474"/>
      <c r="B20" s="1633" t="s">
        <v>1738</v>
      </c>
      <c r="C20" s="1625">
        <v>7130640008</v>
      </c>
      <c r="D20" s="1815" t="s">
        <v>33</v>
      </c>
      <c r="E20" s="1132">
        <f>VLOOKUP(C20,'[25]SOR RATE'!A:D,4,0)</f>
        <v>158</v>
      </c>
      <c r="F20" s="2585">
        <f>20+(12*2)</f>
        <v>44</v>
      </c>
      <c r="G20" s="2622">
        <f>E20*F20</f>
        <v>6952</v>
      </c>
      <c r="H20" s="3475" t="s">
        <v>47</v>
      </c>
      <c r="I20" s="3476"/>
      <c r="J20" s="583"/>
    </row>
    <row r="21" spans="1:12" ht="17.25" customHeight="1">
      <c r="A21" s="2626">
        <v>8</v>
      </c>
      <c r="B21" s="2331" t="s">
        <v>2818</v>
      </c>
      <c r="C21" s="2593">
        <v>7130200202</v>
      </c>
      <c r="D21" s="2335" t="s">
        <v>1440</v>
      </c>
      <c r="E21" s="1132">
        <f>VLOOKUP(C21,'[25]SOR RATE'!A:D,4,0)</f>
        <v>2970</v>
      </c>
      <c r="F21" s="2627">
        <v>0.5</v>
      </c>
      <c r="G21" s="2622">
        <f>E21*F21</f>
        <v>1485</v>
      </c>
      <c r="H21" s="3475" t="s">
        <v>47</v>
      </c>
      <c r="I21" s="3477"/>
      <c r="J21" s="2053"/>
    </row>
    <row r="22" spans="1:12" ht="16.5" customHeight="1">
      <c r="A22" s="3472">
        <v>9</v>
      </c>
      <c r="B22" s="2589" t="s">
        <v>1443</v>
      </c>
      <c r="C22" s="2628"/>
      <c r="D22" s="2629"/>
      <c r="E22" s="2596"/>
      <c r="F22" s="2596"/>
      <c r="G22" s="2630"/>
      <c r="H22" s="2053"/>
      <c r="I22" s="2579"/>
      <c r="J22" s="2579"/>
    </row>
    <row r="23" spans="1:12" ht="16.5" customHeight="1">
      <c r="A23" s="3473"/>
      <c r="B23" s="2343" t="s">
        <v>505</v>
      </c>
      <c r="C23" s="2593">
        <v>7130620573</v>
      </c>
      <c r="D23" s="2335" t="s">
        <v>26</v>
      </c>
      <c r="E23" s="1132">
        <f>VLOOKUP(C23,'[25]SOR RATE'!A:D,4,0)</f>
        <v>87.23</v>
      </c>
      <c r="F23" s="2598">
        <v>2</v>
      </c>
      <c r="G23" s="2622">
        <f t="shared" ref="G23:G36" si="1">E23*F23</f>
        <v>174.46</v>
      </c>
      <c r="H23" s="2053"/>
      <c r="I23" s="2579"/>
      <c r="J23" s="2579"/>
    </row>
    <row r="24" spans="1:12" ht="16.5" customHeight="1">
      <c r="A24" s="3473"/>
      <c r="B24" s="2343" t="s">
        <v>79</v>
      </c>
      <c r="C24" s="1625">
        <v>7130620609</v>
      </c>
      <c r="D24" s="2335" t="s">
        <v>26</v>
      </c>
      <c r="E24" s="1132">
        <f>VLOOKUP(C24,'[25]SOR RATE'!A:D,4,0)</f>
        <v>87.23</v>
      </c>
      <c r="F24" s="2598">
        <v>14</v>
      </c>
      <c r="G24" s="2622">
        <f t="shared" si="1"/>
        <v>1221.22</v>
      </c>
      <c r="H24" s="2053"/>
      <c r="I24" s="2579"/>
      <c r="J24" s="2579"/>
    </row>
    <row r="25" spans="1:12" ht="15" customHeight="1">
      <c r="A25" s="3474"/>
      <c r="B25" s="2343" t="s">
        <v>111</v>
      </c>
      <c r="C25" s="1625">
        <v>7130620614</v>
      </c>
      <c r="D25" s="2335" t="s">
        <v>26</v>
      </c>
      <c r="E25" s="1132">
        <f>VLOOKUP(C25,'[25]SOR RATE'!A:D,4,0)</f>
        <v>85.77</v>
      </c>
      <c r="F25" s="2598">
        <v>14</v>
      </c>
      <c r="G25" s="2622">
        <f t="shared" si="1"/>
        <v>1200.78</v>
      </c>
      <c r="H25" s="2053"/>
      <c r="I25" s="2579"/>
      <c r="J25" s="2579"/>
    </row>
    <row r="26" spans="1:12" ht="16.5" customHeight="1">
      <c r="A26" s="2317">
        <v>10</v>
      </c>
      <c r="B26" s="2333" t="s">
        <v>2800</v>
      </c>
      <c r="C26" s="1291">
        <v>7130390006</v>
      </c>
      <c r="D26" s="2335" t="s">
        <v>33</v>
      </c>
      <c r="E26" s="1132">
        <f>VLOOKUP(C26,'[25]SOR RATE'!A:D,4,0)</f>
        <v>153.72999999999999</v>
      </c>
      <c r="F26" s="2598">
        <v>41</v>
      </c>
      <c r="G26" s="2622">
        <f t="shared" si="1"/>
        <v>6302.9299999999994</v>
      </c>
      <c r="H26" s="2579"/>
      <c r="I26" s="2579"/>
      <c r="J26" s="2579"/>
    </row>
    <row r="27" spans="1:12" ht="30.75" customHeight="1">
      <c r="A27" s="2317">
        <v>11</v>
      </c>
      <c r="B27" s="2333" t="s">
        <v>562</v>
      </c>
      <c r="C27" s="1625">
        <v>7130797533</v>
      </c>
      <c r="D27" s="2335" t="s">
        <v>12</v>
      </c>
      <c r="E27" s="1132">
        <f>VLOOKUP(C27,'[25]SOR RATE'!A:D,4,0)</f>
        <v>550.41999999999996</v>
      </c>
      <c r="F27" s="2598">
        <v>22</v>
      </c>
      <c r="G27" s="2622">
        <f t="shared" si="1"/>
        <v>12109.24</v>
      </c>
      <c r="H27" s="2053"/>
      <c r="I27" s="2008"/>
      <c r="J27" s="2008"/>
      <c r="K27" s="2008"/>
      <c r="L27" s="2008"/>
    </row>
    <row r="28" spans="1:12" ht="18.75" customHeight="1">
      <c r="A28" s="2317">
        <v>12</v>
      </c>
      <c r="B28" s="2333" t="s">
        <v>560</v>
      </c>
      <c r="C28" s="1291">
        <v>7130797532</v>
      </c>
      <c r="D28" s="2335" t="s">
        <v>12</v>
      </c>
      <c r="E28" s="1132">
        <f>VLOOKUP(C28,'[25]SOR RATE'!A:D,4,0)</f>
        <v>758.33</v>
      </c>
      <c r="F28" s="2598">
        <v>22</v>
      </c>
      <c r="G28" s="2622">
        <f t="shared" si="1"/>
        <v>16683.260000000002</v>
      </c>
      <c r="H28" s="2053"/>
      <c r="I28" s="105"/>
      <c r="J28" s="2579"/>
    </row>
    <row r="29" spans="1:12" ht="14.25">
      <c r="A29" s="2317">
        <v>13</v>
      </c>
      <c r="B29" s="2331" t="s">
        <v>28</v>
      </c>
      <c r="C29" s="1625">
        <v>7130211158</v>
      </c>
      <c r="D29" s="2335" t="s">
        <v>29</v>
      </c>
      <c r="E29" s="1132">
        <f>VLOOKUP(C29,'[25]SOR RATE'!A:D,4,0)</f>
        <v>193.62</v>
      </c>
      <c r="F29" s="2598">
        <v>1</v>
      </c>
      <c r="G29" s="2622">
        <f t="shared" si="1"/>
        <v>193.62</v>
      </c>
      <c r="H29" s="2579"/>
      <c r="I29" s="2579"/>
      <c r="J29" s="2579"/>
    </row>
    <row r="30" spans="1:12" ht="16.5" customHeight="1">
      <c r="A30" s="2317">
        <v>14</v>
      </c>
      <c r="B30" s="2331" t="s">
        <v>30</v>
      </c>
      <c r="C30" s="1625">
        <v>7130210809</v>
      </c>
      <c r="D30" s="2335" t="s">
        <v>29</v>
      </c>
      <c r="E30" s="1132">
        <f>VLOOKUP(C30,'[25]SOR RATE'!A:D,4,0)</f>
        <v>432.63</v>
      </c>
      <c r="F30" s="2598">
        <v>1</v>
      </c>
      <c r="G30" s="2622">
        <f t="shared" si="1"/>
        <v>432.63</v>
      </c>
      <c r="H30" s="2053"/>
      <c r="I30" s="2579"/>
      <c r="J30" s="2579"/>
    </row>
    <row r="31" spans="1:12" ht="16.5" customHeight="1">
      <c r="A31" s="2317">
        <v>15</v>
      </c>
      <c r="B31" s="2331" t="s">
        <v>158</v>
      </c>
      <c r="C31" s="1625">
        <v>7130810077</v>
      </c>
      <c r="D31" s="2335" t="s">
        <v>12</v>
      </c>
      <c r="E31" s="1132">
        <f>VLOOKUP(C31,'[25]SOR RATE'!A:D,4,0)</f>
        <v>556.80999999999995</v>
      </c>
      <c r="F31" s="2598">
        <v>44</v>
      </c>
      <c r="G31" s="2622">
        <f t="shared" si="1"/>
        <v>24499.64</v>
      </c>
      <c r="H31" s="2053"/>
      <c r="I31" s="2579"/>
      <c r="J31" s="2579"/>
    </row>
    <row r="32" spans="1:12" ht="16.5" customHeight="1">
      <c r="A32" s="2317">
        <v>16</v>
      </c>
      <c r="B32" s="2331" t="s">
        <v>153</v>
      </c>
      <c r="C32" s="1625">
        <v>7130893004</v>
      </c>
      <c r="D32" s="2335" t="s">
        <v>12</v>
      </c>
      <c r="E32" s="1132">
        <f>VLOOKUP(C32,'[25]SOR RATE'!A:D,4,0)</f>
        <v>226.84</v>
      </c>
      <c r="F32" s="2598">
        <v>44</v>
      </c>
      <c r="G32" s="2622">
        <f t="shared" si="1"/>
        <v>9980.9600000000009</v>
      </c>
      <c r="H32" s="2053"/>
      <c r="I32" s="2579"/>
      <c r="J32" s="2579"/>
    </row>
    <row r="33" spans="1:10" ht="16.5" customHeight="1">
      <c r="A33" s="2317">
        <v>17</v>
      </c>
      <c r="B33" s="2331" t="s">
        <v>583</v>
      </c>
      <c r="C33" s="1625">
        <v>7130810102</v>
      </c>
      <c r="D33" s="2335" t="s">
        <v>12</v>
      </c>
      <c r="E33" s="1132">
        <f>VLOOKUP(C33,'[25]SOR RATE'!A:D,4,0)</f>
        <v>442.47</v>
      </c>
      <c r="F33" s="2598">
        <v>5</v>
      </c>
      <c r="G33" s="2622">
        <f>E33*F33</f>
        <v>2212.3500000000004</v>
      </c>
      <c r="H33" s="2579"/>
      <c r="I33" s="2579"/>
      <c r="J33" s="2579"/>
    </row>
    <row r="34" spans="1:10" ht="16.5" customHeight="1">
      <c r="A34" s="2317">
        <v>18</v>
      </c>
      <c r="B34" s="2331" t="s">
        <v>464</v>
      </c>
      <c r="C34" s="2332">
        <v>7130390007</v>
      </c>
      <c r="D34" s="2335" t="s">
        <v>12</v>
      </c>
      <c r="E34" s="1132">
        <f>VLOOKUP(C34,'[25]SOR RATE'!A:D,4,0)</f>
        <v>217.24</v>
      </c>
      <c r="F34" s="2598">
        <v>6</v>
      </c>
      <c r="G34" s="2622">
        <f t="shared" si="1"/>
        <v>1303.44</v>
      </c>
      <c r="H34" s="2579"/>
      <c r="I34" s="2579"/>
      <c r="J34" s="2579"/>
    </row>
    <row r="35" spans="1:10" ht="16.5" customHeight="1">
      <c r="A35" s="2317">
        <v>19</v>
      </c>
      <c r="B35" s="2331" t="s">
        <v>466</v>
      </c>
      <c r="C35" s="2332">
        <v>7130390019</v>
      </c>
      <c r="D35" s="2335" t="s">
        <v>12</v>
      </c>
      <c r="E35" s="1132">
        <f>VLOOKUP(C35,'[25]SOR RATE'!A:D,4,0)</f>
        <v>37.130000000000003</v>
      </c>
      <c r="F35" s="2598">
        <v>20</v>
      </c>
      <c r="G35" s="2622">
        <f t="shared" si="1"/>
        <v>742.6</v>
      </c>
      <c r="H35" s="2579"/>
      <c r="I35" s="2579"/>
      <c r="J35" s="2579"/>
    </row>
    <row r="36" spans="1:10" ht="18.75" customHeight="1">
      <c r="A36" s="2317">
        <v>20</v>
      </c>
      <c r="B36" s="2331" t="s">
        <v>164</v>
      </c>
      <c r="C36" s="2332">
        <v>7130320053</v>
      </c>
      <c r="D36" s="2335" t="s">
        <v>12</v>
      </c>
      <c r="E36" s="1132">
        <f>VLOOKUP(C36,'[25]SOR RATE'!A:D,4,0)</f>
        <v>6.91</v>
      </c>
      <c r="F36" s="2598">
        <v>530</v>
      </c>
      <c r="G36" s="2622">
        <f t="shared" si="1"/>
        <v>3662.3</v>
      </c>
      <c r="H36" s="2053"/>
      <c r="I36" s="2579"/>
      <c r="J36" s="2579"/>
    </row>
    <row r="37" spans="1:10" ht="16.5" customHeight="1">
      <c r="A37" s="2631">
        <v>21</v>
      </c>
      <c r="B37" s="2345" t="s">
        <v>48</v>
      </c>
      <c r="C37" s="2632"/>
      <c r="D37" s="2317"/>
      <c r="E37" s="2633"/>
      <c r="F37" s="2634"/>
      <c r="G37" s="2635">
        <f>SUM(G8:G36)</f>
        <v>269377.14295999997</v>
      </c>
      <c r="H37" s="130"/>
      <c r="I37" s="102"/>
      <c r="J37" s="2614"/>
    </row>
    <row r="38" spans="1:10" ht="16.5" customHeight="1">
      <c r="A38" s="2631">
        <v>22</v>
      </c>
      <c r="B38" s="2345" t="s">
        <v>49</v>
      </c>
      <c r="C38" s="2632"/>
      <c r="D38" s="2317"/>
      <c r="E38" s="2633"/>
      <c r="F38" s="2634"/>
      <c r="G38" s="2635">
        <f>G37/1.18</f>
        <v>228285.71437288134</v>
      </c>
      <c r="H38" s="85"/>
      <c r="I38" s="102"/>
      <c r="J38" s="2614"/>
    </row>
    <row r="39" spans="1:10" ht="16.5" customHeight="1">
      <c r="A39" s="2335">
        <v>23</v>
      </c>
      <c r="B39" s="1822" t="s">
        <v>50</v>
      </c>
      <c r="C39" s="2595"/>
      <c r="D39" s="2595"/>
      <c r="E39" s="2332">
        <v>7.4999999999999997E-2</v>
      </c>
      <c r="F39" s="2332"/>
      <c r="G39" s="2339">
        <f>G37*E39</f>
        <v>20203.285721999997</v>
      </c>
      <c r="H39" s="803"/>
      <c r="I39" s="85"/>
      <c r="J39" s="2616"/>
    </row>
    <row r="40" spans="1:10" ht="18.75" customHeight="1">
      <c r="A40" s="2636">
        <v>24</v>
      </c>
      <c r="B40" s="2331" t="s">
        <v>2807</v>
      </c>
      <c r="C40" s="2637"/>
      <c r="D40" s="2638" t="s">
        <v>68</v>
      </c>
      <c r="E40" s="1202">
        <f>229.365334460327*1.043</f>
        <v>239.22804384212105</v>
      </c>
      <c r="F40" s="2329">
        <v>20</v>
      </c>
      <c r="G40" s="2328">
        <f>E40*F40</f>
        <v>4784.5608768424208</v>
      </c>
      <c r="H40" s="633"/>
      <c r="I40" s="526"/>
      <c r="J40" s="804"/>
    </row>
    <row r="41" spans="1:10" ht="17.25" customHeight="1">
      <c r="A41" s="2636">
        <v>25</v>
      </c>
      <c r="B41" s="2343" t="s">
        <v>82</v>
      </c>
      <c r="C41" s="2591"/>
      <c r="D41" s="2327" t="s">
        <v>76</v>
      </c>
      <c r="E41" s="1202">
        <f>665.173187113158*1.043</f>
        <v>693.77563415902364</v>
      </c>
      <c r="F41" s="2353">
        <v>0.5</v>
      </c>
      <c r="G41" s="2328">
        <f>E41*F41</f>
        <v>346.88781707951182</v>
      </c>
      <c r="H41" s="2617"/>
      <c r="I41" s="526"/>
      <c r="J41" s="1824"/>
    </row>
    <row r="42" spans="1:10" ht="17.25" customHeight="1">
      <c r="A42" s="2636">
        <v>26</v>
      </c>
      <c r="B42" s="2331" t="s">
        <v>2819</v>
      </c>
      <c r="C42" s="2637"/>
      <c r="D42" s="2636"/>
      <c r="E42" s="2639"/>
      <c r="F42" s="2636"/>
      <c r="G42" s="2622">
        <v>62790</v>
      </c>
      <c r="H42" s="2618"/>
      <c r="I42" s="2612"/>
      <c r="J42" s="2612"/>
    </row>
    <row r="43" spans="1:10" ht="17.25" customHeight="1">
      <c r="A43" s="2636">
        <v>27</v>
      </c>
      <c r="B43" s="2331" t="s">
        <v>2511</v>
      </c>
      <c r="C43" s="2637"/>
      <c r="D43" s="2636"/>
      <c r="E43" s="2639">
        <v>0.04</v>
      </c>
      <c r="F43" s="2636"/>
      <c r="G43" s="2328">
        <f>G38*E43</f>
        <v>9131.4285749152532</v>
      </c>
      <c r="H43" s="737" t="s">
        <v>1827</v>
      </c>
      <c r="I43" s="82"/>
      <c r="J43" s="2612"/>
    </row>
    <row r="44" spans="1:10" ht="30" customHeight="1">
      <c r="A44" s="2636">
        <v>28</v>
      </c>
      <c r="B44" s="1820" t="s">
        <v>2732</v>
      </c>
      <c r="C44" s="2637"/>
      <c r="D44" s="2636"/>
      <c r="E44" s="2639"/>
      <c r="F44" s="2636"/>
      <c r="G44" s="1676">
        <f>(G37+G39+G40+G41+G42+G43)*0.125</f>
        <v>45829.163243854644</v>
      </c>
      <c r="H44" s="2612"/>
      <c r="I44" s="82"/>
      <c r="J44" s="2612"/>
    </row>
    <row r="45" spans="1:10" ht="17.25" customHeight="1">
      <c r="A45" s="2631">
        <v>29</v>
      </c>
      <c r="B45" s="1823" t="s">
        <v>2733</v>
      </c>
      <c r="C45" s="2620"/>
      <c r="D45" s="2317"/>
      <c r="E45" s="2611"/>
      <c r="F45" s="2317"/>
      <c r="G45" s="2357">
        <f>SUM(G38:G44)</f>
        <v>371371.04060757323</v>
      </c>
      <c r="H45" s="132"/>
      <c r="I45" s="2612"/>
      <c r="J45" s="2612"/>
    </row>
    <row r="46" spans="1:10" ht="17.25" customHeight="1">
      <c r="A46" s="2317">
        <v>30</v>
      </c>
      <c r="B46" s="1822" t="s">
        <v>1611</v>
      </c>
      <c r="C46" s="2620"/>
      <c r="D46" s="2317"/>
      <c r="E46" s="2611">
        <v>0.09</v>
      </c>
      <c r="F46" s="2317"/>
      <c r="G46" s="2339">
        <f>G45*E46</f>
        <v>33423.393654681589</v>
      </c>
      <c r="H46" s="132"/>
      <c r="I46" s="2612"/>
      <c r="J46" s="2612"/>
    </row>
    <row r="47" spans="1:10" ht="19.5" customHeight="1">
      <c r="A47" s="2636">
        <v>31</v>
      </c>
      <c r="B47" s="1822" t="s">
        <v>1612</v>
      </c>
      <c r="C47" s="2637"/>
      <c r="D47" s="2636"/>
      <c r="E47" s="2639">
        <v>0.09</v>
      </c>
      <c r="F47" s="2636"/>
      <c r="G47" s="2339">
        <f>G45*E47</f>
        <v>33423.393654681589</v>
      </c>
      <c r="H47" s="95"/>
      <c r="I47" s="2612"/>
      <c r="J47" s="2612"/>
    </row>
    <row r="48" spans="1:10" ht="16.5" customHeight="1">
      <c r="A48" s="2636">
        <v>32</v>
      </c>
      <c r="B48" s="1820" t="s">
        <v>1613</v>
      </c>
      <c r="C48" s="2637"/>
      <c r="D48" s="2636"/>
      <c r="E48" s="2639"/>
      <c r="F48" s="2636"/>
      <c r="G48" s="2622">
        <f>G45+G46+G47</f>
        <v>438217.82791693637</v>
      </c>
      <c r="H48" s="2612"/>
      <c r="I48" s="2612"/>
      <c r="J48" s="2612"/>
    </row>
    <row r="49" spans="1:15" ht="19.5" customHeight="1">
      <c r="A49" s="2631">
        <v>33</v>
      </c>
      <c r="B49" s="1823" t="s">
        <v>59</v>
      </c>
      <c r="C49" s="2632"/>
      <c r="D49" s="2519"/>
      <c r="E49" s="1806"/>
      <c r="F49" s="2519"/>
      <c r="G49" s="2346">
        <f>ROUND(G48,0)</f>
        <v>438218</v>
      </c>
      <c r="H49" s="82"/>
      <c r="I49" s="82"/>
      <c r="J49" s="82"/>
    </row>
    <row r="50" spans="1:15" ht="14.25">
      <c r="A50" s="102"/>
      <c r="B50" s="2619"/>
      <c r="C50" s="2619"/>
      <c r="D50" s="102"/>
      <c r="E50" s="102"/>
      <c r="F50" s="102"/>
      <c r="G50" s="102"/>
      <c r="H50" s="102"/>
      <c r="I50" s="102"/>
      <c r="J50" s="102"/>
    </row>
    <row r="51" spans="1:15" ht="15.75" customHeight="1">
      <c r="A51" s="2525" t="s">
        <v>62</v>
      </c>
      <c r="B51" s="105" t="s">
        <v>63</v>
      </c>
      <c r="C51" s="111"/>
      <c r="H51" s="587"/>
      <c r="I51" s="587"/>
      <c r="J51" s="587"/>
      <c r="K51" s="587"/>
      <c r="L51" s="587"/>
      <c r="M51" s="587"/>
      <c r="N51" s="587"/>
      <c r="O51" s="587"/>
    </row>
  </sheetData>
  <mergeCells count="14">
    <mergeCell ref="B1:D1"/>
    <mergeCell ref="F2:G2"/>
    <mergeCell ref="B3:E3"/>
    <mergeCell ref="A5:A6"/>
    <mergeCell ref="B5:B6"/>
    <mergeCell ref="C5:C6"/>
    <mergeCell ref="D5:D6"/>
    <mergeCell ref="E5:E6"/>
    <mergeCell ref="F5:G5"/>
    <mergeCell ref="A16:A18"/>
    <mergeCell ref="A19:A20"/>
    <mergeCell ref="H20:I20"/>
    <mergeCell ref="H21:I21"/>
    <mergeCell ref="A22:A25"/>
  </mergeCells>
  <conditionalFormatting sqref="B37">
    <cfRule type="cellIs" dxfId="32" priority="2" stopIfTrue="1" operator="equal">
      <formula>"?"</formula>
    </cfRule>
  </conditionalFormatting>
  <conditionalFormatting sqref="B38">
    <cfRule type="cellIs" dxfId="31" priority="1" stopIfTrue="1" operator="equal">
      <formula>"?"</formula>
    </cfRule>
  </conditionalFormatting>
  <pageMargins left="0.92" right="0.16" top="0.69" bottom="0.34" header="0.61" footer="0.16"/>
  <pageSetup paperSize="9" orientation="landscape" verticalDpi="300"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14"/>
  <sheetViews>
    <sheetView workbookViewId="0">
      <pane xSplit="2" ySplit="6" topLeftCell="C25" activePane="bottomRight" state="frozen"/>
      <selection pane="topRight" activeCell="C1" sqref="C1"/>
      <selection pane="bottomLeft" activeCell="A7" sqref="A7"/>
      <selection pane="bottomRight" activeCell="I9" sqref="I9"/>
    </sheetView>
  </sheetViews>
  <sheetFormatPr defaultRowHeight="12.75"/>
  <cols>
    <col min="1" max="1" width="5.140625" style="777" customWidth="1"/>
    <col min="2" max="2" width="65.28515625" style="4" customWidth="1"/>
    <col min="3" max="3" width="13.28515625" style="4" customWidth="1"/>
    <col min="4" max="4" width="6.140625" style="4" bestFit="1" customWidth="1"/>
    <col min="5" max="5" width="8.28515625" style="4" customWidth="1"/>
    <col min="6" max="6" width="10" style="4" customWidth="1"/>
    <col min="7" max="7" width="11.85546875" style="4" bestFit="1" customWidth="1"/>
    <col min="8" max="8" width="25.42578125" style="4" customWidth="1"/>
    <col min="9" max="9" width="14.5703125" style="4" customWidth="1"/>
    <col min="10" max="10" width="11" style="4" bestFit="1" customWidth="1"/>
    <col min="11" max="11" width="6.28515625" style="4" customWidth="1"/>
    <col min="12" max="12" width="6" style="4" bestFit="1" customWidth="1"/>
    <col min="13" max="256" width="9.140625" style="4"/>
    <col min="257" max="257" width="5.140625" style="4" customWidth="1"/>
    <col min="258" max="258" width="65.28515625" style="4" customWidth="1"/>
    <col min="259" max="259" width="13.28515625" style="4" customWidth="1"/>
    <col min="260" max="260" width="6.140625" style="4" bestFit="1" customWidth="1"/>
    <col min="261" max="261" width="8.28515625" style="4" customWidth="1"/>
    <col min="262" max="262" width="10" style="4" customWidth="1"/>
    <col min="263" max="263" width="11.85546875" style="4" bestFit="1" customWidth="1"/>
    <col min="264" max="264" width="25.42578125" style="4" customWidth="1"/>
    <col min="265" max="265" width="14.5703125" style="4" customWidth="1"/>
    <col min="266" max="266" width="11" style="4" bestFit="1" customWidth="1"/>
    <col min="267" max="267" width="6.28515625" style="4" customWidth="1"/>
    <col min="268" max="268" width="6" style="4" bestFit="1" customWidth="1"/>
    <col min="269" max="512" width="9.140625" style="4"/>
    <col min="513" max="513" width="5.140625" style="4" customWidth="1"/>
    <col min="514" max="514" width="65.28515625" style="4" customWidth="1"/>
    <col min="515" max="515" width="13.28515625" style="4" customWidth="1"/>
    <col min="516" max="516" width="6.140625" style="4" bestFit="1" customWidth="1"/>
    <col min="517" max="517" width="8.28515625" style="4" customWidth="1"/>
    <col min="518" max="518" width="10" style="4" customWidth="1"/>
    <col min="519" max="519" width="11.85546875" style="4" bestFit="1" customWidth="1"/>
    <col min="520" max="520" width="25.42578125" style="4" customWidth="1"/>
    <col min="521" max="521" width="14.5703125" style="4" customWidth="1"/>
    <col min="522" max="522" width="11" style="4" bestFit="1" customWidth="1"/>
    <col min="523" max="523" width="6.28515625" style="4" customWidth="1"/>
    <col min="524" max="524" width="6" style="4" bestFit="1" customWidth="1"/>
    <col min="525" max="768" width="9.140625" style="4"/>
    <col min="769" max="769" width="5.140625" style="4" customWidth="1"/>
    <col min="770" max="770" width="65.28515625" style="4" customWidth="1"/>
    <col min="771" max="771" width="13.28515625" style="4" customWidth="1"/>
    <col min="772" max="772" width="6.140625" style="4" bestFit="1" customWidth="1"/>
    <col min="773" max="773" width="8.28515625" style="4" customWidth="1"/>
    <col min="774" max="774" width="10" style="4" customWidth="1"/>
    <col min="775" max="775" width="11.85546875" style="4" bestFit="1" customWidth="1"/>
    <col min="776" max="776" width="25.42578125" style="4" customWidth="1"/>
    <col min="777" max="777" width="14.5703125" style="4" customWidth="1"/>
    <col min="778" max="778" width="11" style="4" bestFit="1" customWidth="1"/>
    <col min="779" max="779" width="6.28515625" style="4" customWidth="1"/>
    <col min="780" max="780" width="6" style="4" bestFit="1" customWidth="1"/>
    <col min="781" max="1024" width="9.140625" style="4"/>
    <col min="1025" max="1025" width="5.140625" style="4" customWidth="1"/>
    <col min="1026" max="1026" width="65.28515625" style="4" customWidth="1"/>
    <col min="1027" max="1027" width="13.28515625" style="4" customWidth="1"/>
    <col min="1028" max="1028" width="6.140625" style="4" bestFit="1" customWidth="1"/>
    <col min="1029" max="1029" width="8.28515625" style="4" customWidth="1"/>
    <col min="1030" max="1030" width="10" style="4" customWidth="1"/>
    <col min="1031" max="1031" width="11.85546875" style="4" bestFit="1" customWidth="1"/>
    <col min="1032" max="1032" width="25.42578125" style="4" customWidth="1"/>
    <col min="1033" max="1033" width="14.5703125" style="4" customWidth="1"/>
    <col min="1034" max="1034" width="11" style="4" bestFit="1" customWidth="1"/>
    <col min="1035" max="1035" width="6.28515625" style="4" customWidth="1"/>
    <col min="1036" max="1036" width="6" style="4" bestFit="1" customWidth="1"/>
    <col min="1037" max="1280" width="9.140625" style="4"/>
    <col min="1281" max="1281" width="5.140625" style="4" customWidth="1"/>
    <col min="1282" max="1282" width="65.28515625" style="4" customWidth="1"/>
    <col min="1283" max="1283" width="13.28515625" style="4" customWidth="1"/>
    <col min="1284" max="1284" width="6.140625" style="4" bestFit="1" customWidth="1"/>
    <col min="1285" max="1285" width="8.28515625" style="4" customWidth="1"/>
    <col min="1286" max="1286" width="10" style="4" customWidth="1"/>
    <col min="1287" max="1287" width="11.85546875" style="4" bestFit="1" customWidth="1"/>
    <col min="1288" max="1288" width="25.42578125" style="4" customWidth="1"/>
    <col min="1289" max="1289" width="14.5703125" style="4" customWidth="1"/>
    <col min="1290" max="1290" width="11" style="4" bestFit="1" customWidth="1"/>
    <col min="1291" max="1291" width="6.28515625" style="4" customWidth="1"/>
    <col min="1292" max="1292" width="6" style="4" bestFit="1" customWidth="1"/>
    <col min="1293" max="1536" width="9.140625" style="4"/>
    <col min="1537" max="1537" width="5.140625" style="4" customWidth="1"/>
    <col min="1538" max="1538" width="65.28515625" style="4" customWidth="1"/>
    <col min="1539" max="1539" width="13.28515625" style="4" customWidth="1"/>
    <col min="1540" max="1540" width="6.140625" style="4" bestFit="1" customWidth="1"/>
    <col min="1541" max="1541" width="8.28515625" style="4" customWidth="1"/>
    <col min="1542" max="1542" width="10" style="4" customWidth="1"/>
    <col min="1543" max="1543" width="11.85546875" style="4" bestFit="1" customWidth="1"/>
    <col min="1544" max="1544" width="25.42578125" style="4" customWidth="1"/>
    <col min="1545" max="1545" width="14.5703125" style="4" customWidth="1"/>
    <col min="1546" max="1546" width="11" style="4" bestFit="1" customWidth="1"/>
    <col min="1547" max="1547" width="6.28515625" style="4" customWidth="1"/>
    <col min="1548" max="1548" width="6" style="4" bestFit="1" customWidth="1"/>
    <col min="1549" max="1792" width="9.140625" style="4"/>
    <col min="1793" max="1793" width="5.140625" style="4" customWidth="1"/>
    <col min="1794" max="1794" width="65.28515625" style="4" customWidth="1"/>
    <col min="1795" max="1795" width="13.28515625" style="4" customWidth="1"/>
    <col min="1796" max="1796" width="6.140625" style="4" bestFit="1" customWidth="1"/>
    <col min="1797" max="1797" width="8.28515625" style="4" customWidth="1"/>
    <col min="1798" max="1798" width="10" style="4" customWidth="1"/>
    <col min="1799" max="1799" width="11.85546875" style="4" bestFit="1" customWidth="1"/>
    <col min="1800" max="1800" width="25.42578125" style="4" customWidth="1"/>
    <col min="1801" max="1801" width="14.5703125" style="4" customWidth="1"/>
    <col min="1802" max="1802" width="11" style="4" bestFit="1" customWidth="1"/>
    <col min="1803" max="1803" width="6.28515625" style="4" customWidth="1"/>
    <col min="1804" max="1804" width="6" style="4" bestFit="1" customWidth="1"/>
    <col min="1805" max="2048" width="9.140625" style="4"/>
    <col min="2049" max="2049" width="5.140625" style="4" customWidth="1"/>
    <col min="2050" max="2050" width="65.28515625" style="4" customWidth="1"/>
    <col min="2051" max="2051" width="13.28515625" style="4" customWidth="1"/>
    <col min="2052" max="2052" width="6.140625" style="4" bestFit="1" customWidth="1"/>
    <col min="2053" max="2053" width="8.28515625" style="4" customWidth="1"/>
    <col min="2054" max="2054" width="10" style="4" customWidth="1"/>
    <col min="2055" max="2055" width="11.85546875" style="4" bestFit="1" customWidth="1"/>
    <col min="2056" max="2056" width="25.42578125" style="4" customWidth="1"/>
    <col min="2057" max="2057" width="14.5703125" style="4" customWidth="1"/>
    <col min="2058" max="2058" width="11" style="4" bestFit="1" customWidth="1"/>
    <col min="2059" max="2059" width="6.28515625" style="4" customWidth="1"/>
    <col min="2060" max="2060" width="6" style="4" bestFit="1" customWidth="1"/>
    <col min="2061" max="2304" width="9.140625" style="4"/>
    <col min="2305" max="2305" width="5.140625" style="4" customWidth="1"/>
    <col min="2306" max="2306" width="65.28515625" style="4" customWidth="1"/>
    <col min="2307" max="2307" width="13.28515625" style="4" customWidth="1"/>
    <col min="2308" max="2308" width="6.140625" style="4" bestFit="1" customWidth="1"/>
    <col min="2309" max="2309" width="8.28515625" style="4" customWidth="1"/>
    <col min="2310" max="2310" width="10" style="4" customWidth="1"/>
    <col min="2311" max="2311" width="11.85546875" style="4" bestFit="1" customWidth="1"/>
    <col min="2312" max="2312" width="25.42578125" style="4" customWidth="1"/>
    <col min="2313" max="2313" width="14.5703125" style="4" customWidth="1"/>
    <col min="2314" max="2314" width="11" style="4" bestFit="1" customWidth="1"/>
    <col min="2315" max="2315" width="6.28515625" style="4" customWidth="1"/>
    <col min="2316" max="2316" width="6" style="4" bestFit="1" customWidth="1"/>
    <col min="2317" max="2560" width="9.140625" style="4"/>
    <col min="2561" max="2561" width="5.140625" style="4" customWidth="1"/>
    <col min="2562" max="2562" width="65.28515625" style="4" customWidth="1"/>
    <col min="2563" max="2563" width="13.28515625" style="4" customWidth="1"/>
    <col min="2564" max="2564" width="6.140625" style="4" bestFit="1" customWidth="1"/>
    <col min="2565" max="2565" width="8.28515625" style="4" customWidth="1"/>
    <col min="2566" max="2566" width="10" style="4" customWidth="1"/>
    <col min="2567" max="2567" width="11.85546875" style="4" bestFit="1" customWidth="1"/>
    <col min="2568" max="2568" width="25.42578125" style="4" customWidth="1"/>
    <col min="2569" max="2569" width="14.5703125" style="4" customWidth="1"/>
    <col min="2570" max="2570" width="11" style="4" bestFit="1" customWidth="1"/>
    <col min="2571" max="2571" width="6.28515625" style="4" customWidth="1"/>
    <col min="2572" max="2572" width="6" style="4" bestFit="1" customWidth="1"/>
    <col min="2573" max="2816" width="9.140625" style="4"/>
    <col min="2817" max="2817" width="5.140625" style="4" customWidth="1"/>
    <col min="2818" max="2818" width="65.28515625" style="4" customWidth="1"/>
    <col min="2819" max="2819" width="13.28515625" style="4" customWidth="1"/>
    <col min="2820" max="2820" width="6.140625" style="4" bestFit="1" customWidth="1"/>
    <col min="2821" max="2821" width="8.28515625" style="4" customWidth="1"/>
    <col min="2822" max="2822" width="10" style="4" customWidth="1"/>
    <col min="2823" max="2823" width="11.85546875" style="4" bestFit="1" customWidth="1"/>
    <col min="2824" max="2824" width="25.42578125" style="4" customWidth="1"/>
    <col min="2825" max="2825" width="14.5703125" style="4" customWidth="1"/>
    <col min="2826" max="2826" width="11" style="4" bestFit="1" customWidth="1"/>
    <col min="2827" max="2827" width="6.28515625" style="4" customWidth="1"/>
    <col min="2828" max="2828" width="6" style="4" bestFit="1" customWidth="1"/>
    <col min="2829" max="3072" width="9.140625" style="4"/>
    <col min="3073" max="3073" width="5.140625" style="4" customWidth="1"/>
    <col min="3074" max="3074" width="65.28515625" style="4" customWidth="1"/>
    <col min="3075" max="3075" width="13.28515625" style="4" customWidth="1"/>
    <col min="3076" max="3076" width="6.140625" style="4" bestFit="1" customWidth="1"/>
    <col min="3077" max="3077" width="8.28515625" style="4" customWidth="1"/>
    <col min="3078" max="3078" width="10" style="4" customWidth="1"/>
    <col min="3079" max="3079" width="11.85546875" style="4" bestFit="1" customWidth="1"/>
    <col min="3080" max="3080" width="25.42578125" style="4" customWidth="1"/>
    <col min="3081" max="3081" width="14.5703125" style="4" customWidth="1"/>
    <col min="3082" max="3082" width="11" style="4" bestFit="1" customWidth="1"/>
    <col min="3083" max="3083" width="6.28515625" style="4" customWidth="1"/>
    <col min="3084" max="3084" width="6" style="4" bestFit="1" customWidth="1"/>
    <col min="3085" max="3328" width="9.140625" style="4"/>
    <col min="3329" max="3329" width="5.140625" style="4" customWidth="1"/>
    <col min="3330" max="3330" width="65.28515625" style="4" customWidth="1"/>
    <col min="3331" max="3331" width="13.28515625" style="4" customWidth="1"/>
    <col min="3332" max="3332" width="6.140625" style="4" bestFit="1" customWidth="1"/>
    <col min="3333" max="3333" width="8.28515625" style="4" customWidth="1"/>
    <col min="3334" max="3334" width="10" style="4" customWidth="1"/>
    <col min="3335" max="3335" width="11.85546875" style="4" bestFit="1" customWidth="1"/>
    <col min="3336" max="3336" width="25.42578125" style="4" customWidth="1"/>
    <col min="3337" max="3337" width="14.5703125" style="4" customWidth="1"/>
    <col min="3338" max="3338" width="11" style="4" bestFit="1" customWidth="1"/>
    <col min="3339" max="3339" width="6.28515625" style="4" customWidth="1"/>
    <col min="3340" max="3340" width="6" style="4" bestFit="1" customWidth="1"/>
    <col min="3341" max="3584" width="9.140625" style="4"/>
    <col min="3585" max="3585" width="5.140625" style="4" customWidth="1"/>
    <col min="3586" max="3586" width="65.28515625" style="4" customWidth="1"/>
    <col min="3587" max="3587" width="13.28515625" style="4" customWidth="1"/>
    <col min="3588" max="3588" width="6.140625" style="4" bestFit="1" customWidth="1"/>
    <col min="3589" max="3589" width="8.28515625" style="4" customWidth="1"/>
    <col min="3590" max="3590" width="10" style="4" customWidth="1"/>
    <col min="3591" max="3591" width="11.85546875" style="4" bestFit="1" customWidth="1"/>
    <col min="3592" max="3592" width="25.42578125" style="4" customWidth="1"/>
    <col min="3593" max="3593" width="14.5703125" style="4" customWidth="1"/>
    <col min="3594" max="3594" width="11" style="4" bestFit="1" customWidth="1"/>
    <col min="3595" max="3595" width="6.28515625" style="4" customWidth="1"/>
    <col min="3596" max="3596" width="6" style="4" bestFit="1" customWidth="1"/>
    <col min="3597" max="3840" width="9.140625" style="4"/>
    <col min="3841" max="3841" width="5.140625" style="4" customWidth="1"/>
    <col min="3842" max="3842" width="65.28515625" style="4" customWidth="1"/>
    <col min="3843" max="3843" width="13.28515625" style="4" customWidth="1"/>
    <col min="3844" max="3844" width="6.140625" style="4" bestFit="1" customWidth="1"/>
    <col min="3845" max="3845" width="8.28515625" style="4" customWidth="1"/>
    <col min="3846" max="3846" width="10" style="4" customWidth="1"/>
    <col min="3847" max="3847" width="11.85546875" style="4" bestFit="1" customWidth="1"/>
    <col min="3848" max="3848" width="25.42578125" style="4" customWidth="1"/>
    <col min="3849" max="3849" width="14.5703125" style="4" customWidth="1"/>
    <col min="3850" max="3850" width="11" style="4" bestFit="1" customWidth="1"/>
    <col min="3851" max="3851" width="6.28515625" style="4" customWidth="1"/>
    <col min="3852" max="3852" width="6" style="4" bestFit="1" customWidth="1"/>
    <col min="3853" max="4096" width="9.140625" style="4"/>
    <col min="4097" max="4097" width="5.140625" style="4" customWidth="1"/>
    <col min="4098" max="4098" width="65.28515625" style="4" customWidth="1"/>
    <col min="4099" max="4099" width="13.28515625" style="4" customWidth="1"/>
    <col min="4100" max="4100" width="6.140625" style="4" bestFit="1" customWidth="1"/>
    <col min="4101" max="4101" width="8.28515625" style="4" customWidth="1"/>
    <col min="4102" max="4102" width="10" style="4" customWidth="1"/>
    <col min="4103" max="4103" width="11.85546875" style="4" bestFit="1" customWidth="1"/>
    <col min="4104" max="4104" width="25.42578125" style="4" customWidth="1"/>
    <col min="4105" max="4105" width="14.5703125" style="4" customWidth="1"/>
    <col min="4106" max="4106" width="11" style="4" bestFit="1" customWidth="1"/>
    <col min="4107" max="4107" width="6.28515625" style="4" customWidth="1"/>
    <col min="4108" max="4108" width="6" style="4" bestFit="1" customWidth="1"/>
    <col min="4109" max="4352" width="9.140625" style="4"/>
    <col min="4353" max="4353" width="5.140625" style="4" customWidth="1"/>
    <col min="4354" max="4354" width="65.28515625" style="4" customWidth="1"/>
    <col min="4355" max="4355" width="13.28515625" style="4" customWidth="1"/>
    <col min="4356" max="4356" width="6.140625" style="4" bestFit="1" customWidth="1"/>
    <col min="4357" max="4357" width="8.28515625" style="4" customWidth="1"/>
    <col min="4358" max="4358" width="10" style="4" customWidth="1"/>
    <col min="4359" max="4359" width="11.85546875" style="4" bestFit="1" customWidth="1"/>
    <col min="4360" max="4360" width="25.42578125" style="4" customWidth="1"/>
    <col min="4361" max="4361" width="14.5703125" style="4" customWidth="1"/>
    <col min="4362" max="4362" width="11" style="4" bestFit="1" customWidth="1"/>
    <col min="4363" max="4363" width="6.28515625" style="4" customWidth="1"/>
    <col min="4364" max="4364" width="6" style="4" bestFit="1" customWidth="1"/>
    <col min="4365" max="4608" width="9.140625" style="4"/>
    <col min="4609" max="4609" width="5.140625" style="4" customWidth="1"/>
    <col min="4610" max="4610" width="65.28515625" style="4" customWidth="1"/>
    <col min="4611" max="4611" width="13.28515625" style="4" customWidth="1"/>
    <col min="4612" max="4612" width="6.140625" style="4" bestFit="1" customWidth="1"/>
    <col min="4613" max="4613" width="8.28515625" style="4" customWidth="1"/>
    <col min="4614" max="4614" width="10" style="4" customWidth="1"/>
    <col min="4615" max="4615" width="11.85546875" style="4" bestFit="1" customWidth="1"/>
    <col min="4616" max="4616" width="25.42578125" style="4" customWidth="1"/>
    <col min="4617" max="4617" width="14.5703125" style="4" customWidth="1"/>
    <col min="4618" max="4618" width="11" style="4" bestFit="1" customWidth="1"/>
    <col min="4619" max="4619" width="6.28515625" style="4" customWidth="1"/>
    <col min="4620" max="4620" width="6" style="4" bestFit="1" customWidth="1"/>
    <col min="4621" max="4864" width="9.140625" style="4"/>
    <col min="4865" max="4865" width="5.140625" style="4" customWidth="1"/>
    <col min="4866" max="4866" width="65.28515625" style="4" customWidth="1"/>
    <col min="4867" max="4867" width="13.28515625" style="4" customWidth="1"/>
    <col min="4868" max="4868" width="6.140625" style="4" bestFit="1" customWidth="1"/>
    <col min="4869" max="4869" width="8.28515625" style="4" customWidth="1"/>
    <col min="4870" max="4870" width="10" style="4" customWidth="1"/>
    <col min="4871" max="4871" width="11.85546875" style="4" bestFit="1" customWidth="1"/>
    <col min="4872" max="4872" width="25.42578125" style="4" customWidth="1"/>
    <col min="4873" max="4873" width="14.5703125" style="4" customWidth="1"/>
    <col min="4874" max="4874" width="11" style="4" bestFit="1" customWidth="1"/>
    <col min="4875" max="4875" width="6.28515625" style="4" customWidth="1"/>
    <col min="4876" max="4876" width="6" style="4" bestFit="1" customWidth="1"/>
    <col min="4877" max="5120" width="9.140625" style="4"/>
    <col min="5121" max="5121" width="5.140625" style="4" customWidth="1"/>
    <col min="5122" max="5122" width="65.28515625" style="4" customWidth="1"/>
    <col min="5123" max="5123" width="13.28515625" style="4" customWidth="1"/>
    <col min="5124" max="5124" width="6.140625" style="4" bestFit="1" customWidth="1"/>
    <col min="5125" max="5125" width="8.28515625" style="4" customWidth="1"/>
    <col min="5126" max="5126" width="10" style="4" customWidth="1"/>
    <col min="5127" max="5127" width="11.85546875" style="4" bestFit="1" customWidth="1"/>
    <col min="5128" max="5128" width="25.42578125" style="4" customWidth="1"/>
    <col min="5129" max="5129" width="14.5703125" style="4" customWidth="1"/>
    <col min="5130" max="5130" width="11" style="4" bestFit="1" customWidth="1"/>
    <col min="5131" max="5131" width="6.28515625" style="4" customWidth="1"/>
    <col min="5132" max="5132" width="6" style="4" bestFit="1" customWidth="1"/>
    <col min="5133" max="5376" width="9.140625" style="4"/>
    <col min="5377" max="5377" width="5.140625" style="4" customWidth="1"/>
    <col min="5378" max="5378" width="65.28515625" style="4" customWidth="1"/>
    <col min="5379" max="5379" width="13.28515625" style="4" customWidth="1"/>
    <col min="5380" max="5380" width="6.140625" style="4" bestFit="1" customWidth="1"/>
    <col min="5381" max="5381" width="8.28515625" style="4" customWidth="1"/>
    <col min="5382" max="5382" width="10" style="4" customWidth="1"/>
    <col min="5383" max="5383" width="11.85546875" style="4" bestFit="1" customWidth="1"/>
    <col min="5384" max="5384" width="25.42578125" style="4" customWidth="1"/>
    <col min="5385" max="5385" width="14.5703125" style="4" customWidth="1"/>
    <col min="5386" max="5386" width="11" style="4" bestFit="1" customWidth="1"/>
    <col min="5387" max="5387" width="6.28515625" style="4" customWidth="1"/>
    <col min="5388" max="5388" width="6" style="4" bestFit="1" customWidth="1"/>
    <col min="5389" max="5632" width="9.140625" style="4"/>
    <col min="5633" max="5633" width="5.140625" style="4" customWidth="1"/>
    <col min="5634" max="5634" width="65.28515625" style="4" customWidth="1"/>
    <col min="5635" max="5635" width="13.28515625" style="4" customWidth="1"/>
    <col min="5636" max="5636" width="6.140625" style="4" bestFit="1" customWidth="1"/>
    <col min="5637" max="5637" width="8.28515625" style="4" customWidth="1"/>
    <col min="5638" max="5638" width="10" style="4" customWidth="1"/>
    <col min="5639" max="5639" width="11.85546875" style="4" bestFit="1" customWidth="1"/>
    <col min="5640" max="5640" width="25.42578125" style="4" customWidth="1"/>
    <col min="5641" max="5641" width="14.5703125" style="4" customWidth="1"/>
    <col min="5642" max="5642" width="11" style="4" bestFit="1" customWidth="1"/>
    <col min="5643" max="5643" width="6.28515625" style="4" customWidth="1"/>
    <col min="5644" max="5644" width="6" style="4" bestFit="1" customWidth="1"/>
    <col min="5645" max="5888" width="9.140625" style="4"/>
    <col min="5889" max="5889" width="5.140625" style="4" customWidth="1"/>
    <col min="5890" max="5890" width="65.28515625" style="4" customWidth="1"/>
    <col min="5891" max="5891" width="13.28515625" style="4" customWidth="1"/>
    <col min="5892" max="5892" width="6.140625" style="4" bestFit="1" customWidth="1"/>
    <col min="5893" max="5893" width="8.28515625" style="4" customWidth="1"/>
    <col min="5894" max="5894" width="10" style="4" customWidth="1"/>
    <col min="5895" max="5895" width="11.85546875" style="4" bestFit="1" customWidth="1"/>
    <col min="5896" max="5896" width="25.42578125" style="4" customWidth="1"/>
    <col min="5897" max="5897" width="14.5703125" style="4" customWidth="1"/>
    <col min="5898" max="5898" width="11" style="4" bestFit="1" customWidth="1"/>
    <col min="5899" max="5899" width="6.28515625" style="4" customWidth="1"/>
    <col min="5900" max="5900" width="6" style="4" bestFit="1" customWidth="1"/>
    <col min="5901" max="6144" width="9.140625" style="4"/>
    <col min="6145" max="6145" width="5.140625" style="4" customWidth="1"/>
    <col min="6146" max="6146" width="65.28515625" style="4" customWidth="1"/>
    <col min="6147" max="6147" width="13.28515625" style="4" customWidth="1"/>
    <col min="6148" max="6148" width="6.140625" style="4" bestFit="1" customWidth="1"/>
    <col min="6149" max="6149" width="8.28515625" style="4" customWidth="1"/>
    <col min="6150" max="6150" width="10" style="4" customWidth="1"/>
    <col min="6151" max="6151" width="11.85546875" style="4" bestFit="1" customWidth="1"/>
    <col min="6152" max="6152" width="25.42578125" style="4" customWidth="1"/>
    <col min="6153" max="6153" width="14.5703125" style="4" customWidth="1"/>
    <col min="6154" max="6154" width="11" style="4" bestFit="1" customWidth="1"/>
    <col min="6155" max="6155" width="6.28515625" style="4" customWidth="1"/>
    <col min="6156" max="6156" width="6" style="4" bestFit="1" customWidth="1"/>
    <col min="6157" max="6400" width="9.140625" style="4"/>
    <col min="6401" max="6401" width="5.140625" style="4" customWidth="1"/>
    <col min="6402" max="6402" width="65.28515625" style="4" customWidth="1"/>
    <col min="6403" max="6403" width="13.28515625" style="4" customWidth="1"/>
    <col min="6404" max="6404" width="6.140625" style="4" bestFit="1" customWidth="1"/>
    <col min="6405" max="6405" width="8.28515625" style="4" customWidth="1"/>
    <col min="6406" max="6406" width="10" style="4" customWidth="1"/>
    <col min="6407" max="6407" width="11.85546875" style="4" bestFit="1" customWidth="1"/>
    <col min="6408" max="6408" width="25.42578125" style="4" customWidth="1"/>
    <col min="6409" max="6409" width="14.5703125" style="4" customWidth="1"/>
    <col min="6410" max="6410" width="11" style="4" bestFit="1" customWidth="1"/>
    <col min="6411" max="6411" width="6.28515625" style="4" customWidth="1"/>
    <col min="6412" max="6412" width="6" style="4" bestFit="1" customWidth="1"/>
    <col min="6413" max="6656" width="9.140625" style="4"/>
    <col min="6657" max="6657" width="5.140625" style="4" customWidth="1"/>
    <col min="6658" max="6658" width="65.28515625" style="4" customWidth="1"/>
    <col min="6659" max="6659" width="13.28515625" style="4" customWidth="1"/>
    <col min="6660" max="6660" width="6.140625" style="4" bestFit="1" customWidth="1"/>
    <col min="6661" max="6661" width="8.28515625" style="4" customWidth="1"/>
    <col min="6662" max="6662" width="10" style="4" customWidth="1"/>
    <col min="6663" max="6663" width="11.85546875" style="4" bestFit="1" customWidth="1"/>
    <col min="6664" max="6664" width="25.42578125" style="4" customWidth="1"/>
    <col min="6665" max="6665" width="14.5703125" style="4" customWidth="1"/>
    <col min="6666" max="6666" width="11" style="4" bestFit="1" customWidth="1"/>
    <col min="6667" max="6667" width="6.28515625" style="4" customWidth="1"/>
    <col min="6668" max="6668" width="6" style="4" bestFit="1" customWidth="1"/>
    <col min="6669" max="6912" width="9.140625" style="4"/>
    <col min="6913" max="6913" width="5.140625" style="4" customWidth="1"/>
    <col min="6914" max="6914" width="65.28515625" style="4" customWidth="1"/>
    <col min="6915" max="6915" width="13.28515625" style="4" customWidth="1"/>
    <col min="6916" max="6916" width="6.140625" style="4" bestFit="1" customWidth="1"/>
    <col min="6917" max="6917" width="8.28515625" style="4" customWidth="1"/>
    <col min="6918" max="6918" width="10" style="4" customWidth="1"/>
    <col min="6919" max="6919" width="11.85546875" style="4" bestFit="1" customWidth="1"/>
    <col min="6920" max="6920" width="25.42578125" style="4" customWidth="1"/>
    <col min="6921" max="6921" width="14.5703125" style="4" customWidth="1"/>
    <col min="6922" max="6922" width="11" style="4" bestFit="1" customWidth="1"/>
    <col min="6923" max="6923" width="6.28515625" style="4" customWidth="1"/>
    <col min="6924" max="6924" width="6" style="4" bestFit="1" customWidth="1"/>
    <col min="6925" max="7168" width="9.140625" style="4"/>
    <col min="7169" max="7169" width="5.140625" style="4" customWidth="1"/>
    <col min="7170" max="7170" width="65.28515625" style="4" customWidth="1"/>
    <col min="7171" max="7171" width="13.28515625" style="4" customWidth="1"/>
    <col min="7172" max="7172" width="6.140625" style="4" bestFit="1" customWidth="1"/>
    <col min="7173" max="7173" width="8.28515625" style="4" customWidth="1"/>
    <col min="7174" max="7174" width="10" style="4" customWidth="1"/>
    <col min="7175" max="7175" width="11.85546875" style="4" bestFit="1" customWidth="1"/>
    <col min="7176" max="7176" width="25.42578125" style="4" customWidth="1"/>
    <col min="7177" max="7177" width="14.5703125" style="4" customWidth="1"/>
    <col min="7178" max="7178" width="11" style="4" bestFit="1" customWidth="1"/>
    <col min="7179" max="7179" width="6.28515625" style="4" customWidth="1"/>
    <col min="7180" max="7180" width="6" style="4" bestFit="1" customWidth="1"/>
    <col min="7181" max="7424" width="9.140625" style="4"/>
    <col min="7425" max="7425" width="5.140625" style="4" customWidth="1"/>
    <col min="7426" max="7426" width="65.28515625" style="4" customWidth="1"/>
    <col min="7427" max="7427" width="13.28515625" style="4" customWidth="1"/>
    <col min="7428" max="7428" width="6.140625" style="4" bestFit="1" customWidth="1"/>
    <col min="7429" max="7429" width="8.28515625" style="4" customWidth="1"/>
    <col min="7430" max="7430" width="10" style="4" customWidth="1"/>
    <col min="7431" max="7431" width="11.85546875" style="4" bestFit="1" customWidth="1"/>
    <col min="7432" max="7432" width="25.42578125" style="4" customWidth="1"/>
    <col min="7433" max="7433" width="14.5703125" style="4" customWidth="1"/>
    <col min="7434" max="7434" width="11" style="4" bestFit="1" customWidth="1"/>
    <col min="7435" max="7435" width="6.28515625" style="4" customWidth="1"/>
    <col min="7436" max="7436" width="6" style="4" bestFit="1" customWidth="1"/>
    <col min="7437" max="7680" width="9.140625" style="4"/>
    <col min="7681" max="7681" width="5.140625" style="4" customWidth="1"/>
    <col min="7682" max="7682" width="65.28515625" style="4" customWidth="1"/>
    <col min="7683" max="7683" width="13.28515625" style="4" customWidth="1"/>
    <col min="7684" max="7684" width="6.140625" style="4" bestFit="1" customWidth="1"/>
    <col min="7685" max="7685" width="8.28515625" style="4" customWidth="1"/>
    <col min="7686" max="7686" width="10" style="4" customWidth="1"/>
    <col min="7687" max="7687" width="11.85546875" style="4" bestFit="1" customWidth="1"/>
    <col min="7688" max="7688" width="25.42578125" style="4" customWidth="1"/>
    <col min="7689" max="7689" width="14.5703125" style="4" customWidth="1"/>
    <col min="7690" max="7690" width="11" style="4" bestFit="1" customWidth="1"/>
    <col min="7691" max="7691" width="6.28515625" style="4" customWidth="1"/>
    <col min="7692" max="7692" width="6" style="4" bestFit="1" customWidth="1"/>
    <col min="7693" max="7936" width="9.140625" style="4"/>
    <col min="7937" max="7937" width="5.140625" style="4" customWidth="1"/>
    <col min="7938" max="7938" width="65.28515625" style="4" customWidth="1"/>
    <col min="7939" max="7939" width="13.28515625" style="4" customWidth="1"/>
    <col min="7940" max="7940" width="6.140625" style="4" bestFit="1" customWidth="1"/>
    <col min="7941" max="7941" width="8.28515625" style="4" customWidth="1"/>
    <col min="7942" max="7942" width="10" style="4" customWidth="1"/>
    <col min="7943" max="7943" width="11.85546875" style="4" bestFit="1" customWidth="1"/>
    <col min="7944" max="7944" width="25.42578125" style="4" customWidth="1"/>
    <col min="7945" max="7945" width="14.5703125" style="4" customWidth="1"/>
    <col min="7946" max="7946" width="11" style="4" bestFit="1" customWidth="1"/>
    <col min="7947" max="7947" width="6.28515625" style="4" customWidth="1"/>
    <col min="7948" max="7948" width="6" style="4" bestFit="1" customWidth="1"/>
    <col min="7949" max="8192" width="9.140625" style="4"/>
    <col min="8193" max="8193" width="5.140625" style="4" customWidth="1"/>
    <col min="8194" max="8194" width="65.28515625" style="4" customWidth="1"/>
    <col min="8195" max="8195" width="13.28515625" style="4" customWidth="1"/>
    <col min="8196" max="8196" width="6.140625" style="4" bestFit="1" customWidth="1"/>
    <col min="8197" max="8197" width="8.28515625" style="4" customWidth="1"/>
    <col min="8198" max="8198" width="10" style="4" customWidth="1"/>
    <col min="8199" max="8199" width="11.85546875" style="4" bestFit="1" customWidth="1"/>
    <col min="8200" max="8200" width="25.42578125" style="4" customWidth="1"/>
    <col min="8201" max="8201" width="14.5703125" style="4" customWidth="1"/>
    <col min="8202" max="8202" width="11" style="4" bestFit="1" customWidth="1"/>
    <col min="8203" max="8203" width="6.28515625" style="4" customWidth="1"/>
    <col min="8204" max="8204" width="6" style="4" bestFit="1" customWidth="1"/>
    <col min="8205" max="8448" width="9.140625" style="4"/>
    <col min="8449" max="8449" width="5.140625" style="4" customWidth="1"/>
    <col min="8450" max="8450" width="65.28515625" style="4" customWidth="1"/>
    <col min="8451" max="8451" width="13.28515625" style="4" customWidth="1"/>
    <col min="8452" max="8452" width="6.140625" style="4" bestFit="1" customWidth="1"/>
    <col min="8453" max="8453" width="8.28515625" style="4" customWidth="1"/>
    <col min="8454" max="8454" width="10" style="4" customWidth="1"/>
    <col min="8455" max="8455" width="11.85546875" style="4" bestFit="1" customWidth="1"/>
    <col min="8456" max="8456" width="25.42578125" style="4" customWidth="1"/>
    <col min="8457" max="8457" width="14.5703125" style="4" customWidth="1"/>
    <col min="8458" max="8458" width="11" style="4" bestFit="1" customWidth="1"/>
    <col min="8459" max="8459" width="6.28515625" style="4" customWidth="1"/>
    <col min="8460" max="8460" width="6" style="4" bestFit="1" customWidth="1"/>
    <col min="8461" max="8704" width="9.140625" style="4"/>
    <col min="8705" max="8705" width="5.140625" style="4" customWidth="1"/>
    <col min="8706" max="8706" width="65.28515625" style="4" customWidth="1"/>
    <col min="8707" max="8707" width="13.28515625" style="4" customWidth="1"/>
    <col min="8708" max="8708" width="6.140625" style="4" bestFit="1" customWidth="1"/>
    <col min="8709" max="8709" width="8.28515625" style="4" customWidth="1"/>
    <col min="8710" max="8710" width="10" style="4" customWidth="1"/>
    <col min="8711" max="8711" width="11.85546875" style="4" bestFit="1" customWidth="1"/>
    <col min="8712" max="8712" width="25.42578125" style="4" customWidth="1"/>
    <col min="8713" max="8713" width="14.5703125" style="4" customWidth="1"/>
    <col min="8714" max="8714" width="11" style="4" bestFit="1" customWidth="1"/>
    <col min="8715" max="8715" width="6.28515625" style="4" customWidth="1"/>
    <col min="8716" max="8716" width="6" style="4" bestFit="1" customWidth="1"/>
    <col min="8717" max="8960" width="9.140625" style="4"/>
    <col min="8961" max="8961" width="5.140625" style="4" customWidth="1"/>
    <col min="8962" max="8962" width="65.28515625" style="4" customWidth="1"/>
    <col min="8963" max="8963" width="13.28515625" style="4" customWidth="1"/>
    <col min="8964" max="8964" width="6.140625" style="4" bestFit="1" customWidth="1"/>
    <col min="8965" max="8965" width="8.28515625" style="4" customWidth="1"/>
    <col min="8966" max="8966" width="10" style="4" customWidth="1"/>
    <col min="8967" max="8967" width="11.85546875" style="4" bestFit="1" customWidth="1"/>
    <col min="8968" max="8968" width="25.42578125" style="4" customWidth="1"/>
    <col min="8969" max="8969" width="14.5703125" style="4" customWidth="1"/>
    <col min="8970" max="8970" width="11" style="4" bestFit="1" customWidth="1"/>
    <col min="8971" max="8971" width="6.28515625" style="4" customWidth="1"/>
    <col min="8972" max="8972" width="6" style="4" bestFit="1" customWidth="1"/>
    <col min="8973" max="9216" width="9.140625" style="4"/>
    <col min="9217" max="9217" width="5.140625" style="4" customWidth="1"/>
    <col min="9218" max="9218" width="65.28515625" style="4" customWidth="1"/>
    <col min="9219" max="9219" width="13.28515625" style="4" customWidth="1"/>
    <col min="9220" max="9220" width="6.140625" style="4" bestFit="1" customWidth="1"/>
    <col min="9221" max="9221" width="8.28515625" style="4" customWidth="1"/>
    <col min="9222" max="9222" width="10" style="4" customWidth="1"/>
    <col min="9223" max="9223" width="11.85546875" style="4" bestFit="1" customWidth="1"/>
    <col min="9224" max="9224" width="25.42578125" style="4" customWidth="1"/>
    <col min="9225" max="9225" width="14.5703125" style="4" customWidth="1"/>
    <col min="9226" max="9226" width="11" style="4" bestFit="1" customWidth="1"/>
    <col min="9227" max="9227" width="6.28515625" style="4" customWidth="1"/>
    <col min="9228" max="9228" width="6" style="4" bestFit="1" customWidth="1"/>
    <col min="9229" max="9472" width="9.140625" style="4"/>
    <col min="9473" max="9473" width="5.140625" style="4" customWidth="1"/>
    <col min="9474" max="9474" width="65.28515625" style="4" customWidth="1"/>
    <col min="9475" max="9475" width="13.28515625" style="4" customWidth="1"/>
    <col min="9476" max="9476" width="6.140625" style="4" bestFit="1" customWidth="1"/>
    <col min="9477" max="9477" width="8.28515625" style="4" customWidth="1"/>
    <col min="9478" max="9478" width="10" style="4" customWidth="1"/>
    <col min="9479" max="9479" width="11.85546875" style="4" bestFit="1" customWidth="1"/>
    <col min="9480" max="9480" width="25.42578125" style="4" customWidth="1"/>
    <col min="9481" max="9481" width="14.5703125" style="4" customWidth="1"/>
    <col min="9482" max="9482" width="11" style="4" bestFit="1" customWidth="1"/>
    <col min="9483" max="9483" width="6.28515625" style="4" customWidth="1"/>
    <col min="9484" max="9484" width="6" style="4" bestFit="1" customWidth="1"/>
    <col min="9485" max="9728" width="9.140625" style="4"/>
    <col min="9729" max="9729" width="5.140625" style="4" customWidth="1"/>
    <col min="9730" max="9730" width="65.28515625" style="4" customWidth="1"/>
    <col min="9731" max="9731" width="13.28515625" style="4" customWidth="1"/>
    <col min="9732" max="9732" width="6.140625" style="4" bestFit="1" customWidth="1"/>
    <col min="9733" max="9733" width="8.28515625" style="4" customWidth="1"/>
    <col min="9734" max="9734" width="10" style="4" customWidth="1"/>
    <col min="9735" max="9735" width="11.85546875" style="4" bestFit="1" customWidth="1"/>
    <col min="9736" max="9736" width="25.42578125" style="4" customWidth="1"/>
    <col min="9737" max="9737" width="14.5703125" style="4" customWidth="1"/>
    <col min="9738" max="9738" width="11" style="4" bestFit="1" customWidth="1"/>
    <col min="9739" max="9739" width="6.28515625" style="4" customWidth="1"/>
    <col min="9740" max="9740" width="6" style="4" bestFit="1" customWidth="1"/>
    <col min="9741" max="9984" width="9.140625" style="4"/>
    <col min="9985" max="9985" width="5.140625" style="4" customWidth="1"/>
    <col min="9986" max="9986" width="65.28515625" style="4" customWidth="1"/>
    <col min="9987" max="9987" width="13.28515625" style="4" customWidth="1"/>
    <col min="9988" max="9988" width="6.140625" style="4" bestFit="1" customWidth="1"/>
    <col min="9989" max="9989" width="8.28515625" style="4" customWidth="1"/>
    <col min="9990" max="9990" width="10" style="4" customWidth="1"/>
    <col min="9991" max="9991" width="11.85546875" style="4" bestFit="1" customWidth="1"/>
    <col min="9992" max="9992" width="25.42578125" style="4" customWidth="1"/>
    <col min="9993" max="9993" width="14.5703125" style="4" customWidth="1"/>
    <col min="9994" max="9994" width="11" style="4" bestFit="1" customWidth="1"/>
    <col min="9995" max="9995" width="6.28515625" style="4" customWidth="1"/>
    <col min="9996" max="9996" width="6" style="4" bestFit="1" customWidth="1"/>
    <col min="9997" max="10240" width="9.140625" style="4"/>
    <col min="10241" max="10241" width="5.140625" style="4" customWidth="1"/>
    <col min="10242" max="10242" width="65.28515625" style="4" customWidth="1"/>
    <col min="10243" max="10243" width="13.28515625" style="4" customWidth="1"/>
    <col min="10244" max="10244" width="6.140625" style="4" bestFit="1" customWidth="1"/>
    <col min="10245" max="10245" width="8.28515625" style="4" customWidth="1"/>
    <col min="10246" max="10246" width="10" style="4" customWidth="1"/>
    <col min="10247" max="10247" width="11.85546875" style="4" bestFit="1" customWidth="1"/>
    <col min="10248" max="10248" width="25.42578125" style="4" customWidth="1"/>
    <col min="10249" max="10249" width="14.5703125" style="4" customWidth="1"/>
    <col min="10250" max="10250" width="11" style="4" bestFit="1" customWidth="1"/>
    <col min="10251" max="10251" width="6.28515625" style="4" customWidth="1"/>
    <col min="10252" max="10252" width="6" style="4" bestFit="1" customWidth="1"/>
    <col min="10253" max="10496" width="9.140625" style="4"/>
    <col min="10497" max="10497" width="5.140625" style="4" customWidth="1"/>
    <col min="10498" max="10498" width="65.28515625" style="4" customWidth="1"/>
    <col min="10499" max="10499" width="13.28515625" style="4" customWidth="1"/>
    <col min="10500" max="10500" width="6.140625" style="4" bestFit="1" customWidth="1"/>
    <col min="10501" max="10501" width="8.28515625" style="4" customWidth="1"/>
    <col min="10502" max="10502" width="10" style="4" customWidth="1"/>
    <col min="10503" max="10503" width="11.85546875" style="4" bestFit="1" customWidth="1"/>
    <col min="10504" max="10504" width="25.42578125" style="4" customWidth="1"/>
    <col min="10505" max="10505" width="14.5703125" style="4" customWidth="1"/>
    <col min="10506" max="10506" width="11" style="4" bestFit="1" customWidth="1"/>
    <col min="10507" max="10507" width="6.28515625" style="4" customWidth="1"/>
    <col min="10508" max="10508" width="6" style="4" bestFit="1" customWidth="1"/>
    <col min="10509" max="10752" width="9.140625" style="4"/>
    <col min="10753" max="10753" width="5.140625" style="4" customWidth="1"/>
    <col min="10754" max="10754" width="65.28515625" style="4" customWidth="1"/>
    <col min="10755" max="10755" width="13.28515625" style="4" customWidth="1"/>
    <col min="10756" max="10756" width="6.140625" style="4" bestFit="1" customWidth="1"/>
    <col min="10757" max="10757" width="8.28515625" style="4" customWidth="1"/>
    <col min="10758" max="10758" width="10" style="4" customWidth="1"/>
    <col min="10759" max="10759" width="11.85546875" style="4" bestFit="1" customWidth="1"/>
    <col min="10760" max="10760" width="25.42578125" style="4" customWidth="1"/>
    <col min="10761" max="10761" width="14.5703125" style="4" customWidth="1"/>
    <col min="10762" max="10762" width="11" style="4" bestFit="1" customWidth="1"/>
    <col min="10763" max="10763" width="6.28515625" style="4" customWidth="1"/>
    <col min="10764" max="10764" width="6" style="4" bestFit="1" customWidth="1"/>
    <col min="10765" max="11008" width="9.140625" style="4"/>
    <col min="11009" max="11009" width="5.140625" style="4" customWidth="1"/>
    <col min="11010" max="11010" width="65.28515625" style="4" customWidth="1"/>
    <col min="11011" max="11011" width="13.28515625" style="4" customWidth="1"/>
    <col min="11012" max="11012" width="6.140625" style="4" bestFit="1" customWidth="1"/>
    <col min="11013" max="11013" width="8.28515625" style="4" customWidth="1"/>
    <col min="11014" max="11014" width="10" style="4" customWidth="1"/>
    <col min="11015" max="11015" width="11.85546875" style="4" bestFit="1" customWidth="1"/>
    <col min="11016" max="11016" width="25.42578125" style="4" customWidth="1"/>
    <col min="11017" max="11017" width="14.5703125" style="4" customWidth="1"/>
    <col min="11018" max="11018" width="11" style="4" bestFit="1" customWidth="1"/>
    <col min="11019" max="11019" width="6.28515625" style="4" customWidth="1"/>
    <col min="11020" max="11020" width="6" style="4" bestFit="1" customWidth="1"/>
    <col min="11021" max="11264" width="9.140625" style="4"/>
    <col min="11265" max="11265" width="5.140625" style="4" customWidth="1"/>
    <col min="11266" max="11266" width="65.28515625" style="4" customWidth="1"/>
    <col min="11267" max="11267" width="13.28515625" style="4" customWidth="1"/>
    <col min="11268" max="11268" width="6.140625" style="4" bestFit="1" customWidth="1"/>
    <col min="11269" max="11269" width="8.28515625" style="4" customWidth="1"/>
    <col min="11270" max="11270" width="10" style="4" customWidth="1"/>
    <col min="11271" max="11271" width="11.85546875" style="4" bestFit="1" customWidth="1"/>
    <col min="11272" max="11272" width="25.42578125" style="4" customWidth="1"/>
    <col min="11273" max="11273" width="14.5703125" style="4" customWidth="1"/>
    <col min="11274" max="11274" width="11" style="4" bestFit="1" customWidth="1"/>
    <col min="11275" max="11275" width="6.28515625" style="4" customWidth="1"/>
    <col min="11276" max="11276" width="6" style="4" bestFit="1" customWidth="1"/>
    <col min="11277" max="11520" width="9.140625" style="4"/>
    <col min="11521" max="11521" width="5.140625" style="4" customWidth="1"/>
    <col min="11522" max="11522" width="65.28515625" style="4" customWidth="1"/>
    <col min="11523" max="11523" width="13.28515625" style="4" customWidth="1"/>
    <col min="11524" max="11524" width="6.140625" style="4" bestFit="1" customWidth="1"/>
    <col min="11525" max="11525" width="8.28515625" style="4" customWidth="1"/>
    <col min="11526" max="11526" width="10" style="4" customWidth="1"/>
    <col min="11527" max="11527" width="11.85546875" style="4" bestFit="1" customWidth="1"/>
    <col min="11528" max="11528" width="25.42578125" style="4" customWidth="1"/>
    <col min="11529" max="11529" width="14.5703125" style="4" customWidth="1"/>
    <col min="11530" max="11530" width="11" style="4" bestFit="1" customWidth="1"/>
    <col min="11531" max="11531" width="6.28515625" style="4" customWidth="1"/>
    <col min="11532" max="11532" width="6" style="4" bestFit="1" customWidth="1"/>
    <col min="11533" max="11776" width="9.140625" style="4"/>
    <col min="11777" max="11777" width="5.140625" style="4" customWidth="1"/>
    <col min="11778" max="11778" width="65.28515625" style="4" customWidth="1"/>
    <col min="11779" max="11779" width="13.28515625" style="4" customWidth="1"/>
    <col min="11780" max="11780" width="6.140625" style="4" bestFit="1" customWidth="1"/>
    <col min="11781" max="11781" width="8.28515625" style="4" customWidth="1"/>
    <col min="11782" max="11782" width="10" style="4" customWidth="1"/>
    <col min="11783" max="11783" width="11.85546875" style="4" bestFit="1" customWidth="1"/>
    <col min="11784" max="11784" width="25.42578125" style="4" customWidth="1"/>
    <col min="11785" max="11785" width="14.5703125" style="4" customWidth="1"/>
    <col min="11786" max="11786" width="11" style="4" bestFit="1" customWidth="1"/>
    <col min="11787" max="11787" width="6.28515625" style="4" customWidth="1"/>
    <col min="11788" max="11788" width="6" style="4" bestFit="1" customWidth="1"/>
    <col min="11789" max="12032" width="9.140625" style="4"/>
    <col min="12033" max="12033" width="5.140625" style="4" customWidth="1"/>
    <col min="12034" max="12034" width="65.28515625" style="4" customWidth="1"/>
    <col min="12035" max="12035" width="13.28515625" style="4" customWidth="1"/>
    <col min="12036" max="12036" width="6.140625" style="4" bestFit="1" customWidth="1"/>
    <col min="12037" max="12037" width="8.28515625" style="4" customWidth="1"/>
    <col min="12038" max="12038" width="10" style="4" customWidth="1"/>
    <col min="12039" max="12039" width="11.85546875" style="4" bestFit="1" customWidth="1"/>
    <col min="12040" max="12040" width="25.42578125" style="4" customWidth="1"/>
    <col min="12041" max="12041" width="14.5703125" style="4" customWidth="1"/>
    <col min="12042" max="12042" width="11" style="4" bestFit="1" customWidth="1"/>
    <col min="12043" max="12043" width="6.28515625" style="4" customWidth="1"/>
    <col min="12044" max="12044" width="6" style="4" bestFit="1" customWidth="1"/>
    <col min="12045" max="12288" width="9.140625" style="4"/>
    <col min="12289" max="12289" width="5.140625" style="4" customWidth="1"/>
    <col min="12290" max="12290" width="65.28515625" style="4" customWidth="1"/>
    <col min="12291" max="12291" width="13.28515625" style="4" customWidth="1"/>
    <col min="12292" max="12292" width="6.140625" style="4" bestFit="1" customWidth="1"/>
    <col min="12293" max="12293" width="8.28515625" style="4" customWidth="1"/>
    <col min="12294" max="12294" width="10" style="4" customWidth="1"/>
    <col min="12295" max="12295" width="11.85546875" style="4" bestFit="1" customWidth="1"/>
    <col min="12296" max="12296" width="25.42578125" style="4" customWidth="1"/>
    <col min="12297" max="12297" width="14.5703125" style="4" customWidth="1"/>
    <col min="12298" max="12298" width="11" style="4" bestFit="1" customWidth="1"/>
    <col min="12299" max="12299" width="6.28515625" style="4" customWidth="1"/>
    <col min="12300" max="12300" width="6" style="4" bestFit="1" customWidth="1"/>
    <col min="12301" max="12544" width="9.140625" style="4"/>
    <col min="12545" max="12545" width="5.140625" style="4" customWidth="1"/>
    <col min="12546" max="12546" width="65.28515625" style="4" customWidth="1"/>
    <col min="12547" max="12547" width="13.28515625" style="4" customWidth="1"/>
    <col min="12548" max="12548" width="6.140625" style="4" bestFit="1" customWidth="1"/>
    <col min="12549" max="12549" width="8.28515625" style="4" customWidth="1"/>
    <col min="12550" max="12550" width="10" style="4" customWidth="1"/>
    <col min="12551" max="12551" width="11.85546875" style="4" bestFit="1" customWidth="1"/>
    <col min="12552" max="12552" width="25.42578125" style="4" customWidth="1"/>
    <col min="12553" max="12553" width="14.5703125" style="4" customWidth="1"/>
    <col min="12554" max="12554" width="11" style="4" bestFit="1" customWidth="1"/>
    <col min="12555" max="12555" width="6.28515625" style="4" customWidth="1"/>
    <col min="12556" max="12556" width="6" style="4" bestFit="1" customWidth="1"/>
    <col min="12557" max="12800" width="9.140625" style="4"/>
    <col min="12801" max="12801" width="5.140625" style="4" customWidth="1"/>
    <col min="12802" max="12802" width="65.28515625" style="4" customWidth="1"/>
    <col min="12803" max="12803" width="13.28515625" style="4" customWidth="1"/>
    <col min="12804" max="12804" width="6.140625" style="4" bestFit="1" customWidth="1"/>
    <col min="12805" max="12805" width="8.28515625" style="4" customWidth="1"/>
    <col min="12806" max="12806" width="10" style="4" customWidth="1"/>
    <col min="12807" max="12807" width="11.85546875" style="4" bestFit="1" customWidth="1"/>
    <col min="12808" max="12808" width="25.42578125" style="4" customWidth="1"/>
    <col min="12809" max="12809" width="14.5703125" style="4" customWidth="1"/>
    <col min="12810" max="12810" width="11" style="4" bestFit="1" customWidth="1"/>
    <col min="12811" max="12811" width="6.28515625" style="4" customWidth="1"/>
    <col min="12812" max="12812" width="6" style="4" bestFit="1" customWidth="1"/>
    <col min="12813" max="13056" width="9.140625" style="4"/>
    <col min="13057" max="13057" width="5.140625" style="4" customWidth="1"/>
    <col min="13058" max="13058" width="65.28515625" style="4" customWidth="1"/>
    <col min="13059" max="13059" width="13.28515625" style="4" customWidth="1"/>
    <col min="13060" max="13060" width="6.140625" style="4" bestFit="1" customWidth="1"/>
    <col min="13061" max="13061" width="8.28515625" style="4" customWidth="1"/>
    <col min="13062" max="13062" width="10" style="4" customWidth="1"/>
    <col min="13063" max="13063" width="11.85546875" style="4" bestFit="1" customWidth="1"/>
    <col min="13064" max="13064" width="25.42578125" style="4" customWidth="1"/>
    <col min="13065" max="13065" width="14.5703125" style="4" customWidth="1"/>
    <col min="13066" max="13066" width="11" style="4" bestFit="1" customWidth="1"/>
    <col min="13067" max="13067" width="6.28515625" style="4" customWidth="1"/>
    <col min="13068" max="13068" width="6" style="4" bestFit="1" customWidth="1"/>
    <col min="13069" max="13312" width="9.140625" style="4"/>
    <col min="13313" max="13313" width="5.140625" style="4" customWidth="1"/>
    <col min="13314" max="13314" width="65.28515625" style="4" customWidth="1"/>
    <col min="13315" max="13315" width="13.28515625" style="4" customWidth="1"/>
    <col min="13316" max="13316" width="6.140625" style="4" bestFit="1" customWidth="1"/>
    <col min="13317" max="13317" width="8.28515625" style="4" customWidth="1"/>
    <col min="13318" max="13318" width="10" style="4" customWidth="1"/>
    <col min="13319" max="13319" width="11.85546875" style="4" bestFit="1" customWidth="1"/>
    <col min="13320" max="13320" width="25.42578125" style="4" customWidth="1"/>
    <col min="13321" max="13321" width="14.5703125" style="4" customWidth="1"/>
    <col min="13322" max="13322" width="11" style="4" bestFit="1" customWidth="1"/>
    <col min="13323" max="13323" width="6.28515625" style="4" customWidth="1"/>
    <col min="13324" max="13324" width="6" style="4" bestFit="1" customWidth="1"/>
    <col min="13325" max="13568" width="9.140625" style="4"/>
    <col min="13569" max="13569" width="5.140625" style="4" customWidth="1"/>
    <col min="13570" max="13570" width="65.28515625" style="4" customWidth="1"/>
    <col min="13571" max="13571" width="13.28515625" style="4" customWidth="1"/>
    <col min="13572" max="13572" width="6.140625" style="4" bestFit="1" customWidth="1"/>
    <col min="13573" max="13573" width="8.28515625" style="4" customWidth="1"/>
    <col min="13574" max="13574" width="10" style="4" customWidth="1"/>
    <col min="13575" max="13575" width="11.85546875" style="4" bestFit="1" customWidth="1"/>
    <col min="13576" max="13576" width="25.42578125" style="4" customWidth="1"/>
    <col min="13577" max="13577" width="14.5703125" style="4" customWidth="1"/>
    <col min="13578" max="13578" width="11" style="4" bestFit="1" customWidth="1"/>
    <col min="13579" max="13579" width="6.28515625" style="4" customWidth="1"/>
    <col min="13580" max="13580" width="6" style="4" bestFit="1" customWidth="1"/>
    <col min="13581" max="13824" width="9.140625" style="4"/>
    <col min="13825" max="13825" width="5.140625" style="4" customWidth="1"/>
    <col min="13826" max="13826" width="65.28515625" style="4" customWidth="1"/>
    <col min="13827" max="13827" width="13.28515625" style="4" customWidth="1"/>
    <col min="13828" max="13828" width="6.140625" style="4" bestFit="1" customWidth="1"/>
    <col min="13829" max="13829" width="8.28515625" style="4" customWidth="1"/>
    <col min="13830" max="13830" width="10" style="4" customWidth="1"/>
    <col min="13831" max="13831" width="11.85546875" style="4" bestFit="1" customWidth="1"/>
    <col min="13832" max="13832" width="25.42578125" style="4" customWidth="1"/>
    <col min="13833" max="13833" width="14.5703125" style="4" customWidth="1"/>
    <col min="13834" max="13834" width="11" style="4" bestFit="1" customWidth="1"/>
    <col min="13835" max="13835" width="6.28515625" style="4" customWidth="1"/>
    <col min="13836" max="13836" width="6" style="4" bestFit="1" customWidth="1"/>
    <col min="13837" max="14080" width="9.140625" style="4"/>
    <col min="14081" max="14081" width="5.140625" style="4" customWidth="1"/>
    <col min="14082" max="14082" width="65.28515625" style="4" customWidth="1"/>
    <col min="14083" max="14083" width="13.28515625" style="4" customWidth="1"/>
    <col min="14084" max="14084" width="6.140625" style="4" bestFit="1" customWidth="1"/>
    <col min="14085" max="14085" width="8.28515625" style="4" customWidth="1"/>
    <col min="14086" max="14086" width="10" style="4" customWidth="1"/>
    <col min="14087" max="14087" width="11.85546875" style="4" bestFit="1" customWidth="1"/>
    <col min="14088" max="14088" width="25.42578125" style="4" customWidth="1"/>
    <col min="14089" max="14089" width="14.5703125" style="4" customWidth="1"/>
    <col min="14090" max="14090" width="11" style="4" bestFit="1" customWidth="1"/>
    <col min="14091" max="14091" width="6.28515625" style="4" customWidth="1"/>
    <col min="14092" max="14092" width="6" style="4" bestFit="1" customWidth="1"/>
    <col min="14093" max="14336" width="9.140625" style="4"/>
    <col min="14337" max="14337" width="5.140625" style="4" customWidth="1"/>
    <col min="14338" max="14338" width="65.28515625" style="4" customWidth="1"/>
    <col min="14339" max="14339" width="13.28515625" style="4" customWidth="1"/>
    <col min="14340" max="14340" width="6.140625" style="4" bestFit="1" customWidth="1"/>
    <col min="14341" max="14341" width="8.28515625" style="4" customWidth="1"/>
    <col min="14342" max="14342" width="10" style="4" customWidth="1"/>
    <col min="14343" max="14343" width="11.85546875" style="4" bestFit="1" customWidth="1"/>
    <col min="14344" max="14344" width="25.42578125" style="4" customWidth="1"/>
    <col min="14345" max="14345" width="14.5703125" style="4" customWidth="1"/>
    <col min="14346" max="14346" width="11" style="4" bestFit="1" customWidth="1"/>
    <col min="14347" max="14347" width="6.28515625" style="4" customWidth="1"/>
    <col min="14348" max="14348" width="6" style="4" bestFit="1" customWidth="1"/>
    <col min="14349" max="14592" width="9.140625" style="4"/>
    <col min="14593" max="14593" width="5.140625" style="4" customWidth="1"/>
    <col min="14594" max="14594" width="65.28515625" style="4" customWidth="1"/>
    <col min="14595" max="14595" width="13.28515625" style="4" customWidth="1"/>
    <col min="14596" max="14596" width="6.140625" style="4" bestFit="1" customWidth="1"/>
    <col min="14597" max="14597" width="8.28515625" style="4" customWidth="1"/>
    <col min="14598" max="14598" width="10" style="4" customWidth="1"/>
    <col min="14599" max="14599" width="11.85546875" style="4" bestFit="1" customWidth="1"/>
    <col min="14600" max="14600" width="25.42578125" style="4" customWidth="1"/>
    <col min="14601" max="14601" width="14.5703125" style="4" customWidth="1"/>
    <col min="14602" max="14602" width="11" style="4" bestFit="1" customWidth="1"/>
    <col min="14603" max="14603" width="6.28515625" style="4" customWidth="1"/>
    <col min="14604" max="14604" width="6" style="4" bestFit="1" customWidth="1"/>
    <col min="14605" max="14848" width="9.140625" style="4"/>
    <col min="14849" max="14849" width="5.140625" style="4" customWidth="1"/>
    <col min="14850" max="14850" width="65.28515625" style="4" customWidth="1"/>
    <col min="14851" max="14851" width="13.28515625" style="4" customWidth="1"/>
    <col min="14852" max="14852" width="6.140625" style="4" bestFit="1" customWidth="1"/>
    <col min="14853" max="14853" width="8.28515625" style="4" customWidth="1"/>
    <col min="14854" max="14854" width="10" style="4" customWidth="1"/>
    <col min="14855" max="14855" width="11.85546875" style="4" bestFit="1" customWidth="1"/>
    <col min="14856" max="14856" width="25.42578125" style="4" customWidth="1"/>
    <col min="14857" max="14857" width="14.5703125" style="4" customWidth="1"/>
    <col min="14858" max="14858" width="11" style="4" bestFit="1" customWidth="1"/>
    <col min="14859" max="14859" width="6.28515625" style="4" customWidth="1"/>
    <col min="14860" max="14860" width="6" style="4" bestFit="1" customWidth="1"/>
    <col min="14861" max="15104" width="9.140625" style="4"/>
    <col min="15105" max="15105" width="5.140625" style="4" customWidth="1"/>
    <col min="15106" max="15106" width="65.28515625" style="4" customWidth="1"/>
    <col min="15107" max="15107" width="13.28515625" style="4" customWidth="1"/>
    <col min="15108" max="15108" width="6.140625" style="4" bestFit="1" customWidth="1"/>
    <col min="15109" max="15109" width="8.28515625" style="4" customWidth="1"/>
    <col min="15110" max="15110" width="10" style="4" customWidth="1"/>
    <col min="15111" max="15111" width="11.85546875" style="4" bestFit="1" customWidth="1"/>
    <col min="15112" max="15112" width="25.42578125" style="4" customWidth="1"/>
    <col min="15113" max="15113" width="14.5703125" style="4" customWidth="1"/>
    <col min="15114" max="15114" width="11" style="4" bestFit="1" customWidth="1"/>
    <col min="15115" max="15115" width="6.28515625" style="4" customWidth="1"/>
    <col min="15116" max="15116" width="6" style="4" bestFit="1" customWidth="1"/>
    <col min="15117" max="15360" width="9.140625" style="4"/>
    <col min="15361" max="15361" width="5.140625" style="4" customWidth="1"/>
    <col min="15362" max="15362" width="65.28515625" style="4" customWidth="1"/>
    <col min="15363" max="15363" width="13.28515625" style="4" customWidth="1"/>
    <col min="15364" max="15364" width="6.140625" style="4" bestFit="1" customWidth="1"/>
    <col min="15365" max="15365" width="8.28515625" style="4" customWidth="1"/>
    <col min="15366" max="15366" width="10" style="4" customWidth="1"/>
    <col min="15367" max="15367" width="11.85546875" style="4" bestFit="1" customWidth="1"/>
    <col min="15368" max="15368" width="25.42578125" style="4" customWidth="1"/>
    <col min="15369" max="15369" width="14.5703125" style="4" customWidth="1"/>
    <col min="15370" max="15370" width="11" style="4" bestFit="1" customWidth="1"/>
    <col min="15371" max="15371" width="6.28515625" style="4" customWidth="1"/>
    <col min="15372" max="15372" width="6" style="4" bestFit="1" customWidth="1"/>
    <col min="15373" max="15616" width="9.140625" style="4"/>
    <col min="15617" max="15617" width="5.140625" style="4" customWidth="1"/>
    <col min="15618" max="15618" width="65.28515625" style="4" customWidth="1"/>
    <col min="15619" max="15619" width="13.28515625" style="4" customWidth="1"/>
    <col min="15620" max="15620" width="6.140625" style="4" bestFit="1" customWidth="1"/>
    <col min="15621" max="15621" width="8.28515625" style="4" customWidth="1"/>
    <col min="15622" max="15622" width="10" style="4" customWidth="1"/>
    <col min="15623" max="15623" width="11.85546875" style="4" bestFit="1" customWidth="1"/>
    <col min="15624" max="15624" width="25.42578125" style="4" customWidth="1"/>
    <col min="15625" max="15625" width="14.5703125" style="4" customWidth="1"/>
    <col min="15626" max="15626" width="11" style="4" bestFit="1" customWidth="1"/>
    <col min="15627" max="15627" width="6.28515625" style="4" customWidth="1"/>
    <col min="15628" max="15628" width="6" style="4" bestFit="1" customWidth="1"/>
    <col min="15629" max="15872" width="9.140625" style="4"/>
    <col min="15873" max="15873" width="5.140625" style="4" customWidth="1"/>
    <col min="15874" max="15874" width="65.28515625" style="4" customWidth="1"/>
    <col min="15875" max="15875" width="13.28515625" style="4" customWidth="1"/>
    <col min="15876" max="15876" width="6.140625" style="4" bestFit="1" customWidth="1"/>
    <col min="15877" max="15877" width="8.28515625" style="4" customWidth="1"/>
    <col min="15878" max="15878" width="10" style="4" customWidth="1"/>
    <col min="15879" max="15879" width="11.85546875" style="4" bestFit="1" customWidth="1"/>
    <col min="15880" max="15880" width="25.42578125" style="4" customWidth="1"/>
    <col min="15881" max="15881" width="14.5703125" style="4" customWidth="1"/>
    <col min="15882" max="15882" width="11" style="4" bestFit="1" customWidth="1"/>
    <col min="15883" max="15883" width="6.28515625" style="4" customWidth="1"/>
    <col min="15884" max="15884" width="6" style="4" bestFit="1" customWidth="1"/>
    <col min="15885" max="16128" width="9.140625" style="4"/>
    <col min="16129" max="16129" width="5.140625" style="4" customWidth="1"/>
    <col min="16130" max="16130" width="65.28515625" style="4" customWidth="1"/>
    <col min="16131" max="16131" width="13.28515625" style="4" customWidth="1"/>
    <col min="16132" max="16132" width="6.140625" style="4" bestFit="1" customWidth="1"/>
    <col min="16133" max="16133" width="8.28515625" style="4" customWidth="1"/>
    <col min="16134" max="16134" width="10" style="4" customWidth="1"/>
    <col min="16135" max="16135" width="11.85546875" style="4" bestFit="1" customWidth="1"/>
    <col min="16136" max="16136" width="25.42578125" style="4" customWidth="1"/>
    <col min="16137" max="16137" width="14.5703125" style="4" customWidth="1"/>
    <col min="16138" max="16138" width="11" style="4" bestFit="1" customWidth="1"/>
    <col min="16139" max="16139" width="6.28515625" style="4" customWidth="1"/>
    <col min="16140" max="16140" width="6" style="4" bestFit="1" customWidth="1"/>
    <col min="16141" max="16384" width="9.140625" style="4"/>
  </cols>
  <sheetData>
    <row r="1" spans="1:14" ht="20.25">
      <c r="A1" s="779"/>
      <c r="B1" s="3482" t="s">
        <v>2181</v>
      </c>
      <c r="C1" s="3482"/>
      <c r="D1" s="3482"/>
      <c r="E1" s="3482"/>
      <c r="F1" s="3482"/>
      <c r="G1" s="780"/>
      <c r="J1" s="781"/>
      <c r="K1" s="781"/>
    </row>
    <row r="2" spans="1:14" ht="16.5" customHeight="1">
      <c r="A2" s="779"/>
      <c r="B2" s="782"/>
      <c r="C2" s="782"/>
      <c r="D2" s="782"/>
      <c r="E2" s="782"/>
      <c r="F2" s="782"/>
      <c r="G2" s="1759" t="s">
        <v>89</v>
      </c>
      <c r="J2" s="783"/>
      <c r="K2" s="783"/>
    </row>
    <row r="3" spans="1:14" ht="21.75" customHeight="1">
      <c r="B3" s="3483" t="s">
        <v>2182</v>
      </c>
      <c r="C3" s="3483"/>
      <c r="D3" s="3483"/>
      <c r="E3" s="3483"/>
      <c r="F3" s="3483"/>
      <c r="G3" s="784"/>
    </row>
    <row r="4" spans="1:14" ht="12" customHeight="1">
      <c r="B4" s="785"/>
      <c r="C4" s="785"/>
      <c r="D4" s="785"/>
      <c r="E4" s="785"/>
      <c r="F4" s="785"/>
      <c r="G4" s="785"/>
    </row>
    <row r="5" spans="1:14" ht="31.5" customHeight="1">
      <c r="A5" s="786" t="s">
        <v>2</v>
      </c>
      <c r="B5" s="787" t="s">
        <v>3</v>
      </c>
      <c r="C5" s="788" t="s">
        <v>1720</v>
      </c>
      <c r="D5" s="787" t="s">
        <v>5</v>
      </c>
      <c r="E5" s="787" t="s">
        <v>2118</v>
      </c>
      <c r="F5" s="789" t="s">
        <v>9</v>
      </c>
      <c r="G5" s="790" t="s">
        <v>10</v>
      </c>
    </row>
    <row r="6" spans="1:14" ht="14.25" customHeight="1">
      <c r="A6" s="787">
        <v>1</v>
      </c>
      <c r="B6" s="787">
        <v>2</v>
      </c>
      <c r="C6" s="791">
        <v>3</v>
      </c>
      <c r="D6" s="787">
        <v>4</v>
      </c>
      <c r="E6" s="787">
        <v>5</v>
      </c>
      <c r="F6" s="789">
        <v>6</v>
      </c>
      <c r="G6" s="790">
        <v>7</v>
      </c>
    </row>
    <row r="7" spans="1:14" ht="18.75" customHeight="1">
      <c r="A7" s="1863">
        <v>1</v>
      </c>
      <c r="B7" s="1864" t="s">
        <v>2260</v>
      </c>
      <c r="C7" s="1258">
        <v>7130800001</v>
      </c>
      <c r="D7" s="1863" t="s">
        <v>33</v>
      </c>
      <c r="E7" s="1865">
        <v>1</v>
      </c>
      <c r="F7" s="734">
        <f>VLOOKUP(C7,'SOR RATE'!A:D,4,0)</f>
        <v>3096.2</v>
      </c>
      <c r="G7" s="1866">
        <f t="shared" ref="G7:G15" si="0">E7*F7</f>
        <v>3096.2</v>
      </c>
      <c r="H7" s="859" t="s">
        <v>2261</v>
      </c>
    </row>
    <row r="8" spans="1:14" ht="32.25" customHeight="1">
      <c r="A8" s="1867" t="s">
        <v>2262</v>
      </c>
      <c r="B8" s="1868" t="s">
        <v>562</v>
      </c>
      <c r="C8" s="1186">
        <v>7130797533</v>
      </c>
      <c r="D8" s="1869" t="s">
        <v>12</v>
      </c>
      <c r="E8" s="1870">
        <v>1</v>
      </c>
      <c r="F8" s="734">
        <f>VLOOKUP(C8,'SOR RATE'!A:D,4,0)</f>
        <v>550.41999999999996</v>
      </c>
      <c r="G8" s="1871">
        <f t="shared" si="0"/>
        <v>550.41999999999996</v>
      </c>
    </row>
    <row r="9" spans="1:14" ht="30" customHeight="1">
      <c r="A9" s="1872" t="s">
        <v>1494</v>
      </c>
      <c r="B9" s="1873" t="s">
        <v>456</v>
      </c>
      <c r="C9" s="1183">
        <v>7130390003</v>
      </c>
      <c r="D9" s="1869" t="s">
        <v>12</v>
      </c>
      <c r="E9" s="1870">
        <v>4</v>
      </c>
      <c r="F9" s="734">
        <f>VLOOKUP(C9,'SOR RATE'!A:D,4,0)</f>
        <v>96.28</v>
      </c>
      <c r="G9" s="1871">
        <f>E9*F9</f>
        <v>385.12</v>
      </c>
    </row>
    <row r="10" spans="1:14" ht="18" customHeight="1">
      <c r="A10" s="1872" t="s">
        <v>1946</v>
      </c>
      <c r="B10" s="1868" t="s">
        <v>2183</v>
      </c>
      <c r="C10" s="1183">
        <v>7130390006</v>
      </c>
      <c r="D10" s="1869" t="s">
        <v>12</v>
      </c>
      <c r="E10" s="1870">
        <v>1</v>
      </c>
      <c r="F10" s="734">
        <f>VLOOKUP(C10,'SOR RATE'!A:D,4,0)</f>
        <v>153.72999999999999</v>
      </c>
      <c r="G10" s="1871">
        <f t="shared" si="0"/>
        <v>153.72999999999999</v>
      </c>
    </row>
    <row r="11" spans="1:14" ht="30" customHeight="1">
      <c r="A11" s="1872">
        <v>3</v>
      </c>
      <c r="B11" s="1874" t="s">
        <v>958</v>
      </c>
      <c r="C11" s="1875">
        <v>7131950012</v>
      </c>
      <c r="D11" s="1863" t="s">
        <v>12</v>
      </c>
      <c r="E11" s="1865">
        <v>1</v>
      </c>
      <c r="F11" s="734">
        <f>VLOOKUP(C11,'SOR RATE'!A:D,4,0)</f>
        <v>1531.04</v>
      </c>
      <c r="G11" s="1866">
        <f>E11*F11</f>
        <v>1531.04</v>
      </c>
      <c r="H11" s="792"/>
      <c r="I11" s="239"/>
      <c r="J11" s="239"/>
      <c r="K11" s="239"/>
      <c r="L11" s="239"/>
      <c r="M11" s="239"/>
      <c r="N11" s="239"/>
    </row>
    <row r="12" spans="1:14" ht="17.25" customHeight="1">
      <c r="A12" s="1863">
        <v>4</v>
      </c>
      <c r="B12" s="1874" t="s">
        <v>2343</v>
      </c>
      <c r="C12" s="1875">
        <v>7130311029</v>
      </c>
      <c r="D12" s="1863" t="s">
        <v>190</v>
      </c>
      <c r="E12" s="1876">
        <v>1.5</v>
      </c>
      <c r="F12" s="734">
        <f>VLOOKUP(C12,'SOR RATE'!A:D,4,0)</f>
        <v>116.13</v>
      </c>
      <c r="G12" s="1866">
        <f>E12*F12</f>
        <v>174.19499999999999</v>
      </c>
      <c r="H12" s="739" t="s">
        <v>119</v>
      </c>
      <c r="I12" s="239"/>
      <c r="J12" s="239"/>
      <c r="K12" s="239"/>
      <c r="L12" s="239"/>
      <c r="M12" s="239"/>
      <c r="N12" s="239"/>
    </row>
    <row r="13" spans="1:14" ht="29.25" customHeight="1">
      <c r="A13" s="1872">
        <v>5</v>
      </c>
      <c r="B13" s="1261" t="s">
        <v>458</v>
      </c>
      <c r="C13" s="1183">
        <v>7130390004</v>
      </c>
      <c r="D13" s="1183" t="s">
        <v>12</v>
      </c>
      <c r="E13" s="1865">
        <v>4</v>
      </c>
      <c r="F13" s="734">
        <f>VLOOKUP(C13,'SOR RATE'!A:D,4,0)</f>
        <v>125.42</v>
      </c>
      <c r="G13" s="1866">
        <f>E13*F13</f>
        <v>501.68</v>
      </c>
      <c r="H13" s="739" t="s">
        <v>119</v>
      </c>
      <c r="I13" s="239"/>
      <c r="J13" s="239"/>
      <c r="K13" s="239"/>
      <c r="L13" s="239"/>
      <c r="M13" s="239"/>
      <c r="N13" s="239"/>
    </row>
    <row r="14" spans="1:14" ht="15" customHeight="1">
      <c r="A14" s="1872">
        <v>6</v>
      </c>
      <c r="B14" s="1182" t="s">
        <v>583</v>
      </c>
      <c r="C14" s="1186">
        <v>7130810102</v>
      </c>
      <c r="D14" s="1183" t="s">
        <v>12</v>
      </c>
      <c r="E14" s="1865">
        <v>1</v>
      </c>
      <c r="F14" s="734">
        <f>VLOOKUP(C14,'SOR RATE'!A:D,4,0)</f>
        <v>442.47</v>
      </c>
      <c r="G14" s="1866">
        <f>E14*F14</f>
        <v>442.47</v>
      </c>
      <c r="H14" s="739" t="s">
        <v>119</v>
      </c>
      <c r="I14" s="239"/>
      <c r="J14" s="239"/>
      <c r="K14" s="239"/>
      <c r="L14" s="239"/>
      <c r="M14" s="239"/>
      <c r="N14" s="239"/>
    </row>
    <row r="15" spans="1:14" ht="17.25" customHeight="1">
      <c r="A15" s="1877">
        <v>7</v>
      </c>
      <c r="B15" s="1868" t="s">
        <v>1740</v>
      </c>
      <c r="C15" s="1877">
        <v>7130870013</v>
      </c>
      <c r="D15" s="1863" t="s">
        <v>12</v>
      </c>
      <c r="E15" s="1865">
        <v>1</v>
      </c>
      <c r="F15" s="734">
        <f>VLOOKUP(C15,'SOR RATE'!A:D,4,0)</f>
        <v>152.88999999999999</v>
      </c>
      <c r="G15" s="1866">
        <f t="shared" si="0"/>
        <v>152.88999999999999</v>
      </c>
    </row>
    <row r="16" spans="1:14" ht="18" customHeight="1">
      <c r="A16" s="931">
        <v>8</v>
      </c>
      <c r="B16" s="1191" t="s">
        <v>48</v>
      </c>
      <c r="C16" s="1304"/>
      <c r="D16" s="1304"/>
      <c r="E16" s="938"/>
      <c r="F16" s="938"/>
      <c r="G16" s="1193">
        <f>SUM(G7:G15)</f>
        <v>6987.7449999999999</v>
      </c>
      <c r="H16" s="793"/>
      <c r="I16" s="794"/>
    </row>
    <row r="17" spans="1:10" ht="18" customHeight="1">
      <c r="A17" s="931">
        <v>9</v>
      </c>
      <c r="B17" s="1191" t="s">
        <v>49</v>
      </c>
      <c r="C17" s="1304"/>
      <c r="D17" s="1304"/>
      <c r="E17" s="938"/>
      <c r="F17" s="938"/>
      <c r="G17" s="1193">
        <f>G16/1.18</f>
        <v>5921.8177966101694</v>
      </c>
      <c r="H17" s="17"/>
      <c r="I17" s="794"/>
    </row>
    <row r="18" spans="1:10" ht="17.25" customHeight="1">
      <c r="A18" s="1181">
        <v>10</v>
      </c>
      <c r="B18" s="1185" t="s">
        <v>50</v>
      </c>
      <c r="C18" s="1878"/>
      <c r="D18" s="1878"/>
      <c r="E18" s="1878"/>
      <c r="F18" s="1181">
        <v>7.4999999999999997E-2</v>
      </c>
      <c r="G18" s="734">
        <f>G16*F18</f>
        <v>524.08087499999999</v>
      </c>
      <c r="H18" s="776"/>
      <c r="I18" s="794"/>
    </row>
    <row r="19" spans="1:10" ht="16.5" customHeight="1">
      <c r="A19" s="1184">
        <v>11</v>
      </c>
      <c r="B19" s="1290" t="s">
        <v>1742</v>
      </c>
      <c r="C19" s="1695"/>
      <c r="D19" s="1817" t="s">
        <v>12</v>
      </c>
      <c r="E19" s="1181">
        <v>1</v>
      </c>
      <c r="F19" s="1202">
        <f>229.365334460327*1.043</f>
        <v>239.22804384212105</v>
      </c>
      <c r="G19" s="734">
        <f>E19*F19</f>
        <v>239.22804384212105</v>
      </c>
      <c r="H19" s="59"/>
    </row>
    <row r="20" spans="1:10" ht="18.75" customHeight="1">
      <c r="A20" s="1181">
        <v>12</v>
      </c>
      <c r="B20" s="1188" t="s">
        <v>2184</v>
      </c>
      <c r="C20" s="1200"/>
      <c r="D20" s="1470"/>
      <c r="E20" s="1181"/>
      <c r="F20" s="1181"/>
      <c r="G20" s="734">
        <v>2063.7399999999998</v>
      </c>
      <c r="H20" s="795"/>
      <c r="I20" s="490"/>
      <c r="J20" s="19"/>
    </row>
    <row r="21" spans="1:10" ht="17.25" customHeight="1">
      <c r="A21" s="1181">
        <v>13</v>
      </c>
      <c r="B21" s="1188" t="s">
        <v>2344</v>
      </c>
      <c r="C21" s="1261"/>
      <c r="D21" s="1300"/>
      <c r="E21" s="1181">
        <v>0.04</v>
      </c>
      <c r="F21" s="1209"/>
      <c r="G21" s="734">
        <f>G17*E21</f>
        <v>236.87271186440677</v>
      </c>
      <c r="H21" s="737" t="s">
        <v>1827</v>
      </c>
      <c r="I21" s="177"/>
    </row>
    <row r="22" spans="1:10" ht="31.5" customHeight="1">
      <c r="A22" s="1181">
        <v>14</v>
      </c>
      <c r="B22" s="1233" t="s">
        <v>1641</v>
      </c>
      <c r="C22" s="1261"/>
      <c r="D22" s="1300"/>
      <c r="E22" s="1209"/>
      <c r="F22" s="1209"/>
      <c r="G22" s="1210">
        <f>(G16+G18+G19+G20+G21)*0.125</f>
        <v>1256.458328838316</v>
      </c>
      <c r="H22" s="796"/>
      <c r="I22" s="177"/>
    </row>
    <row r="23" spans="1:10" ht="18" customHeight="1">
      <c r="A23" s="931">
        <v>15</v>
      </c>
      <c r="B23" s="1214" t="s">
        <v>1642</v>
      </c>
      <c r="C23" s="1261"/>
      <c r="D23" s="1300"/>
      <c r="E23" s="1209"/>
      <c r="F23" s="1209"/>
      <c r="G23" s="1193">
        <f>SUM(G17:G22)</f>
        <v>10242.197756155014</v>
      </c>
      <c r="H23" s="797"/>
    </row>
    <row r="24" spans="1:10" ht="18" customHeight="1">
      <c r="A24" s="1181">
        <v>16</v>
      </c>
      <c r="B24" s="1185" t="s">
        <v>1637</v>
      </c>
      <c r="C24" s="1261"/>
      <c r="D24" s="1300"/>
      <c r="E24" s="1209"/>
      <c r="F24" s="1181">
        <v>0.09</v>
      </c>
      <c r="G24" s="734">
        <f>G23*F24</f>
        <v>921.79779805395117</v>
      </c>
      <c r="H24" s="797"/>
    </row>
    <row r="25" spans="1:10" ht="18" customHeight="1">
      <c r="A25" s="1181">
        <v>17</v>
      </c>
      <c r="B25" s="1185" t="s">
        <v>1638</v>
      </c>
      <c r="C25" s="1261"/>
      <c r="D25" s="1300"/>
      <c r="E25" s="1209"/>
      <c r="F25" s="1181">
        <v>0.09</v>
      </c>
      <c r="G25" s="734">
        <f>G23*F25</f>
        <v>921.79779805395117</v>
      </c>
      <c r="H25" s="398"/>
    </row>
    <row r="26" spans="1:10" ht="17.25" customHeight="1">
      <c r="A26" s="1181">
        <v>18</v>
      </c>
      <c r="B26" s="1185" t="s">
        <v>1639</v>
      </c>
      <c r="C26" s="1300"/>
      <c r="D26" s="1300"/>
      <c r="E26" s="1209"/>
      <c r="F26" s="1209"/>
      <c r="G26" s="734">
        <f>G23+G24+G25</f>
        <v>12085.793352262916</v>
      </c>
    </row>
    <row r="27" spans="1:10" ht="18" customHeight="1">
      <c r="A27" s="931">
        <v>19</v>
      </c>
      <c r="B27" s="1214" t="s">
        <v>59</v>
      </c>
      <c r="C27" s="1879"/>
      <c r="D27" s="1879"/>
      <c r="E27" s="1879"/>
      <c r="F27" s="1879"/>
      <c r="G27" s="1193">
        <f>ROUND(G26,0)</f>
        <v>12086</v>
      </c>
    </row>
    <row r="30" spans="1:10">
      <c r="A30" s="778"/>
      <c r="B30" s="12"/>
      <c r="C30" s="12"/>
      <c r="D30" s="12"/>
      <c r="E30" s="12"/>
      <c r="F30" s="12"/>
      <c r="G30" s="12"/>
    </row>
    <row r="31" spans="1:10">
      <c r="A31" s="778"/>
      <c r="B31" s="12"/>
      <c r="C31" s="12"/>
      <c r="D31" s="12"/>
      <c r="E31" s="12"/>
      <c r="F31" s="12"/>
      <c r="G31" s="12"/>
    </row>
    <row r="32" spans="1:10">
      <c r="A32" s="778"/>
      <c r="B32" s="12"/>
      <c r="C32" s="12"/>
      <c r="D32" s="12"/>
      <c r="E32" s="12"/>
      <c r="F32" s="12"/>
      <c r="G32" s="12"/>
    </row>
    <row r="33" spans="1:8">
      <c r="A33" s="778"/>
      <c r="B33" s="12"/>
      <c r="C33" s="12"/>
      <c r="D33" s="12"/>
      <c r="E33" s="12"/>
      <c r="F33" s="12"/>
      <c r="G33" s="12"/>
      <c r="H33" s="12"/>
    </row>
    <row r="34" spans="1:8">
      <c r="A34" s="778"/>
      <c r="B34" s="12"/>
      <c r="C34" s="12"/>
      <c r="D34" s="12"/>
      <c r="E34" s="12"/>
      <c r="F34" s="12"/>
      <c r="G34" s="12"/>
      <c r="H34" s="12"/>
    </row>
    <row r="35" spans="1:8">
      <c r="A35" s="778"/>
      <c r="B35" s="12"/>
      <c r="C35" s="12"/>
      <c r="D35" s="12"/>
      <c r="E35" s="12"/>
      <c r="F35" s="12"/>
      <c r="G35" s="12"/>
      <c r="H35" s="12"/>
    </row>
    <row r="36" spans="1:8">
      <c r="A36" s="778"/>
      <c r="B36" s="12"/>
      <c r="C36" s="12"/>
      <c r="D36" s="12"/>
      <c r="E36" s="12"/>
      <c r="F36" s="12"/>
      <c r="G36" s="12"/>
    </row>
    <row r="37" spans="1:8">
      <c r="A37" s="778"/>
      <c r="B37" s="12"/>
      <c r="C37" s="12"/>
      <c r="D37" s="12"/>
      <c r="E37" s="12"/>
      <c r="F37" s="12"/>
      <c r="G37" s="12"/>
    </row>
    <row r="38" spans="1:8">
      <c r="A38" s="778"/>
      <c r="B38" s="12"/>
      <c r="C38" s="12"/>
      <c r="D38" s="12"/>
      <c r="E38" s="12"/>
      <c r="F38" s="12"/>
      <c r="G38" s="12"/>
    </row>
    <row r="39" spans="1:8">
      <c r="A39" s="778"/>
      <c r="B39" s="12"/>
      <c r="C39" s="12"/>
      <c r="D39" s="12"/>
      <c r="E39" s="12"/>
      <c r="F39" s="12"/>
      <c r="G39" s="12"/>
    </row>
    <row r="40" spans="1:8">
      <c r="A40" s="778"/>
      <c r="B40" s="12"/>
      <c r="C40" s="12"/>
      <c r="D40" s="12"/>
      <c r="E40" s="12"/>
      <c r="F40" s="12"/>
      <c r="G40" s="12"/>
    </row>
    <row r="41" spans="1:8">
      <c r="A41" s="778"/>
      <c r="B41" s="12"/>
      <c r="C41" s="12"/>
      <c r="D41" s="12"/>
      <c r="E41" s="12"/>
      <c r="F41" s="12"/>
      <c r="G41" s="12"/>
    </row>
    <row r="42" spans="1:8">
      <c r="A42" s="778"/>
      <c r="B42" s="12"/>
      <c r="C42" s="12"/>
      <c r="D42" s="12"/>
      <c r="E42" s="12"/>
      <c r="F42" s="12"/>
      <c r="G42" s="12"/>
    </row>
    <row r="43" spans="1:8">
      <c r="A43" s="778"/>
      <c r="B43" s="12"/>
      <c r="C43" s="12"/>
      <c r="D43" s="12"/>
      <c r="E43" s="12"/>
      <c r="F43" s="12"/>
      <c r="G43" s="12"/>
    </row>
    <row r="44" spans="1:8">
      <c r="A44" s="778"/>
      <c r="B44" s="12"/>
      <c r="C44" s="12"/>
      <c r="D44" s="12"/>
      <c r="E44" s="12"/>
      <c r="F44" s="12"/>
      <c r="G44" s="12"/>
    </row>
    <row r="45" spans="1:8">
      <c r="A45" s="778"/>
      <c r="B45" s="12"/>
      <c r="C45" s="12"/>
      <c r="D45" s="12"/>
      <c r="E45" s="12"/>
      <c r="F45" s="12"/>
      <c r="G45" s="12"/>
    </row>
    <row r="46" spans="1:8">
      <c r="A46" s="778"/>
      <c r="B46" s="12"/>
      <c r="C46" s="12"/>
      <c r="D46" s="12"/>
      <c r="E46" s="12"/>
      <c r="F46" s="12"/>
      <c r="G46" s="12"/>
    </row>
    <row r="47" spans="1:8">
      <c r="A47" s="778"/>
      <c r="B47" s="12"/>
      <c r="C47" s="12"/>
      <c r="D47" s="12"/>
      <c r="E47" s="12"/>
      <c r="F47" s="12"/>
      <c r="G47" s="12"/>
    </row>
    <row r="48" spans="1:8">
      <c r="A48" s="778"/>
      <c r="B48" s="12"/>
      <c r="C48" s="12"/>
      <c r="D48" s="12"/>
      <c r="E48" s="12"/>
      <c r="F48" s="12"/>
      <c r="G48" s="12"/>
    </row>
    <row r="49" spans="1:7">
      <c r="A49" s="778"/>
      <c r="B49" s="12"/>
      <c r="C49" s="12"/>
      <c r="D49" s="12"/>
      <c r="E49" s="12"/>
      <c r="F49" s="12"/>
      <c r="G49" s="12"/>
    </row>
    <row r="50" spans="1:7">
      <c r="A50" s="778"/>
      <c r="B50" s="12"/>
      <c r="C50" s="12"/>
      <c r="D50" s="12"/>
      <c r="E50" s="12"/>
      <c r="F50" s="12"/>
      <c r="G50" s="12"/>
    </row>
    <row r="51" spans="1:7">
      <c r="A51" s="778"/>
      <c r="B51" s="12"/>
      <c r="C51" s="12"/>
      <c r="D51" s="12"/>
      <c r="E51" s="12"/>
      <c r="F51" s="12"/>
      <c r="G51" s="12"/>
    </row>
    <row r="52" spans="1:7">
      <c r="A52" s="778"/>
      <c r="B52" s="12"/>
      <c r="C52" s="12"/>
      <c r="D52" s="12"/>
      <c r="E52" s="12"/>
      <c r="F52" s="12"/>
      <c r="G52" s="12"/>
    </row>
    <row r="53" spans="1:7">
      <c r="A53" s="778"/>
      <c r="B53" s="12"/>
      <c r="C53" s="12"/>
      <c r="D53" s="12"/>
      <c r="E53" s="12"/>
      <c r="F53" s="12"/>
      <c r="G53" s="12"/>
    </row>
    <row r="54" spans="1:7">
      <c r="A54" s="778"/>
      <c r="B54" s="12"/>
      <c r="C54" s="12"/>
      <c r="D54" s="12"/>
      <c r="E54" s="12"/>
      <c r="F54" s="12"/>
      <c r="G54" s="12"/>
    </row>
    <row r="55" spans="1:7">
      <c r="A55" s="778"/>
      <c r="B55" s="12"/>
      <c r="C55" s="12"/>
      <c r="D55" s="12"/>
      <c r="E55" s="12"/>
      <c r="F55" s="12"/>
      <c r="G55" s="12"/>
    </row>
    <row r="56" spans="1:7">
      <c r="A56" s="778"/>
      <c r="B56" s="12"/>
      <c r="C56" s="12"/>
      <c r="D56" s="12"/>
      <c r="E56" s="12"/>
      <c r="F56" s="12"/>
      <c r="G56" s="12"/>
    </row>
    <row r="57" spans="1:7">
      <c r="A57" s="778"/>
      <c r="B57" s="12"/>
      <c r="C57" s="12"/>
      <c r="D57" s="12"/>
      <c r="E57" s="12"/>
      <c r="F57" s="12"/>
      <c r="G57" s="12"/>
    </row>
    <row r="58" spans="1:7">
      <c r="A58" s="778"/>
      <c r="B58" s="12"/>
      <c r="C58" s="12"/>
      <c r="D58" s="12"/>
      <c r="E58" s="12"/>
      <c r="F58" s="12"/>
      <c r="G58" s="12"/>
    </row>
    <row r="59" spans="1:7">
      <c r="A59" s="778"/>
      <c r="B59" s="12"/>
      <c r="C59" s="12"/>
      <c r="D59" s="12"/>
      <c r="E59" s="12"/>
      <c r="F59" s="12"/>
      <c r="G59" s="12"/>
    </row>
    <row r="60" spans="1:7">
      <c r="A60" s="778"/>
      <c r="B60" s="12"/>
      <c r="C60" s="12"/>
      <c r="D60" s="12"/>
      <c r="E60" s="12"/>
      <c r="F60" s="12"/>
      <c r="G60" s="12"/>
    </row>
    <row r="61" spans="1:7">
      <c r="A61" s="778"/>
      <c r="B61" s="12"/>
      <c r="C61" s="12"/>
      <c r="D61" s="12"/>
      <c r="E61" s="12"/>
      <c r="F61" s="12"/>
      <c r="G61" s="12"/>
    </row>
    <row r="62" spans="1:7">
      <c r="A62" s="778"/>
      <c r="B62" s="12"/>
      <c r="C62" s="12"/>
      <c r="D62" s="12"/>
      <c r="E62" s="12"/>
      <c r="F62" s="12"/>
      <c r="G62" s="12"/>
    </row>
    <row r="63" spans="1:7">
      <c r="A63" s="778"/>
      <c r="B63" s="12"/>
      <c r="C63" s="12"/>
      <c r="D63" s="12"/>
      <c r="E63" s="12"/>
      <c r="F63" s="12"/>
      <c r="G63" s="12"/>
    </row>
    <row r="64" spans="1:7">
      <c r="A64" s="778"/>
      <c r="B64" s="12"/>
      <c r="C64" s="12"/>
      <c r="D64" s="12"/>
      <c r="E64" s="12"/>
      <c r="F64" s="12"/>
      <c r="G64" s="12"/>
    </row>
    <row r="65" spans="1:7">
      <c r="A65" s="778"/>
      <c r="B65" s="12"/>
      <c r="C65" s="12"/>
      <c r="D65" s="12"/>
      <c r="E65" s="12"/>
      <c r="F65" s="12"/>
      <c r="G65" s="12"/>
    </row>
    <row r="66" spans="1:7">
      <c r="A66" s="778"/>
      <c r="B66" s="12"/>
      <c r="C66" s="12"/>
      <c r="D66" s="12"/>
      <c r="E66" s="12"/>
      <c r="F66" s="12"/>
      <c r="G66" s="12"/>
    </row>
    <row r="67" spans="1:7">
      <c r="A67" s="778"/>
      <c r="B67" s="12"/>
      <c r="C67" s="12"/>
      <c r="D67" s="12"/>
      <c r="E67" s="12"/>
      <c r="F67" s="12"/>
      <c r="G67" s="12"/>
    </row>
    <row r="68" spans="1:7">
      <c r="A68" s="778"/>
      <c r="B68" s="12"/>
      <c r="C68" s="12"/>
      <c r="D68" s="12"/>
      <c r="E68" s="12"/>
      <c r="F68" s="12"/>
      <c r="G68" s="12"/>
    </row>
    <row r="69" spans="1:7">
      <c r="A69" s="778"/>
      <c r="B69" s="12"/>
      <c r="C69" s="12"/>
      <c r="D69" s="12"/>
      <c r="E69" s="12"/>
      <c r="F69" s="12"/>
      <c r="G69" s="12"/>
    </row>
    <row r="70" spans="1:7">
      <c r="A70" s="778"/>
      <c r="B70" s="12"/>
      <c r="C70" s="12"/>
      <c r="D70" s="12"/>
      <c r="E70" s="12"/>
      <c r="F70" s="12"/>
      <c r="G70" s="12"/>
    </row>
    <row r="71" spans="1:7">
      <c r="A71" s="778"/>
      <c r="B71" s="12"/>
      <c r="C71" s="12"/>
      <c r="D71" s="12"/>
      <c r="E71" s="12"/>
      <c r="F71" s="12"/>
      <c r="G71" s="12"/>
    </row>
    <row r="72" spans="1:7">
      <c r="A72" s="778"/>
      <c r="B72" s="12"/>
      <c r="C72" s="12"/>
      <c r="D72" s="12"/>
      <c r="E72" s="12"/>
      <c r="F72" s="12"/>
      <c r="G72" s="12"/>
    </row>
    <row r="73" spans="1:7">
      <c r="A73" s="778"/>
      <c r="B73" s="12"/>
      <c r="C73" s="12"/>
      <c r="D73" s="12"/>
      <c r="E73" s="12"/>
      <c r="F73" s="12"/>
      <c r="G73" s="12"/>
    </row>
    <row r="74" spans="1:7">
      <c r="A74" s="778"/>
      <c r="B74" s="12"/>
      <c r="C74" s="12"/>
      <c r="D74" s="12"/>
      <c r="E74" s="12"/>
      <c r="F74" s="12"/>
      <c r="G74" s="12"/>
    </row>
    <row r="75" spans="1:7">
      <c r="A75" s="778"/>
      <c r="B75" s="12"/>
      <c r="C75" s="12"/>
      <c r="D75" s="12"/>
      <c r="E75" s="12"/>
      <c r="F75" s="12"/>
      <c r="G75" s="12"/>
    </row>
    <row r="76" spans="1:7">
      <c r="A76" s="778"/>
      <c r="B76" s="12"/>
      <c r="C76" s="12"/>
      <c r="D76" s="12"/>
      <c r="E76" s="12"/>
      <c r="F76" s="12"/>
      <c r="G76" s="12"/>
    </row>
    <row r="77" spans="1:7">
      <c r="A77" s="778"/>
      <c r="B77" s="12"/>
      <c r="C77" s="12"/>
      <c r="D77" s="12"/>
      <c r="E77" s="12"/>
      <c r="F77" s="12"/>
      <c r="G77" s="12"/>
    </row>
    <row r="78" spans="1:7">
      <c r="A78" s="778"/>
      <c r="B78" s="12"/>
      <c r="C78" s="12"/>
      <c r="D78" s="12"/>
      <c r="E78" s="12"/>
      <c r="F78" s="12"/>
      <c r="G78" s="12"/>
    </row>
    <row r="79" spans="1:7">
      <c r="A79" s="778"/>
      <c r="B79" s="12"/>
      <c r="C79" s="12"/>
      <c r="D79" s="12"/>
      <c r="E79" s="12"/>
      <c r="F79" s="12"/>
      <c r="G79" s="12"/>
    </row>
    <row r="80" spans="1:7">
      <c r="A80" s="778"/>
      <c r="B80" s="12"/>
      <c r="C80" s="12"/>
      <c r="D80" s="12"/>
      <c r="E80" s="12"/>
      <c r="F80" s="12"/>
      <c r="G80" s="12"/>
    </row>
    <row r="81" spans="1:7">
      <c r="A81" s="778"/>
      <c r="B81" s="12"/>
      <c r="C81" s="12"/>
      <c r="D81" s="12"/>
      <c r="E81" s="12"/>
      <c r="F81" s="12"/>
      <c r="G81" s="12"/>
    </row>
    <row r="82" spans="1:7">
      <c r="A82" s="778"/>
      <c r="B82" s="12"/>
      <c r="C82" s="12"/>
      <c r="D82" s="12"/>
      <c r="E82" s="12"/>
      <c r="F82" s="12"/>
      <c r="G82" s="12"/>
    </row>
    <row r="83" spans="1:7">
      <c r="A83" s="778"/>
      <c r="B83" s="12"/>
      <c r="C83" s="12"/>
      <c r="D83" s="12"/>
      <c r="E83" s="12"/>
      <c r="F83" s="12"/>
      <c r="G83" s="12"/>
    </row>
    <row r="84" spans="1:7">
      <c r="A84" s="778"/>
      <c r="B84" s="12"/>
      <c r="C84" s="12"/>
      <c r="D84" s="12"/>
      <c r="E84" s="12"/>
      <c r="F84" s="12"/>
      <c r="G84" s="12"/>
    </row>
    <row r="85" spans="1:7">
      <c r="A85" s="778"/>
      <c r="B85" s="12"/>
      <c r="C85" s="12"/>
      <c r="D85" s="12"/>
      <c r="E85" s="12"/>
      <c r="F85" s="12"/>
      <c r="G85" s="12"/>
    </row>
    <row r="86" spans="1:7">
      <c r="A86" s="778"/>
      <c r="B86" s="12"/>
      <c r="C86" s="12"/>
      <c r="D86" s="12"/>
      <c r="E86" s="12"/>
      <c r="F86" s="12"/>
      <c r="G86" s="12"/>
    </row>
    <row r="87" spans="1:7">
      <c r="A87" s="778"/>
      <c r="B87" s="12"/>
      <c r="C87" s="12"/>
      <c r="D87" s="12"/>
      <c r="E87" s="12"/>
      <c r="F87" s="12"/>
      <c r="G87" s="12"/>
    </row>
    <row r="88" spans="1:7">
      <c r="A88" s="778"/>
      <c r="B88" s="12"/>
      <c r="C88" s="12"/>
      <c r="D88" s="12"/>
      <c r="E88" s="12"/>
      <c r="F88" s="12"/>
      <c r="G88" s="12"/>
    </row>
    <row r="89" spans="1:7">
      <c r="A89" s="778"/>
      <c r="B89" s="12"/>
      <c r="C89" s="12"/>
      <c r="D89" s="12"/>
      <c r="E89" s="12"/>
      <c r="F89" s="12"/>
      <c r="G89" s="12"/>
    </row>
    <row r="90" spans="1:7">
      <c r="A90" s="778"/>
      <c r="B90" s="12"/>
      <c r="C90" s="12"/>
      <c r="D90" s="12"/>
      <c r="E90" s="12"/>
      <c r="F90" s="12"/>
      <c r="G90" s="12"/>
    </row>
    <row r="91" spans="1:7">
      <c r="A91" s="778"/>
      <c r="B91" s="12"/>
      <c r="C91" s="12"/>
      <c r="D91" s="12"/>
      <c r="E91" s="12"/>
      <c r="F91" s="12"/>
      <c r="G91" s="12"/>
    </row>
    <row r="92" spans="1:7">
      <c r="A92" s="778"/>
      <c r="B92" s="12"/>
      <c r="C92" s="12"/>
      <c r="D92" s="12"/>
      <c r="E92" s="12"/>
      <c r="F92" s="12"/>
      <c r="G92" s="12"/>
    </row>
    <row r="93" spans="1:7">
      <c r="A93" s="778"/>
      <c r="B93" s="12"/>
      <c r="C93" s="12"/>
      <c r="D93" s="12"/>
      <c r="E93" s="12"/>
      <c r="F93" s="12"/>
      <c r="G93" s="12"/>
    </row>
    <row r="94" spans="1:7">
      <c r="A94" s="778"/>
      <c r="B94" s="12"/>
      <c r="C94" s="12"/>
      <c r="D94" s="12"/>
      <c r="E94" s="12"/>
      <c r="F94" s="12"/>
      <c r="G94" s="12"/>
    </row>
    <row r="95" spans="1:7">
      <c r="A95" s="778"/>
      <c r="B95" s="12"/>
      <c r="C95" s="12"/>
      <c r="D95" s="12"/>
      <c r="E95" s="12"/>
      <c r="F95" s="12"/>
      <c r="G95" s="12"/>
    </row>
    <row r="96" spans="1:7">
      <c r="A96" s="778"/>
      <c r="B96" s="12"/>
      <c r="C96" s="12"/>
      <c r="D96" s="12"/>
      <c r="E96" s="12"/>
      <c r="F96" s="12"/>
      <c r="G96" s="12"/>
    </row>
    <row r="97" spans="1:7">
      <c r="A97" s="778"/>
      <c r="B97" s="12"/>
      <c r="C97" s="12"/>
      <c r="D97" s="12"/>
      <c r="E97" s="12"/>
      <c r="F97" s="12"/>
      <c r="G97" s="12"/>
    </row>
    <row r="98" spans="1:7">
      <c r="A98" s="778"/>
      <c r="B98" s="12"/>
      <c r="C98" s="12"/>
      <c r="D98" s="12"/>
      <c r="E98" s="12"/>
      <c r="F98" s="12"/>
      <c r="G98" s="12"/>
    </row>
    <row r="99" spans="1:7">
      <c r="A99" s="778"/>
      <c r="B99" s="12"/>
      <c r="C99" s="12"/>
      <c r="D99" s="12"/>
      <c r="E99" s="12"/>
      <c r="F99" s="12"/>
      <c r="G99" s="12"/>
    </row>
    <row r="100" spans="1:7">
      <c r="A100" s="778"/>
      <c r="B100" s="12"/>
      <c r="C100" s="12"/>
      <c r="D100" s="12"/>
      <c r="E100" s="12"/>
      <c r="F100" s="12"/>
      <c r="G100" s="12"/>
    </row>
    <row r="101" spans="1:7">
      <c r="A101" s="778"/>
      <c r="B101" s="12"/>
      <c r="C101" s="12"/>
      <c r="D101" s="12"/>
      <c r="E101" s="12"/>
      <c r="F101" s="12"/>
      <c r="G101" s="12"/>
    </row>
    <row r="102" spans="1:7">
      <c r="A102" s="778"/>
      <c r="B102" s="12"/>
      <c r="C102" s="12"/>
      <c r="D102" s="12"/>
      <c r="E102" s="12"/>
      <c r="F102" s="12"/>
      <c r="G102" s="12"/>
    </row>
    <row r="103" spans="1:7">
      <c r="A103" s="778"/>
      <c r="B103" s="12"/>
      <c r="C103" s="12"/>
      <c r="D103" s="12"/>
      <c r="E103" s="12"/>
      <c r="F103" s="12"/>
      <c r="G103" s="12"/>
    </row>
    <row r="104" spans="1:7">
      <c r="A104" s="778"/>
      <c r="B104" s="12"/>
      <c r="C104" s="12"/>
      <c r="D104" s="12"/>
      <c r="E104" s="12"/>
      <c r="F104" s="12"/>
      <c r="G104" s="12"/>
    </row>
    <row r="105" spans="1:7">
      <c r="A105" s="778"/>
      <c r="B105" s="12"/>
      <c r="C105" s="12"/>
      <c r="D105" s="12"/>
      <c r="E105" s="12"/>
      <c r="F105" s="12"/>
      <c r="G105" s="12"/>
    </row>
    <row r="106" spans="1:7">
      <c r="A106" s="778"/>
      <c r="B106" s="12"/>
      <c r="C106" s="12"/>
      <c r="D106" s="12"/>
      <c r="E106" s="12"/>
      <c r="F106" s="12"/>
      <c r="G106" s="12"/>
    </row>
    <row r="107" spans="1:7">
      <c r="A107" s="778"/>
      <c r="B107" s="12"/>
      <c r="C107" s="12"/>
      <c r="D107" s="12"/>
      <c r="E107" s="12"/>
      <c r="F107" s="12"/>
      <c r="G107" s="12"/>
    </row>
    <row r="108" spans="1:7">
      <c r="A108" s="778"/>
      <c r="B108" s="12"/>
      <c r="C108" s="12"/>
      <c r="D108" s="12"/>
      <c r="E108" s="12"/>
      <c r="F108" s="12"/>
      <c r="G108" s="12"/>
    </row>
    <row r="109" spans="1:7">
      <c r="A109" s="778"/>
      <c r="B109" s="12"/>
      <c r="C109" s="12"/>
      <c r="D109" s="12"/>
      <c r="E109" s="12"/>
      <c r="F109" s="12"/>
      <c r="G109" s="12"/>
    </row>
    <row r="110" spans="1:7">
      <c r="A110" s="778"/>
      <c r="B110" s="12"/>
      <c r="C110" s="12"/>
      <c r="D110" s="12"/>
      <c r="E110" s="12"/>
      <c r="F110" s="12"/>
      <c r="G110" s="12"/>
    </row>
    <row r="111" spans="1:7">
      <c r="A111" s="778"/>
      <c r="B111" s="12"/>
      <c r="C111" s="12"/>
      <c r="D111" s="12"/>
      <c r="E111" s="12"/>
      <c r="F111" s="12"/>
      <c r="G111" s="12"/>
    </row>
    <row r="112" spans="1:7">
      <c r="A112" s="778"/>
      <c r="B112" s="12"/>
      <c r="C112" s="12"/>
      <c r="D112" s="12"/>
      <c r="E112" s="12"/>
      <c r="F112" s="12"/>
      <c r="G112" s="12"/>
    </row>
    <row r="113" spans="1:7">
      <c r="A113" s="778"/>
      <c r="B113" s="12"/>
      <c r="C113" s="12"/>
      <c r="D113" s="12"/>
      <c r="E113" s="12"/>
      <c r="F113" s="12"/>
      <c r="G113" s="12"/>
    </row>
    <row r="114" spans="1:7">
      <c r="A114" s="778"/>
      <c r="B114" s="12"/>
      <c r="C114" s="12"/>
      <c r="D114" s="12"/>
      <c r="E114" s="12"/>
      <c r="F114" s="12"/>
      <c r="G114" s="12"/>
    </row>
  </sheetData>
  <mergeCells count="2">
    <mergeCell ref="B1:F1"/>
    <mergeCell ref="B3:F3"/>
  </mergeCells>
  <conditionalFormatting sqref="B16">
    <cfRule type="cellIs" dxfId="30" priority="2" stopIfTrue="1" operator="equal">
      <formula>"?"</formula>
    </cfRule>
  </conditionalFormatting>
  <conditionalFormatting sqref="B17">
    <cfRule type="cellIs" dxfId="29" priority="1" stopIfTrue="1" operator="equal">
      <formula>"?"</formula>
    </cfRule>
  </conditionalFormatting>
  <pageMargins left="0.9055118110236221" right="0.11811023622047245" top="0.98425196850393704" bottom="0.27559055118110237" header="0.51181102362204722" footer="0.15748031496062992"/>
  <pageSetup scale="96" orientation="landscape" r:id="rId1"/>
  <headerFooter alignWithMargins="0"/>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4"/>
  <sheetViews>
    <sheetView zoomScaleNormal="100" workbookViewId="0">
      <pane xSplit="2" ySplit="5" topLeftCell="C57" activePane="bottomRight" state="frozen"/>
      <selection pane="topRight" activeCell="C1" sqref="C1"/>
      <selection pane="bottomLeft" activeCell="A6" sqref="A6"/>
      <selection pane="bottomRight" activeCell="B65" sqref="B65"/>
    </sheetView>
  </sheetViews>
  <sheetFormatPr defaultRowHeight="12.75"/>
  <cols>
    <col min="1" max="1" width="4.85546875" style="2804" customWidth="1"/>
    <col min="2" max="2" width="71.28515625" style="4" customWidth="1"/>
    <col min="3" max="3" width="12.7109375" style="4" customWidth="1"/>
    <col min="4" max="4" width="6" style="4" customWidth="1"/>
    <col min="5" max="5" width="9.42578125" style="4" customWidth="1"/>
    <col min="6" max="6" width="6.7109375" style="4" customWidth="1"/>
    <col min="7" max="7" width="14" style="4" customWidth="1"/>
    <col min="8" max="8" width="22" style="4" customWidth="1"/>
    <col min="9" max="9" width="20.42578125" style="4" customWidth="1"/>
    <col min="10" max="10" width="11" style="4" bestFit="1" customWidth="1"/>
    <col min="11" max="11" width="3.28515625" style="4" bestFit="1" customWidth="1"/>
    <col min="12" max="12" width="2.7109375" style="4" customWidth="1"/>
    <col min="13" max="13" width="5" style="4" bestFit="1" customWidth="1"/>
    <col min="14" max="256" width="9.140625" style="4"/>
    <col min="257" max="257" width="4.85546875" style="4" customWidth="1"/>
    <col min="258" max="258" width="71.28515625" style="4" customWidth="1"/>
    <col min="259" max="259" width="12.7109375" style="4" customWidth="1"/>
    <col min="260" max="260" width="6" style="4" customWidth="1"/>
    <col min="261" max="261" width="9.42578125" style="4" customWidth="1"/>
    <col min="262" max="262" width="6.7109375" style="4" customWidth="1"/>
    <col min="263" max="263" width="14" style="4" customWidth="1"/>
    <col min="264" max="264" width="22" style="4" customWidth="1"/>
    <col min="265" max="265" width="20.42578125" style="4" customWidth="1"/>
    <col min="266" max="266" width="11" style="4" bestFit="1" customWidth="1"/>
    <col min="267" max="267" width="3.28515625" style="4" bestFit="1" customWidth="1"/>
    <col min="268" max="268" width="2.7109375" style="4" customWidth="1"/>
    <col min="269" max="269" width="5" style="4" bestFit="1" customWidth="1"/>
    <col min="270" max="512" width="9.140625" style="4"/>
    <col min="513" max="513" width="4.85546875" style="4" customWidth="1"/>
    <col min="514" max="514" width="71.28515625" style="4" customWidth="1"/>
    <col min="515" max="515" width="12.7109375" style="4" customWidth="1"/>
    <col min="516" max="516" width="6" style="4" customWidth="1"/>
    <col min="517" max="517" width="9.42578125" style="4" customWidth="1"/>
    <col min="518" max="518" width="6.7109375" style="4" customWidth="1"/>
    <col min="519" max="519" width="14" style="4" customWidth="1"/>
    <col min="520" max="520" width="22" style="4" customWidth="1"/>
    <col min="521" max="521" width="20.42578125" style="4" customWidth="1"/>
    <col min="522" max="522" width="11" style="4" bestFit="1" customWidth="1"/>
    <col min="523" max="523" width="3.28515625" style="4" bestFit="1" customWidth="1"/>
    <col min="524" max="524" width="2.7109375" style="4" customWidth="1"/>
    <col min="525" max="525" width="5" style="4" bestFit="1" customWidth="1"/>
    <col min="526" max="768" width="9.140625" style="4"/>
    <col min="769" max="769" width="4.85546875" style="4" customWidth="1"/>
    <col min="770" max="770" width="71.28515625" style="4" customWidth="1"/>
    <col min="771" max="771" width="12.7109375" style="4" customWidth="1"/>
    <col min="772" max="772" width="6" style="4" customWidth="1"/>
    <col min="773" max="773" width="9.42578125" style="4" customWidth="1"/>
    <col min="774" max="774" width="6.7109375" style="4" customWidth="1"/>
    <col min="775" max="775" width="14" style="4" customWidth="1"/>
    <col min="776" max="776" width="22" style="4" customWidth="1"/>
    <col min="777" max="777" width="20.42578125" style="4" customWidth="1"/>
    <col min="778" max="778" width="11" style="4" bestFit="1" customWidth="1"/>
    <col min="779" max="779" width="3.28515625" style="4" bestFit="1" customWidth="1"/>
    <col min="780" max="780" width="2.7109375" style="4" customWidth="1"/>
    <col min="781" max="781" width="5" style="4" bestFit="1" customWidth="1"/>
    <col min="782" max="1024" width="9.140625" style="4"/>
    <col min="1025" max="1025" width="4.85546875" style="4" customWidth="1"/>
    <col min="1026" max="1026" width="71.28515625" style="4" customWidth="1"/>
    <col min="1027" max="1027" width="12.7109375" style="4" customWidth="1"/>
    <col min="1028" max="1028" width="6" style="4" customWidth="1"/>
    <col min="1029" max="1029" width="9.42578125" style="4" customWidth="1"/>
    <col min="1030" max="1030" width="6.7109375" style="4" customWidth="1"/>
    <col min="1031" max="1031" width="14" style="4" customWidth="1"/>
    <col min="1032" max="1032" width="22" style="4" customWidth="1"/>
    <col min="1033" max="1033" width="20.42578125" style="4" customWidth="1"/>
    <col min="1034" max="1034" width="11" style="4" bestFit="1" customWidth="1"/>
    <col min="1035" max="1035" width="3.28515625" style="4" bestFit="1" customWidth="1"/>
    <col min="1036" max="1036" width="2.7109375" style="4" customWidth="1"/>
    <col min="1037" max="1037" width="5" style="4" bestFit="1" customWidth="1"/>
    <col min="1038" max="1280" width="9.140625" style="4"/>
    <col min="1281" max="1281" width="4.85546875" style="4" customWidth="1"/>
    <col min="1282" max="1282" width="71.28515625" style="4" customWidth="1"/>
    <col min="1283" max="1283" width="12.7109375" style="4" customWidth="1"/>
    <col min="1284" max="1284" width="6" style="4" customWidth="1"/>
    <col min="1285" max="1285" width="9.42578125" style="4" customWidth="1"/>
    <col min="1286" max="1286" width="6.7109375" style="4" customWidth="1"/>
    <col min="1287" max="1287" width="14" style="4" customWidth="1"/>
    <col min="1288" max="1288" width="22" style="4" customWidth="1"/>
    <col min="1289" max="1289" width="20.42578125" style="4" customWidth="1"/>
    <col min="1290" max="1290" width="11" style="4" bestFit="1" customWidth="1"/>
    <col min="1291" max="1291" width="3.28515625" style="4" bestFit="1" customWidth="1"/>
    <col min="1292" max="1292" width="2.7109375" style="4" customWidth="1"/>
    <col min="1293" max="1293" width="5" style="4" bestFit="1" customWidth="1"/>
    <col min="1294" max="1536" width="9.140625" style="4"/>
    <col min="1537" max="1537" width="4.85546875" style="4" customWidth="1"/>
    <col min="1538" max="1538" width="71.28515625" style="4" customWidth="1"/>
    <col min="1539" max="1539" width="12.7109375" style="4" customWidth="1"/>
    <col min="1540" max="1540" width="6" style="4" customWidth="1"/>
    <col min="1541" max="1541" width="9.42578125" style="4" customWidth="1"/>
    <col min="1542" max="1542" width="6.7109375" style="4" customWidth="1"/>
    <col min="1543" max="1543" width="14" style="4" customWidth="1"/>
    <col min="1544" max="1544" width="22" style="4" customWidth="1"/>
    <col min="1545" max="1545" width="20.42578125" style="4" customWidth="1"/>
    <col min="1546" max="1546" width="11" style="4" bestFit="1" customWidth="1"/>
    <col min="1547" max="1547" width="3.28515625" style="4" bestFit="1" customWidth="1"/>
    <col min="1548" max="1548" width="2.7109375" style="4" customWidth="1"/>
    <col min="1549" max="1549" width="5" style="4" bestFit="1" customWidth="1"/>
    <col min="1550" max="1792" width="9.140625" style="4"/>
    <col min="1793" max="1793" width="4.85546875" style="4" customWidth="1"/>
    <col min="1794" max="1794" width="71.28515625" style="4" customWidth="1"/>
    <col min="1795" max="1795" width="12.7109375" style="4" customWidth="1"/>
    <col min="1796" max="1796" width="6" style="4" customWidth="1"/>
    <col min="1797" max="1797" width="9.42578125" style="4" customWidth="1"/>
    <col min="1798" max="1798" width="6.7109375" style="4" customWidth="1"/>
    <col min="1799" max="1799" width="14" style="4" customWidth="1"/>
    <col min="1800" max="1800" width="22" style="4" customWidth="1"/>
    <col min="1801" max="1801" width="20.42578125" style="4" customWidth="1"/>
    <col min="1802" max="1802" width="11" style="4" bestFit="1" customWidth="1"/>
    <col min="1803" max="1803" width="3.28515625" style="4" bestFit="1" customWidth="1"/>
    <col min="1804" max="1804" width="2.7109375" style="4" customWidth="1"/>
    <col min="1805" max="1805" width="5" style="4" bestFit="1" customWidth="1"/>
    <col min="1806" max="2048" width="9.140625" style="4"/>
    <col min="2049" max="2049" width="4.85546875" style="4" customWidth="1"/>
    <col min="2050" max="2050" width="71.28515625" style="4" customWidth="1"/>
    <col min="2051" max="2051" width="12.7109375" style="4" customWidth="1"/>
    <col min="2052" max="2052" width="6" style="4" customWidth="1"/>
    <col min="2053" max="2053" width="9.42578125" style="4" customWidth="1"/>
    <col min="2054" max="2054" width="6.7109375" style="4" customWidth="1"/>
    <col min="2055" max="2055" width="14" style="4" customWidth="1"/>
    <col min="2056" max="2056" width="22" style="4" customWidth="1"/>
    <col min="2057" max="2057" width="20.42578125" style="4" customWidth="1"/>
    <col min="2058" max="2058" width="11" style="4" bestFit="1" customWidth="1"/>
    <col min="2059" max="2059" width="3.28515625" style="4" bestFit="1" customWidth="1"/>
    <col min="2060" max="2060" width="2.7109375" style="4" customWidth="1"/>
    <col min="2061" max="2061" width="5" style="4" bestFit="1" customWidth="1"/>
    <col min="2062" max="2304" width="9.140625" style="4"/>
    <col min="2305" max="2305" width="4.85546875" style="4" customWidth="1"/>
    <col min="2306" max="2306" width="71.28515625" style="4" customWidth="1"/>
    <col min="2307" max="2307" width="12.7109375" style="4" customWidth="1"/>
    <col min="2308" max="2308" width="6" style="4" customWidth="1"/>
    <col min="2309" max="2309" width="9.42578125" style="4" customWidth="1"/>
    <col min="2310" max="2310" width="6.7109375" style="4" customWidth="1"/>
    <col min="2311" max="2311" width="14" style="4" customWidth="1"/>
    <col min="2312" max="2312" width="22" style="4" customWidth="1"/>
    <col min="2313" max="2313" width="20.42578125" style="4" customWidth="1"/>
    <col min="2314" max="2314" width="11" style="4" bestFit="1" customWidth="1"/>
    <col min="2315" max="2315" width="3.28515625" style="4" bestFit="1" customWidth="1"/>
    <col min="2316" max="2316" width="2.7109375" style="4" customWidth="1"/>
    <col min="2317" max="2317" width="5" style="4" bestFit="1" customWidth="1"/>
    <col min="2318" max="2560" width="9.140625" style="4"/>
    <col min="2561" max="2561" width="4.85546875" style="4" customWidth="1"/>
    <col min="2562" max="2562" width="71.28515625" style="4" customWidth="1"/>
    <col min="2563" max="2563" width="12.7109375" style="4" customWidth="1"/>
    <col min="2564" max="2564" width="6" style="4" customWidth="1"/>
    <col min="2565" max="2565" width="9.42578125" style="4" customWidth="1"/>
    <col min="2566" max="2566" width="6.7109375" style="4" customWidth="1"/>
    <col min="2567" max="2567" width="14" style="4" customWidth="1"/>
    <col min="2568" max="2568" width="22" style="4" customWidth="1"/>
    <col min="2569" max="2569" width="20.42578125" style="4" customWidth="1"/>
    <col min="2570" max="2570" width="11" style="4" bestFit="1" customWidth="1"/>
    <col min="2571" max="2571" width="3.28515625" style="4" bestFit="1" customWidth="1"/>
    <col min="2572" max="2572" width="2.7109375" style="4" customWidth="1"/>
    <col min="2573" max="2573" width="5" style="4" bestFit="1" customWidth="1"/>
    <col min="2574" max="2816" width="9.140625" style="4"/>
    <col min="2817" max="2817" width="4.85546875" style="4" customWidth="1"/>
    <col min="2818" max="2818" width="71.28515625" style="4" customWidth="1"/>
    <col min="2819" max="2819" width="12.7109375" style="4" customWidth="1"/>
    <col min="2820" max="2820" width="6" style="4" customWidth="1"/>
    <col min="2821" max="2821" width="9.42578125" style="4" customWidth="1"/>
    <col min="2822" max="2822" width="6.7109375" style="4" customWidth="1"/>
    <col min="2823" max="2823" width="14" style="4" customWidth="1"/>
    <col min="2824" max="2824" width="22" style="4" customWidth="1"/>
    <col min="2825" max="2825" width="20.42578125" style="4" customWidth="1"/>
    <col min="2826" max="2826" width="11" style="4" bestFit="1" customWidth="1"/>
    <col min="2827" max="2827" width="3.28515625" style="4" bestFit="1" customWidth="1"/>
    <col min="2828" max="2828" width="2.7109375" style="4" customWidth="1"/>
    <col min="2829" max="2829" width="5" style="4" bestFit="1" customWidth="1"/>
    <col min="2830" max="3072" width="9.140625" style="4"/>
    <col min="3073" max="3073" width="4.85546875" style="4" customWidth="1"/>
    <col min="3074" max="3074" width="71.28515625" style="4" customWidth="1"/>
    <col min="3075" max="3075" width="12.7109375" style="4" customWidth="1"/>
    <col min="3076" max="3076" width="6" style="4" customWidth="1"/>
    <col min="3077" max="3077" width="9.42578125" style="4" customWidth="1"/>
    <col min="3078" max="3078" width="6.7109375" style="4" customWidth="1"/>
    <col min="3079" max="3079" width="14" style="4" customWidth="1"/>
    <col min="3080" max="3080" width="22" style="4" customWidth="1"/>
    <col min="3081" max="3081" width="20.42578125" style="4" customWidth="1"/>
    <col min="3082" max="3082" width="11" style="4" bestFit="1" customWidth="1"/>
    <col min="3083" max="3083" width="3.28515625" style="4" bestFit="1" customWidth="1"/>
    <col min="3084" max="3084" width="2.7109375" style="4" customWidth="1"/>
    <col min="3085" max="3085" width="5" style="4" bestFit="1" customWidth="1"/>
    <col min="3086" max="3328" width="9.140625" style="4"/>
    <col min="3329" max="3329" width="4.85546875" style="4" customWidth="1"/>
    <col min="3330" max="3330" width="71.28515625" style="4" customWidth="1"/>
    <col min="3331" max="3331" width="12.7109375" style="4" customWidth="1"/>
    <col min="3332" max="3332" width="6" style="4" customWidth="1"/>
    <col min="3333" max="3333" width="9.42578125" style="4" customWidth="1"/>
    <col min="3334" max="3334" width="6.7109375" style="4" customWidth="1"/>
    <col min="3335" max="3335" width="14" style="4" customWidth="1"/>
    <col min="3336" max="3336" width="22" style="4" customWidth="1"/>
    <col min="3337" max="3337" width="20.42578125" style="4" customWidth="1"/>
    <col min="3338" max="3338" width="11" style="4" bestFit="1" customWidth="1"/>
    <col min="3339" max="3339" width="3.28515625" style="4" bestFit="1" customWidth="1"/>
    <col min="3340" max="3340" width="2.7109375" style="4" customWidth="1"/>
    <col min="3341" max="3341" width="5" style="4" bestFit="1" customWidth="1"/>
    <col min="3342" max="3584" width="9.140625" style="4"/>
    <col min="3585" max="3585" width="4.85546875" style="4" customWidth="1"/>
    <col min="3586" max="3586" width="71.28515625" style="4" customWidth="1"/>
    <col min="3587" max="3587" width="12.7109375" style="4" customWidth="1"/>
    <col min="3588" max="3588" width="6" style="4" customWidth="1"/>
    <col min="3589" max="3589" width="9.42578125" style="4" customWidth="1"/>
    <col min="3590" max="3590" width="6.7109375" style="4" customWidth="1"/>
    <col min="3591" max="3591" width="14" style="4" customWidth="1"/>
    <col min="3592" max="3592" width="22" style="4" customWidth="1"/>
    <col min="3593" max="3593" width="20.42578125" style="4" customWidth="1"/>
    <col min="3594" max="3594" width="11" style="4" bestFit="1" customWidth="1"/>
    <col min="3595" max="3595" width="3.28515625" style="4" bestFit="1" customWidth="1"/>
    <col min="3596" max="3596" width="2.7109375" style="4" customWidth="1"/>
    <col min="3597" max="3597" width="5" style="4" bestFit="1" customWidth="1"/>
    <col min="3598" max="3840" width="9.140625" style="4"/>
    <col min="3841" max="3841" width="4.85546875" style="4" customWidth="1"/>
    <col min="3842" max="3842" width="71.28515625" style="4" customWidth="1"/>
    <col min="3843" max="3843" width="12.7109375" style="4" customWidth="1"/>
    <col min="3844" max="3844" width="6" style="4" customWidth="1"/>
    <col min="3845" max="3845" width="9.42578125" style="4" customWidth="1"/>
    <col min="3846" max="3846" width="6.7109375" style="4" customWidth="1"/>
    <col min="3847" max="3847" width="14" style="4" customWidth="1"/>
    <col min="3848" max="3848" width="22" style="4" customWidth="1"/>
    <col min="3849" max="3849" width="20.42578125" style="4" customWidth="1"/>
    <col min="3850" max="3850" width="11" style="4" bestFit="1" customWidth="1"/>
    <col min="3851" max="3851" width="3.28515625" style="4" bestFit="1" customWidth="1"/>
    <col min="3852" max="3852" width="2.7109375" style="4" customWidth="1"/>
    <col min="3853" max="3853" width="5" style="4" bestFit="1" customWidth="1"/>
    <col min="3854" max="4096" width="9.140625" style="4"/>
    <col min="4097" max="4097" width="4.85546875" style="4" customWidth="1"/>
    <col min="4098" max="4098" width="71.28515625" style="4" customWidth="1"/>
    <col min="4099" max="4099" width="12.7109375" style="4" customWidth="1"/>
    <col min="4100" max="4100" width="6" style="4" customWidth="1"/>
    <col min="4101" max="4101" width="9.42578125" style="4" customWidth="1"/>
    <col min="4102" max="4102" width="6.7109375" style="4" customWidth="1"/>
    <col min="4103" max="4103" width="14" style="4" customWidth="1"/>
    <col min="4104" max="4104" width="22" style="4" customWidth="1"/>
    <col min="4105" max="4105" width="20.42578125" style="4" customWidth="1"/>
    <col min="4106" max="4106" width="11" style="4" bestFit="1" customWidth="1"/>
    <col min="4107" max="4107" width="3.28515625" style="4" bestFit="1" customWidth="1"/>
    <col min="4108" max="4108" width="2.7109375" style="4" customWidth="1"/>
    <col min="4109" max="4109" width="5" style="4" bestFit="1" customWidth="1"/>
    <col min="4110" max="4352" width="9.140625" style="4"/>
    <col min="4353" max="4353" width="4.85546875" style="4" customWidth="1"/>
    <col min="4354" max="4354" width="71.28515625" style="4" customWidth="1"/>
    <col min="4355" max="4355" width="12.7109375" style="4" customWidth="1"/>
    <col min="4356" max="4356" width="6" style="4" customWidth="1"/>
    <col min="4357" max="4357" width="9.42578125" style="4" customWidth="1"/>
    <col min="4358" max="4358" width="6.7109375" style="4" customWidth="1"/>
    <col min="4359" max="4359" width="14" style="4" customWidth="1"/>
    <col min="4360" max="4360" width="22" style="4" customWidth="1"/>
    <col min="4361" max="4361" width="20.42578125" style="4" customWidth="1"/>
    <col min="4362" max="4362" width="11" style="4" bestFit="1" customWidth="1"/>
    <col min="4363" max="4363" width="3.28515625" style="4" bestFit="1" customWidth="1"/>
    <col min="4364" max="4364" width="2.7109375" style="4" customWidth="1"/>
    <col min="4365" max="4365" width="5" style="4" bestFit="1" customWidth="1"/>
    <col min="4366" max="4608" width="9.140625" style="4"/>
    <col min="4609" max="4609" width="4.85546875" style="4" customWidth="1"/>
    <col min="4610" max="4610" width="71.28515625" style="4" customWidth="1"/>
    <col min="4611" max="4611" width="12.7109375" style="4" customWidth="1"/>
    <col min="4612" max="4612" width="6" style="4" customWidth="1"/>
    <col min="4613" max="4613" width="9.42578125" style="4" customWidth="1"/>
    <col min="4614" max="4614" width="6.7109375" style="4" customWidth="1"/>
    <col min="4615" max="4615" width="14" style="4" customWidth="1"/>
    <col min="4616" max="4616" width="22" style="4" customWidth="1"/>
    <col min="4617" max="4617" width="20.42578125" style="4" customWidth="1"/>
    <col min="4618" max="4618" width="11" style="4" bestFit="1" customWidth="1"/>
    <col min="4619" max="4619" width="3.28515625" style="4" bestFit="1" customWidth="1"/>
    <col min="4620" max="4620" width="2.7109375" style="4" customWidth="1"/>
    <col min="4621" max="4621" width="5" style="4" bestFit="1" customWidth="1"/>
    <col min="4622" max="4864" width="9.140625" style="4"/>
    <col min="4865" max="4865" width="4.85546875" style="4" customWidth="1"/>
    <col min="4866" max="4866" width="71.28515625" style="4" customWidth="1"/>
    <col min="4867" max="4867" width="12.7109375" style="4" customWidth="1"/>
    <col min="4868" max="4868" width="6" style="4" customWidth="1"/>
    <col min="4869" max="4869" width="9.42578125" style="4" customWidth="1"/>
    <col min="4870" max="4870" width="6.7109375" style="4" customWidth="1"/>
    <col min="4871" max="4871" width="14" style="4" customWidth="1"/>
    <col min="4872" max="4872" width="22" style="4" customWidth="1"/>
    <col min="4873" max="4873" width="20.42578125" style="4" customWidth="1"/>
    <col min="4874" max="4874" width="11" style="4" bestFit="1" customWidth="1"/>
    <col min="4875" max="4875" width="3.28515625" style="4" bestFit="1" customWidth="1"/>
    <col min="4876" max="4876" width="2.7109375" style="4" customWidth="1"/>
    <col min="4877" max="4877" width="5" style="4" bestFit="1" customWidth="1"/>
    <col min="4878" max="5120" width="9.140625" style="4"/>
    <col min="5121" max="5121" width="4.85546875" style="4" customWidth="1"/>
    <col min="5122" max="5122" width="71.28515625" style="4" customWidth="1"/>
    <col min="5123" max="5123" width="12.7109375" style="4" customWidth="1"/>
    <col min="5124" max="5124" width="6" style="4" customWidth="1"/>
    <col min="5125" max="5125" width="9.42578125" style="4" customWidth="1"/>
    <col min="5126" max="5126" width="6.7109375" style="4" customWidth="1"/>
    <col min="5127" max="5127" width="14" style="4" customWidth="1"/>
    <col min="5128" max="5128" width="22" style="4" customWidth="1"/>
    <col min="5129" max="5129" width="20.42578125" style="4" customWidth="1"/>
    <col min="5130" max="5130" width="11" style="4" bestFit="1" customWidth="1"/>
    <col min="5131" max="5131" width="3.28515625" style="4" bestFit="1" customWidth="1"/>
    <col min="5132" max="5132" width="2.7109375" style="4" customWidth="1"/>
    <col min="5133" max="5133" width="5" style="4" bestFit="1" customWidth="1"/>
    <col min="5134" max="5376" width="9.140625" style="4"/>
    <col min="5377" max="5377" width="4.85546875" style="4" customWidth="1"/>
    <col min="5378" max="5378" width="71.28515625" style="4" customWidth="1"/>
    <col min="5379" max="5379" width="12.7109375" style="4" customWidth="1"/>
    <col min="5380" max="5380" width="6" style="4" customWidth="1"/>
    <col min="5381" max="5381" width="9.42578125" style="4" customWidth="1"/>
    <col min="5382" max="5382" width="6.7109375" style="4" customWidth="1"/>
    <col min="5383" max="5383" width="14" style="4" customWidth="1"/>
    <col min="5384" max="5384" width="22" style="4" customWidth="1"/>
    <col min="5385" max="5385" width="20.42578125" style="4" customWidth="1"/>
    <col min="5386" max="5386" width="11" style="4" bestFit="1" customWidth="1"/>
    <col min="5387" max="5387" width="3.28515625" style="4" bestFit="1" customWidth="1"/>
    <col min="5388" max="5388" width="2.7109375" style="4" customWidth="1"/>
    <col min="5389" max="5389" width="5" style="4" bestFit="1" customWidth="1"/>
    <col min="5390" max="5632" width="9.140625" style="4"/>
    <col min="5633" max="5633" width="4.85546875" style="4" customWidth="1"/>
    <col min="5634" max="5634" width="71.28515625" style="4" customWidth="1"/>
    <col min="5635" max="5635" width="12.7109375" style="4" customWidth="1"/>
    <col min="5636" max="5636" width="6" style="4" customWidth="1"/>
    <col min="5637" max="5637" width="9.42578125" style="4" customWidth="1"/>
    <col min="5638" max="5638" width="6.7109375" style="4" customWidth="1"/>
    <col min="5639" max="5639" width="14" style="4" customWidth="1"/>
    <col min="5640" max="5640" width="22" style="4" customWidth="1"/>
    <col min="5641" max="5641" width="20.42578125" style="4" customWidth="1"/>
    <col min="5642" max="5642" width="11" style="4" bestFit="1" customWidth="1"/>
    <col min="5643" max="5643" width="3.28515625" style="4" bestFit="1" customWidth="1"/>
    <col min="5644" max="5644" width="2.7109375" style="4" customWidth="1"/>
    <col min="5645" max="5645" width="5" style="4" bestFit="1" customWidth="1"/>
    <col min="5646" max="5888" width="9.140625" style="4"/>
    <col min="5889" max="5889" width="4.85546875" style="4" customWidth="1"/>
    <col min="5890" max="5890" width="71.28515625" style="4" customWidth="1"/>
    <col min="5891" max="5891" width="12.7109375" style="4" customWidth="1"/>
    <col min="5892" max="5892" width="6" style="4" customWidth="1"/>
    <col min="5893" max="5893" width="9.42578125" style="4" customWidth="1"/>
    <col min="5894" max="5894" width="6.7109375" style="4" customWidth="1"/>
    <col min="5895" max="5895" width="14" style="4" customWidth="1"/>
    <col min="5896" max="5896" width="22" style="4" customWidth="1"/>
    <col min="5897" max="5897" width="20.42578125" style="4" customWidth="1"/>
    <col min="5898" max="5898" width="11" style="4" bestFit="1" customWidth="1"/>
    <col min="5899" max="5899" width="3.28515625" style="4" bestFit="1" customWidth="1"/>
    <col min="5900" max="5900" width="2.7109375" style="4" customWidth="1"/>
    <col min="5901" max="5901" width="5" style="4" bestFit="1" customWidth="1"/>
    <col min="5902" max="6144" width="9.140625" style="4"/>
    <col min="6145" max="6145" width="4.85546875" style="4" customWidth="1"/>
    <col min="6146" max="6146" width="71.28515625" style="4" customWidth="1"/>
    <col min="6147" max="6147" width="12.7109375" style="4" customWidth="1"/>
    <col min="6148" max="6148" width="6" style="4" customWidth="1"/>
    <col min="6149" max="6149" width="9.42578125" style="4" customWidth="1"/>
    <col min="6150" max="6150" width="6.7109375" style="4" customWidth="1"/>
    <col min="6151" max="6151" width="14" style="4" customWidth="1"/>
    <col min="6152" max="6152" width="22" style="4" customWidth="1"/>
    <col min="6153" max="6153" width="20.42578125" style="4" customWidth="1"/>
    <col min="6154" max="6154" width="11" style="4" bestFit="1" customWidth="1"/>
    <col min="6155" max="6155" width="3.28515625" style="4" bestFit="1" customWidth="1"/>
    <col min="6156" max="6156" width="2.7109375" style="4" customWidth="1"/>
    <col min="6157" max="6157" width="5" style="4" bestFit="1" customWidth="1"/>
    <col min="6158" max="6400" width="9.140625" style="4"/>
    <col min="6401" max="6401" width="4.85546875" style="4" customWidth="1"/>
    <col min="6402" max="6402" width="71.28515625" style="4" customWidth="1"/>
    <col min="6403" max="6403" width="12.7109375" style="4" customWidth="1"/>
    <col min="6404" max="6404" width="6" style="4" customWidth="1"/>
    <col min="6405" max="6405" width="9.42578125" style="4" customWidth="1"/>
    <col min="6406" max="6406" width="6.7109375" style="4" customWidth="1"/>
    <col min="6407" max="6407" width="14" style="4" customWidth="1"/>
    <col min="6408" max="6408" width="22" style="4" customWidth="1"/>
    <col min="6409" max="6409" width="20.42578125" style="4" customWidth="1"/>
    <col min="6410" max="6410" width="11" style="4" bestFit="1" customWidth="1"/>
    <col min="6411" max="6411" width="3.28515625" style="4" bestFit="1" customWidth="1"/>
    <col min="6412" max="6412" width="2.7109375" style="4" customWidth="1"/>
    <col min="6413" max="6413" width="5" style="4" bestFit="1" customWidth="1"/>
    <col min="6414" max="6656" width="9.140625" style="4"/>
    <col min="6657" max="6657" width="4.85546875" style="4" customWidth="1"/>
    <col min="6658" max="6658" width="71.28515625" style="4" customWidth="1"/>
    <col min="6659" max="6659" width="12.7109375" style="4" customWidth="1"/>
    <col min="6660" max="6660" width="6" style="4" customWidth="1"/>
    <col min="6661" max="6661" width="9.42578125" style="4" customWidth="1"/>
    <col min="6662" max="6662" width="6.7109375" style="4" customWidth="1"/>
    <col min="6663" max="6663" width="14" style="4" customWidth="1"/>
    <col min="6664" max="6664" width="22" style="4" customWidth="1"/>
    <col min="6665" max="6665" width="20.42578125" style="4" customWidth="1"/>
    <col min="6666" max="6666" width="11" style="4" bestFit="1" customWidth="1"/>
    <col min="6667" max="6667" width="3.28515625" style="4" bestFit="1" customWidth="1"/>
    <col min="6668" max="6668" width="2.7109375" style="4" customWidth="1"/>
    <col min="6669" max="6669" width="5" style="4" bestFit="1" customWidth="1"/>
    <col min="6670" max="6912" width="9.140625" style="4"/>
    <col min="6913" max="6913" width="4.85546875" style="4" customWidth="1"/>
    <col min="6914" max="6914" width="71.28515625" style="4" customWidth="1"/>
    <col min="6915" max="6915" width="12.7109375" style="4" customWidth="1"/>
    <col min="6916" max="6916" width="6" style="4" customWidth="1"/>
    <col min="6917" max="6917" width="9.42578125" style="4" customWidth="1"/>
    <col min="6918" max="6918" width="6.7109375" style="4" customWidth="1"/>
    <col min="6919" max="6919" width="14" style="4" customWidth="1"/>
    <col min="6920" max="6920" width="22" style="4" customWidth="1"/>
    <col min="6921" max="6921" width="20.42578125" style="4" customWidth="1"/>
    <col min="6922" max="6922" width="11" style="4" bestFit="1" customWidth="1"/>
    <col min="6923" max="6923" width="3.28515625" style="4" bestFit="1" customWidth="1"/>
    <col min="6924" max="6924" width="2.7109375" style="4" customWidth="1"/>
    <col min="6925" max="6925" width="5" style="4" bestFit="1" customWidth="1"/>
    <col min="6926" max="7168" width="9.140625" style="4"/>
    <col min="7169" max="7169" width="4.85546875" style="4" customWidth="1"/>
    <col min="7170" max="7170" width="71.28515625" style="4" customWidth="1"/>
    <col min="7171" max="7171" width="12.7109375" style="4" customWidth="1"/>
    <col min="7172" max="7172" width="6" style="4" customWidth="1"/>
    <col min="7173" max="7173" width="9.42578125" style="4" customWidth="1"/>
    <col min="7174" max="7174" width="6.7109375" style="4" customWidth="1"/>
    <col min="7175" max="7175" width="14" style="4" customWidth="1"/>
    <col min="7176" max="7176" width="22" style="4" customWidth="1"/>
    <col min="7177" max="7177" width="20.42578125" style="4" customWidth="1"/>
    <col min="7178" max="7178" width="11" style="4" bestFit="1" customWidth="1"/>
    <col min="7179" max="7179" width="3.28515625" style="4" bestFit="1" customWidth="1"/>
    <col min="7180" max="7180" width="2.7109375" style="4" customWidth="1"/>
    <col min="7181" max="7181" width="5" style="4" bestFit="1" customWidth="1"/>
    <col min="7182" max="7424" width="9.140625" style="4"/>
    <col min="7425" max="7425" width="4.85546875" style="4" customWidth="1"/>
    <col min="7426" max="7426" width="71.28515625" style="4" customWidth="1"/>
    <col min="7427" max="7427" width="12.7109375" style="4" customWidth="1"/>
    <col min="7428" max="7428" width="6" style="4" customWidth="1"/>
    <col min="7429" max="7429" width="9.42578125" style="4" customWidth="1"/>
    <col min="7430" max="7430" width="6.7109375" style="4" customWidth="1"/>
    <col min="7431" max="7431" width="14" style="4" customWidth="1"/>
    <col min="7432" max="7432" width="22" style="4" customWidth="1"/>
    <col min="7433" max="7433" width="20.42578125" style="4" customWidth="1"/>
    <col min="7434" max="7434" width="11" style="4" bestFit="1" customWidth="1"/>
    <col min="7435" max="7435" width="3.28515625" style="4" bestFit="1" customWidth="1"/>
    <col min="7436" max="7436" width="2.7109375" style="4" customWidth="1"/>
    <col min="7437" max="7437" width="5" style="4" bestFit="1" customWidth="1"/>
    <col min="7438" max="7680" width="9.140625" style="4"/>
    <col min="7681" max="7681" width="4.85546875" style="4" customWidth="1"/>
    <col min="7682" max="7682" width="71.28515625" style="4" customWidth="1"/>
    <col min="7683" max="7683" width="12.7109375" style="4" customWidth="1"/>
    <col min="7684" max="7684" width="6" style="4" customWidth="1"/>
    <col min="7685" max="7685" width="9.42578125" style="4" customWidth="1"/>
    <col min="7686" max="7686" width="6.7109375" style="4" customWidth="1"/>
    <col min="7687" max="7687" width="14" style="4" customWidth="1"/>
    <col min="7688" max="7688" width="22" style="4" customWidth="1"/>
    <col min="7689" max="7689" width="20.42578125" style="4" customWidth="1"/>
    <col min="7690" max="7690" width="11" style="4" bestFit="1" customWidth="1"/>
    <col min="7691" max="7691" width="3.28515625" style="4" bestFit="1" customWidth="1"/>
    <col min="7692" max="7692" width="2.7109375" style="4" customWidth="1"/>
    <col min="7693" max="7693" width="5" style="4" bestFit="1" customWidth="1"/>
    <col min="7694" max="7936" width="9.140625" style="4"/>
    <col min="7937" max="7937" width="4.85546875" style="4" customWidth="1"/>
    <col min="7938" max="7938" width="71.28515625" style="4" customWidth="1"/>
    <col min="7939" max="7939" width="12.7109375" style="4" customWidth="1"/>
    <col min="7940" max="7940" width="6" style="4" customWidth="1"/>
    <col min="7941" max="7941" width="9.42578125" style="4" customWidth="1"/>
    <col min="7942" max="7942" width="6.7109375" style="4" customWidth="1"/>
    <col min="7943" max="7943" width="14" style="4" customWidth="1"/>
    <col min="7944" max="7944" width="22" style="4" customWidth="1"/>
    <col min="7945" max="7945" width="20.42578125" style="4" customWidth="1"/>
    <col min="7946" max="7946" width="11" style="4" bestFit="1" customWidth="1"/>
    <col min="7947" max="7947" width="3.28515625" style="4" bestFit="1" customWidth="1"/>
    <col min="7948" max="7948" width="2.7109375" style="4" customWidth="1"/>
    <col min="7949" max="7949" width="5" style="4" bestFit="1" customWidth="1"/>
    <col min="7950" max="8192" width="9.140625" style="4"/>
    <col min="8193" max="8193" width="4.85546875" style="4" customWidth="1"/>
    <col min="8194" max="8194" width="71.28515625" style="4" customWidth="1"/>
    <col min="8195" max="8195" width="12.7109375" style="4" customWidth="1"/>
    <col min="8196" max="8196" width="6" style="4" customWidth="1"/>
    <col min="8197" max="8197" width="9.42578125" style="4" customWidth="1"/>
    <col min="8198" max="8198" width="6.7109375" style="4" customWidth="1"/>
    <col min="8199" max="8199" width="14" style="4" customWidth="1"/>
    <col min="8200" max="8200" width="22" style="4" customWidth="1"/>
    <col min="8201" max="8201" width="20.42578125" style="4" customWidth="1"/>
    <col min="8202" max="8202" width="11" style="4" bestFit="1" customWidth="1"/>
    <col min="8203" max="8203" width="3.28515625" style="4" bestFit="1" customWidth="1"/>
    <col min="8204" max="8204" width="2.7109375" style="4" customWidth="1"/>
    <col min="8205" max="8205" width="5" style="4" bestFit="1" customWidth="1"/>
    <col min="8206" max="8448" width="9.140625" style="4"/>
    <col min="8449" max="8449" width="4.85546875" style="4" customWidth="1"/>
    <col min="8450" max="8450" width="71.28515625" style="4" customWidth="1"/>
    <col min="8451" max="8451" width="12.7109375" style="4" customWidth="1"/>
    <col min="8452" max="8452" width="6" style="4" customWidth="1"/>
    <col min="8453" max="8453" width="9.42578125" style="4" customWidth="1"/>
    <col min="8454" max="8454" width="6.7109375" style="4" customWidth="1"/>
    <col min="8455" max="8455" width="14" style="4" customWidth="1"/>
    <col min="8456" max="8456" width="22" style="4" customWidth="1"/>
    <col min="8457" max="8457" width="20.42578125" style="4" customWidth="1"/>
    <col min="8458" max="8458" width="11" style="4" bestFit="1" customWidth="1"/>
    <col min="8459" max="8459" width="3.28515625" style="4" bestFit="1" customWidth="1"/>
    <col min="8460" max="8460" width="2.7109375" style="4" customWidth="1"/>
    <col min="8461" max="8461" width="5" style="4" bestFit="1" customWidth="1"/>
    <col min="8462" max="8704" width="9.140625" style="4"/>
    <col min="8705" max="8705" width="4.85546875" style="4" customWidth="1"/>
    <col min="8706" max="8706" width="71.28515625" style="4" customWidth="1"/>
    <col min="8707" max="8707" width="12.7109375" style="4" customWidth="1"/>
    <col min="8708" max="8708" width="6" style="4" customWidth="1"/>
    <col min="8709" max="8709" width="9.42578125" style="4" customWidth="1"/>
    <col min="8710" max="8710" width="6.7109375" style="4" customWidth="1"/>
    <col min="8711" max="8711" width="14" style="4" customWidth="1"/>
    <col min="8712" max="8712" width="22" style="4" customWidth="1"/>
    <col min="8713" max="8713" width="20.42578125" style="4" customWidth="1"/>
    <col min="8714" max="8714" width="11" style="4" bestFit="1" customWidth="1"/>
    <col min="8715" max="8715" width="3.28515625" style="4" bestFit="1" customWidth="1"/>
    <col min="8716" max="8716" width="2.7109375" style="4" customWidth="1"/>
    <col min="8717" max="8717" width="5" style="4" bestFit="1" customWidth="1"/>
    <col min="8718" max="8960" width="9.140625" style="4"/>
    <col min="8961" max="8961" width="4.85546875" style="4" customWidth="1"/>
    <col min="8962" max="8962" width="71.28515625" style="4" customWidth="1"/>
    <col min="8963" max="8963" width="12.7109375" style="4" customWidth="1"/>
    <col min="8964" max="8964" width="6" style="4" customWidth="1"/>
    <col min="8965" max="8965" width="9.42578125" style="4" customWidth="1"/>
    <col min="8966" max="8966" width="6.7109375" style="4" customWidth="1"/>
    <col min="8967" max="8967" width="14" style="4" customWidth="1"/>
    <col min="8968" max="8968" width="22" style="4" customWidth="1"/>
    <col min="8969" max="8969" width="20.42578125" style="4" customWidth="1"/>
    <col min="8970" max="8970" width="11" style="4" bestFit="1" customWidth="1"/>
    <col min="8971" max="8971" width="3.28515625" style="4" bestFit="1" customWidth="1"/>
    <col min="8972" max="8972" width="2.7109375" style="4" customWidth="1"/>
    <col min="8973" max="8973" width="5" style="4" bestFit="1" customWidth="1"/>
    <col min="8974" max="9216" width="9.140625" style="4"/>
    <col min="9217" max="9217" width="4.85546875" style="4" customWidth="1"/>
    <col min="9218" max="9218" width="71.28515625" style="4" customWidth="1"/>
    <col min="9219" max="9219" width="12.7109375" style="4" customWidth="1"/>
    <col min="9220" max="9220" width="6" style="4" customWidth="1"/>
    <col min="9221" max="9221" width="9.42578125" style="4" customWidth="1"/>
    <col min="9222" max="9222" width="6.7109375" style="4" customWidth="1"/>
    <col min="9223" max="9223" width="14" style="4" customWidth="1"/>
    <col min="9224" max="9224" width="22" style="4" customWidth="1"/>
    <col min="9225" max="9225" width="20.42578125" style="4" customWidth="1"/>
    <col min="9226" max="9226" width="11" style="4" bestFit="1" customWidth="1"/>
    <col min="9227" max="9227" width="3.28515625" style="4" bestFit="1" customWidth="1"/>
    <col min="9228" max="9228" width="2.7109375" style="4" customWidth="1"/>
    <col min="9229" max="9229" width="5" style="4" bestFit="1" customWidth="1"/>
    <col min="9230" max="9472" width="9.140625" style="4"/>
    <col min="9473" max="9473" width="4.85546875" style="4" customWidth="1"/>
    <col min="9474" max="9474" width="71.28515625" style="4" customWidth="1"/>
    <col min="9475" max="9475" width="12.7109375" style="4" customWidth="1"/>
    <col min="9476" max="9476" width="6" style="4" customWidth="1"/>
    <col min="9477" max="9477" width="9.42578125" style="4" customWidth="1"/>
    <col min="9478" max="9478" width="6.7109375" style="4" customWidth="1"/>
    <col min="9479" max="9479" width="14" style="4" customWidth="1"/>
    <col min="9480" max="9480" width="22" style="4" customWidth="1"/>
    <col min="9481" max="9481" width="20.42578125" style="4" customWidth="1"/>
    <col min="9482" max="9482" width="11" style="4" bestFit="1" customWidth="1"/>
    <col min="9483" max="9483" width="3.28515625" style="4" bestFit="1" customWidth="1"/>
    <col min="9484" max="9484" width="2.7109375" style="4" customWidth="1"/>
    <col min="9485" max="9485" width="5" style="4" bestFit="1" customWidth="1"/>
    <col min="9486" max="9728" width="9.140625" style="4"/>
    <col min="9729" max="9729" width="4.85546875" style="4" customWidth="1"/>
    <col min="9730" max="9730" width="71.28515625" style="4" customWidth="1"/>
    <col min="9731" max="9731" width="12.7109375" style="4" customWidth="1"/>
    <col min="9732" max="9732" width="6" style="4" customWidth="1"/>
    <col min="9733" max="9733" width="9.42578125" style="4" customWidth="1"/>
    <col min="9734" max="9734" width="6.7109375" style="4" customWidth="1"/>
    <col min="9735" max="9735" width="14" style="4" customWidth="1"/>
    <col min="9736" max="9736" width="22" style="4" customWidth="1"/>
    <col min="9737" max="9737" width="20.42578125" style="4" customWidth="1"/>
    <col min="9738" max="9738" width="11" style="4" bestFit="1" customWidth="1"/>
    <col min="9739" max="9739" width="3.28515625" style="4" bestFit="1" customWidth="1"/>
    <col min="9740" max="9740" width="2.7109375" style="4" customWidth="1"/>
    <col min="9741" max="9741" width="5" style="4" bestFit="1" customWidth="1"/>
    <col min="9742" max="9984" width="9.140625" style="4"/>
    <col min="9985" max="9985" width="4.85546875" style="4" customWidth="1"/>
    <col min="9986" max="9986" width="71.28515625" style="4" customWidth="1"/>
    <col min="9987" max="9987" width="12.7109375" style="4" customWidth="1"/>
    <col min="9988" max="9988" width="6" style="4" customWidth="1"/>
    <col min="9989" max="9989" width="9.42578125" style="4" customWidth="1"/>
    <col min="9990" max="9990" width="6.7109375" style="4" customWidth="1"/>
    <col min="9991" max="9991" width="14" style="4" customWidth="1"/>
    <col min="9992" max="9992" width="22" style="4" customWidth="1"/>
    <col min="9993" max="9993" width="20.42578125" style="4" customWidth="1"/>
    <col min="9994" max="9994" width="11" style="4" bestFit="1" customWidth="1"/>
    <col min="9995" max="9995" width="3.28515625" style="4" bestFit="1" customWidth="1"/>
    <col min="9996" max="9996" width="2.7109375" style="4" customWidth="1"/>
    <col min="9997" max="9997" width="5" style="4" bestFit="1" customWidth="1"/>
    <col min="9998" max="10240" width="9.140625" style="4"/>
    <col min="10241" max="10241" width="4.85546875" style="4" customWidth="1"/>
    <col min="10242" max="10242" width="71.28515625" style="4" customWidth="1"/>
    <col min="10243" max="10243" width="12.7109375" style="4" customWidth="1"/>
    <col min="10244" max="10244" width="6" style="4" customWidth="1"/>
    <col min="10245" max="10245" width="9.42578125" style="4" customWidth="1"/>
    <col min="10246" max="10246" width="6.7109375" style="4" customWidth="1"/>
    <col min="10247" max="10247" width="14" style="4" customWidth="1"/>
    <col min="10248" max="10248" width="22" style="4" customWidth="1"/>
    <col min="10249" max="10249" width="20.42578125" style="4" customWidth="1"/>
    <col min="10250" max="10250" width="11" style="4" bestFit="1" customWidth="1"/>
    <col min="10251" max="10251" width="3.28515625" style="4" bestFit="1" customWidth="1"/>
    <col min="10252" max="10252" width="2.7109375" style="4" customWidth="1"/>
    <col min="10253" max="10253" width="5" style="4" bestFit="1" customWidth="1"/>
    <col min="10254" max="10496" width="9.140625" style="4"/>
    <col min="10497" max="10497" width="4.85546875" style="4" customWidth="1"/>
    <col min="10498" max="10498" width="71.28515625" style="4" customWidth="1"/>
    <col min="10499" max="10499" width="12.7109375" style="4" customWidth="1"/>
    <col min="10500" max="10500" width="6" style="4" customWidth="1"/>
    <col min="10501" max="10501" width="9.42578125" style="4" customWidth="1"/>
    <col min="10502" max="10502" width="6.7109375" style="4" customWidth="1"/>
    <col min="10503" max="10503" width="14" style="4" customWidth="1"/>
    <col min="10504" max="10504" width="22" style="4" customWidth="1"/>
    <col min="10505" max="10505" width="20.42578125" style="4" customWidth="1"/>
    <col min="10506" max="10506" width="11" style="4" bestFit="1" customWidth="1"/>
    <col min="10507" max="10507" width="3.28515625" style="4" bestFit="1" customWidth="1"/>
    <col min="10508" max="10508" width="2.7109375" style="4" customWidth="1"/>
    <col min="10509" max="10509" width="5" style="4" bestFit="1" customWidth="1"/>
    <col min="10510" max="10752" width="9.140625" style="4"/>
    <col min="10753" max="10753" width="4.85546875" style="4" customWidth="1"/>
    <col min="10754" max="10754" width="71.28515625" style="4" customWidth="1"/>
    <col min="10755" max="10755" width="12.7109375" style="4" customWidth="1"/>
    <col min="10756" max="10756" width="6" style="4" customWidth="1"/>
    <col min="10757" max="10757" width="9.42578125" style="4" customWidth="1"/>
    <col min="10758" max="10758" width="6.7109375" style="4" customWidth="1"/>
    <col min="10759" max="10759" width="14" style="4" customWidth="1"/>
    <col min="10760" max="10760" width="22" style="4" customWidth="1"/>
    <col min="10761" max="10761" width="20.42578125" style="4" customWidth="1"/>
    <col min="10762" max="10762" width="11" style="4" bestFit="1" customWidth="1"/>
    <col min="10763" max="10763" width="3.28515625" style="4" bestFit="1" customWidth="1"/>
    <col min="10764" max="10764" width="2.7109375" style="4" customWidth="1"/>
    <col min="10765" max="10765" width="5" style="4" bestFit="1" customWidth="1"/>
    <col min="10766" max="11008" width="9.140625" style="4"/>
    <col min="11009" max="11009" width="4.85546875" style="4" customWidth="1"/>
    <col min="11010" max="11010" width="71.28515625" style="4" customWidth="1"/>
    <col min="11011" max="11011" width="12.7109375" style="4" customWidth="1"/>
    <col min="11012" max="11012" width="6" style="4" customWidth="1"/>
    <col min="11013" max="11013" width="9.42578125" style="4" customWidth="1"/>
    <col min="11014" max="11014" width="6.7109375" style="4" customWidth="1"/>
    <col min="11015" max="11015" width="14" style="4" customWidth="1"/>
    <col min="11016" max="11016" width="22" style="4" customWidth="1"/>
    <col min="11017" max="11017" width="20.42578125" style="4" customWidth="1"/>
    <col min="11018" max="11018" width="11" style="4" bestFit="1" customWidth="1"/>
    <col min="11019" max="11019" width="3.28515625" style="4" bestFit="1" customWidth="1"/>
    <col min="11020" max="11020" width="2.7109375" style="4" customWidth="1"/>
    <col min="11021" max="11021" width="5" style="4" bestFit="1" customWidth="1"/>
    <col min="11022" max="11264" width="9.140625" style="4"/>
    <col min="11265" max="11265" width="4.85546875" style="4" customWidth="1"/>
    <col min="11266" max="11266" width="71.28515625" style="4" customWidth="1"/>
    <col min="11267" max="11267" width="12.7109375" style="4" customWidth="1"/>
    <col min="11268" max="11268" width="6" style="4" customWidth="1"/>
    <col min="11269" max="11269" width="9.42578125" style="4" customWidth="1"/>
    <col min="11270" max="11270" width="6.7109375" style="4" customWidth="1"/>
    <col min="11271" max="11271" width="14" style="4" customWidth="1"/>
    <col min="11272" max="11272" width="22" style="4" customWidth="1"/>
    <col min="11273" max="11273" width="20.42578125" style="4" customWidth="1"/>
    <col min="11274" max="11274" width="11" style="4" bestFit="1" customWidth="1"/>
    <col min="11275" max="11275" width="3.28515625" style="4" bestFit="1" customWidth="1"/>
    <col min="11276" max="11276" width="2.7109375" style="4" customWidth="1"/>
    <col min="11277" max="11277" width="5" style="4" bestFit="1" customWidth="1"/>
    <col min="11278" max="11520" width="9.140625" style="4"/>
    <col min="11521" max="11521" width="4.85546875" style="4" customWidth="1"/>
    <col min="11522" max="11522" width="71.28515625" style="4" customWidth="1"/>
    <col min="11523" max="11523" width="12.7109375" style="4" customWidth="1"/>
    <col min="11524" max="11524" width="6" style="4" customWidth="1"/>
    <col min="11525" max="11525" width="9.42578125" style="4" customWidth="1"/>
    <col min="11526" max="11526" width="6.7109375" style="4" customWidth="1"/>
    <col min="11527" max="11527" width="14" style="4" customWidth="1"/>
    <col min="11528" max="11528" width="22" style="4" customWidth="1"/>
    <col min="11529" max="11529" width="20.42578125" style="4" customWidth="1"/>
    <col min="11530" max="11530" width="11" style="4" bestFit="1" customWidth="1"/>
    <col min="11531" max="11531" width="3.28515625" style="4" bestFit="1" customWidth="1"/>
    <col min="11532" max="11532" width="2.7109375" style="4" customWidth="1"/>
    <col min="11533" max="11533" width="5" style="4" bestFit="1" customWidth="1"/>
    <col min="11534" max="11776" width="9.140625" style="4"/>
    <col min="11777" max="11777" width="4.85546875" style="4" customWidth="1"/>
    <col min="11778" max="11778" width="71.28515625" style="4" customWidth="1"/>
    <col min="11779" max="11779" width="12.7109375" style="4" customWidth="1"/>
    <col min="11780" max="11780" width="6" style="4" customWidth="1"/>
    <col min="11781" max="11781" width="9.42578125" style="4" customWidth="1"/>
    <col min="11782" max="11782" width="6.7109375" style="4" customWidth="1"/>
    <col min="11783" max="11783" width="14" style="4" customWidth="1"/>
    <col min="11784" max="11784" width="22" style="4" customWidth="1"/>
    <col min="11785" max="11785" width="20.42578125" style="4" customWidth="1"/>
    <col min="11786" max="11786" width="11" style="4" bestFit="1" customWidth="1"/>
    <col min="11787" max="11787" width="3.28515625" style="4" bestFit="1" customWidth="1"/>
    <col min="11788" max="11788" width="2.7109375" style="4" customWidth="1"/>
    <col min="11789" max="11789" width="5" style="4" bestFit="1" customWidth="1"/>
    <col min="11790" max="12032" width="9.140625" style="4"/>
    <col min="12033" max="12033" width="4.85546875" style="4" customWidth="1"/>
    <col min="12034" max="12034" width="71.28515625" style="4" customWidth="1"/>
    <col min="12035" max="12035" width="12.7109375" style="4" customWidth="1"/>
    <col min="12036" max="12036" width="6" style="4" customWidth="1"/>
    <col min="12037" max="12037" width="9.42578125" style="4" customWidth="1"/>
    <col min="12038" max="12038" width="6.7109375" style="4" customWidth="1"/>
    <col min="12039" max="12039" width="14" style="4" customWidth="1"/>
    <col min="12040" max="12040" width="22" style="4" customWidth="1"/>
    <col min="12041" max="12041" width="20.42578125" style="4" customWidth="1"/>
    <col min="12042" max="12042" width="11" style="4" bestFit="1" customWidth="1"/>
    <col min="12043" max="12043" width="3.28515625" style="4" bestFit="1" customWidth="1"/>
    <col min="12044" max="12044" width="2.7109375" style="4" customWidth="1"/>
    <col min="12045" max="12045" width="5" style="4" bestFit="1" customWidth="1"/>
    <col min="12046" max="12288" width="9.140625" style="4"/>
    <col min="12289" max="12289" width="4.85546875" style="4" customWidth="1"/>
    <col min="12290" max="12290" width="71.28515625" style="4" customWidth="1"/>
    <col min="12291" max="12291" width="12.7109375" style="4" customWidth="1"/>
    <col min="12292" max="12292" width="6" style="4" customWidth="1"/>
    <col min="12293" max="12293" width="9.42578125" style="4" customWidth="1"/>
    <col min="12294" max="12294" width="6.7109375" style="4" customWidth="1"/>
    <col min="12295" max="12295" width="14" style="4" customWidth="1"/>
    <col min="12296" max="12296" width="22" style="4" customWidth="1"/>
    <col min="12297" max="12297" width="20.42578125" style="4" customWidth="1"/>
    <col min="12298" max="12298" width="11" style="4" bestFit="1" customWidth="1"/>
    <col min="12299" max="12299" width="3.28515625" style="4" bestFit="1" customWidth="1"/>
    <col min="12300" max="12300" width="2.7109375" style="4" customWidth="1"/>
    <col min="12301" max="12301" width="5" style="4" bestFit="1" customWidth="1"/>
    <col min="12302" max="12544" width="9.140625" style="4"/>
    <col min="12545" max="12545" width="4.85546875" style="4" customWidth="1"/>
    <col min="12546" max="12546" width="71.28515625" style="4" customWidth="1"/>
    <col min="12547" max="12547" width="12.7109375" style="4" customWidth="1"/>
    <col min="12548" max="12548" width="6" style="4" customWidth="1"/>
    <col min="12549" max="12549" width="9.42578125" style="4" customWidth="1"/>
    <col min="12550" max="12550" width="6.7109375" style="4" customWidth="1"/>
    <col min="12551" max="12551" width="14" style="4" customWidth="1"/>
    <col min="12552" max="12552" width="22" style="4" customWidth="1"/>
    <col min="12553" max="12553" width="20.42578125" style="4" customWidth="1"/>
    <col min="12554" max="12554" width="11" style="4" bestFit="1" customWidth="1"/>
    <col min="12555" max="12555" width="3.28515625" style="4" bestFit="1" customWidth="1"/>
    <col min="12556" max="12556" width="2.7109375" style="4" customWidth="1"/>
    <col min="12557" max="12557" width="5" style="4" bestFit="1" customWidth="1"/>
    <col min="12558" max="12800" width="9.140625" style="4"/>
    <col min="12801" max="12801" width="4.85546875" style="4" customWidth="1"/>
    <col min="12802" max="12802" width="71.28515625" style="4" customWidth="1"/>
    <col min="12803" max="12803" width="12.7109375" style="4" customWidth="1"/>
    <col min="12804" max="12804" width="6" style="4" customWidth="1"/>
    <col min="12805" max="12805" width="9.42578125" style="4" customWidth="1"/>
    <col min="12806" max="12806" width="6.7109375" style="4" customWidth="1"/>
    <col min="12807" max="12807" width="14" style="4" customWidth="1"/>
    <col min="12808" max="12808" width="22" style="4" customWidth="1"/>
    <col min="12809" max="12809" width="20.42578125" style="4" customWidth="1"/>
    <col min="12810" max="12810" width="11" style="4" bestFit="1" customWidth="1"/>
    <col min="12811" max="12811" width="3.28515625" style="4" bestFit="1" customWidth="1"/>
    <col min="12812" max="12812" width="2.7109375" style="4" customWidth="1"/>
    <col min="12813" max="12813" width="5" style="4" bestFit="1" customWidth="1"/>
    <col min="12814" max="13056" width="9.140625" style="4"/>
    <col min="13057" max="13057" width="4.85546875" style="4" customWidth="1"/>
    <col min="13058" max="13058" width="71.28515625" style="4" customWidth="1"/>
    <col min="13059" max="13059" width="12.7109375" style="4" customWidth="1"/>
    <col min="13060" max="13060" width="6" style="4" customWidth="1"/>
    <col min="13061" max="13061" width="9.42578125" style="4" customWidth="1"/>
    <col min="13062" max="13062" width="6.7109375" style="4" customWidth="1"/>
    <col min="13063" max="13063" width="14" style="4" customWidth="1"/>
    <col min="13064" max="13064" width="22" style="4" customWidth="1"/>
    <col min="13065" max="13065" width="20.42578125" style="4" customWidth="1"/>
    <col min="13066" max="13066" width="11" style="4" bestFit="1" customWidth="1"/>
    <col min="13067" max="13067" width="3.28515625" style="4" bestFit="1" customWidth="1"/>
    <col min="13068" max="13068" width="2.7109375" style="4" customWidth="1"/>
    <col min="13069" max="13069" width="5" style="4" bestFit="1" customWidth="1"/>
    <col min="13070" max="13312" width="9.140625" style="4"/>
    <col min="13313" max="13313" width="4.85546875" style="4" customWidth="1"/>
    <col min="13314" max="13314" width="71.28515625" style="4" customWidth="1"/>
    <col min="13315" max="13315" width="12.7109375" style="4" customWidth="1"/>
    <col min="13316" max="13316" width="6" style="4" customWidth="1"/>
    <col min="13317" max="13317" width="9.42578125" style="4" customWidth="1"/>
    <col min="13318" max="13318" width="6.7109375" style="4" customWidth="1"/>
    <col min="13319" max="13319" width="14" style="4" customWidth="1"/>
    <col min="13320" max="13320" width="22" style="4" customWidth="1"/>
    <col min="13321" max="13321" width="20.42578125" style="4" customWidth="1"/>
    <col min="13322" max="13322" width="11" style="4" bestFit="1" customWidth="1"/>
    <col min="13323" max="13323" width="3.28515625" style="4" bestFit="1" customWidth="1"/>
    <col min="13324" max="13324" width="2.7109375" style="4" customWidth="1"/>
    <col min="13325" max="13325" width="5" style="4" bestFit="1" customWidth="1"/>
    <col min="13326" max="13568" width="9.140625" style="4"/>
    <col min="13569" max="13569" width="4.85546875" style="4" customWidth="1"/>
    <col min="13570" max="13570" width="71.28515625" style="4" customWidth="1"/>
    <col min="13571" max="13571" width="12.7109375" style="4" customWidth="1"/>
    <col min="13572" max="13572" width="6" style="4" customWidth="1"/>
    <col min="13573" max="13573" width="9.42578125" style="4" customWidth="1"/>
    <col min="13574" max="13574" width="6.7109375" style="4" customWidth="1"/>
    <col min="13575" max="13575" width="14" style="4" customWidth="1"/>
    <col min="13576" max="13576" width="22" style="4" customWidth="1"/>
    <col min="13577" max="13577" width="20.42578125" style="4" customWidth="1"/>
    <col min="13578" max="13578" width="11" style="4" bestFit="1" customWidth="1"/>
    <col min="13579" max="13579" width="3.28515625" style="4" bestFit="1" customWidth="1"/>
    <col min="13580" max="13580" width="2.7109375" style="4" customWidth="1"/>
    <col min="13581" max="13581" width="5" style="4" bestFit="1" customWidth="1"/>
    <col min="13582" max="13824" width="9.140625" style="4"/>
    <col min="13825" max="13825" width="4.85546875" style="4" customWidth="1"/>
    <col min="13826" max="13826" width="71.28515625" style="4" customWidth="1"/>
    <col min="13827" max="13827" width="12.7109375" style="4" customWidth="1"/>
    <col min="13828" max="13828" width="6" style="4" customWidth="1"/>
    <col min="13829" max="13829" width="9.42578125" style="4" customWidth="1"/>
    <col min="13830" max="13830" width="6.7109375" style="4" customWidth="1"/>
    <col min="13831" max="13831" width="14" style="4" customWidth="1"/>
    <col min="13832" max="13832" width="22" style="4" customWidth="1"/>
    <col min="13833" max="13833" width="20.42578125" style="4" customWidth="1"/>
    <col min="13834" max="13834" width="11" style="4" bestFit="1" customWidth="1"/>
    <col min="13835" max="13835" width="3.28515625" style="4" bestFit="1" customWidth="1"/>
    <col min="13836" max="13836" width="2.7109375" style="4" customWidth="1"/>
    <col min="13837" max="13837" width="5" style="4" bestFit="1" customWidth="1"/>
    <col min="13838" max="14080" width="9.140625" style="4"/>
    <col min="14081" max="14081" width="4.85546875" style="4" customWidth="1"/>
    <col min="14082" max="14082" width="71.28515625" style="4" customWidth="1"/>
    <col min="14083" max="14083" width="12.7109375" style="4" customWidth="1"/>
    <col min="14084" max="14084" width="6" style="4" customWidth="1"/>
    <col min="14085" max="14085" width="9.42578125" style="4" customWidth="1"/>
    <col min="14086" max="14086" width="6.7109375" style="4" customWidth="1"/>
    <col min="14087" max="14087" width="14" style="4" customWidth="1"/>
    <col min="14088" max="14088" width="22" style="4" customWidth="1"/>
    <col min="14089" max="14089" width="20.42578125" style="4" customWidth="1"/>
    <col min="14090" max="14090" width="11" style="4" bestFit="1" customWidth="1"/>
    <col min="14091" max="14091" width="3.28515625" style="4" bestFit="1" customWidth="1"/>
    <col min="14092" max="14092" width="2.7109375" style="4" customWidth="1"/>
    <col min="14093" max="14093" width="5" style="4" bestFit="1" customWidth="1"/>
    <col min="14094" max="14336" width="9.140625" style="4"/>
    <col min="14337" max="14337" width="4.85546875" style="4" customWidth="1"/>
    <col min="14338" max="14338" width="71.28515625" style="4" customWidth="1"/>
    <col min="14339" max="14339" width="12.7109375" style="4" customWidth="1"/>
    <col min="14340" max="14340" width="6" style="4" customWidth="1"/>
    <col min="14341" max="14341" width="9.42578125" style="4" customWidth="1"/>
    <col min="14342" max="14342" width="6.7109375" style="4" customWidth="1"/>
    <col min="14343" max="14343" width="14" style="4" customWidth="1"/>
    <col min="14344" max="14344" width="22" style="4" customWidth="1"/>
    <col min="14345" max="14345" width="20.42578125" style="4" customWidth="1"/>
    <col min="14346" max="14346" width="11" style="4" bestFit="1" customWidth="1"/>
    <col min="14347" max="14347" width="3.28515625" style="4" bestFit="1" customWidth="1"/>
    <col min="14348" max="14348" width="2.7109375" style="4" customWidth="1"/>
    <col min="14349" max="14349" width="5" style="4" bestFit="1" customWidth="1"/>
    <col min="14350" max="14592" width="9.140625" style="4"/>
    <col min="14593" max="14593" width="4.85546875" style="4" customWidth="1"/>
    <col min="14594" max="14594" width="71.28515625" style="4" customWidth="1"/>
    <col min="14595" max="14595" width="12.7109375" style="4" customWidth="1"/>
    <col min="14596" max="14596" width="6" style="4" customWidth="1"/>
    <col min="14597" max="14597" width="9.42578125" style="4" customWidth="1"/>
    <col min="14598" max="14598" width="6.7109375" style="4" customWidth="1"/>
    <col min="14599" max="14599" width="14" style="4" customWidth="1"/>
    <col min="14600" max="14600" width="22" style="4" customWidth="1"/>
    <col min="14601" max="14601" width="20.42578125" style="4" customWidth="1"/>
    <col min="14602" max="14602" width="11" style="4" bestFit="1" customWidth="1"/>
    <col min="14603" max="14603" width="3.28515625" style="4" bestFit="1" customWidth="1"/>
    <col min="14604" max="14604" width="2.7109375" style="4" customWidth="1"/>
    <col min="14605" max="14605" width="5" style="4" bestFit="1" customWidth="1"/>
    <col min="14606" max="14848" width="9.140625" style="4"/>
    <col min="14849" max="14849" width="4.85546875" style="4" customWidth="1"/>
    <col min="14850" max="14850" width="71.28515625" style="4" customWidth="1"/>
    <col min="14851" max="14851" width="12.7109375" style="4" customWidth="1"/>
    <col min="14852" max="14852" width="6" style="4" customWidth="1"/>
    <col min="14853" max="14853" width="9.42578125" style="4" customWidth="1"/>
    <col min="14854" max="14854" width="6.7109375" style="4" customWidth="1"/>
    <col min="14855" max="14855" width="14" style="4" customWidth="1"/>
    <col min="14856" max="14856" width="22" style="4" customWidth="1"/>
    <col min="14857" max="14857" width="20.42578125" style="4" customWidth="1"/>
    <col min="14858" max="14858" width="11" style="4" bestFit="1" customWidth="1"/>
    <col min="14859" max="14859" width="3.28515625" style="4" bestFit="1" customWidth="1"/>
    <col min="14860" max="14860" width="2.7109375" style="4" customWidth="1"/>
    <col min="14861" max="14861" width="5" style="4" bestFit="1" customWidth="1"/>
    <col min="14862" max="15104" width="9.140625" style="4"/>
    <col min="15105" max="15105" width="4.85546875" style="4" customWidth="1"/>
    <col min="15106" max="15106" width="71.28515625" style="4" customWidth="1"/>
    <col min="15107" max="15107" width="12.7109375" style="4" customWidth="1"/>
    <col min="15108" max="15108" width="6" style="4" customWidth="1"/>
    <col min="15109" max="15109" width="9.42578125" style="4" customWidth="1"/>
    <col min="15110" max="15110" width="6.7109375" style="4" customWidth="1"/>
    <col min="15111" max="15111" width="14" style="4" customWidth="1"/>
    <col min="15112" max="15112" width="22" style="4" customWidth="1"/>
    <col min="15113" max="15113" width="20.42578125" style="4" customWidth="1"/>
    <col min="15114" max="15114" width="11" style="4" bestFit="1" customWidth="1"/>
    <col min="15115" max="15115" width="3.28515625" style="4" bestFit="1" customWidth="1"/>
    <col min="15116" max="15116" width="2.7109375" style="4" customWidth="1"/>
    <col min="15117" max="15117" width="5" style="4" bestFit="1" customWidth="1"/>
    <col min="15118" max="15360" width="9.140625" style="4"/>
    <col min="15361" max="15361" width="4.85546875" style="4" customWidth="1"/>
    <col min="15362" max="15362" width="71.28515625" style="4" customWidth="1"/>
    <col min="15363" max="15363" width="12.7109375" style="4" customWidth="1"/>
    <col min="15364" max="15364" width="6" style="4" customWidth="1"/>
    <col min="15365" max="15365" width="9.42578125" style="4" customWidth="1"/>
    <col min="15366" max="15366" width="6.7109375" style="4" customWidth="1"/>
    <col min="15367" max="15367" width="14" style="4" customWidth="1"/>
    <col min="15368" max="15368" width="22" style="4" customWidth="1"/>
    <col min="15369" max="15369" width="20.42578125" style="4" customWidth="1"/>
    <col min="15370" max="15370" width="11" style="4" bestFit="1" customWidth="1"/>
    <col min="15371" max="15371" width="3.28515625" style="4" bestFit="1" customWidth="1"/>
    <col min="15372" max="15372" width="2.7109375" style="4" customWidth="1"/>
    <col min="15373" max="15373" width="5" style="4" bestFit="1" customWidth="1"/>
    <col min="15374" max="15616" width="9.140625" style="4"/>
    <col min="15617" max="15617" width="4.85546875" style="4" customWidth="1"/>
    <col min="15618" max="15618" width="71.28515625" style="4" customWidth="1"/>
    <col min="15619" max="15619" width="12.7109375" style="4" customWidth="1"/>
    <col min="15620" max="15620" width="6" style="4" customWidth="1"/>
    <col min="15621" max="15621" width="9.42578125" style="4" customWidth="1"/>
    <col min="15622" max="15622" width="6.7109375" style="4" customWidth="1"/>
    <col min="15623" max="15623" width="14" style="4" customWidth="1"/>
    <col min="15624" max="15624" width="22" style="4" customWidth="1"/>
    <col min="15625" max="15625" width="20.42578125" style="4" customWidth="1"/>
    <col min="15626" max="15626" width="11" style="4" bestFit="1" customWidth="1"/>
    <col min="15627" max="15627" width="3.28515625" style="4" bestFit="1" customWidth="1"/>
    <col min="15628" max="15628" width="2.7109375" style="4" customWidth="1"/>
    <col min="15629" max="15629" width="5" style="4" bestFit="1" customWidth="1"/>
    <col min="15630" max="15872" width="9.140625" style="4"/>
    <col min="15873" max="15873" width="4.85546875" style="4" customWidth="1"/>
    <col min="15874" max="15874" width="71.28515625" style="4" customWidth="1"/>
    <col min="15875" max="15875" width="12.7109375" style="4" customWidth="1"/>
    <col min="15876" max="15876" width="6" style="4" customWidth="1"/>
    <col min="15877" max="15877" width="9.42578125" style="4" customWidth="1"/>
    <col min="15878" max="15878" width="6.7109375" style="4" customWidth="1"/>
    <col min="15879" max="15879" width="14" style="4" customWidth="1"/>
    <col min="15880" max="15880" width="22" style="4" customWidth="1"/>
    <col min="15881" max="15881" width="20.42578125" style="4" customWidth="1"/>
    <col min="15882" max="15882" width="11" style="4" bestFit="1" customWidth="1"/>
    <col min="15883" max="15883" width="3.28515625" style="4" bestFit="1" customWidth="1"/>
    <col min="15884" max="15884" width="2.7109375" style="4" customWidth="1"/>
    <col min="15885" max="15885" width="5" style="4" bestFit="1" customWidth="1"/>
    <col min="15886" max="16128" width="9.140625" style="4"/>
    <col min="16129" max="16129" width="4.85546875" style="4" customWidth="1"/>
    <col min="16130" max="16130" width="71.28515625" style="4" customWidth="1"/>
    <col min="16131" max="16131" width="12.7109375" style="4" customWidth="1"/>
    <col min="16132" max="16132" width="6" style="4" customWidth="1"/>
    <col min="16133" max="16133" width="9.42578125" style="4" customWidth="1"/>
    <col min="16134" max="16134" width="6.7109375" style="4" customWidth="1"/>
    <col min="16135" max="16135" width="14" style="4" customWidth="1"/>
    <col min="16136" max="16136" width="22" style="4" customWidth="1"/>
    <col min="16137" max="16137" width="20.42578125" style="4" customWidth="1"/>
    <col min="16138" max="16138" width="11" style="4" bestFit="1" customWidth="1"/>
    <col min="16139" max="16139" width="3.28515625" style="4" bestFit="1" customWidth="1"/>
    <col min="16140" max="16140" width="2.7109375" style="4" customWidth="1"/>
    <col min="16141" max="16141" width="5" style="4" bestFit="1" customWidth="1"/>
    <col min="16142" max="16384" width="9.140625" style="4"/>
  </cols>
  <sheetData>
    <row r="1" spans="1:9" ht="20.25" customHeight="1">
      <c r="B1" s="3455" t="s">
        <v>2900</v>
      </c>
      <c r="C1" s="3455"/>
      <c r="D1" s="2715"/>
      <c r="E1" s="2715"/>
      <c r="F1" s="2715"/>
      <c r="G1" s="2715"/>
      <c r="H1" s="2715"/>
    </row>
    <row r="2" spans="1:9" ht="16.5" customHeight="1">
      <c r="A2" s="2718"/>
      <c r="B2" s="2718"/>
      <c r="C2" s="2718"/>
      <c r="D2" s="2718"/>
      <c r="E2" s="2718"/>
      <c r="F2" s="2718"/>
      <c r="G2" s="2795" t="s">
        <v>89</v>
      </c>
    </row>
    <row r="3" spans="1:9" ht="24" customHeight="1">
      <c r="B3" s="3061" t="s">
        <v>2901</v>
      </c>
      <c r="C3" s="3061"/>
      <c r="D3" s="3061"/>
      <c r="E3" s="3061"/>
      <c r="F3" s="3061"/>
      <c r="G3" s="2806"/>
    </row>
    <row r="4" spans="1:9" ht="10.5" customHeight="1">
      <c r="A4" s="2807"/>
      <c r="B4" s="2807"/>
      <c r="C4" s="2807"/>
      <c r="D4" s="2807"/>
      <c r="E4" s="2807"/>
      <c r="F4" s="2807"/>
      <c r="G4" s="2807"/>
    </row>
    <row r="5" spans="1:9" ht="30">
      <c r="A5" s="2800" t="s">
        <v>2</v>
      </c>
      <c r="B5" s="2800" t="s">
        <v>3</v>
      </c>
      <c r="C5" s="2808" t="s">
        <v>2902</v>
      </c>
      <c r="D5" s="190" t="s">
        <v>5</v>
      </c>
      <c r="E5" s="190" t="s">
        <v>9</v>
      </c>
      <c r="F5" s="190" t="s">
        <v>8</v>
      </c>
      <c r="G5" s="190" t="s">
        <v>10</v>
      </c>
    </row>
    <row r="6" spans="1:9" ht="15">
      <c r="A6" s="2809">
        <v>1</v>
      </c>
      <c r="B6" s="2809">
        <v>2</v>
      </c>
      <c r="C6" s="2810">
        <v>3</v>
      </c>
      <c r="D6" s="2810">
        <v>4</v>
      </c>
      <c r="E6" s="2810">
        <v>5</v>
      </c>
      <c r="F6" s="2810">
        <v>6</v>
      </c>
      <c r="G6" s="2810">
        <v>7</v>
      </c>
    </row>
    <row r="7" spans="1:9" ht="15">
      <c r="A7" s="2832">
        <v>1</v>
      </c>
      <c r="B7" s="1188" t="s">
        <v>2425</v>
      </c>
      <c r="C7" s="2833"/>
      <c r="D7" s="2834"/>
      <c r="E7" s="2834"/>
      <c r="F7" s="2834"/>
      <c r="G7" s="2835"/>
    </row>
    <row r="8" spans="1:9" ht="15" customHeight="1">
      <c r="A8" s="1183" t="s">
        <v>1493</v>
      </c>
      <c r="B8" s="1200" t="s">
        <v>2903</v>
      </c>
      <c r="C8" s="2836">
        <v>7132210018</v>
      </c>
      <c r="D8" s="2801" t="s">
        <v>12</v>
      </c>
      <c r="E8" s="1269">
        <f>VLOOKUP(C8,'[25]SOR RATE'!A:D,4,0)</f>
        <v>62449.99</v>
      </c>
      <c r="F8" s="2837">
        <v>8</v>
      </c>
      <c r="G8" s="2838">
        <f>F8*E8</f>
        <v>499599.92</v>
      </c>
      <c r="H8" s="2811"/>
    </row>
    <row r="9" spans="1:9" ht="15" customHeight="1">
      <c r="A9" s="1183" t="s">
        <v>1494</v>
      </c>
      <c r="B9" s="1182" t="s">
        <v>2904</v>
      </c>
      <c r="C9" s="2839">
        <v>7132210017</v>
      </c>
      <c r="D9" s="1183" t="s">
        <v>12</v>
      </c>
      <c r="E9" s="1269">
        <f>VLOOKUP(C9,'[25]SOR RATE'!A:D,4,0)</f>
        <v>75035.14</v>
      </c>
      <c r="F9" s="1183">
        <v>0</v>
      </c>
      <c r="G9" s="2840">
        <f t="shared" ref="G9:G20" si="0">F9*E9</f>
        <v>0</v>
      </c>
      <c r="H9" s="2811"/>
    </row>
    <row r="10" spans="1:9" ht="15.75" customHeight="1">
      <c r="A10" s="1183">
        <v>2</v>
      </c>
      <c r="B10" s="2841" t="s">
        <v>2905</v>
      </c>
      <c r="C10" s="1186">
        <v>7130800012</v>
      </c>
      <c r="D10" s="1186" t="s">
        <v>12</v>
      </c>
      <c r="E10" s="734">
        <f>VLOOKUP(C10,'[25]SOR RATE'!A:D,4,0)</f>
        <v>2298.46</v>
      </c>
      <c r="F10" s="1286">
        <v>16</v>
      </c>
      <c r="G10" s="2840">
        <f t="shared" si="0"/>
        <v>36775.360000000001</v>
      </c>
    </row>
    <row r="11" spans="1:9" ht="16.5" customHeight="1">
      <c r="A11" s="3225">
        <v>3</v>
      </c>
      <c r="B11" s="1182" t="s">
        <v>2906</v>
      </c>
      <c r="C11" s="2842">
        <v>7130860032</v>
      </c>
      <c r="D11" s="1183" t="s">
        <v>12</v>
      </c>
      <c r="E11" s="734">
        <f>VLOOKUP(C11,'[25]SOR RATE'!A:D,4,0)</f>
        <v>566.19000000000005</v>
      </c>
      <c r="F11" s="1286">
        <v>32</v>
      </c>
      <c r="G11" s="2840">
        <f t="shared" si="0"/>
        <v>18118.080000000002</v>
      </c>
    </row>
    <row r="12" spans="1:9" ht="16.5" customHeight="1">
      <c r="A12" s="3226"/>
      <c r="B12" s="1182" t="s">
        <v>2907</v>
      </c>
      <c r="C12" s="2842">
        <v>7130860077</v>
      </c>
      <c r="D12" s="1183" t="s">
        <v>26</v>
      </c>
      <c r="E12" s="734">
        <f>VLOOKUP(C12,'[25]SOR RATE'!A:D,4,0)/1000</f>
        <v>93.76643</v>
      </c>
      <c r="F12" s="1286">
        <v>176</v>
      </c>
      <c r="G12" s="2840">
        <f t="shared" si="0"/>
        <v>16502.891680000001</v>
      </c>
    </row>
    <row r="13" spans="1:9" ht="16.5" customHeight="1">
      <c r="A13" s="3226"/>
      <c r="B13" s="1182" t="s">
        <v>2908</v>
      </c>
      <c r="C13" s="2842">
        <v>7130820117</v>
      </c>
      <c r="D13" s="2843" t="s">
        <v>68</v>
      </c>
      <c r="E13" s="734">
        <f>VLOOKUP(C13,'[25]SOR RATE'!A:D,4,0)</f>
        <v>12.42</v>
      </c>
      <c r="F13" s="1286">
        <v>32</v>
      </c>
      <c r="G13" s="2840">
        <f t="shared" si="0"/>
        <v>397.44</v>
      </c>
      <c r="H13" s="739" t="s">
        <v>119</v>
      </c>
    </row>
    <row r="14" spans="1:9" ht="16.5" customHeight="1">
      <c r="A14" s="3220"/>
      <c r="B14" s="1182" t="s">
        <v>2909</v>
      </c>
      <c r="C14" s="2844">
        <v>7130810026</v>
      </c>
      <c r="D14" s="2768" t="s">
        <v>15</v>
      </c>
      <c r="E14" s="734">
        <f>VLOOKUP(C14,'[25]SOR RATE'!A201:D201,4,0)</f>
        <v>198.14</v>
      </c>
      <c r="F14" s="1286">
        <v>40</v>
      </c>
      <c r="G14" s="2840">
        <f t="shared" si="0"/>
        <v>7925.5999999999995</v>
      </c>
    </row>
    <row r="15" spans="1:9" ht="29.25" customHeight="1">
      <c r="A15" s="2845">
        <v>4</v>
      </c>
      <c r="B15" s="1506" t="s">
        <v>2910</v>
      </c>
      <c r="C15" s="2846">
        <v>7130850201</v>
      </c>
      <c r="D15" s="2802" t="s">
        <v>40</v>
      </c>
      <c r="E15" s="734">
        <f>VLOOKUP(C15,'[25]SOR RATE'!A279:D279,4,0)</f>
        <v>5987.84</v>
      </c>
      <c r="F15" s="1286">
        <v>8</v>
      </c>
      <c r="G15" s="2840">
        <f t="shared" si="0"/>
        <v>47902.720000000001</v>
      </c>
    </row>
    <row r="16" spans="1:9" ht="14.25">
      <c r="A16" s="2845">
        <v>5</v>
      </c>
      <c r="B16" s="1506" t="s">
        <v>2911</v>
      </c>
      <c r="C16" s="1287">
        <v>7130810509</v>
      </c>
      <c r="D16" s="1181" t="s">
        <v>40</v>
      </c>
      <c r="E16" s="734">
        <f>VLOOKUP(C16,'[25]SOR RATE'!A:D,4,0)</f>
        <v>2187.33</v>
      </c>
      <c r="F16" s="1286">
        <v>8</v>
      </c>
      <c r="G16" s="2840">
        <f t="shared" si="0"/>
        <v>17498.64</v>
      </c>
      <c r="I16" s="394"/>
    </row>
    <row r="17" spans="1:13" ht="14.25">
      <c r="A17" s="2845">
        <v>6</v>
      </c>
      <c r="B17" s="1506" t="s">
        <v>2912</v>
      </c>
      <c r="C17" s="2846">
        <v>7130850201</v>
      </c>
      <c r="D17" s="2802" t="s">
        <v>40</v>
      </c>
      <c r="E17" s="734">
        <f>VLOOKUP(C17,'[25]SOR RATE'!A279:D279,4,0)</f>
        <v>5987.84</v>
      </c>
      <c r="F17" s="1286">
        <v>8</v>
      </c>
      <c r="G17" s="2840">
        <f t="shared" si="0"/>
        <v>47902.720000000001</v>
      </c>
    </row>
    <row r="18" spans="1:13" ht="14.25">
      <c r="A18" s="2845">
        <v>7</v>
      </c>
      <c r="B18" s="1506" t="s">
        <v>2913</v>
      </c>
      <c r="C18" s="1186">
        <v>7130810681</v>
      </c>
      <c r="D18" s="1181" t="s">
        <v>40</v>
      </c>
      <c r="E18" s="734">
        <f>VLOOKUP(C18,'[25]SOR RATE'!A:D,4,0)</f>
        <v>4249.5600000000004</v>
      </c>
      <c r="F18" s="1286">
        <v>10</v>
      </c>
      <c r="G18" s="2840">
        <f t="shared" si="0"/>
        <v>42495.600000000006</v>
      </c>
    </row>
    <row r="19" spans="1:13" ht="14.25">
      <c r="A19" s="2845">
        <v>8</v>
      </c>
      <c r="B19" s="1506" t="s">
        <v>2914</v>
      </c>
      <c r="C19" s="2839">
        <v>7130820241</v>
      </c>
      <c r="D19" s="1181" t="s">
        <v>12</v>
      </c>
      <c r="E19" s="734">
        <f>VLOOKUP(C19,'[25]SOR RATE'!A:D,4,0)</f>
        <v>153.49</v>
      </c>
      <c r="F19" s="1286">
        <v>60</v>
      </c>
      <c r="G19" s="2840">
        <f t="shared" si="0"/>
        <v>9209.4000000000015</v>
      </c>
    </row>
    <row r="20" spans="1:13" ht="14.25">
      <c r="A20" s="2845">
        <v>9</v>
      </c>
      <c r="B20" s="1506" t="s">
        <v>67</v>
      </c>
      <c r="C20" s="2839">
        <v>7130820010</v>
      </c>
      <c r="D20" s="1181" t="s">
        <v>12</v>
      </c>
      <c r="E20" s="734">
        <f>VLOOKUP(C20,'[25]SOR RATE'!A232:D232,4,0)</f>
        <v>118.97</v>
      </c>
      <c r="F20" s="1286">
        <v>60</v>
      </c>
      <c r="G20" s="2840">
        <f t="shared" si="0"/>
        <v>7138.2</v>
      </c>
    </row>
    <row r="21" spans="1:13" ht="14.25">
      <c r="A21" s="2845">
        <v>10</v>
      </c>
      <c r="B21" s="1506" t="s">
        <v>2915</v>
      </c>
      <c r="C21" s="2839">
        <v>7130840029</v>
      </c>
      <c r="D21" s="1181" t="s">
        <v>12</v>
      </c>
      <c r="E21" s="734">
        <f>VLOOKUP(C21,'[25]SOR RATE'!A:D,4,0)</f>
        <v>368.52</v>
      </c>
      <c r="F21" s="1286">
        <v>24</v>
      </c>
      <c r="G21" s="2840">
        <f>F21*E21</f>
        <v>8844.48</v>
      </c>
      <c r="I21" s="239"/>
    </row>
    <row r="22" spans="1:13" ht="14.25">
      <c r="A22" s="2845">
        <v>11</v>
      </c>
      <c r="B22" s="1506" t="s">
        <v>2916</v>
      </c>
      <c r="C22" s="2839">
        <v>7131930412</v>
      </c>
      <c r="D22" s="1181" t="s">
        <v>12</v>
      </c>
      <c r="E22" s="734">
        <f>VLOOKUP(C22,'[25]SOR RATE'!A:D,4,0)</f>
        <v>1123.1500000000001</v>
      </c>
      <c r="F22" s="1286">
        <v>24</v>
      </c>
      <c r="G22" s="2840">
        <f>F22*E22</f>
        <v>26955.600000000002</v>
      </c>
    </row>
    <row r="23" spans="1:13" s="22" customFormat="1" ht="17.25" customHeight="1">
      <c r="A23" s="2845">
        <v>12</v>
      </c>
      <c r="B23" s="1506" t="s">
        <v>2917</v>
      </c>
      <c r="C23" s="2847"/>
      <c r="D23" s="735" t="s">
        <v>12</v>
      </c>
      <c r="E23" s="735">
        <v>16000</v>
      </c>
      <c r="F23" s="1286">
        <v>8</v>
      </c>
      <c r="G23" s="2840">
        <f t="shared" ref="G23:G33" si="1">F23*E23</f>
        <v>128000</v>
      </c>
    </row>
    <row r="24" spans="1:13" s="22" customFormat="1" ht="17.25" customHeight="1">
      <c r="A24" s="2845">
        <v>13</v>
      </c>
      <c r="B24" s="1506" t="s">
        <v>2918</v>
      </c>
      <c r="C24" s="2847"/>
      <c r="D24" s="735" t="s">
        <v>12</v>
      </c>
      <c r="E24" s="735">
        <v>13000</v>
      </c>
      <c r="F24" s="1286">
        <v>0</v>
      </c>
      <c r="G24" s="2840">
        <f t="shared" si="1"/>
        <v>0</v>
      </c>
    </row>
    <row r="25" spans="1:13" s="22" customFormat="1" ht="15.75" customHeight="1">
      <c r="A25" s="2845">
        <v>14</v>
      </c>
      <c r="B25" s="1506" t="s">
        <v>2919</v>
      </c>
      <c r="C25" s="2842">
        <v>7130310021</v>
      </c>
      <c r="D25" s="1181" t="s">
        <v>21</v>
      </c>
      <c r="E25" s="734">
        <f>VLOOKUP(C25,'[25]SOR RATE'!A:D,4,0)/1000</f>
        <v>42.882390000000001</v>
      </c>
      <c r="F25" s="1183">
        <v>260</v>
      </c>
      <c r="G25" s="2840">
        <f>F25*E25</f>
        <v>11149.421400000001</v>
      </c>
      <c r="I25" s="2812"/>
      <c r="J25" s="2812"/>
      <c r="K25" s="2812"/>
      <c r="L25" s="2812"/>
      <c r="M25" s="2812"/>
    </row>
    <row r="26" spans="1:13" s="22" customFormat="1" ht="16.5" customHeight="1">
      <c r="A26" s="2845">
        <v>15</v>
      </c>
      <c r="B26" s="1506" t="s">
        <v>2920</v>
      </c>
      <c r="C26" s="2839">
        <v>7130310044</v>
      </c>
      <c r="D26" s="1181" t="s">
        <v>21</v>
      </c>
      <c r="E26" s="734">
        <f>VLOOKUP(C26,'[25]SOR RATE'!A:D,4,0)/1000</f>
        <v>74.331229999999991</v>
      </c>
      <c r="F26" s="1183">
        <v>700</v>
      </c>
      <c r="G26" s="2840">
        <f>F26*E26</f>
        <v>52031.860999999997</v>
      </c>
      <c r="I26" s="239"/>
      <c r="J26" s="239"/>
      <c r="K26" s="239"/>
      <c r="L26" s="239"/>
      <c r="M26" s="239"/>
    </row>
    <row r="27" spans="1:13" s="22" customFormat="1" ht="16.5" customHeight="1">
      <c r="A27" s="2845">
        <v>16</v>
      </c>
      <c r="B27" s="1506" t="s">
        <v>2921</v>
      </c>
      <c r="C27" s="2839">
        <v>7132476007</v>
      </c>
      <c r="D27" s="1181" t="s">
        <v>1193</v>
      </c>
      <c r="E27" s="734">
        <f>VLOOKUP(C27,'[25]SOR RATE'!A:D,4,0)</f>
        <v>17.59</v>
      </c>
      <c r="F27" s="1183">
        <v>70</v>
      </c>
      <c r="G27" s="2840">
        <f>F27*E27</f>
        <v>1231.3</v>
      </c>
      <c r="H27" s="739" t="s">
        <v>119</v>
      </c>
      <c r="I27" s="239"/>
      <c r="J27" s="239"/>
      <c r="K27" s="239"/>
      <c r="L27" s="239"/>
      <c r="M27" s="239"/>
    </row>
    <row r="28" spans="1:13" ht="14.25">
      <c r="A28" s="2845">
        <v>17</v>
      </c>
      <c r="B28" s="1506" t="s">
        <v>2922</v>
      </c>
      <c r="C28" s="2839">
        <v>7130641396</v>
      </c>
      <c r="D28" s="1181" t="s">
        <v>21</v>
      </c>
      <c r="E28" s="734">
        <f>VLOOKUP(C28,'[25]SOR RATE'!A:D,4,0)</f>
        <v>253.11</v>
      </c>
      <c r="F28" s="1286">
        <v>72</v>
      </c>
      <c r="G28" s="2840">
        <f>F28*E28</f>
        <v>18223.920000000002</v>
      </c>
    </row>
    <row r="29" spans="1:13" ht="14.25">
      <c r="A29" s="2845">
        <v>18</v>
      </c>
      <c r="B29" s="1506" t="s">
        <v>177</v>
      </c>
      <c r="C29" s="2839">
        <v>7130870043</v>
      </c>
      <c r="D29" s="1181" t="s">
        <v>26</v>
      </c>
      <c r="E29" s="734">
        <f>VLOOKUP(C29,'[25]SOR RATE'!A:D,4,0)/1000</f>
        <v>80.521839999999997</v>
      </c>
      <c r="F29" s="1286">
        <v>120</v>
      </c>
      <c r="G29" s="2840">
        <f>F29*E29</f>
        <v>9662.6208000000006</v>
      </c>
    </row>
    <row r="30" spans="1:13" ht="14.25">
      <c r="A30" s="2845">
        <v>19</v>
      </c>
      <c r="B30" s="1506" t="s">
        <v>2923</v>
      </c>
      <c r="C30" s="1258">
        <v>7130810495</v>
      </c>
      <c r="D30" s="1181" t="s">
        <v>12</v>
      </c>
      <c r="E30" s="734">
        <f>VLOOKUP(C30,'[25]SOR RATE'!A:D,4,0)</f>
        <v>1380.08</v>
      </c>
      <c r="F30" s="1286">
        <v>65</v>
      </c>
      <c r="G30" s="2840">
        <f t="shared" si="1"/>
        <v>89705.2</v>
      </c>
      <c r="I30" s="394"/>
    </row>
    <row r="31" spans="1:13" ht="14.25">
      <c r="A31" s="2845">
        <v>20</v>
      </c>
      <c r="B31" s="1506" t="s">
        <v>2924</v>
      </c>
      <c r="C31" s="1258">
        <v>7130810679</v>
      </c>
      <c r="D31" s="1181" t="s">
        <v>12</v>
      </c>
      <c r="E31" s="734">
        <f>VLOOKUP(C31,'[25]SOR RATE'!A:D,4,0)</f>
        <v>387.16</v>
      </c>
      <c r="F31" s="1286">
        <v>65</v>
      </c>
      <c r="G31" s="2840">
        <f t="shared" si="1"/>
        <v>25165.4</v>
      </c>
      <c r="I31" s="394"/>
    </row>
    <row r="32" spans="1:13" ht="16.5" customHeight="1">
      <c r="A32" s="2845">
        <v>21</v>
      </c>
      <c r="B32" s="1506" t="s">
        <v>19</v>
      </c>
      <c r="C32" s="1258">
        <v>7130820008</v>
      </c>
      <c r="D32" s="1181" t="s">
        <v>12</v>
      </c>
      <c r="E32" s="734">
        <f>VLOOKUP(C32,'[25]SOR RATE'!A:D,4,0)</f>
        <v>157.08000000000001</v>
      </c>
      <c r="F32" s="1286">
        <v>195</v>
      </c>
      <c r="G32" s="2840">
        <f t="shared" si="1"/>
        <v>30630.600000000002</v>
      </c>
      <c r="I32" s="239"/>
      <c r="J32" s="239"/>
    </row>
    <row r="33" spans="1:9" ht="17.25" customHeight="1">
      <c r="A33" s="1183">
        <v>22</v>
      </c>
      <c r="B33" s="1182" t="s">
        <v>1782</v>
      </c>
      <c r="C33" s="1186">
        <v>7130870013</v>
      </c>
      <c r="D33" s="1183" t="s">
        <v>12</v>
      </c>
      <c r="E33" s="734">
        <f>VLOOKUP(C33,'[25]SOR RATE'!A:D,4,0)</f>
        <v>152.88999999999999</v>
      </c>
      <c r="F33" s="1286">
        <v>65</v>
      </c>
      <c r="G33" s="2840">
        <f t="shared" si="1"/>
        <v>9937.8499999999985</v>
      </c>
    </row>
    <row r="34" spans="1:9" ht="15">
      <c r="A34" s="3225">
        <v>23</v>
      </c>
      <c r="B34" s="2841" t="s">
        <v>1443</v>
      </c>
      <c r="C34" s="2842"/>
      <c r="D34" s="1183" t="s">
        <v>26</v>
      </c>
      <c r="E34" s="735"/>
      <c r="F34" s="2848">
        <v>320</v>
      </c>
      <c r="G34" s="2840"/>
    </row>
    <row r="35" spans="1:9" ht="14.25">
      <c r="A35" s="3226"/>
      <c r="B35" s="2841" t="s">
        <v>79</v>
      </c>
      <c r="C35" s="1186">
        <v>7130620609</v>
      </c>
      <c r="D35" s="1183" t="s">
        <v>26</v>
      </c>
      <c r="E35" s="734">
        <f>VLOOKUP(C35,'[25]SOR RATE'!A:D,4,0)</f>
        <v>87.23</v>
      </c>
      <c r="F35" s="1286">
        <v>50</v>
      </c>
      <c r="G35" s="2840">
        <f t="shared" ref="G35:G40" si="2">F35*E35</f>
        <v>4361.5</v>
      </c>
    </row>
    <row r="36" spans="1:9" ht="14.25">
      <c r="A36" s="3226"/>
      <c r="B36" s="2841" t="s">
        <v>111</v>
      </c>
      <c r="C36" s="1186">
        <v>7130620614</v>
      </c>
      <c r="D36" s="1183" t="s">
        <v>26</v>
      </c>
      <c r="E36" s="734">
        <f>VLOOKUP(C36,'[25]SOR RATE'!A:D,4,0)</f>
        <v>85.77</v>
      </c>
      <c r="F36" s="1286">
        <v>100</v>
      </c>
      <c r="G36" s="2840">
        <f t="shared" si="2"/>
        <v>8577</v>
      </c>
    </row>
    <row r="37" spans="1:9" ht="14.25">
      <c r="A37" s="3226"/>
      <c r="B37" s="2841" t="s">
        <v>36</v>
      </c>
      <c r="C37" s="1258">
        <v>7130620619</v>
      </c>
      <c r="D37" s="1183" t="s">
        <v>26</v>
      </c>
      <c r="E37" s="734">
        <f>VLOOKUP(C37,'[25]SOR RATE'!A:D,4,0)</f>
        <v>85.77</v>
      </c>
      <c r="F37" s="1286">
        <v>20</v>
      </c>
      <c r="G37" s="2840">
        <f t="shared" si="2"/>
        <v>1715.3999999999999</v>
      </c>
    </row>
    <row r="38" spans="1:9" ht="14.25">
      <c r="A38" s="3226"/>
      <c r="B38" s="2841" t="s">
        <v>112</v>
      </c>
      <c r="C38" s="1258">
        <v>7130620625</v>
      </c>
      <c r="D38" s="1183" t="s">
        <v>26</v>
      </c>
      <c r="E38" s="734">
        <f>VLOOKUP(C38,'[25]SOR RATE'!A:D,4,0)</f>
        <v>84.32</v>
      </c>
      <c r="F38" s="1286">
        <v>50</v>
      </c>
      <c r="G38" s="2840">
        <f t="shared" si="2"/>
        <v>4216</v>
      </c>
    </row>
    <row r="39" spans="1:9" ht="14.25">
      <c r="A39" s="3226"/>
      <c r="B39" s="2841" t="s">
        <v>37</v>
      </c>
      <c r="C39" s="1258">
        <v>7130620627</v>
      </c>
      <c r="D39" s="1183" t="s">
        <v>26</v>
      </c>
      <c r="E39" s="734">
        <f>VLOOKUP(C39,'[25]SOR RATE'!A:D,4,0)</f>
        <v>84.32</v>
      </c>
      <c r="F39" s="1183">
        <v>50</v>
      </c>
      <c r="G39" s="735">
        <f t="shared" si="2"/>
        <v>4216</v>
      </c>
    </row>
    <row r="40" spans="1:9" ht="14.25">
      <c r="A40" s="3220"/>
      <c r="B40" s="2841" t="s">
        <v>2925</v>
      </c>
      <c r="C40" s="1258">
        <v>7130620631</v>
      </c>
      <c r="D40" s="1183" t="s">
        <v>26</v>
      </c>
      <c r="E40" s="734">
        <f>VLOOKUP(C40,'[25]SOR RATE'!A:D,4,0)</f>
        <v>84.32</v>
      </c>
      <c r="F40" s="1183">
        <v>50</v>
      </c>
      <c r="G40" s="735">
        <f t="shared" si="2"/>
        <v>4216</v>
      </c>
    </row>
    <row r="41" spans="1:9" ht="30.75" customHeight="1">
      <c r="A41" s="3225">
        <v>24</v>
      </c>
      <c r="B41" s="1506" t="s">
        <v>45</v>
      </c>
      <c r="C41" s="2849"/>
      <c r="D41" s="1183"/>
      <c r="E41" s="734"/>
      <c r="F41" s="2763">
        <f>16+(32*2)</f>
        <v>80</v>
      </c>
      <c r="G41" s="735"/>
    </row>
    <row r="42" spans="1:9" ht="15" customHeight="1">
      <c r="A42" s="3220"/>
      <c r="B42" s="1470" t="s">
        <v>2926</v>
      </c>
      <c r="C42" s="2849">
        <v>7130640008</v>
      </c>
      <c r="D42" s="2769" t="s">
        <v>33</v>
      </c>
      <c r="E42" s="2762">
        <f>VLOOKUP(C42,'[25]SOR RATE'!A:D,4,0)</f>
        <v>158</v>
      </c>
      <c r="F42" s="2763">
        <f>16+(32*2)</f>
        <v>80</v>
      </c>
      <c r="G42" s="735">
        <f>E42*F42</f>
        <v>12640</v>
      </c>
      <c r="H42" s="3460" t="s">
        <v>47</v>
      </c>
      <c r="I42" s="3484"/>
    </row>
    <row r="43" spans="1:9" ht="14.25">
      <c r="A43" s="2801">
        <v>25</v>
      </c>
      <c r="B43" s="2841" t="s">
        <v>2927</v>
      </c>
      <c r="C43" s="1181">
        <v>7130860017</v>
      </c>
      <c r="D43" s="1181" t="s">
        <v>12</v>
      </c>
      <c r="E43" s="734">
        <f>VLOOKUP(C43,'[25]SOR RATE'!A:D,4,0)</f>
        <v>132.26</v>
      </c>
      <c r="F43" s="1286">
        <v>32</v>
      </c>
      <c r="G43" s="2840">
        <f>F43*E43</f>
        <v>4232.32</v>
      </c>
      <c r="I43" s="227"/>
    </row>
    <row r="44" spans="1:9" ht="16.5" customHeight="1">
      <c r="A44" s="2803">
        <v>26</v>
      </c>
      <c r="B44" s="2841" t="s">
        <v>2928</v>
      </c>
      <c r="C44" s="1258">
        <v>7130830055</v>
      </c>
      <c r="D44" s="2796" t="s">
        <v>21</v>
      </c>
      <c r="E44" s="734">
        <f>VLOOKUP(C44,'[25]SOR RATE'!A:D,4,0)/1000</f>
        <v>28.020759999999999</v>
      </c>
      <c r="F44" s="1286">
        <v>740</v>
      </c>
      <c r="G44" s="2840">
        <f>F44*E44</f>
        <v>20735.362399999998</v>
      </c>
    </row>
    <row r="45" spans="1:9" ht="15.75" customHeight="1">
      <c r="A45" s="190">
        <v>27</v>
      </c>
      <c r="B45" s="1191" t="s">
        <v>48</v>
      </c>
      <c r="C45" s="1186"/>
      <c r="D45" s="2850"/>
      <c r="E45" s="1183"/>
      <c r="F45" s="2805"/>
      <c r="G45" s="2805">
        <f>SUM(G8:G44)</f>
        <v>1227914.4072799999</v>
      </c>
      <c r="H45" s="793"/>
      <c r="I45" s="794"/>
    </row>
    <row r="46" spans="1:9" ht="15.75" customHeight="1">
      <c r="A46" s="2800">
        <v>28</v>
      </c>
      <c r="B46" s="1191" t="s">
        <v>49</v>
      </c>
      <c r="C46" s="1186"/>
      <c r="D46" s="2851"/>
      <c r="E46" s="1183"/>
      <c r="F46" s="2805"/>
      <c r="G46" s="2805">
        <f>G45/1.18</f>
        <v>1040605.4298983051</v>
      </c>
      <c r="H46" s="17"/>
      <c r="I46" s="794"/>
    </row>
    <row r="47" spans="1:9" ht="18" customHeight="1">
      <c r="A47" s="2802">
        <v>29</v>
      </c>
      <c r="B47" s="1185" t="s">
        <v>50</v>
      </c>
      <c r="C47" s="1182"/>
      <c r="D47" s="1189"/>
      <c r="E47" s="1183">
        <v>7.4999999999999997E-2</v>
      </c>
      <c r="F47" s="1183"/>
      <c r="G47" s="735">
        <f>G45*E47</f>
        <v>92093.580545999997</v>
      </c>
      <c r="H47" s="732"/>
      <c r="I47" s="794"/>
    </row>
    <row r="48" spans="1:9" ht="17.25" customHeight="1">
      <c r="A48" s="2802">
        <v>30</v>
      </c>
      <c r="B48" s="1182" t="s">
        <v>1742</v>
      </c>
      <c r="C48" s="1186"/>
      <c r="D48" s="2843" t="s">
        <v>12</v>
      </c>
      <c r="E48" s="1202">
        <f>229.365334460327*1.043</f>
        <v>239.22804384212105</v>
      </c>
      <c r="F48" s="1183">
        <v>16</v>
      </c>
      <c r="G48" s="735">
        <f>E48*F48</f>
        <v>3827.6487014739369</v>
      </c>
      <c r="H48" s="2732"/>
      <c r="I48" s="2813"/>
    </row>
    <row r="49" spans="1:10" ht="17.25" customHeight="1">
      <c r="A49" s="1183">
        <v>31</v>
      </c>
      <c r="B49" s="1188" t="s">
        <v>2929</v>
      </c>
      <c r="C49" s="2844"/>
      <c r="D49" s="735"/>
      <c r="E49" s="1183"/>
      <c r="F49" s="1183"/>
      <c r="G49" s="735">
        <v>212865.76</v>
      </c>
      <c r="H49" s="795"/>
      <c r="I49" s="490"/>
      <c r="J49" s="19"/>
    </row>
    <row r="50" spans="1:10" ht="17.25" customHeight="1">
      <c r="A50" s="1183">
        <v>32</v>
      </c>
      <c r="B50" s="564" t="s">
        <v>1716</v>
      </c>
      <c r="C50" s="2844"/>
      <c r="D50" s="735"/>
      <c r="E50" s="1183">
        <v>0.02</v>
      </c>
      <c r="F50" s="1183"/>
      <c r="G50" s="735">
        <f>((G8+G9)/1.18)*E50</f>
        <v>8467.7952542372896</v>
      </c>
      <c r="H50" s="739" t="s">
        <v>119</v>
      </c>
      <c r="I50" s="490"/>
      <c r="J50" s="19"/>
    </row>
    <row r="51" spans="1:10" ht="32.25" customHeight="1">
      <c r="A51" s="1183">
        <v>33</v>
      </c>
      <c r="B51" s="1182" t="s">
        <v>2627</v>
      </c>
      <c r="C51" s="2844"/>
      <c r="D51" s="735"/>
      <c r="E51" s="1183">
        <v>0.04</v>
      </c>
      <c r="F51" s="1183"/>
      <c r="G51" s="734">
        <f>((G45-G8-G9)/1.18)*E51</f>
        <v>24688.626687457629</v>
      </c>
      <c r="H51" s="2533" t="s">
        <v>1827</v>
      </c>
      <c r="I51" s="177"/>
    </row>
    <row r="52" spans="1:10" ht="30.75" customHeight="1">
      <c r="A52" s="1183">
        <v>34</v>
      </c>
      <c r="B52" s="1185" t="s">
        <v>2930</v>
      </c>
      <c r="C52" s="2844"/>
      <c r="D52" s="735"/>
      <c r="E52" s="1183"/>
      <c r="F52" s="1183"/>
      <c r="G52" s="1210">
        <f>(G45+G47+G48+G49+G50+G51)*0.125</f>
        <v>196232.22730864608</v>
      </c>
      <c r="H52" s="796"/>
      <c r="I52" s="177"/>
    </row>
    <row r="53" spans="1:10" ht="15.75" customHeight="1">
      <c r="A53" s="190">
        <v>35</v>
      </c>
      <c r="B53" s="1214" t="s">
        <v>2931</v>
      </c>
      <c r="C53" s="2844"/>
      <c r="D53" s="735"/>
      <c r="E53" s="1183"/>
      <c r="F53" s="1183"/>
      <c r="G53" s="2805">
        <f>SUM(G46:G52)</f>
        <v>1578781.0683961199</v>
      </c>
      <c r="H53" s="797"/>
    </row>
    <row r="54" spans="1:10" ht="18" customHeight="1">
      <c r="A54" s="1183">
        <v>36</v>
      </c>
      <c r="B54" s="1185" t="s">
        <v>2435</v>
      </c>
      <c r="C54" s="2844"/>
      <c r="D54" s="735"/>
      <c r="E54" s="1183">
        <v>0.09</v>
      </c>
      <c r="F54" s="1183"/>
      <c r="G54" s="735">
        <f>G53*E54</f>
        <v>142090.29615565078</v>
      </c>
      <c r="H54" s="797"/>
    </row>
    <row r="55" spans="1:10" ht="15.75" customHeight="1">
      <c r="A55" s="1183">
        <v>37</v>
      </c>
      <c r="B55" s="1185" t="s">
        <v>2436</v>
      </c>
      <c r="C55" s="2844"/>
      <c r="D55" s="735"/>
      <c r="E55" s="1183">
        <v>0.09</v>
      </c>
      <c r="F55" s="1183"/>
      <c r="G55" s="735">
        <f>G53*E55</f>
        <v>142090.29615565078</v>
      </c>
      <c r="H55" s="398"/>
    </row>
    <row r="56" spans="1:10" ht="17.25" customHeight="1">
      <c r="A56" s="1183">
        <v>38</v>
      </c>
      <c r="B56" s="1185" t="s">
        <v>2437</v>
      </c>
      <c r="C56" s="2844"/>
      <c r="D56" s="735"/>
      <c r="E56" s="1183"/>
      <c r="F56" s="735"/>
      <c r="G56" s="735">
        <f>G53+G54+G55</f>
        <v>1862961.6607074216</v>
      </c>
    </row>
    <row r="57" spans="1:10" ht="17.25" customHeight="1">
      <c r="A57" s="190">
        <v>39</v>
      </c>
      <c r="B57" s="1214" t="s">
        <v>59</v>
      </c>
      <c r="C57" s="2852"/>
      <c r="D57" s="2805"/>
      <c r="E57" s="190"/>
      <c r="F57" s="1183"/>
      <c r="G57" s="2805">
        <f>ROUND(G56,0)</f>
        <v>1862962</v>
      </c>
    </row>
    <row r="58" spans="1:10">
      <c r="A58" s="2814"/>
      <c r="B58" s="524"/>
      <c r="C58" s="2815"/>
      <c r="D58" s="524"/>
      <c r="E58" s="524"/>
      <c r="F58" s="524"/>
      <c r="G58" s="2816"/>
    </row>
    <row r="59" spans="1:10" ht="18" customHeight="1">
      <c r="A59" s="2817"/>
      <c r="B59" s="3485" t="s">
        <v>2932</v>
      </c>
      <c r="C59" s="3485"/>
      <c r="D59" s="3485"/>
      <c r="E59" s="3485"/>
      <c r="F59" s="3485"/>
      <c r="G59" s="3485"/>
    </row>
    <row r="60" spans="1:10" ht="18" customHeight="1">
      <c r="A60" s="185" t="s">
        <v>62</v>
      </c>
      <c r="B60" s="180" t="s">
        <v>2180</v>
      </c>
      <c r="C60" s="185"/>
    </row>
    <row r="61" spans="1:10" ht="18" customHeight="1">
      <c r="A61" s="185" t="s">
        <v>2542</v>
      </c>
      <c r="B61" s="180" t="s">
        <v>63</v>
      </c>
    </row>
    <row r="62" spans="1:10">
      <c r="B62" s="245"/>
    </row>
    <row r="63" spans="1:10">
      <c r="B63" s="245"/>
    </row>
    <row r="64" spans="1:10">
      <c r="B64" s="245"/>
    </row>
  </sheetData>
  <mergeCells count="7">
    <mergeCell ref="H42:I42"/>
    <mergeCell ref="B59:G59"/>
    <mergeCell ref="B1:C1"/>
    <mergeCell ref="B3:F3"/>
    <mergeCell ref="A11:A14"/>
    <mergeCell ref="A34:A40"/>
    <mergeCell ref="A41:A42"/>
  </mergeCells>
  <conditionalFormatting sqref="B45">
    <cfRule type="cellIs" dxfId="28" priority="2" stopIfTrue="1" operator="equal">
      <formula>"?"</formula>
    </cfRule>
  </conditionalFormatting>
  <conditionalFormatting sqref="B46">
    <cfRule type="cellIs" dxfId="27" priority="1" stopIfTrue="1" operator="equal">
      <formula>"?"</formula>
    </cfRule>
  </conditionalFormatting>
  <printOptions horizontalCentered="1"/>
  <pageMargins left="0.73" right="0.19" top="0.73" bottom="0.46" header="0.38" footer="0.32"/>
  <pageSetup orientation="landscape" verticalDpi="300" r:id="rId1"/>
  <headerFooter alignWithMargins="0"/>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4"/>
  <sheetViews>
    <sheetView zoomScaleSheetLayoutView="70" workbookViewId="0">
      <pane xSplit="2" ySplit="5" topLeftCell="C48" activePane="bottomRight" state="frozen"/>
      <selection pane="topRight" activeCell="C1" sqref="C1"/>
      <selection pane="bottomLeft" activeCell="A6" sqref="A6"/>
      <selection pane="bottomRight" activeCell="B65" sqref="B65"/>
    </sheetView>
  </sheetViews>
  <sheetFormatPr defaultRowHeight="12.75"/>
  <cols>
    <col min="1" max="1" width="4.85546875" style="2804" customWidth="1"/>
    <col min="2" max="2" width="71" style="4" customWidth="1"/>
    <col min="3" max="3" width="13.42578125" style="4" customWidth="1"/>
    <col min="4" max="4" width="6.28515625" style="4" customWidth="1"/>
    <col min="5" max="5" width="10" style="4" customWidth="1"/>
    <col min="6" max="6" width="6.140625" style="4" customWidth="1"/>
    <col min="7" max="7" width="13.140625" style="4" bestFit="1" customWidth="1"/>
    <col min="8" max="8" width="22.140625" style="4" customWidth="1"/>
    <col min="9" max="9" width="20.7109375" style="4" bestFit="1" customWidth="1"/>
    <col min="10" max="10" width="13" style="4" customWidth="1"/>
    <col min="11" max="256" width="9.140625" style="4"/>
    <col min="257" max="257" width="4.85546875" style="4" customWidth="1"/>
    <col min="258" max="258" width="71" style="4" customWidth="1"/>
    <col min="259" max="259" width="13.42578125" style="4" customWidth="1"/>
    <col min="260" max="260" width="6.28515625" style="4" customWidth="1"/>
    <col min="261" max="261" width="10" style="4" customWidth="1"/>
    <col min="262" max="262" width="6.140625" style="4" customWidth="1"/>
    <col min="263" max="263" width="13.140625" style="4" bestFit="1" customWidth="1"/>
    <col min="264" max="264" width="22.140625" style="4" customWidth="1"/>
    <col min="265" max="265" width="20.7109375" style="4" bestFit="1" customWidth="1"/>
    <col min="266" max="266" width="13" style="4" customWidth="1"/>
    <col min="267" max="512" width="9.140625" style="4"/>
    <col min="513" max="513" width="4.85546875" style="4" customWidth="1"/>
    <col min="514" max="514" width="71" style="4" customWidth="1"/>
    <col min="515" max="515" width="13.42578125" style="4" customWidth="1"/>
    <col min="516" max="516" width="6.28515625" style="4" customWidth="1"/>
    <col min="517" max="517" width="10" style="4" customWidth="1"/>
    <col min="518" max="518" width="6.140625" style="4" customWidth="1"/>
    <col min="519" max="519" width="13.140625" style="4" bestFit="1" customWidth="1"/>
    <col min="520" max="520" width="22.140625" style="4" customWidth="1"/>
    <col min="521" max="521" width="20.7109375" style="4" bestFit="1" customWidth="1"/>
    <col min="522" max="522" width="13" style="4" customWidth="1"/>
    <col min="523" max="768" width="9.140625" style="4"/>
    <col min="769" max="769" width="4.85546875" style="4" customWidth="1"/>
    <col min="770" max="770" width="71" style="4" customWidth="1"/>
    <col min="771" max="771" width="13.42578125" style="4" customWidth="1"/>
    <col min="772" max="772" width="6.28515625" style="4" customWidth="1"/>
    <col min="773" max="773" width="10" style="4" customWidth="1"/>
    <col min="774" max="774" width="6.140625" style="4" customWidth="1"/>
    <col min="775" max="775" width="13.140625" style="4" bestFit="1" customWidth="1"/>
    <col min="776" max="776" width="22.140625" style="4" customWidth="1"/>
    <col min="777" max="777" width="20.7109375" style="4" bestFit="1" customWidth="1"/>
    <col min="778" max="778" width="13" style="4" customWidth="1"/>
    <col min="779" max="1024" width="9.140625" style="4"/>
    <col min="1025" max="1025" width="4.85546875" style="4" customWidth="1"/>
    <col min="1026" max="1026" width="71" style="4" customWidth="1"/>
    <col min="1027" max="1027" width="13.42578125" style="4" customWidth="1"/>
    <col min="1028" max="1028" width="6.28515625" style="4" customWidth="1"/>
    <col min="1029" max="1029" width="10" style="4" customWidth="1"/>
    <col min="1030" max="1030" width="6.140625" style="4" customWidth="1"/>
    <col min="1031" max="1031" width="13.140625" style="4" bestFit="1" customWidth="1"/>
    <col min="1032" max="1032" width="22.140625" style="4" customWidth="1"/>
    <col min="1033" max="1033" width="20.7109375" style="4" bestFit="1" customWidth="1"/>
    <col min="1034" max="1034" width="13" style="4" customWidth="1"/>
    <col min="1035" max="1280" width="9.140625" style="4"/>
    <col min="1281" max="1281" width="4.85546875" style="4" customWidth="1"/>
    <col min="1282" max="1282" width="71" style="4" customWidth="1"/>
    <col min="1283" max="1283" width="13.42578125" style="4" customWidth="1"/>
    <col min="1284" max="1284" width="6.28515625" style="4" customWidth="1"/>
    <col min="1285" max="1285" width="10" style="4" customWidth="1"/>
    <col min="1286" max="1286" width="6.140625" style="4" customWidth="1"/>
    <col min="1287" max="1287" width="13.140625" style="4" bestFit="1" customWidth="1"/>
    <col min="1288" max="1288" width="22.140625" style="4" customWidth="1"/>
    <col min="1289" max="1289" width="20.7109375" style="4" bestFit="1" customWidth="1"/>
    <col min="1290" max="1290" width="13" style="4" customWidth="1"/>
    <col min="1291" max="1536" width="9.140625" style="4"/>
    <col min="1537" max="1537" width="4.85546875" style="4" customWidth="1"/>
    <col min="1538" max="1538" width="71" style="4" customWidth="1"/>
    <col min="1539" max="1539" width="13.42578125" style="4" customWidth="1"/>
    <col min="1540" max="1540" width="6.28515625" style="4" customWidth="1"/>
    <col min="1541" max="1541" width="10" style="4" customWidth="1"/>
    <col min="1542" max="1542" width="6.140625" style="4" customWidth="1"/>
    <col min="1543" max="1543" width="13.140625" style="4" bestFit="1" customWidth="1"/>
    <col min="1544" max="1544" width="22.140625" style="4" customWidth="1"/>
    <col min="1545" max="1545" width="20.7109375" style="4" bestFit="1" customWidth="1"/>
    <col min="1546" max="1546" width="13" style="4" customWidth="1"/>
    <col min="1547" max="1792" width="9.140625" style="4"/>
    <col min="1793" max="1793" width="4.85546875" style="4" customWidth="1"/>
    <col min="1794" max="1794" width="71" style="4" customWidth="1"/>
    <col min="1795" max="1795" width="13.42578125" style="4" customWidth="1"/>
    <col min="1796" max="1796" width="6.28515625" style="4" customWidth="1"/>
    <col min="1797" max="1797" width="10" style="4" customWidth="1"/>
    <col min="1798" max="1798" width="6.140625" style="4" customWidth="1"/>
    <col min="1799" max="1799" width="13.140625" style="4" bestFit="1" customWidth="1"/>
    <col min="1800" max="1800" width="22.140625" style="4" customWidth="1"/>
    <col min="1801" max="1801" width="20.7109375" style="4" bestFit="1" customWidth="1"/>
    <col min="1802" max="1802" width="13" style="4" customWidth="1"/>
    <col min="1803" max="2048" width="9.140625" style="4"/>
    <col min="2049" max="2049" width="4.85546875" style="4" customWidth="1"/>
    <col min="2050" max="2050" width="71" style="4" customWidth="1"/>
    <col min="2051" max="2051" width="13.42578125" style="4" customWidth="1"/>
    <col min="2052" max="2052" width="6.28515625" style="4" customWidth="1"/>
    <col min="2053" max="2053" width="10" style="4" customWidth="1"/>
    <col min="2054" max="2054" width="6.140625" style="4" customWidth="1"/>
    <col min="2055" max="2055" width="13.140625" style="4" bestFit="1" customWidth="1"/>
    <col min="2056" max="2056" width="22.140625" style="4" customWidth="1"/>
    <col min="2057" max="2057" width="20.7109375" style="4" bestFit="1" customWidth="1"/>
    <col min="2058" max="2058" width="13" style="4" customWidth="1"/>
    <col min="2059" max="2304" width="9.140625" style="4"/>
    <col min="2305" max="2305" width="4.85546875" style="4" customWidth="1"/>
    <col min="2306" max="2306" width="71" style="4" customWidth="1"/>
    <col min="2307" max="2307" width="13.42578125" style="4" customWidth="1"/>
    <col min="2308" max="2308" width="6.28515625" style="4" customWidth="1"/>
    <col min="2309" max="2309" width="10" style="4" customWidth="1"/>
    <col min="2310" max="2310" width="6.140625" style="4" customWidth="1"/>
    <col min="2311" max="2311" width="13.140625" style="4" bestFit="1" customWidth="1"/>
    <col min="2312" max="2312" width="22.140625" style="4" customWidth="1"/>
    <col min="2313" max="2313" width="20.7109375" style="4" bestFit="1" customWidth="1"/>
    <col min="2314" max="2314" width="13" style="4" customWidth="1"/>
    <col min="2315" max="2560" width="9.140625" style="4"/>
    <col min="2561" max="2561" width="4.85546875" style="4" customWidth="1"/>
    <col min="2562" max="2562" width="71" style="4" customWidth="1"/>
    <col min="2563" max="2563" width="13.42578125" style="4" customWidth="1"/>
    <col min="2564" max="2564" width="6.28515625" style="4" customWidth="1"/>
    <col min="2565" max="2565" width="10" style="4" customWidth="1"/>
    <col min="2566" max="2566" width="6.140625" style="4" customWidth="1"/>
    <col min="2567" max="2567" width="13.140625" style="4" bestFit="1" customWidth="1"/>
    <col min="2568" max="2568" width="22.140625" style="4" customWidth="1"/>
    <col min="2569" max="2569" width="20.7109375" style="4" bestFit="1" customWidth="1"/>
    <col min="2570" max="2570" width="13" style="4" customWidth="1"/>
    <col min="2571" max="2816" width="9.140625" style="4"/>
    <col min="2817" max="2817" width="4.85546875" style="4" customWidth="1"/>
    <col min="2818" max="2818" width="71" style="4" customWidth="1"/>
    <col min="2819" max="2819" width="13.42578125" style="4" customWidth="1"/>
    <col min="2820" max="2820" width="6.28515625" style="4" customWidth="1"/>
    <col min="2821" max="2821" width="10" style="4" customWidth="1"/>
    <col min="2822" max="2822" width="6.140625" style="4" customWidth="1"/>
    <col min="2823" max="2823" width="13.140625" style="4" bestFit="1" customWidth="1"/>
    <col min="2824" max="2824" width="22.140625" style="4" customWidth="1"/>
    <col min="2825" max="2825" width="20.7109375" style="4" bestFit="1" customWidth="1"/>
    <col min="2826" max="2826" width="13" style="4" customWidth="1"/>
    <col min="2827" max="3072" width="9.140625" style="4"/>
    <col min="3073" max="3073" width="4.85546875" style="4" customWidth="1"/>
    <col min="3074" max="3074" width="71" style="4" customWidth="1"/>
    <col min="3075" max="3075" width="13.42578125" style="4" customWidth="1"/>
    <col min="3076" max="3076" width="6.28515625" style="4" customWidth="1"/>
    <col min="3077" max="3077" width="10" style="4" customWidth="1"/>
    <col min="3078" max="3078" width="6.140625" style="4" customWidth="1"/>
    <col min="3079" max="3079" width="13.140625" style="4" bestFit="1" customWidth="1"/>
    <col min="3080" max="3080" width="22.140625" style="4" customWidth="1"/>
    <col min="3081" max="3081" width="20.7109375" style="4" bestFit="1" customWidth="1"/>
    <col min="3082" max="3082" width="13" style="4" customWidth="1"/>
    <col min="3083" max="3328" width="9.140625" style="4"/>
    <col min="3329" max="3329" width="4.85546875" style="4" customWidth="1"/>
    <col min="3330" max="3330" width="71" style="4" customWidth="1"/>
    <col min="3331" max="3331" width="13.42578125" style="4" customWidth="1"/>
    <col min="3332" max="3332" width="6.28515625" style="4" customWidth="1"/>
    <col min="3333" max="3333" width="10" style="4" customWidth="1"/>
    <col min="3334" max="3334" width="6.140625" style="4" customWidth="1"/>
    <col min="3335" max="3335" width="13.140625" style="4" bestFit="1" customWidth="1"/>
    <col min="3336" max="3336" width="22.140625" style="4" customWidth="1"/>
    <col min="3337" max="3337" width="20.7109375" style="4" bestFit="1" customWidth="1"/>
    <col min="3338" max="3338" width="13" style="4" customWidth="1"/>
    <col min="3339" max="3584" width="9.140625" style="4"/>
    <col min="3585" max="3585" width="4.85546875" style="4" customWidth="1"/>
    <col min="3586" max="3586" width="71" style="4" customWidth="1"/>
    <col min="3587" max="3587" width="13.42578125" style="4" customWidth="1"/>
    <col min="3588" max="3588" width="6.28515625" style="4" customWidth="1"/>
    <col min="3589" max="3589" width="10" style="4" customWidth="1"/>
    <col min="3590" max="3590" width="6.140625" style="4" customWidth="1"/>
    <col min="3591" max="3591" width="13.140625" style="4" bestFit="1" customWidth="1"/>
    <col min="3592" max="3592" width="22.140625" style="4" customWidth="1"/>
    <col min="3593" max="3593" width="20.7109375" style="4" bestFit="1" customWidth="1"/>
    <col min="3594" max="3594" width="13" style="4" customWidth="1"/>
    <col min="3595" max="3840" width="9.140625" style="4"/>
    <col min="3841" max="3841" width="4.85546875" style="4" customWidth="1"/>
    <col min="3842" max="3842" width="71" style="4" customWidth="1"/>
    <col min="3843" max="3843" width="13.42578125" style="4" customWidth="1"/>
    <col min="3844" max="3844" width="6.28515625" style="4" customWidth="1"/>
    <col min="3845" max="3845" width="10" style="4" customWidth="1"/>
    <col min="3846" max="3846" width="6.140625" style="4" customWidth="1"/>
    <col min="3847" max="3847" width="13.140625" style="4" bestFit="1" customWidth="1"/>
    <col min="3848" max="3848" width="22.140625" style="4" customWidth="1"/>
    <col min="3849" max="3849" width="20.7109375" style="4" bestFit="1" customWidth="1"/>
    <col min="3850" max="3850" width="13" style="4" customWidth="1"/>
    <col min="3851" max="4096" width="9.140625" style="4"/>
    <col min="4097" max="4097" width="4.85546875" style="4" customWidth="1"/>
    <col min="4098" max="4098" width="71" style="4" customWidth="1"/>
    <col min="4099" max="4099" width="13.42578125" style="4" customWidth="1"/>
    <col min="4100" max="4100" width="6.28515625" style="4" customWidth="1"/>
    <col min="4101" max="4101" width="10" style="4" customWidth="1"/>
    <col min="4102" max="4102" width="6.140625" style="4" customWidth="1"/>
    <col min="4103" max="4103" width="13.140625" style="4" bestFit="1" customWidth="1"/>
    <col min="4104" max="4104" width="22.140625" style="4" customWidth="1"/>
    <col min="4105" max="4105" width="20.7109375" style="4" bestFit="1" customWidth="1"/>
    <col min="4106" max="4106" width="13" style="4" customWidth="1"/>
    <col min="4107" max="4352" width="9.140625" style="4"/>
    <col min="4353" max="4353" width="4.85546875" style="4" customWidth="1"/>
    <col min="4354" max="4354" width="71" style="4" customWidth="1"/>
    <col min="4355" max="4355" width="13.42578125" style="4" customWidth="1"/>
    <col min="4356" max="4356" width="6.28515625" style="4" customWidth="1"/>
    <col min="4357" max="4357" width="10" style="4" customWidth="1"/>
    <col min="4358" max="4358" width="6.140625" style="4" customWidth="1"/>
    <col min="4359" max="4359" width="13.140625" style="4" bestFit="1" customWidth="1"/>
    <col min="4360" max="4360" width="22.140625" style="4" customWidth="1"/>
    <col min="4361" max="4361" width="20.7109375" style="4" bestFit="1" customWidth="1"/>
    <col min="4362" max="4362" width="13" style="4" customWidth="1"/>
    <col min="4363" max="4608" width="9.140625" style="4"/>
    <col min="4609" max="4609" width="4.85546875" style="4" customWidth="1"/>
    <col min="4610" max="4610" width="71" style="4" customWidth="1"/>
    <col min="4611" max="4611" width="13.42578125" style="4" customWidth="1"/>
    <col min="4612" max="4612" width="6.28515625" style="4" customWidth="1"/>
    <col min="4613" max="4613" width="10" style="4" customWidth="1"/>
    <col min="4614" max="4614" width="6.140625" style="4" customWidth="1"/>
    <col min="4615" max="4615" width="13.140625" style="4" bestFit="1" customWidth="1"/>
    <col min="4616" max="4616" width="22.140625" style="4" customWidth="1"/>
    <col min="4617" max="4617" width="20.7109375" style="4" bestFit="1" customWidth="1"/>
    <col min="4618" max="4618" width="13" style="4" customWidth="1"/>
    <col min="4619" max="4864" width="9.140625" style="4"/>
    <col min="4865" max="4865" width="4.85546875" style="4" customWidth="1"/>
    <col min="4866" max="4866" width="71" style="4" customWidth="1"/>
    <col min="4867" max="4867" width="13.42578125" style="4" customWidth="1"/>
    <col min="4868" max="4868" width="6.28515625" style="4" customWidth="1"/>
    <col min="4869" max="4869" width="10" style="4" customWidth="1"/>
    <col min="4870" max="4870" width="6.140625" style="4" customWidth="1"/>
    <col min="4871" max="4871" width="13.140625" style="4" bestFit="1" customWidth="1"/>
    <col min="4872" max="4872" width="22.140625" style="4" customWidth="1"/>
    <col min="4873" max="4873" width="20.7109375" style="4" bestFit="1" customWidth="1"/>
    <col min="4874" max="4874" width="13" style="4" customWidth="1"/>
    <col min="4875" max="5120" width="9.140625" style="4"/>
    <col min="5121" max="5121" width="4.85546875" style="4" customWidth="1"/>
    <col min="5122" max="5122" width="71" style="4" customWidth="1"/>
    <col min="5123" max="5123" width="13.42578125" style="4" customWidth="1"/>
    <col min="5124" max="5124" width="6.28515625" style="4" customWidth="1"/>
    <col min="5125" max="5125" width="10" style="4" customWidth="1"/>
    <col min="5126" max="5126" width="6.140625" style="4" customWidth="1"/>
    <col min="5127" max="5127" width="13.140625" style="4" bestFit="1" customWidth="1"/>
    <col min="5128" max="5128" width="22.140625" style="4" customWidth="1"/>
    <col min="5129" max="5129" width="20.7109375" style="4" bestFit="1" customWidth="1"/>
    <col min="5130" max="5130" width="13" style="4" customWidth="1"/>
    <col min="5131" max="5376" width="9.140625" style="4"/>
    <col min="5377" max="5377" width="4.85546875" style="4" customWidth="1"/>
    <col min="5378" max="5378" width="71" style="4" customWidth="1"/>
    <col min="5379" max="5379" width="13.42578125" style="4" customWidth="1"/>
    <col min="5380" max="5380" width="6.28515625" style="4" customWidth="1"/>
    <col min="5381" max="5381" width="10" style="4" customWidth="1"/>
    <col min="5382" max="5382" width="6.140625" style="4" customWidth="1"/>
    <col min="5383" max="5383" width="13.140625" style="4" bestFit="1" customWidth="1"/>
    <col min="5384" max="5384" width="22.140625" style="4" customWidth="1"/>
    <col min="5385" max="5385" width="20.7109375" style="4" bestFit="1" customWidth="1"/>
    <col min="5386" max="5386" width="13" style="4" customWidth="1"/>
    <col min="5387" max="5632" width="9.140625" style="4"/>
    <col min="5633" max="5633" width="4.85546875" style="4" customWidth="1"/>
    <col min="5634" max="5634" width="71" style="4" customWidth="1"/>
    <col min="5635" max="5635" width="13.42578125" style="4" customWidth="1"/>
    <col min="5636" max="5636" width="6.28515625" style="4" customWidth="1"/>
    <col min="5637" max="5637" width="10" style="4" customWidth="1"/>
    <col min="5638" max="5638" width="6.140625" style="4" customWidth="1"/>
    <col min="5639" max="5639" width="13.140625" style="4" bestFit="1" customWidth="1"/>
    <col min="5640" max="5640" width="22.140625" style="4" customWidth="1"/>
    <col min="5641" max="5641" width="20.7109375" style="4" bestFit="1" customWidth="1"/>
    <col min="5642" max="5642" width="13" style="4" customWidth="1"/>
    <col min="5643" max="5888" width="9.140625" style="4"/>
    <col min="5889" max="5889" width="4.85546875" style="4" customWidth="1"/>
    <col min="5890" max="5890" width="71" style="4" customWidth="1"/>
    <col min="5891" max="5891" width="13.42578125" style="4" customWidth="1"/>
    <col min="5892" max="5892" width="6.28515625" style="4" customWidth="1"/>
    <col min="5893" max="5893" width="10" style="4" customWidth="1"/>
    <col min="5894" max="5894" width="6.140625" style="4" customWidth="1"/>
    <col min="5895" max="5895" width="13.140625" style="4" bestFit="1" customWidth="1"/>
    <col min="5896" max="5896" width="22.140625" style="4" customWidth="1"/>
    <col min="5897" max="5897" width="20.7109375" style="4" bestFit="1" customWidth="1"/>
    <col min="5898" max="5898" width="13" style="4" customWidth="1"/>
    <col min="5899" max="6144" width="9.140625" style="4"/>
    <col min="6145" max="6145" width="4.85546875" style="4" customWidth="1"/>
    <col min="6146" max="6146" width="71" style="4" customWidth="1"/>
    <col min="6147" max="6147" width="13.42578125" style="4" customWidth="1"/>
    <col min="6148" max="6148" width="6.28515625" style="4" customWidth="1"/>
    <col min="6149" max="6149" width="10" style="4" customWidth="1"/>
    <col min="6150" max="6150" width="6.140625" style="4" customWidth="1"/>
    <col min="6151" max="6151" width="13.140625" style="4" bestFit="1" customWidth="1"/>
    <col min="6152" max="6152" width="22.140625" style="4" customWidth="1"/>
    <col min="6153" max="6153" width="20.7109375" style="4" bestFit="1" customWidth="1"/>
    <col min="6154" max="6154" width="13" style="4" customWidth="1"/>
    <col min="6155" max="6400" width="9.140625" style="4"/>
    <col min="6401" max="6401" width="4.85546875" style="4" customWidth="1"/>
    <col min="6402" max="6402" width="71" style="4" customWidth="1"/>
    <col min="6403" max="6403" width="13.42578125" style="4" customWidth="1"/>
    <col min="6404" max="6404" width="6.28515625" style="4" customWidth="1"/>
    <col min="6405" max="6405" width="10" style="4" customWidth="1"/>
    <col min="6406" max="6406" width="6.140625" style="4" customWidth="1"/>
    <col min="6407" max="6407" width="13.140625" style="4" bestFit="1" customWidth="1"/>
    <col min="6408" max="6408" width="22.140625" style="4" customWidth="1"/>
    <col min="6409" max="6409" width="20.7109375" style="4" bestFit="1" customWidth="1"/>
    <col min="6410" max="6410" width="13" style="4" customWidth="1"/>
    <col min="6411" max="6656" width="9.140625" style="4"/>
    <col min="6657" max="6657" width="4.85546875" style="4" customWidth="1"/>
    <col min="6658" max="6658" width="71" style="4" customWidth="1"/>
    <col min="6659" max="6659" width="13.42578125" style="4" customWidth="1"/>
    <col min="6660" max="6660" width="6.28515625" style="4" customWidth="1"/>
    <col min="6661" max="6661" width="10" style="4" customWidth="1"/>
    <col min="6662" max="6662" width="6.140625" style="4" customWidth="1"/>
    <col min="6663" max="6663" width="13.140625" style="4" bestFit="1" customWidth="1"/>
    <col min="6664" max="6664" width="22.140625" style="4" customWidth="1"/>
    <col min="6665" max="6665" width="20.7109375" style="4" bestFit="1" customWidth="1"/>
    <col min="6666" max="6666" width="13" style="4" customWidth="1"/>
    <col min="6667" max="6912" width="9.140625" style="4"/>
    <col min="6913" max="6913" width="4.85546875" style="4" customWidth="1"/>
    <col min="6914" max="6914" width="71" style="4" customWidth="1"/>
    <col min="6915" max="6915" width="13.42578125" style="4" customWidth="1"/>
    <col min="6916" max="6916" width="6.28515625" style="4" customWidth="1"/>
    <col min="6917" max="6917" width="10" style="4" customWidth="1"/>
    <col min="6918" max="6918" width="6.140625" style="4" customWidth="1"/>
    <col min="6919" max="6919" width="13.140625" style="4" bestFit="1" customWidth="1"/>
    <col min="6920" max="6920" width="22.140625" style="4" customWidth="1"/>
    <col min="6921" max="6921" width="20.7109375" style="4" bestFit="1" customWidth="1"/>
    <col min="6922" max="6922" width="13" style="4" customWidth="1"/>
    <col min="6923" max="7168" width="9.140625" style="4"/>
    <col min="7169" max="7169" width="4.85546875" style="4" customWidth="1"/>
    <col min="7170" max="7170" width="71" style="4" customWidth="1"/>
    <col min="7171" max="7171" width="13.42578125" style="4" customWidth="1"/>
    <col min="7172" max="7172" width="6.28515625" style="4" customWidth="1"/>
    <col min="7173" max="7173" width="10" style="4" customWidth="1"/>
    <col min="7174" max="7174" width="6.140625" style="4" customWidth="1"/>
    <col min="7175" max="7175" width="13.140625" style="4" bestFit="1" customWidth="1"/>
    <col min="7176" max="7176" width="22.140625" style="4" customWidth="1"/>
    <col min="7177" max="7177" width="20.7109375" style="4" bestFit="1" customWidth="1"/>
    <col min="7178" max="7178" width="13" style="4" customWidth="1"/>
    <col min="7179" max="7424" width="9.140625" style="4"/>
    <col min="7425" max="7425" width="4.85546875" style="4" customWidth="1"/>
    <col min="7426" max="7426" width="71" style="4" customWidth="1"/>
    <col min="7427" max="7427" width="13.42578125" style="4" customWidth="1"/>
    <col min="7428" max="7428" width="6.28515625" style="4" customWidth="1"/>
    <col min="7429" max="7429" width="10" style="4" customWidth="1"/>
    <col min="7430" max="7430" width="6.140625" style="4" customWidth="1"/>
    <col min="7431" max="7431" width="13.140625" style="4" bestFit="1" customWidth="1"/>
    <col min="7432" max="7432" width="22.140625" style="4" customWidth="1"/>
    <col min="7433" max="7433" width="20.7109375" style="4" bestFit="1" customWidth="1"/>
    <col min="7434" max="7434" width="13" style="4" customWidth="1"/>
    <col min="7435" max="7680" width="9.140625" style="4"/>
    <col min="7681" max="7681" width="4.85546875" style="4" customWidth="1"/>
    <col min="7682" max="7682" width="71" style="4" customWidth="1"/>
    <col min="7683" max="7683" width="13.42578125" style="4" customWidth="1"/>
    <col min="7684" max="7684" width="6.28515625" style="4" customWidth="1"/>
    <col min="7685" max="7685" width="10" style="4" customWidth="1"/>
    <col min="7686" max="7686" width="6.140625" style="4" customWidth="1"/>
    <col min="7687" max="7687" width="13.140625" style="4" bestFit="1" customWidth="1"/>
    <col min="7688" max="7688" width="22.140625" style="4" customWidth="1"/>
    <col min="7689" max="7689" width="20.7109375" style="4" bestFit="1" customWidth="1"/>
    <col min="7690" max="7690" width="13" style="4" customWidth="1"/>
    <col min="7691" max="7936" width="9.140625" style="4"/>
    <col min="7937" max="7937" width="4.85546875" style="4" customWidth="1"/>
    <col min="7938" max="7938" width="71" style="4" customWidth="1"/>
    <col min="7939" max="7939" width="13.42578125" style="4" customWidth="1"/>
    <col min="7940" max="7940" width="6.28515625" style="4" customWidth="1"/>
    <col min="7941" max="7941" width="10" style="4" customWidth="1"/>
    <col min="7942" max="7942" width="6.140625" style="4" customWidth="1"/>
    <col min="7943" max="7943" width="13.140625" style="4" bestFit="1" customWidth="1"/>
    <col min="7944" max="7944" width="22.140625" style="4" customWidth="1"/>
    <col min="7945" max="7945" width="20.7109375" style="4" bestFit="1" customWidth="1"/>
    <col min="7946" max="7946" width="13" style="4" customWidth="1"/>
    <col min="7947" max="8192" width="9.140625" style="4"/>
    <col min="8193" max="8193" width="4.85546875" style="4" customWidth="1"/>
    <col min="8194" max="8194" width="71" style="4" customWidth="1"/>
    <col min="8195" max="8195" width="13.42578125" style="4" customWidth="1"/>
    <col min="8196" max="8196" width="6.28515625" style="4" customWidth="1"/>
    <col min="8197" max="8197" width="10" style="4" customWidth="1"/>
    <col min="8198" max="8198" width="6.140625" style="4" customWidth="1"/>
    <col min="8199" max="8199" width="13.140625" style="4" bestFit="1" customWidth="1"/>
    <col min="8200" max="8200" width="22.140625" style="4" customWidth="1"/>
    <col min="8201" max="8201" width="20.7109375" style="4" bestFit="1" customWidth="1"/>
    <col min="8202" max="8202" width="13" style="4" customWidth="1"/>
    <col min="8203" max="8448" width="9.140625" style="4"/>
    <col min="8449" max="8449" width="4.85546875" style="4" customWidth="1"/>
    <col min="8450" max="8450" width="71" style="4" customWidth="1"/>
    <col min="8451" max="8451" width="13.42578125" style="4" customWidth="1"/>
    <col min="8452" max="8452" width="6.28515625" style="4" customWidth="1"/>
    <col min="8453" max="8453" width="10" style="4" customWidth="1"/>
    <col min="8454" max="8454" width="6.140625" style="4" customWidth="1"/>
    <col min="8455" max="8455" width="13.140625" style="4" bestFit="1" customWidth="1"/>
    <col min="8456" max="8456" width="22.140625" style="4" customWidth="1"/>
    <col min="8457" max="8457" width="20.7109375" style="4" bestFit="1" customWidth="1"/>
    <col min="8458" max="8458" width="13" style="4" customWidth="1"/>
    <col min="8459" max="8704" width="9.140625" style="4"/>
    <col min="8705" max="8705" width="4.85546875" style="4" customWidth="1"/>
    <col min="8706" max="8706" width="71" style="4" customWidth="1"/>
    <col min="8707" max="8707" width="13.42578125" style="4" customWidth="1"/>
    <col min="8708" max="8708" width="6.28515625" style="4" customWidth="1"/>
    <col min="8709" max="8709" width="10" style="4" customWidth="1"/>
    <col min="8710" max="8710" width="6.140625" style="4" customWidth="1"/>
    <col min="8711" max="8711" width="13.140625" style="4" bestFit="1" customWidth="1"/>
    <col min="8712" max="8712" width="22.140625" style="4" customWidth="1"/>
    <col min="8713" max="8713" width="20.7109375" style="4" bestFit="1" customWidth="1"/>
    <col min="8714" max="8714" width="13" style="4" customWidth="1"/>
    <col min="8715" max="8960" width="9.140625" style="4"/>
    <col min="8961" max="8961" width="4.85546875" style="4" customWidth="1"/>
    <col min="8962" max="8962" width="71" style="4" customWidth="1"/>
    <col min="8963" max="8963" width="13.42578125" style="4" customWidth="1"/>
    <col min="8964" max="8964" width="6.28515625" style="4" customWidth="1"/>
    <col min="8965" max="8965" width="10" style="4" customWidth="1"/>
    <col min="8966" max="8966" width="6.140625" style="4" customWidth="1"/>
    <col min="8967" max="8967" width="13.140625" style="4" bestFit="1" customWidth="1"/>
    <col min="8968" max="8968" width="22.140625" style="4" customWidth="1"/>
    <col min="8969" max="8969" width="20.7109375" style="4" bestFit="1" customWidth="1"/>
    <col min="8970" max="8970" width="13" style="4" customWidth="1"/>
    <col min="8971" max="9216" width="9.140625" style="4"/>
    <col min="9217" max="9217" width="4.85546875" style="4" customWidth="1"/>
    <col min="9218" max="9218" width="71" style="4" customWidth="1"/>
    <col min="9219" max="9219" width="13.42578125" style="4" customWidth="1"/>
    <col min="9220" max="9220" width="6.28515625" style="4" customWidth="1"/>
    <col min="9221" max="9221" width="10" style="4" customWidth="1"/>
    <col min="9222" max="9222" width="6.140625" style="4" customWidth="1"/>
    <col min="9223" max="9223" width="13.140625" style="4" bestFit="1" customWidth="1"/>
    <col min="9224" max="9224" width="22.140625" style="4" customWidth="1"/>
    <col min="9225" max="9225" width="20.7109375" style="4" bestFit="1" customWidth="1"/>
    <col min="9226" max="9226" width="13" style="4" customWidth="1"/>
    <col min="9227" max="9472" width="9.140625" style="4"/>
    <col min="9473" max="9473" width="4.85546875" style="4" customWidth="1"/>
    <col min="9474" max="9474" width="71" style="4" customWidth="1"/>
    <col min="9475" max="9475" width="13.42578125" style="4" customWidth="1"/>
    <col min="9476" max="9476" width="6.28515625" style="4" customWidth="1"/>
    <col min="9477" max="9477" width="10" style="4" customWidth="1"/>
    <col min="9478" max="9478" width="6.140625" style="4" customWidth="1"/>
    <col min="9479" max="9479" width="13.140625" style="4" bestFit="1" customWidth="1"/>
    <col min="9480" max="9480" width="22.140625" style="4" customWidth="1"/>
    <col min="9481" max="9481" width="20.7109375" style="4" bestFit="1" customWidth="1"/>
    <col min="9482" max="9482" width="13" style="4" customWidth="1"/>
    <col min="9483" max="9728" width="9.140625" style="4"/>
    <col min="9729" max="9729" width="4.85546875" style="4" customWidth="1"/>
    <col min="9730" max="9730" width="71" style="4" customWidth="1"/>
    <col min="9731" max="9731" width="13.42578125" style="4" customWidth="1"/>
    <col min="9732" max="9732" width="6.28515625" style="4" customWidth="1"/>
    <col min="9733" max="9733" width="10" style="4" customWidth="1"/>
    <col min="9734" max="9734" width="6.140625" style="4" customWidth="1"/>
    <col min="9735" max="9735" width="13.140625" style="4" bestFit="1" customWidth="1"/>
    <col min="9736" max="9736" width="22.140625" style="4" customWidth="1"/>
    <col min="9737" max="9737" width="20.7109375" style="4" bestFit="1" customWidth="1"/>
    <col min="9738" max="9738" width="13" style="4" customWidth="1"/>
    <col min="9739" max="9984" width="9.140625" style="4"/>
    <col min="9985" max="9985" width="4.85546875" style="4" customWidth="1"/>
    <col min="9986" max="9986" width="71" style="4" customWidth="1"/>
    <col min="9987" max="9987" width="13.42578125" style="4" customWidth="1"/>
    <col min="9988" max="9988" width="6.28515625" style="4" customWidth="1"/>
    <col min="9989" max="9989" width="10" style="4" customWidth="1"/>
    <col min="9990" max="9990" width="6.140625" style="4" customWidth="1"/>
    <col min="9991" max="9991" width="13.140625" style="4" bestFit="1" customWidth="1"/>
    <col min="9992" max="9992" width="22.140625" style="4" customWidth="1"/>
    <col min="9993" max="9993" width="20.7109375" style="4" bestFit="1" customWidth="1"/>
    <col min="9994" max="9994" width="13" style="4" customWidth="1"/>
    <col min="9995" max="10240" width="9.140625" style="4"/>
    <col min="10241" max="10241" width="4.85546875" style="4" customWidth="1"/>
    <col min="10242" max="10242" width="71" style="4" customWidth="1"/>
    <col min="10243" max="10243" width="13.42578125" style="4" customWidth="1"/>
    <col min="10244" max="10244" width="6.28515625" style="4" customWidth="1"/>
    <col min="10245" max="10245" width="10" style="4" customWidth="1"/>
    <col min="10246" max="10246" width="6.140625" style="4" customWidth="1"/>
    <col min="10247" max="10247" width="13.140625" style="4" bestFit="1" customWidth="1"/>
    <col min="10248" max="10248" width="22.140625" style="4" customWidth="1"/>
    <col min="10249" max="10249" width="20.7109375" style="4" bestFit="1" customWidth="1"/>
    <col min="10250" max="10250" width="13" style="4" customWidth="1"/>
    <col min="10251" max="10496" width="9.140625" style="4"/>
    <col min="10497" max="10497" width="4.85546875" style="4" customWidth="1"/>
    <col min="10498" max="10498" width="71" style="4" customWidth="1"/>
    <col min="10499" max="10499" width="13.42578125" style="4" customWidth="1"/>
    <col min="10500" max="10500" width="6.28515625" style="4" customWidth="1"/>
    <col min="10501" max="10501" width="10" style="4" customWidth="1"/>
    <col min="10502" max="10502" width="6.140625" style="4" customWidth="1"/>
    <col min="10503" max="10503" width="13.140625" style="4" bestFit="1" customWidth="1"/>
    <col min="10504" max="10504" width="22.140625" style="4" customWidth="1"/>
    <col min="10505" max="10505" width="20.7109375" style="4" bestFit="1" customWidth="1"/>
    <col min="10506" max="10506" width="13" style="4" customWidth="1"/>
    <col min="10507" max="10752" width="9.140625" style="4"/>
    <col min="10753" max="10753" width="4.85546875" style="4" customWidth="1"/>
    <col min="10754" max="10754" width="71" style="4" customWidth="1"/>
    <col min="10755" max="10755" width="13.42578125" style="4" customWidth="1"/>
    <col min="10756" max="10756" width="6.28515625" style="4" customWidth="1"/>
    <col min="10757" max="10757" width="10" style="4" customWidth="1"/>
    <col min="10758" max="10758" width="6.140625" style="4" customWidth="1"/>
    <col min="10759" max="10759" width="13.140625" style="4" bestFit="1" customWidth="1"/>
    <col min="10760" max="10760" width="22.140625" style="4" customWidth="1"/>
    <col min="10761" max="10761" width="20.7109375" style="4" bestFit="1" customWidth="1"/>
    <col min="10762" max="10762" width="13" style="4" customWidth="1"/>
    <col min="10763" max="11008" width="9.140625" style="4"/>
    <col min="11009" max="11009" width="4.85546875" style="4" customWidth="1"/>
    <col min="11010" max="11010" width="71" style="4" customWidth="1"/>
    <col min="11011" max="11011" width="13.42578125" style="4" customWidth="1"/>
    <col min="11012" max="11012" width="6.28515625" style="4" customWidth="1"/>
    <col min="11013" max="11013" width="10" style="4" customWidth="1"/>
    <col min="11014" max="11014" width="6.140625" style="4" customWidth="1"/>
    <col min="11015" max="11015" width="13.140625" style="4" bestFit="1" customWidth="1"/>
    <col min="11016" max="11016" width="22.140625" style="4" customWidth="1"/>
    <col min="11017" max="11017" width="20.7109375" style="4" bestFit="1" customWidth="1"/>
    <col min="11018" max="11018" width="13" style="4" customWidth="1"/>
    <col min="11019" max="11264" width="9.140625" style="4"/>
    <col min="11265" max="11265" width="4.85546875" style="4" customWidth="1"/>
    <col min="11266" max="11266" width="71" style="4" customWidth="1"/>
    <col min="11267" max="11267" width="13.42578125" style="4" customWidth="1"/>
    <col min="11268" max="11268" width="6.28515625" style="4" customWidth="1"/>
    <col min="11269" max="11269" width="10" style="4" customWidth="1"/>
    <col min="11270" max="11270" width="6.140625" style="4" customWidth="1"/>
    <col min="11271" max="11271" width="13.140625" style="4" bestFit="1" customWidth="1"/>
    <col min="11272" max="11272" width="22.140625" style="4" customWidth="1"/>
    <col min="11273" max="11273" width="20.7109375" style="4" bestFit="1" customWidth="1"/>
    <col min="11274" max="11274" width="13" style="4" customWidth="1"/>
    <col min="11275" max="11520" width="9.140625" style="4"/>
    <col min="11521" max="11521" width="4.85546875" style="4" customWidth="1"/>
    <col min="11522" max="11522" width="71" style="4" customWidth="1"/>
    <col min="11523" max="11523" width="13.42578125" style="4" customWidth="1"/>
    <col min="11524" max="11524" width="6.28515625" style="4" customWidth="1"/>
    <col min="11525" max="11525" width="10" style="4" customWidth="1"/>
    <col min="11526" max="11526" width="6.140625" style="4" customWidth="1"/>
    <col min="11527" max="11527" width="13.140625" style="4" bestFit="1" customWidth="1"/>
    <col min="11528" max="11528" width="22.140625" style="4" customWidth="1"/>
    <col min="11529" max="11529" width="20.7109375" style="4" bestFit="1" customWidth="1"/>
    <col min="11530" max="11530" width="13" style="4" customWidth="1"/>
    <col min="11531" max="11776" width="9.140625" style="4"/>
    <col min="11777" max="11777" width="4.85546875" style="4" customWidth="1"/>
    <col min="11778" max="11778" width="71" style="4" customWidth="1"/>
    <col min="11779" max="11779" width="13.42578125" style="4" customWidth="1"/>
    <col min="11780" max="11780" width="6.28515625" style="4" customWidth="1"/>
    <col min="11781" max="11781" width="10" style="4" customWidth="1"/>
    <col min="11782" max="11782" width="6.140625" style="4" customWidth="1"/>
    <col min="11783" max="11783" width="13.140625" style="4" bestFit="1" customWidth="1"/>
    <col min="11784" max="11784" width="22.140625" style="4" customWidth="1"/>
    <col min="11785" max="11785" width="20.7109375" style="4" bestFit="1" customWidth="1"/>
    <col min="11786" max="11786" width="13" style="4" customWidth="1"/>
    <col min="11787" max="12032" width="9.140625" style="4"/>
    <col min="12033" max="12033" width="4.85546875" style="4" customWidth="1"/>
    <col min="12034" max="12034" width="71" style="4" customWidth="1"/>
    <col min="12035" max="12035" width="13.42578125" style="4" customWidth="1"/>
    <col min="12036" max="12036" width="6.28515625" style="4" customWidth="1"/>
    <col min="12037" max="12037" width="10" style="4" customWidth="1"/>
    <col min="12038" max="12038" width="6.140625" style="4" customWidth="1"/>
    <col min="12039" max="12039" width="13.140625" style="4" bestFit="1" customWidth="1"/>
    <col min="12040" max="12040" width="22.140625" style="4" customWidth="1"/>
    <col min="12041" max="12041" width="20.7109375" style="4" bestFit="1" customWidth="1"/>
    <col min="12042" max="12042" width="13" style="4" customWidth="1"/>
    <col min="12043" max="12288" width="9.140625" style="4"/>
    <col min="12289" max="12289" width="4.85546875" style="4" customWidth="1"/>
    <col min="12290" max="12290" width="71" style="4" customWidth="1"/>
    <col min="12291" max="12291" width="13.42578125" style="4" customWidth="1"/>
    <col min="12292" max="12292" width="6.28515625" style="4" customWidth="1"/>
    <col min="12293" max="12293" width="10" style="4" customWidth="1"/>
    <col min="12294" max="12294" width="6.140625" style="4" customWidth="1"/>
    <col min="12295" max="12295" width="13.140625" style="4" bestFit="1" customWidth="1"/>
    <col min="12296" max="12296" width="22.140625" style="4" customWidth="1"/>
    <col min="12297" max="12297" width="20.7109375" style="4" bestFit="1" customWidth="1"/>
    <col min="12298" max="12298" width="13" style="4" customWidth="1"/>
    <col min="12299" max="12544" width="9.140625" style="4"/>
    <col min="12545" max="12545" width="4.85546875" style="4" customWidth="1"/>
    <col min="12546" max="12546" width="71" style="4" customWidth="1"/>
    <col min="12547" max="12547" width="13.42578125" style="4" customWidth="1"/>
    <col min="12548" max="12548" width="6.28515625" style="4" customWidth="1"/>
    <col min="12549" max="12549" width="10" style="4" customWidth="1"/>
    <col min="12550" max="12550" width="6.140625" style="4" customWidth="1"/>
    <col min="12551" max="12551" width="13.140625" style="4" bestFit="1" customWidth="1"/>
    <col min="12552" max="12552" width="22.140625" style="4" customWidth="1"/>
    <col min="12553" max="12553" width="20.7109375" style="4" bestFit="1" customWidth="1"/>
    <col min="12554" max="12554" width="13" style="4" customWidth="1"/>
    <col min="12555" max="12800" width="9.140625" style="4"/>
    <col min="12801" max="12801" width="4.85546875" style="4" customWidth="1"/>
    <col min="12802" max="12802" width="71" style="4" customWidth="1"/>
    <col min="12803" max="12803" width="13.42578125" style="4" customWidth="1"/>
    <col min="12804" max="12804" width="6.28515625" style="4" customWidth="1"/>
    <col min="12805" max="12805" width="10" style="4" customWidth="1"/>
    <col min="12806" max="12806" width="6.140625" style="4" customWidth="1"/>
    <col min="12807" max="12807" width="13.140625" style="4" bestFit="1" customWidth="1"/>
    <col min="12808" max="12808" width="22.140625" style="4" customWidth="1"/>
    <col min="12809" max="12809" width="20.7109375" style="4" bestFit="1" customWidth="1"/>
    <col min="12810" max="12810" width="13" style="4" customWidth="1"/>
    <col min="12811" max="13056" width="9.140625" style="4"/>
    <col min="13057" max="13057" width="4.85546875" style="4" customWidth="1"/>
    <col min="13058" max="13058" width="71" style="4" customWidth="1"/>
    <col min="13059" max="13059" width="13.42578125" style="4" customWidth="1"/>
    <col min="13060" max="13060" width="6.28515625" style="4" customWidth="1"/>
    <col min="13061" max="13061" width="10" style="4" customWidth="1"/>
    <col min="13062" max="13062" width="6.140625" style="4" customWidth="1"/>
    <col min="13063" max="13063" width="13.140625" style="4" bestFit="1" customWidth="1"/>
    <col min="13064" max="13064" width="22.140625" style="4" customWidth="1"/>
    <col min="13065" max="13065" width="20.7109375" style="4" bestFit="1" customWidth="1"/>
    <col min="13066" max="13066" width="13" style="4" customWidth="1"/>
    <col min="13067" max="13312" width="9.140625" style="4"/>
    <col min="13313" max="13313" width="4.85546875" style="4" customWidth="1"/>
    <col min="13314" max="13314" width="71" style="4" customWidth="1"/>
    <col min="13315" max="13315" width="13.42578125" style="4" customWidth="1"/>
    <col min="13316" max="13316" width="6.28515625" style="4" customWidth="1"/>
    <col min="13317" max="13317" width="10" style="4" customWidth="1"/>
    <col min="13318" max="13318" width="6.140625" style="4" customWidth="1"/>
    <col min="13319" max="13319" width="13.140625" style="4" bestFit="1" customWidth="1"/>
    <col min="13320" max="13320" width="22.140625" style="4" customWidth="1"/>
    <col min="13321" max="13321" width="20.7109375" style="4" bestFit="1" customWidth="1"/>
    <col min="13322" max="13322" width="13" style="4" customWidth="1"/>
    <col min="13323" max="13568" width="9.140625" style="4"/>
    <col min="13569" max="13569" width="4.85546875" style="4" customWidth="1"/>
    <col min="13570" max="13570" width="71" style="4" customWidth="1"/>
    <col min="13571" max="13571" width="13.42578125" style="4" customWidth="1"/>
    <col min="13572" max="13572" width="6.28515625" style="4" customWidth="1"/>
    <col min="13573" max="13573" width="10" style="4" customWidth="1"/>
    <col min="13574" max="13574" width="6.140625" style="4" customWidth="1"/>
    <col min="13575" max="13575" width="13.140625" style="4" bestFit="1" customWidth="1"/>
    <col min="13576" max="13576" width="22.140625" style="4" customWidth="1"/>
    <col min="13577" max="13577" width="20.7109375" style="4" bestFit="1" customWidth="1"/>
    <col min="13578" max="13578" width="13" style="4" customWidth="1"/>
    <col min="13579" max="13824" width="9.140625" style="4"/>
    <col min="13825" max="13825" width="4.85546875" style="4" customWidth="1"/>
    <col min="13826" max="13826" width="71" style="4" customWidth="1"/>
    <col min="13827" max="13827" width="13.42578125" style="4" customWidth="1"/>
    <col min="13828" max="13828" width="6.28515625" style="4" customWidth="1"/>
    <col min="13829" max="13829" width="10" style="4" customWidth="1"/>
    <col min="13830" max="13830" width="6.140625" style="4" customWidth="1"/>
    <col min="13831" max="13831" width="13.140625" style="4" bestFit="1" customWidth="1"/>
    <col min="13832" max="13832" width="22.140625" style="4" customWidth="1"/>
    <col min="13833" max="13833" width="20.7109375" style="4" bestFit="1" customWidth="1"/>
    <col min="13834" max="13834" width="13" style="4" customWidth="1"/>
    <col min="13835" max="14080" width="9.140625" style="4"/>
    <col min="14081" max="14081" width="4.85546875" style="4" customWidth="1"/>
    <col min="14082" max="14082" width="71" style="4" customWidth="1"/>
    <col min="14083" max="14083" width="13.42578125" style="4" customWidth="1"/>
    <col min="14084" max="14084" width="6.28515625" style="4" customWidth="1"/>
    <col min="14085" max="14085" width="10" style="4" customWidth="1"/>
    <col min="14086" max="14086" width="6.140625" style="4" customWidth="1"/>
    <col min="14087" max="14087" width="13.140625" style="4" bestFit="1" customWidth="1"/>
    <col min="14088" max="14088" width="22.140625" style="4" customWidth="1"/>
    <col min="14089" max="14089" width="20.7109375" style="4" bestFit="1" customWidth="1"/>
    <col min="14090" max="14090" width="13" style="4" customWidth="1"/>
    <col min="14091" max="14336" width="9.140625" style="4"/>
    <col min="14337" max="14337" width="4.85546875" style="4" customWidth="1"/>
    <col min="14338" max="14338" width="71" style="4" customWidth="1"/>
    <col min="14339" max="14339" width="13.42578125" style="4" customWidth="1"/>
    <col min="14340" max="14340" width="6.28515625" style="4" customWidth="1"/>
    <col min="14341" max="14341" width="10" style="4" customWidth="1"/>
    <col min="14342" max="14342" width="6.140625" style="4" customWidth="1"/>
    <col min="14343" max="14343" width="13.140625" style="4" bestFit="1" customWidth="1"/>
    <col min="14344" max="14344" width="22.140625" style="4" customWidth="1"/>
    <col min="14345" max="14345" width="20.7109375" style="4" bestFit="1" customWidth="1"/>
    <col min="14346" max="14346" width="13" style="4" customWidth="1"/>
    <col min="14347" max="14592" width="9.140625" style="4"/>
    <col min="14593" max="14593" width="4.85546875" style="4" customWidth="1"/>
    <col min="14594" max="14594" width="71" style="4" customWidth="1"/>
    <col min="14595" max="14595" width="13.42578125" style="4" customWidth="1"/>
    <col min="14596" max="14596" width="6.28515625" style="4" customWidth="1"/>
    <col min="14597" max="14597" width="10" style="4" customWidth="1"/>
    <col min="14598" max="14598" width="6.140625" style="4" customWidth="1"/>
    <col min="14599" max="14599" width="13.140625" style="4" bestFit="1" customWidth="1"/>
    <col min="14600" max="14600" width="22.140625" style="4" customWidth="1"/>
    <col min="14601" max="14601" width="20.7109375" style="4" bestFit="1" customWidth="1"/>
    <col min="14602" max="14602" width="13" style="4" customWidth="1"/>
    <col min="14603" max="14848" width="9.140625" style="4"/>
    <col min="14849" max="14849" width="4.85546875" style="4" customWidth="1"/>
    <col min="14850" max="14850" width="71" style="4" customWidth="1"/>
    <col min="14851" max="14851" width="13.42578125" style="4" customWidth="1"/>
    <col min="14852" max="14852" width="6.28515625" style="4" customWidth="1"/>
    <col min="14853" max="14853" width="10" style="4" customWidth="1"/>
    <col min="14854" max="14854" width="6.140625" style="4" customWidth="1"/>
    <col min="14855" max="14855" width="13.140625" style="4" bestFit="1" customWidth="1"/>
    <col min="14856" max="14856" width="22.140625" style="4" customWidth="1"/>
    <col min="14857" max="14857" width="20.7109375" style="4" bestFit="1" customWidth="1"/>
    <col min="14858" max="14858" width="13" style="4" customWidth="1"/>
    <col min="14859" max="15104" width="9.140625" style="4"/>
    <col min="15105" max="15105" width="4.85546875" style="4" customWidth="1"/>
    <col min="15106" max="15106" width="71" style="4" customWidth="1"/>
    <col min="15107" max="15107" width="13.42578125" style="4" customWidth="1"/>
    <col min="15108" max="15108" width="6.28515625" style="4" customWidth="1"/>
    <col min="15109" max="15109" width="10" style="4" customWidth="1"/>
    <col min="15110" max="15110" width="6.140625" style="4" customWidth="1"/>
    <col min="15111" max="15111" width="13.140625" style="4" bestFit="1" customWidth="1"/>
    <col min="15112" max="15112" width="22.140625" style="4" customWidth="1"/>
    <col min="15113" max="15113" width="20.7109375" style="4" bestFit="1" customWidth="1"/>
    <col min="15114" max="15114" width="13" style="4" customWidth="1"/>
    <col min="15115" max="15360" width="9.140625" style="4"/>
    <col min="15361" max="15361" width="4.85546875" style="4" customWidth="1"/>
    <col min="15362" max="15362" width="71" style="4" customWidth="1"/>
    <col min="15363" max="15363" width="13.42578125" style="4" customWidth="1"/>
    <col min="15364" max="15364" width="6.28515625" style="4" customWidth="1"/>
    <col min="15365" max="15365" width="10" style="4" customWidth="1"/>
    <col min="15366" max="15366" width="6.140625" style="4" customWidth="1"/>
    <col min="15367" max="15367" width="13.140625" style="4" bestFit="1" customWidth="1"/>
    <col min="15368" max="15368" width="22.140625" style="4" customWidth="1"/>
    <col min="15369" max="15369" width="20.7109375" style="4" bestFit="1" customWidth="1"/>
    <col min="15370" max="15370" width="13" style="4" customWidth="1"/>
    <col min="15371" max="15616" width="9.140625" style="4"/>
    <col min="15617" max="15617" width="4.85546875" style="4" customWidth="1"/>
    <col min="15618" max="15618" width="71" style="4" customWidth="1"/>
    <col min="15619" max="15619" width="13.42578125" style="4" customWidth="1"/>
    <col min="15620" max="15620" width="6.28515625" style="4" customWidth="1"/>
    <col min="15621" max="15621" width="10" style="4" customWidth="1"/>
    <col min="15622" max="15622" width="6.140625" style="4" customWidth="1"/>
    <col min="15623" max="15623" width="13.140625" style="4" bestFit="1" customWidth="1"/>
    <col min="15624" max="15624" width="22.140625" style="4" customWidth="1"/>
    <col min="15625" max="15625" width="20.7109375" style="4" bestFit="1" customWidth="1"/>
    <col min="15626" max="15626" width="13" style="4" customWidth="1"/>
    <col min="15627" max="15872" width="9.140625" style="4"/>
    <col min="15873" max="15873" width="4.85546875" style="4" customWidth="1"/>
    <col min="15874" max="15874" width="71" style="4" customWidth="1"/>
    <col min="15875" max="15875" width="13.42578125" style="4" customWidth="1"/>
    <col min="15876" max="15876" width="6.28515625" style="4" customWidth="1"/>
    <col min="15877" max="15877" width="10" style="4" customWidth="1"/>
    <col min="15878" max="15878" width="6.140625" style="4" customWidth="1"/>
    <col min="15879" max="15879" width="13.140625" style="4" bestFit="1" customWidth="1"/>
    <col min="15880" max="15880" width="22.140625" style="4" customWidth="1"/>
    <col min="15881" max="15881" width="20.7109375" style="4" bestFit="1" customWidth="1"/>
    <col min="15882" max="15882" width="13" style="4" customWidth="1"/>
    <col min="15883" max="16128" width="9.140625" style="4"/>
    <col min="16129" max="16129" width="4.85546875" style="4" customWidth="1"/>
    <col min="16130" max="16130" width="71" style="4" customWidth="1"/>
    <col min="16131" max="16131" width="13.42578125" style="4" customWidth="1"/>
    <col min="16132" max="16132" width="6.28515625" style="4" customWidth="1"/>
    <col min="16133" max="16133" width="10" style="4" customWidth="1"/>
    <col min="16134" max="16134" width="6.140625" style="4" customWidth="1"/>
    <col min="16135" max="16135" width="13.140625" style="4" bestFit="1" customWidth="1"/>
    <col min="16136" max="16136" width="22.140625" style="4" customWidth="1"/>
    <col min="16137" max="16137" width="20.7109375" style="4" bestFit="1" customWidth="1"/>
    <col min="16138" max="16138" width="13" style="4" customWidth="1"/>
    <col min="16139" max="16384" width="9.140625" style="4"/>
  </cols>
  <sheetData>
    <row r="1" spans="1:9" ht="18" customHeight="1">
      <c r="B1" s="3356" t="s">
        <v>2933</v>
      </c>
      <c r="C1" s="3356"/>
      <c r="D1" s="2715"/>
      <c r="E1" s="2715"/>
      <c r="F1" s="2715"/>
      <c r="G1" s="2715"/>
    </row>
    <row r="2" spans="1:9" ht="16.5" customHeight="1">
      <c r="A2" s="2718"/>
      <c r="B2" s="2718"/>
      <c r="C2" s="2718"/>
      <c r="D2" s="2718"/>
      <c r="E2" s="2718"/>
      <c r="F2" s="2718"/>
      <c r="G2" s="2795" t="s">
        <v>89</v>
      </c>
    </row>
    <row r="3" spans="1:9" ht="17.25" customHeight="1">
      <c r="B3" s="3487" t="s">
        <v>2934</v>
      </c>
      <c r="C3" s="3487"/>
      <c r="D3" s="3487"/>
      <c r="E3" s="3487"/>
      <c r="F3" s="2857"/>
      <c r="G3" s="2857"/>
    </row>
    <row r="4" spans="1:9" ht="12.75" customHeight="1">
      <c r="A4" s="2818"/>
      <c r="B4" s="2818"/>
      <c r="C4" s="2818"/>
      <c r="D4" s="2818"/>
      <c r="E4" s="2818"/>
      <c r="F4" s="2818"/>
      <c r="G4" s="2818"/>
    </row>
    <row r="5" spans="1:9" ht="33" customHeight="1">
      <c r="A5" s="2800" t="s">
        <v>2</v>
      </c>
      <c r="B5" s="2800" t="s">
        <v>3</v>
      </c>
      <c r="C5" s="2819" t="s">
        <v>2716</v>
      </c>
      <c r="D5" s="2800" t="s">
        <v>5</v>
      </c>
      <c r="E5" s="2800" t="s">
        <v>9</v>
      </c>
      <c r="F5" s="190" t="s">
        <v>8</v>
      </c>
      <c r="G5" s="190" t="s">
        <v>10</v>
      </c>
    </row>
    <row r="6" spans="1:9" ht="15.75">
      <c r="A6" s="2809">
        <v>1</v>
      </c>
      <c r="B6" s="2809">
        <v>2</v>
      </c>
      <c r="C6" s="2810">
        <v>3</v>
      </c>
      <c r="D6" s="2810">
        <v>4</v>
      </c>
      <c r="E6" s="2810">
        <v>5</v>
      </c>
      <c r="F6" s="2810">
        <v>6</v>
      </c>
      <c r="G6" s="2810">
        <v>7</v>
      </c>
      <c r="H6" s="2820"/>
    </row>
    <row r="7" spans="1:9" ht="15.75">
      <c r="A7" s="2832">
        <v>1</v>
      </c>
      <c r="B7" s="1188" t="s">
        <v>2425</v>
      </c>
      <c r="C7" s="2833"/>
      <c r="D7" s="2834"/>
      <c r="E7" s="2834"/>
      <c r="F7" s="2834"/>
      <c r="G7" s="2835"/>
      <c r="H7" s="2820"/>
    </row>
    <row r="8" spans="1:9" ht="17.25" customHeight="1">
      <c r="A8" s="1183" t="s">
        <v>1493</v>
      </c>
      <c r="B8" s="1200" t="s">
        <v>2903</v>
      </c>
      <c r="C8" s="2836">
        <v>7132210018</v>
      </c>
      <c r="D8" s="2801" t="s">
        <v>68</v>
      </c>
      <c r="E8" s="1269">
        <f>VLOOKUP(C8,'[25]SOR RATE'!A:D,4,0)</f>
        <v>62449.99</v>
      </c>
      <c r="F8" s="2837">
        <v>4</v>
      </c>
      <c r="G8" s="2838">
        <f>E8*F8</f>
        <v>249799.96</v>
      </c>
      <c r="H8" s="2811"/>
    </row>
    <row r="9" spans="1:9" ht="19.5" customHeight="1">
      <c r="A9" s="1183" t="s">
        <v>1494</v>
      </c>
      <c r="B9" s="1182" t="s">
        <v>2904</v>
      </c>
      <c r="C9" s="2839">
        <v>7132210017</v>
      </c>
      <c r="D9" s="1183" t="s">
        <v>68</v>
      </c>
      <c r="E9" s="1269">
        <f>VLOOKUP(C9,'[25]SOR RATE'!A:D,4,0)</f>
        <v>75035.14</v>
      </c>
      <c r="F9" s="1183">
        <v>0</v>
      </c>
      <c r="G9" s="2840">
        <f>E9*F9</f>
        <v>0</v>
      </c>
      <c r="H9" s="2811"/>
    </row>
    <row r="10" spans="1:9" ht="14.25">
      <c r="A10" s="1183">
        <v>2</v>
      </c>
      <c r="B10" s="2841" t="s">
        <v>2935</v>
      </c>
      <c r="C10" s="1258">
        <v>7130800012</v>
      </c>
      <c r="D10" s="1183" t="s">
        <v>68</v>
      </c>
      <c r="E10" s="734">
        <f>VLOOKUP(C10,'[25]SOR RATE'!A:D,4,0)</f>
        <v>2298.46</v>
      </c>
      <c r="F10" s="1286">
        <v>8</v>
      </c>
      <c r="G10" s="2840">
        <f t="shared" ref="G10:G21" si="0">E10*F10</f>
        <v>18387.68</v>
      </c>
    </row>
    <row r="11" spans="1:9" ht="15" customHeight="1">
      <c r="A11" s="3488">
        <v>3</v>
      </c>
      <c r="B11" s="1182" t="s">
        <v>1673</v>
      </c>
      <c r="C11" s="2842">
        <v>7130860032</v>
      </c>
      <c r="D11" s="1183" t="s">
        <v>68</v>
      </c>
      <c r="E11" s="734">
        <f>VLOOKUP(C11,'[25]SOR RATE'!A:D,4,0)</f>
        <v>566.19000000000005</v>
      </c>
      <c r="F11" s="1286">
        <v>20</v>
      </c>
      <c r="G11" s="2840">
        <f t="shared" si="0"/>
        <v>11323.800000000001</v>
      </c>
    </row>
    <row r="12" spans="1:9" ht="15" customHeight="1">
      <c r="A12" s="3488"/>
      <c r="B12" s="1182" t="s">
        <v>2936</v>
      </c>
      <c r="C12" s="2842">
        <v>7130860077</v>
      </c>
      <c r="D12" s="1183" t="s">
        <v>26</v>
      </c>
      <c r="E12" s="734">
        <f>VLOOKUP(C12,'[25]SOR RATE'!A:D,4,0)/1000</f>
        <v>93.76643</v>
      </c>
      <c r="F12" s="1286">
        <v>110</v>
      </c>
      <c r="G12" s="2840">
        <f t="shared" si="0"/>
        <v>10314.3073</v>
      </c>
    </row>
    <row r="13" spans="1:9" ht="15" customHeight="1">
      <c r="A13" s="3488"/>
      <c r="B13" s="1182" t="s">
        <v>2908</v>
      </c>
      <c r="C13" s="2842">
        <v>7130820117</v>
      </c>
      <c r="D13" s="2843" t="s">
        <v>68</v>
      </c>
      <c r="E13" s="734">
        <f>VLOOKUP(C13,'[25]SOR RATE'!A:D,4,0)</f>
        <v>12.42</v>
      </c>
      <c r="F13" s="1286">
        <v>20</v>
      </c>
      <c r="G13" s="2840">
        <f t="shared" si="0"/>
        <v>248.4</v>
      </c>
      <c r="H13" s="739" t="s">
        <v>119</v>
      </c>
    </row>
    <row r="14" spans="1:9" ht="15" customHeight="1">
      <c r="A14" s="3488"/>
      <c r="B14" s="1182" t="s">
        <v>2909</v>
      </c>
      <c r="C14" s="2844">
        <v>7130810026</v>
      </c>
      <c r="D14" s="2768" t="s">
        <v>15</v>
      </c>
      <c r="E14" s="734">
        <f>VLOOKUP(C14,'[25]SOR RATE'!A201:D201,4,0)</f>
        <v>198.14</v>
      </c>
      <c r="F14" s="1286">
        <v>20</v>
      </c>
      <c r="G14" s="2840">
        <f t="shared" si="0"/>
        <v>3962.7999999999997</v>
      </c>
    </row>
    <row r="15" spans="1:9" ht="30" customHeight="1">
      <c r="A15" s="1183">
        <v>4</v>
      </c>
      <c r="B15" s="1506" t="s">
        <v>2937</v>
      </c>
      <c r="C15" s="2846">
        <v>7130850201</v>
      </c>
      <c r="D15" s="2802" t="s">
        <v>40</v>
      </c>
      <c r="E15" s="734">
        <f>VLOOKUP(C15,'[25]SOR RATE'!A279:D279,4,0)</f>
        <v>5987.84</v>
      </c>
      <c r="F15" s="1286">
        <v>4</v>
      </c>
      <c r="G15" s="2840">
        <f t="shared" si="0"/>
        <v>23951.360000000001</v>
      </c>
      <c r="I15" s="394"/>
    </row>
    <row r="16" spans="1:9" ht="19.5" customHeight="1">
      <c r="A16" s="1183">
        <v>5</v>
      </c>
      <c r="B16" s="1506" t="s">
        <v>2938</v>
      </c>
      <c r="C16" s="2846">
        <v>7130850201</v>
      </c>
      <c r="D16" s="2802" t="s">
        <v>40</v>
      </c>
      <c r="E16" s="734">
        <f>VLOOKUP(C16,'[25]SOR RATE'!A279:D279,4,0)</f>
        <v>5987.84</v>
      </c>
      <c r="F16" s="1286">
        <v>4</v>
      </c>
      <c r="G16" s="2840">
        <f t="shared" si="0"/>
        <v>23951.360000000001</v>
      </c>
    </row>
    <row r="17" spans="1:13" ht="14.25">
      <c r="A17" s="1183">
        <v>6</v>
      </c>
      <c r="B17" s="1506" t="s">
        <v>2911</v>
      </c>
      <c r="C17" s="1287">
        <v>7130810509</v>
      </c>
      <c r="D17" s="1181" t="s">
        <v>40</v>
      </c>
      <c r="E17" s="734">
        <f>VLOOKUP(C17,'[25]SOR RATE'!A:D,4,0)</f>
        <v>2187.33</v>
      </c>
      <c r="F17" s="1286">
        <v>4</v>
      </c>
      <c r="G17" s="2840">
        <f t="shared" si="0"/>
        <v>8749.32</v>
      </c>
    </row>
    <row r="18" spans="1:13" ht="14.25">
      <c r="A18" s="1183">
        <v>7</v>
      </c>
      <c r="B18" s="1506" t="s">
        <v>2939</v>
      </c>
      <c r="C18" s="1186">
        <v>7130810681</v>
      </c>
      <c r="D18" s="1181" t="s">
        <v>40</v>
      </c>
      <c r="E18" s="734">
        <f>VLOOKUP(C18,'[25]SOR RATE'!A:D,4,0)</f>
        <v>4249.5600000000004</v>
      </c>
      <c r="F18" s="1286">
        <v>8</v>
      </c>
      <c r="G18" s="2840">
        <f t="shared" si="0"/>
        <v>33996.480000000003</v>
      </c>
    </row>
    <row r="19" spans="1:13" ht="14.25">
      <c r="A19" s="1183">
        <v>8</v>
      </c>
      <c r="B19" s="1506" t="s">
        <v>2914</v>
      </c>
      <c r="C19" s="2839">
        <v>7130820241</v>
      </c>
      <c r="D19" s="1181" t="s">
        <v>12</v>
      </c>
      <c r="E19" s="734">
        <f>VLOOKUP(C19,'[25]SOR RATE'!A:D,4,0)</f>
        <v>153.49</v>
      </c>
      <c r="F19" s="1286">
        <v>48</v>
      </c>
      <c r="G19" s="2840">
        <f t="shared" si="0"/>
        <v>7367.52</v>
      </c>
    </row>
    <row r="20" spans="1:13" ht="14.25">
      <c r="A20" s="1183">
        <v>9</v>
      </c>
      <c r="B20" s="1506" t="s">
        <v>67</v>
      </c>
      <c r="C20" s="2839">
        <v>7130820010</v>
      </c>
      <c r="D20" s="1181" t="s">
        <v>12</v>
      </c>
      <c r="E20" s="734">
        <f>VLOOKUP(C20,'[25]SOR RATE'!A232:D232,4,0)</f>
        <v>118.97</v>
      </c>
      <c r="F20" s="1286">
        <v>48</v>
      </c>
      <c r="G20" s="2840">
        <f t="shared" si="0"/>
        <v>5710.5599999999995</v>
      </c>
    </row>
    <row r="21" spans="1:13" ht="14.25">
      <c r="A21" s="1183">
        <v>10</v>
      </c>
      <c r="B21" s="1506" t="s">
        <v>2915</v>
      </c>
      <c r="C21" s="2839">
        <v>7130840029</v>
      </c>
      <c r="D21" s="1181" t="s">
        <v>12</v>
      </c>
      <c r="E21" s="734">
        <f>VLOOKUP(C21,'[25]SOR RATE'!A:D,4,0)</f>
        <v>368.52</v>
      </c>
      <c r="F21" s="1286">
        <v>21</v>
      </c>
      <c r="G21" s="2840">
        <f t="shared" si="0"/>
        <v>7738.92</v>
      </c>
      <c r="I21" s="239"/>
    </row>
    <row r="22" spans="1:13" ht="14.25">
      <c r="A22" s="1183">
        <v>11</v>
      </c>
      <c r="B22" s="1506" t="s">
        <v>2940</v>
      </c>
      <c r="C22" s="2839">
        <v>7131930412</v>
      </c>
      <c r="D22" s="1181" t="s">
        <v>12</v>
      </c>
      <c r="E22" s="734">
        <f>VLOOKUP(C22,'[25]SOR RATE'!A:D,4,0)</f>
        <v>1123.1500000000001</v>
      </c>
      <c r="F22" s="1286">
        <v>12</v>
      </c>
      <c r="G22" s="2840">
        <f>E22*F22</f>
        <v>13477.800000000001</v>
      </c>
    </row>
    <row r="23" spans="1:13" s="22" customFormat="1" ht="30" customHeight="1">
      <c r="A23" s="1183">
        <v>12</v>
      </c>
      <c r="B23" s="1506" t="s">
        <v>2941</v>
      </c>
      <c r="C23" s="2847"/>
      <c r="D23" s="735" t="s">
        <v>12</v>
      </c>
      <c r="E23" s="735">
        <v>16000</v>
      </c>
      <c r="F23" s="1286">
        <v>4</v>
      </c>
      <c r="G23" s="2840">
        <f t="shared" ref="G23:G33" si="1">E23*F23</f>
        <v>64000</v>
      </c>
    </row>
    <row r="24" spans="1:13" s="22" customFormat="1" ht="30" customHeight="1">
      <c r="A24" s="1183">
        <v>13</v>
      </c>
      <c r="B24" s="1506" t="s">
        <v>2942</v>
      </c>
      <c r="C24" s="2847"/>
      <c r="D24" s="735" t="s">
        <v>12</v>
      </c>
      <c r="E24" s="735">
        <v>13000</v>
      </c>
      <c r="F24" s="1286">
        <v>0</v>
      </c>
      <c r="G24" s="2840">
        <f t="shared" si="1"/>
        <v>0</v>
      </c>
    </row>
    <row r="25" spans="1:13" s="22" customFormat="1" ht="15.75" customHeight="1">
      <c r="A25" s="1183">
        <v>14</v>
      </c>
      <c r="B25" s="1506" t="s">
        <v>2919</v>
      </c>
      <c r="C25" s="2842">
        <v>7130310021</v>
      </c>
      <c r="D25" s="1181" t="s">
        <v>21</v>
      </c>
      <c r="E25" s="734">
        <f>VLOOKUP(C25,'[25]SOR RATE'!A:D,4,0)/1000</f>
        <v>42.882390000000001</v>
      </c>
      <c r="F25" s="1286">
        <v>260</v>
      </c>
      <c r="G25" s="2840">
        <f t="shared" si="1"/>
        <v>11149.421400000001</v>
      </c>
      <c r="I25" s="2821"/>
      <c r="J25" s="2812"/>
      <c r="K25" s="2812"/>
      <c r="L25" s="2812"/>
      <c r="M25" s="2812"/>
    </row>
    <row r="26" spans="1:13" s="22" customFormat="1" ht="15.75" customHeight="1">
      <c r="A26" s="1183">
        <v>15</v>
      </c>
      <c r="B26" s="1506" t="s">
        <v>2920</v>
      </c>
      <c r="C26" s="2839">
        <v>7130310044</v>
      </c>
      <c r="D26" s="1181" t="s">
        <v>21</v>
      </c>
      <c r="E26" s="734">
        <f>VLOOKUP(C26,'[25]SOR RATE'!A:D,4,0)/1000</f>
        <v>74.331229999999991</v>
      </c>
      <c r="F26" s="1286">
        <v>340</v>
      </c>
      <c r="G26" s="2840">
        <f>E26*F26</f>
        <v>25272.618199999997</v>
      </c>
      <c r="I26" s="239"/>
      <c r="J26" s="239"/>
      <c r="K26" s="239"/>
      <c r="L26" s="239"/>
      <c r="M26" s="239"/>
    </row>
    <row r="27" spans="1:13" s="22" customFormat="1" ht="15.75" customHeight="1">
      <c r="A27" s="1183">
        <v>16</v>
      </c>
      <c r="B27" s="1506" t="s">
        <v>2921</v>
      </c>
      <c r="C27" s="2839">
        <v>7132476007</v>
      </c>
      <c r="D27" s="1181" t="s">
        <v>1193</v>
      </c>
      <c r="E27" s="734">
        <f>VLOOKUP(C27,'[25]SOR RATE'!A:D,4,0)</f>
        <v>17.59</v>
      </c>
      <c r="F27" s="1286">
        <v>40</v>
      </c>
      <c r="G27" s="2840">
        <f>E27*F27</f>
        <v>703.6</v>
      </c>
      <c r="H27" s="739" t="s">
        <v>119</v>
      </c>
      <c r="I27" s="239"/>
      <c r="J27" s="239"/>
      <c r="K27" s="239"/>
      <c r="L27" s="239"/>
      <c r="M27" s="239"/>
    </row>
    <row r="28" spans="1:13" s="22" customFormat="1" ht="14.25">
      <c r="A28" s="1183">
        <v>17</v>
      </c>
      <c r="B28" s="1506" t="s">
        <v>2943</v>
      </c>
      <c r="C28" s="2839">
        <v>7130641396</v>
      </c>
      <c r="D28" s="1181" t="s">
        <v>21</v>
      </c>
      <c r="E28" s="734">
        <f>VLOOKUP(C28,'[25]SOR RATE'!A:D,4,0)</f>
        <v>253.11</v>
      </c>
      <c r="F28" s="1286">
        <v>36</v>
      </c>
      <c r="G28" s="2840">
        <f>E28*F28</f>
        <v>9111.9600000000009</v>
      </c>
    </row>
    <row r="29" spans="1:13" ht="14.25">
      <c r="A29" s="1183">
        <v>18</v>
      </c>
      <c r="B29" s="1182" t="s">
        <v>177</v>
      </c>
      <c r="C29" s="2839">
        <v>7130870043</v>
      </c>
      <c r="D29" s="1181" t="s">
        <v>26</v>
      </c>
      <c r="E29" s="734">
        <f>VLOOKUP(C29,'[25]SOR RATE'!A:D,4,0)/1000</f>
        <v>80.521839999999997</v>
      </c>
      <c r="F29" s="1286">
        <v>60</v>
      </c>
      <c r="G29" s="2840">
        <f>E29*F29</f>
        <v>4831.3104000000003</v>
      </c>
    </row>
    <row r="30" spans="1:13" ht="14.25">
      <c r="A30" s="1183">
        <v>19</v>
      </c>
      <c r="B30" s="1182" t="s">
        <v>2272</v>
      </c>
      <c r="C30" s="1258">
        <v>7130810495</v>
      </c>
      <c r="D30" s="1181" t="s">
        <v>12</v>
      </c>
      <c r="E30" s="734">
        <f>VLOOKUP(C30,'[25]SOR RATE'!A:D,4,0)</f>
        <v>1380.08</v>
      </c>
      <c r="F30" s="1286">
        <v>45</v>
      </c>
      <c r="G30" s="2840">
        <f t="shared" si="1"/>
        <v>62103.6</v>
      </c>
    </row>
    <row r="31" spans="1:13" ht="14.25">
      <c r="A31" s="1183">
        <v>20</v>
      </c>
      <c r="B31" s="1182" t="s">
        <v>2273</v>
      </c>
      <c r="C31" s="1258">
        <v>7130810679</v>
      </c>
      <c r="D31" s="1181" t="s">
        <v>12</v>
      </c>
      <c r="E31" s="734">
        <f>VLOOKUP(C31,'[25]SOR RATE'!A:D,4,0)</f>
        <v>387.16</v>
      </c>
      <c r="F31" s="1286">
        <v>45</v>
      </c>
      <c r="G31" s="2840">
        <f t="shared" si="1"/>
        <v>17422.2</v>
      </c>
    </row>
    <row r="32" spans="1:13" ht="14.25" customHeight="1">
      <c r="A32" s="1183">
        <v>21</v>
      </c>
      <c r="B32" s="1182" t="s">
        <v>19</v>
      </c>
      <c r="C32" s="1258">
        <v>7130820008</v>
      </c>
      <c r="D32" s="1181" t="s">
        <v>12</v>
      </c>
      <c r="E32" s="734">
        <f>VLOOKUP(C32,'[25]SOR RATE'!A:D,4,0)</f>
        <v>157.08000000000001</v>
      </c>
      <c r="F32" s="1286">
        <v>135</v>
      </c>
      <c r="G32" s="2840">
        <f t="shared" si="1"/>
        <v>21205.800000000003</v>
      </c>
      <c r="I32" s="239"/>
      <c r="J32" s="239"/>
    </row>
    <row r="33" spans="1:9" ht="18" customHeight="1">
      <c r="A33" s="1183">
        <v>22</v>
      </c>
      <c r="B33" s="1182" t="s">
        <v>1740</v>
      </c>
      <c r="C33" s="1186">
        <v>7130870013</v>
      </c>
      <c r="D33" s="1183" t="s">
        <v>12</v>
      </c>
      <c r="E33" s="734">
        <f>VLOOKUP(C33,'[25]SOR RATE'!A:D,4,0)</f>
        <v>152.88999999999999</v>
      </c>
      <c r="F33" s="1286">
        <v>45</v>
      </c>
      <c r="G33" s="2840">
        <f t="shared" si="1"/>
        <v>6880.0499999999993</v>
      </c>
    </row>
    <row r="34" spans="1:9" ht="14.25">
      <c r="A34" s="3488">
        <v>23</v>
      </c>
      <c r="B34" s="2841" t="s">
        <v>1443</v>
      </c>
      <c r="C34" s="266"/>
      <c r="D34" s="2801" t="s">
        <v>26</v>
      </c>
      <c r="E34" s="2853"/>
      <c r="F34" s="2837">
        <v>250</v>
      </c>
      <c r="G34" s="2840"/>
    </row>
    <row r="35" spans="1:9" ht="14.25">
      <c r="A35" s="3488"/>
      <c r="B35" s="1695" t="s">
        <v>79</v>
      </c>
      <c r="C35" s="2842">
        <v>7130620609</v>
      </c>
      <c r="D35" s="1183" t="s">
        <v>26</v>
      </c>
      <c r="E35" s="734">
        <f>VLOOKUP(C35,'[25]SOR RATE'!A:D,4,0)</f>
        <v>87.23</v>
      </c>
      <c r="F35" s="1286">
        <v>40</v>
      </c>
      <c r="G35" s="2840">
        <f t="shared" ref="G35:G40" si="2">E35*F35</f>
        <v>3489.2000000000003</v>
      </c>
    </row>
    <row r="36" spans="1:9" ht="14.25">
      <c r="A36" s="3488"/>
      <c r="B36" s="1695" t="s">
        <v>111</v>
      </c>
      <c r="C36" s="1186">
        <v>7130620614</v>
      </c>
      <c r="D36" s="1183" t="s">
        <v>26</v>
      </c>
      <c r="E36" s="734">
        <f>VLOOKUP(C36,'[25]SOR RATE'!A:D,4,0)</f>
        <v>85.77</v>
      </c>
      <c r="F36" s="1286">
        <v>80</v>
      </c>
      <c r="G36" s="2840">
        <f t="shared" si="2"/>
        <v>6861.5999999999995</v>
      </c>
    </row>
    <row r="37" spans="1:9" ht="14.25">
      <c r="A37" s="3488"/>
      <c r="B37" s="1695" t="s">
        <v>36</v>
      </c>
      <c r="C37" s="1258">
        <v>7130620619</v>
      </c>
      <c r="D37" s="1183" t="s">
        <v>26</v>
      </c>
      <c r="E37" s="734">
        <f>VLOOKUP(C37,'[25]SOR RATE'!A:D,4,0)</f>
        <v>85.77</v>
      </c>
      <c r="F37" s="1286">
        <v>10</v>
      </c>
      <c r="G37" s="2840">
        <f t="shared" si="2"/>
        <v>857.69999999999993</v>
      </c>
    </row>
    <row r="38" spans="1:9" ht="14.25">
      <c r="A38" s="3488"/>
      <c r="B38" s="1695" t="s">
        <v>112</v>
      </c>
      <c r="C38" s="1258">
        <v>7130620625</v>
      </c>
      <c r="D38" s="1183" t="s">
        <v>26</v>
      </c>
      <c r="E38" s="734">
        <f>VLOOKUP(C38,'[25]SOR RATE'!A:D,4,0)</f>
        <v>84.32</v>
      </c>
      <c r="F38" s="1286">
        <v>40</v>
      </c>
      <c r="G38" s="2840">
        <f t="shared" si="2"/>
        <v>3372.7999999999997</v>
      </c>
    </row>
    <row r="39" spans="1:9" ht="14.25">
      <c r="A39" s="3488"/>
      <c r="B39" s="1695" t="s">
        <v>37</v>
      </c>
      <c r="C39" s="1258">
        <v>7130620627</v>
      </c>
      <c r="D39" s="1183" t="s">
        <v>26</v>
      </c>
      <c r="E39" s="734">
        <f>VLOOKUP(C39,'[25]SOR RATE'!A:D,4,0)</f>
        <v>84.32</v>
      </c>
      <c r="F39" s="1286">
        <v>40</v>
      </c>
      <c r="G39" s="2840">
        <f t="shared" si="2"/>
        <v>3372.7999999999997</v>
      </c>
    </row>
    <row r="40" spans="1:9" ht="14.25">
      <c r="A40" s="3488"/>
      <c r="B40" s="1695" t="s">
        <v>2925</v>
      </c>
      <c r="C40" s="1258">
        <v>7130620631</v>
      </c>
      <c r="D40" s="1183" t="s">
        <v>26</v>
      </c>
      <c r="E40" s="734">
        <f>VLOOKUP(C40,'[25]SOR RATE'!A:D,4,0)</f>
        <v>84.32</v>
      </c>
      <c r="F40" s="1286">
        <v>40</v>
      </c>
      <c r="G40" s="2840">
        <f t="shared" si="2"/>
        <v>3372.7999999999997</v>
      </c>
    </row>
    <row r="41" spans="1:9" ht="30.75" customHeight="1">
      <c r="A41" s="3488">
        <v>24</v>
      </c>
      <c r="B41" s="1506" t="s">
        <v>45</v>
      </c>
      <c r="C41" s="1186"/>
      <c r="D41" s="1183"/>
      <c r="E41" s="735"/>
      <c r="F41" s="1286"/>
      <c r="G41" s="2840"/>
    </row>
    <row r="42" spans="1:9" ht="16.5" customHeight="1">
      <c r="A42" s="3488"/>
      <c r="B42" s="1470" t="s">
        <v>2926</v>
      </c>
      <c r="C42" s="1186">
        <v>7130640008</v>
      </c>
      <c r="D42" s="2769" t="s">
        <v>33</v>
      </c>
      <c r="E42" s="2762">
        <f>VLOOKUP(C42,'[25]SOR RATE'!A:D,4,0)</f>
        <v>158</v>
      </c>
      <c r="F42" s="2763">
        <f>8+(20*2)</f>
        <v>48</v>
      </c>
      <c r="G42" s="2840">
        <f>E42*F42</f>
        <v>7584</v>
      </c>
      <c r="H42" s="3460" t="s">
        <v>47</v>
      </c>
      <c r="I42" s="3484"/>
    </row>
    <row r="43" spans="1:9" ht="15" customHeight="1">
      <c r="A43" s="1183">
        <v>25</v>
      </c>
      <c r="B43" s="1182" t="s">
        <v>2944</v>
      </c>
      <c r="C43" s="1181">
        <v>7130860017</v>
      </c>
      <c r="D43" s="1183" t="s">
        <v>12</v>
      </c>
      <c r="E43" s="734">
        <f>VLOOKUP(C43,'[25]SOR RATE'!A:D,4,0)</f>
        <v>132.26</v>
      </c>
      <c r="F43" s="1286">
        <v>16</v>
      </c>
      <c r="G43" s="2840">
        <f>E43*F43</f>
        <v>2116.16</v>
      </c>
    </row>
    <row r="44" spans="1:9" ht="15" customHeight="1">
      <c r="A44" s="1183">
        <v>26</v>
      </c>
      <c r="B44" s="1182" t="s">
        <v>2928</v>
      </c>
      <c r="C44" s="1258">
        <v>7130830055</v>
      </c>
      <c r="D44" s="1181" t="s">
        <v>21</v>
      </c>
      <c r="E44" s="734">
        <f>VLOOKUP(C44,'[25]SOR RATE'!A:D,4,0)/1000</f>
        <v>28.020759999999999</v>
      </c>
      <c r="F44" s="1286">
        <v>430</v>
      </c>
      <c r="G44" s="2840">
        <f>E44*F44</f>
        <v>12048.926799999999</v>
      </c>
    </row>
    <row r="45" spans="1:9" ht="15">
      <c r="A45" s="190">
        <v>27</v>
      </c>
      <c r="B45" s="1191" t="s">
        <v>48</v>
      </c>
      <c r="C45" s="1186"/>
      <c r="D45" s="2850"/>
      <c r="E45" s="1183"/>
      <c r="F45" s="2805"/>
      <c r="G45" s="2805">
        <f>SUM(G8:G44)</f>
        <v>684736.81409999996</v>
      </c>
      <c r="H45" s="793"/>
      <c r="I45" s="794"/>
    </row>
    <row r="46" spans="1:9" ht="15">
      <c r="A46" s="190">
        <v>28</v>
      </c>
      <c r="B46" s="1191" t="s">
        <v>49</v>
      </c>
      <c r="C46" s="1186"/>
      <c r="D46" s="2851"/>
      <c r="E46" s="1183"/>
      <c r="F46" s="2854"/>
      <c r="G46" s="2805">
        <f>G45/1.18</f>
        <v>580285.4356779661</v>
      </c>
      <c r="H46" s="174"/>
      <c r="I46" s="794"/>
    </row>
    <row r="47" spans="1:9" ht="17.25" customHeight="1">
      <c r="A47" s="1183">
        <v>29</v>
      </c>
      <c r="B47" s="1185" t="s">
        <v>50</v>
      </c>
      <c r="C47" s="2855"/>
      <c r="D47" s="2856"/>
      <c r="E47" s="1186">
        <v>7.4999999999999997E-2</v>
      </c>
      <c r="F47" s="2856"/>
      <c r="G47" s="735">
        <f>G45*E47</f>
        <v>51355.261057499993</v>
      </c>
      <c r="H47" s="732"/>
      <c r="I47" s="794"/>
    </row>
    <row r="48" spans="1:9" ht="16.5" customHeight="1">
      <c r="A48" s="1183">
        <v>30</v>
      </c>
      <c r="B48" s="1182" t="s">
        <v>1742</v>
      </c>
      <c r="C48" s="1186"/>
      <c r="D48" s="2843" t="s">
        <v>12</v>
      </c>
      <c r="E48" s="1202">
        <f>229.365334460327*1.043</f>
        <v>239.22804384212105</v>
      </c>
      <c r="F48" s="1186">
        <v>8</v>
      </c>
      <c r="G48" s="735">
        <f>E48*F48</f>
        <v>1913.8243507369684</v>
      </c>
      <c r="H48" s="2732"/>
      <c r="I48" s="2813"/>
    </row>
    <row r="49" spans="1:10" ht="15.75" customHeight="1">
      <c r="A49" s="1183">
        <v>31</v>
      </c>
      <c r="B49" s="1472" t="s">
        <v>2945</v>
      </c>
      <c r="C49" s="2844"/>
      <c r="D49" s="735"/>
      <c r="E49" s="1183"/>
      <c r="F49" s="1183"/>
      <c r="G49" s="735">
        <v>156655</v>
      </c>
      <c r="H49" s="795"/>
      <c r="I49" s="490"/>
      <c r="J49" s="176"/>
    </row>
    <row r="50" spans="1:10" ht="16.5" customHeight="1">
      <c r="A50" s="1183">
        <v>32</v>
      </c>
      <c r="B50" s="564" t="s">
        <v>1716</v>
      </c>
      <c r="C50" s="2844"/>
      <c r="D50" s="735"/>
      <c r="E50" s="1183">
        <v>0.02</v>
      </c>
      <c r="F50" s="1183"/>
      <c r="G50" s="735">
        <f>((G8+G9)/1.18)*E50</f>
        <v>4233.8976271186448</v>
      </c>
      <c r="H50" s="739" t="s">
        <v>119</v>
      </c>
      <c r="I50" s="490"/>
      <c r="J50" s="176"/>
    </row>
    <row r="51" spans="1:10" ht="32.25" customHeight="1">
      <c r="A51" s="1183">
        <v>33</v>
      </c>
      <c r="B51" s="1182" t="s">
        <v>2627</v>
      </c>
      <c r="C51" s="2844"/>
      <c r="D51" s="735"/>
      <c r="E51" s="1183">
        <v>0.04</v>
      </c>
      <c r="F51" s="1183"/>
      <c r="G51" s="734">
        <f>((G45-G8-G9)/1.18)*E51</f>
        <v>14743.622172881356</v>
      </c>
      <c r="H51" s="2533" t="s">
        <v>1827</v>
      </c>
      <c r="I51" s="177"/>
      <c r="J51" s="186"/>
    </row>
    <row r="52" spans="1:10" ht="30" customHeight="1">
      <c r="A52" s="1183">
        <v>34</v>
      </c>
      <c r="B52" s="1233" t="s">
        <v>2930</v>
      </c>
      <c r="C52" s="2844"/>
      <c r="D52" s="735"/>
      <c r="E52" s="1183"/>
      <c r="F52" s="1183"/>
      <c r="G52" s="1210">
        <f>(G45+G47+G48+G49+G50+G51)*0.125</f>
        <v>114204.80241352961</v>
      </c>
      <c r="H52" s="796"/>
      <c r="I52" s="177"/>
      <c r="J52" s="186"/>
    </row>
    <row r="53" spans="1:10" ht="15.75" customHeight="1">
      <c r="A53" s="190">
        <v>35</v>
      </c>
      <c r="B53" s="1214" t="s">
        <v>2931</v>
      </c>
      <c r="C53" s="2844"/>
      <c r="D53" s="735"/>
      <c r="E53" s="1183"/>
      <c r="F53" s="1183"/>
      <c r="G53" s="2805">
        <f>SUM(G46:G52)</f>
        <v>923391.84329973266</v>
      </c>
      <c r="H53" s="797"/>
      <c r="J53" s="186"/>
    </row>
    <row r="54" spans="1:10" ht="16.5" customHeight="1">
      <c r="A54" s="1183">
        <v>36</v>
      </c>
      <c r="B54" s="1185" t="s">
        <v>2435</v>
      </c>
      <c r="C54" s="2844"/>
      <c r="D54" s="735"/>
      <c r="E54" s="1183">
        <v>0.09</v>
      </c>
      <c r="F54" s="1183"/>
      <c r="G54" s="735">
        <f>G53*E54</f>
        <v>83105.265896975936</v>
      </c>
      <c r="H54" s="797"/>
      <c r="J54" s="186"/>
    </row>
    <row r="55" spans="1:10" ht="16.5" customHeight="1">
      <c r="A55" s="1183">
        <v>37</v>
      </c>
      <c r="B55" s="1185" t="s">
        <v>2436</v>
      </c>
      <c r="C55" s="2844"/>
      <c r="D55" s="735"/>
      <c r="E55" s="1183">
        <v>0.09</v>
      </c>
      <c r="F55" s="1183"/>
      <c r="G55" s="735">
        <f>G53*E55</f>
        <v>83105.265896975936</v>
      </c>
      <c r="H55" s="2822"/>
      <c r="J55" s="186"/>
    </row>
    <row r="56" spans="1:10" ht="16.5" customHeight="1">
      <c r="A56" s="1183">
        <v>38</v>
      </c>
      <c r="B56" s="1185" t="s">
        <v>2437</v>
      </c>
      <c r="C56" s="2844"/>
      <c r="D56" s="735"/>
      <c r="E56" s="1183"/>
      <c r="F56" s="735"/>
      <c r="G56" s="735">
        <f>G53+G54+G55</f>
        <v>1089602.3750936845</v>
      </c>
    </row>
    <row r="57" spans="1:10" ht="16.5" customHeight="1">
      <c r="A57" s="190">
        <v>39</v>
      </c>
      <c r="B57" s="1214" t="s">
        <v>59</v>
      </c>
      <c r="C57" s="2852"/>
      <c r="D57" s="2805"/>
      <c r="E57" s="190"/>
      <c r="F57" s="1183"/>
      <c r="G57" s="2805">
        <f>ROUND(G56,0)</f>
        <v>1089602</v>
      </c>
    </row>
    <row r="58" spans="1:10">
      <c r="A58" s="2814"/>
      <c r="B58" s="524"/>
      <c r="C58" s="2815"/>
      <c r="D58" s="524"/>
      <c r="E58" s="524"/>
      <c r="F58" s="524"/>
      <c r="G58" s="2816"/>
    </row>
    <row r="59" spans="1:10" ht="16.5" customHeight="1">
      <c r="A59" s="2817"/>
      <c r="B59" s="3486" t="s">
        <v>2932</v>
      </c>
      <c r="C59" s="3486"/>
      <c r="D59" s="3486"/>
      <c r="E59" s="3486"/>
      <c r="F59" s="3486"/>
      <c r="G59" s="3486"/>
    </row>
    <row r="60" spans="1:10" ht="14.25">
      <c r="A60" s="185" t="s">
        <v>62</v>
      </c>
      <c r="B60" s="180" t="s">
        <v>2180</v>
      </c>
    </row>
    <row r="61" spans="1:10" ht="14.25">
      <c r="A61" s="185" t="s">
        <v>2542</v>
      </c>
      <c r="B61" s="180" t="s">
        <v>63</v>
      </c>
    </row>
    <row r="62" spans="1:10">
      <c r="B62" s="245"/>
    </row>
    <row r="63" spans="1:10">
      <c r="B63" s="245"/>
    </row>
    <row r="64" spans="1:10">
      <c r="B64" s="245"/>
    </row>
  </sheetData>
  <mergeCells count="7">
    <mergeCell ref="H42:I42"/>
    <mergeCell ref="B59:G59"/>
    <mergeCell ref="B3:E3"/>
    <mergeCell ref="B1:C1"/>
    <mergeCell ref="A11:A14"/>
    <mergeCell ref="A34:A40"/>
    <mergeCell ref="A41:A42"/>
  </mergeCells>
  <conditionalFormatting sqref="B45">
    <cfRule type="cellIs" dxfId="26" priority="2" stopIfTrue="1" operator="equal">
      <formula>"?"</formula>
    </cfRule>
  </conditionalFormatting>
  <conditionalFormatting sqref="B46">
    <cfRule type="cellIs" dxfId="25" priority="1" stopIfTrue="1" operator="equal">
      <formula>"?"</formula>
    </cfRule>
  </conditionalFormatting>
  <printOptions horizontalCentered="1"/>
  <pageMargins left="0.75" right="0.16" top="0.77" bottom="0.41" header="1.1599999999999999" footer="0.16"/>
  <pageSetup orientation="landscape" verticalDpi="300" r:id="rId1"/>
  <headerFooter alignWithMargins="0"/>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3"/>
  <sheetViews>
    <sheetView workbookViewId="0">
      <pane xSplit="2" ySplit="7" topLeftCell="C57" activePane="bottomRight" state="frozen"/>
      <selection pane="topRight" activeCell="C1" sqref="C1"/>
      <selection pane="bottomLeft" activeCell="A8" sqref="A8"/>
      <selection pane="bottomRight" activeCell="B65" sqref="B65"/>
    </sheetView>
  </sheetViews>
  <sheetFormatPr defaultRowHeight="14.25"/>
  <cols>
    <col min="1" max="1" width="5.7109375" style="185" customWidth="1"/>
    <col min="2" max="2" width="69.140625" style="186" customWidth="1"/>
    <col min="3" max="3" width="13.28515625" style="186" customWidth="1"/>
    <col min="4" max="4" width="6.28515625" style="186" customWidth="1"/>
    <col min="5" max="5" width="10.42578125" style="186" customWidth="1"/>
    <col min="6" max="6" width="6.140625" style="186" bestFit="1" customWidth="1"/>
    <col min="7" max="7" width="11.85546875" style="186" bestFit="1" customWidth="1"/>
    <col min="8" max="8" width="20.85546875" style="186" customWidth="1"/>
    <col min="9" max="9" width="20.42578125" style="186" customWidth="1"/>
    <col min="10" max="10" width="12.42578125" style="186" bestFit="1" customWidth="1"/>
    <col min="11" max="11" width="3.5703125" style="186" bestFit="1" customWidth="1"/>
    <col min="12" max="256" width="9.140625" style="186"/>
    <col min="257" max="257" width="5.7109375" style="186" customWidth="1"/>
    <col min="258" max="258" width="69.140625" style="186" customWidth="1"/>
    <col min="259" max="259" width="13.28515625" style="186" customWidth="1"/>
    <col min="260" max="260" width="6.28515625" style="186" customWidth="1"/>
    <col min="261" max="261" width="10.42578125" style="186" customWidth="1"/>
    <col min="262" max="262" width="6.140625" style="186" bestFit="1" customWidth="1"/>
    <col min="263" max="263" width="11.85546875" style="186" bestFit="1" customWidth="1"/>
    <col min="264" max="264" width="20.85546875" style="186" customWidth="1"/>
    <col min="265" max="265" width="20.42578125" style="186" customWidth="1"/>
    <col min="266" max="266" width="12.42578125" style="186" bestFit="1" customWidth="1"/>
    <col min="267" max="267" width="3.5703125" style="186" bestFit="1" customWidth="1"/>
    <col min="268" max="512" width="9.140625" style="186"/>
    <col min="513" max="513" width="5.7109375" style="186" customWidth="1"/>
    <col min="514" max="514" width="69.140625" style="186" customWidth="1"/>
    <col min="515" max="515" width="13.28515625" style="186" customWidth="1"/>
    <col min="516" max="516" width="6.28515625" style="186" customWidth="1"/>
    <col min="517" max="517" width="10.42578125" style="186" customWidth="1"/>
    <col min="518" max="518" width="6.140625" style="186" bestFit="1" customWidth="1"/>
    <col min="519" max="519" width="11.85546875" style="186" bestFit="1" customWidth="1"/>
    <col min="520" max="520" width="20.85546875" style="186" customWidth="1"/>
    <col min="521" max="521" width="20.42578125" style="186" customWidth="1"/>
    <col min="522" max="522" width="12.42578125" style="186" bestFit="1" customWidth="1"/>
    <col min="523" max="523" width="3.5703125" style="186" bestFit="1" customWidth="1"/>
    <col min="524" max="768" width="9.140625" style="186"/>
    <col min="769" max="769" width="5.7109375" style="186" customWidth="1"/>
    <col min="770" max="770" width="69.140625" style="186" customWidth="1"/>
    <col min="771" max="771" width="13.28515625" style="186" customWidth="1"/>
    <col min="772" max="772" width="6.28515625" style="186" customWidth="1"/>
    <col min="773" max="773" width="10.42578125" style="186" customWidth="1"/>
    <col min="774" max="774" width="6.140625" style="186" bestFit="1" customWidth="1"/>
    <col min="775" max="775" width="11.85546875" style="186" bestFit="1" customWidth="1"/>
    <col min="776" max="776" width="20.85546875" style="186" customWidth="1"/>
    <col min="777" max="777" width="20.42578125" style="186" customWidth="1"/>
    <col min="778" max="778" width="12.42578125" style="186" bestFit="1" customWidth="1"/>
    <col min="779" max="779" width="3.5703125" style="186" bestFit="1" customWidth="1"/>
    <col min="780" max="1024" width="9.140625" style="186"/>
    <col min="1025" max="1025" width="5.7109375" style="186" customWidth="1"/>
    <col min="1026" max="1026" width="69.140625" style="186" customWidth="1"/>
    <col min="1027" max="1027" width="13.28515625" style="186" customWidth="1"/>
    <col min="1028" max="1028" width="6.28515625" style="186" customWidth="1"/>
    <col min="1029" max="1029" width="10.42578125" style="186" customWidth="1"/>
    <col min="1030" max="1030" width="6.140625" style="186" bestFit="1" customWidth="1"/>
    <col min="1031" max="1031" width="11.85546875" style="186" bestFit="1" customWidth="1"/>
    <col min="1032" max="1032" width="20.85546875" style="186" customWidth="1"/>
    <col min="1033" max="1033" width="20.42578125" style="186" customWidth="1"/>
    <col min="1034" max="1034" width="12.42578125" style="186" bestFit="1" customWidth="1"/>
    <col min="1035" max="1035" width="3.5703125" style="186" bestFit="1" customWidth="1"/>
    <col min="1036" max="1280" width="9.140625" style="186"/>
    <col min="1281" max="1281" width="5.7109375" style="186" customWidth="1"/>
    <col min="1282" max="1282" width="69.140625" style="186" customWidth="1"/>
    <col min="1283" max="1283" width="13.28515625" style="186" customWidth="1"/>
    <col min="1284" max="1284" width="6.28515625" style="186" customWidth="1"/>
    <col min="1285" max="1285" width="10.42578125" style="186" customWidth="1"/>
    <col min="1286" max="1286" width="6.140625" style="186" bestFit="1" customWidth="1"/>
    <col min="1287" max="1287" width="11.85546875" style="186" bestFit="1" customWidth="1"/>
    <col min="1288" max="1288" width="20.85546875" style="186" customWidth="1"/>
    <col min="1289" max="1289" width="20.42578125" style="186" customWidth="1"/>
    <col min="1290" max="1290" width="12.42578125" style="186" bestFit="1" customWidth="1"/>
    <col min="1291" max="1291" width="3.5703125" style="186" bestFit="1" customWidth="1"/>
    <col min="1292" max="1536" width="9.140625" style="186"/>
    <col min="1537" max="1537" width="5.7109375" style="186" customWidth="1"/>
    <col min="1538" max="1538" width="69.140625" style="186" customWidth="1"/>
    <col min="1539" max="1539" width="13.28515625" style="186" customWidth="1"/>
    <col min="1540" max="1540" width="6.28515625" style="186" customWidth="1"/>
    <col min="1541" max="1541" width="10.42578125" style="186" customWidth="1"/>
    <col min="1542" max="1542" width="6.140625" style="186" bestFit="1" customWidth="1"/>
    <col min="1543" max="1543" width="11.85546875" style="186" bestFit="1" customWidth="1"/>
    <col min="1544" max="1544" width="20.85546875" style="186" customWidth="1"/>
    <col min="1545" max="1545" width="20.42578125" style="186" customWidth="1"/>
    <col min="1546" max="1546" width="12.42578125" style="186" bestFit="1" customWidth="1"/>
    <col min="1547" max="1547" width="3.5703125" style="186" bestFit="1" customWidth="1"/>
    <col min="1548" max="1792" width="9.140625" style="186"/>
    <col min="1793" max="1793" width="5.7109375" style="186" customWidth="1"/>
    <col min="1794" max="1794" width="69.140625" style="186" customWidth="1"/>
    <col min="1795" max="1795" width="13.28515625" style="186" customWidth="1"/>
    <col min="1796" max="1796" width="6.28515625" style="186" customWidth="1"/>
    <col min="1797" max="1797" width="10.42578125" style="186" customWidth="1"/>
    <col min="1798" max="1798" width="6.140625" style="186" bestFit="1" customWidth="1"/>
    <col min="1799" max="1799" width="11.85546875" style="186" bestFit="1" customWidth="1"/>
    <col min="1800" max="1800" width="20.85546875" style="186" customWidth="1"/>
    <col min="1801" max="1801" width="20.42578125" style="186" customWidth="1"/>
    <col min="1802" max="1802" width="12.42578125" style="186" bestFit="1" customWidth="1"/>
    <col min="1803" max="1803" width="3.5703125" style="186" bestFit="1" customWidth="1"/>
    <col min="1804" max="2048" width="9.140625" style="186"/>
    <col min="2049" max="2049" width="5.7109375" style="186" customWidth="1"/>
    <col min="2050" max="2050" width="69.140625" style="186" customWidth="1"/>
    <col min="2051" max="2051" width="13.28515625" style="186" customWidth="1"/>
    <col min="2052" max="2052" width="6.28515625" style="186" customWidth="1"/>
    <col min="2053" max="2053" width="10.42578125" style="186" customWidth="1"/>
    <col min="2054" max="2054" width="6.140625" style="186" bestFit="1" customWidth="1"/>
    <col min="2055" max="2055" width="11.85546875" style="186" bestFit="1" customWidth="1"/>
    <col min="2056" max="2056" width="20.85546875" style="186" customWidth="1"/>
    <col min="2057" max="2057" width="20.42578125" style="186" customWidth="1"/>
    <col min="2058" max="2058" width="12.42578125" style="186" bestFit="1" customWidth="1"/>
    <col min="2059" max="2059" width="3.5703125" style="186" bestFit="1" customWidth="1"/>
    <col min="2060" max="2304" width="9.140625" style="186"/>
    <col min="2305" max="2305" width="5.7109375" style="186" customWidth="1"/>
    <col min="2306" max="2306" width="69.140625" style="186" customWidth="1"/>
    <col min="2307" max="2307" width="13.28515625" style="186" customWidth="1"/>
    <col min="2308" max="2308" width="6.28515625" style="186" customWidth="1"/>
    <col min="2309" max="2309" width="10.42578125" style="186" customWidth="1"/>
    <col min="2310" max="2310" width="6.140625" style="186" bestFit="1" customWidth="1"/>
    <col min="2311" max="2311" width="11.85546875" style="186" bestFit="1" customWidth="1"/>
    <col min="2312" max="2312" width="20.85546875" style="186" customWidth="1"/>
    <col min="2313" max="2313" width="20.42578125" style="186" customWidth="1"/>
    <col min="2314" max="2314" width="12.42578125" style="186" bestFit="1" customWidth="1"/>
    <col min="2315" max="2315" width="3.5703125" style="186" bestFit="1" customWidth="1"/>
    <col min="2316" max="2560" width="9.140625" style="186"/>
    <col min="2561" max="2561" width="5.7109375" style="186" customWidth="1"/>
    <col min="2562" max="2562" width="69.140625" style="186" customWidth="1"/>
    <col min="2563" max="2563" width="13.28515625" style="186" customWidth="1"/>
    <col min="2564" max="2564" width="6.28515625" style="186" customWidth="1"/>
    <col min="2565" max="2565" width="10.42578125" style="186" customWidth="1"/>
    <col min="2566" max="2566" width="6.140625" style="186" bestFit="1" customWidth="1"/>
    <col min="2567" max="2567" width="11.85546875" style="186" bestFit="1" customWidth="1"/>
    <col min="2568" max="2568" width="20.85546875" style="186" customWidth="1"/>
    <col min="2569" max="2569" width="20.42578125" style="186" customWidth="1"/>
    <col min="2570" max="2570" width="12.42578125" style="186" bestFit="1" customWidth="1"/>
    <col min="2571" max="2571" width="3.5703125" style="186" bestFit="1" customWidth="1"/>
    <col min="2572" max="2816" width="9.140625" style="186"/>
    <col min="2817" max="2817" width="5.7109375" style="186" customWidth="1"/>
    <col min="2818" max="2818" width="69.140625" style="186" customWidth="1"/>
    <col min="2819" max="2819" width="13.28515625" style="186" customWidth="1"/>
    <col min="2820" max="2820" width="6.28515625" style="186" customWidth="1"/>
    <col min="2821" max="2821" width="10.42578125" style="186" customWidth="1"/>
    <col min="2822" max="2822" width="6.140625" style="186" bestFit="1" customWidth="1"/>
    <col min="2823" max="2823" width="11.85546875" style="186" bestFit="1" customWidth="1"/>
    <col min="2824" max="2824" width="20.85546875" style="186" customWidth="1"/>
    <col min="2825" max="2825" width="20.42578125" style="186" customWidth="1"/>
    <col min="2826" max="2826" width="12.42578125" style="186" bestFit="1" customWidth="1"/>
    <col min="2827" max="2827" width="3.5703125" style="186" bestFit="1" customWidth="1"/>
    <col min="2828" max="3072" width="9.140625" style="186"/>
    <col min="3073" max="3073" width="5.7109375" style="186" customWidth="1"/>
    <col min="3074" max="3074" width="69.140625" style="186" customWidth="1"/>
    <col min="3075" max="3075" width="13.28515625" style="186" customWidth="1"/>
    <col min="3076" max="3076" width="6.28515625" style="186" customWidth="1"/>
    <col min="3077" max="3077" width="10.42578125" style="186" customWidth="1"/>
    <col min="3078" max="3078" width="6.140625" style="186" bestFit="1" customWidth="1"/>
    <col min="3079" max="3079" width="11.85546875" style="186" bestFit="1" customWidth="1"/>
    <col min="3080" max="3080" width="20.85546875" style="186" customWidth="1"/>
    <col min="3081" max="3081" width="20.42578125" style="186" customWidth="1"/>
    <col min="3082" max="3082" width="12.42578125" style="186" bestFit="1" customWidth="1"/>
    <col min="3083" max="3083" width="3.5703125" style="186" bestFit="1" customWidth="1"/>
    <col min="3084" max="3328" width="9.140625" style="186"/>
    <col min="3329" max="3329" width="5.7109375" style="186" customWidth="1"/>
    <col min="3330" max="3330" width="69.140625" style="186" customWidth="1"/>
    <col min="3331" max="3331" width="13.28515625" style="186" customWidth="1"/>
    <col min="3332" max="3332" width="6.28515625" style="186" customWidth="1"/>
    <col min="3333" max="3333" width="10.42578125" style="186" customWidth="1"/>
    <col min="3334" max="3334" width="6.140625" style="186" bestFit="1" customWidth="1"/>
    <col min="3335" max="3335" width="11.85546875" style="186" bestFit="1" customWidth="1"/>
    <col min="3336" max="3336" width="20.85546875" style="186" customWidth="1"/>
    <col min="3337" max="3337" width="20.42578125" style="186" customWidth="1"/>
    <col min="3338" max="3338" width="12.42578125" style="186" bestFit="1" customWidth="1"/>
    <col min="3339" max="3339" width="3.5703125" style="186" bestFit="1" customWidth="1"/>
    <col min="3340" max="3584" width="9.140625" style="186"/>
    <col min="3585" max="3585" width="5.7109375" style="186" customWidth="1"/>
    <col min="3586" max="3586" width="69.140625" style="186" customWidth="1"/>
    <col min="3587" max="3587" width="13.28515625" style="186" customWidth="1"/>
    <col min="3588" max="3588" width="6.28515625" style="186" customWidth="1"/>
    <col min="3589" max="3589" width="10.42578125" style="186" customWidth="1"/>
    <col min="3590" max="3590" width="6.140625" style="186" bestFit="1" customWidth="1"/>
    <col min="3591" max="3591" width="11.85546875" style="186" bestFit="1" customWidth="1"/>
    <col min="3592" max="3592" width="20.85546875" style="186" customWidth="1"/>
    <col min="3593" max="3593" width="20.42578125" style="186" customWidth="1"/>
    <col min="3594" max="3594" width="12.42578125" style="186" bestFit="1" customWidth="1"/>
    <col min="3595" max="3595" width="3.5703125" style="186" bestFit="1" customWidth="1"/>
    <col min="3596" max="3840" width="9.140625" style="186"/>
    <col min="3841" max="3841" width="5.7109375" style="186" customWidth="1"/>
    <col min="3842" max="3842" width="69.140625" style="186" customWidth="1"/>
    <col min="3843" max="3843" width="13.28515625" style="186" customWidth="1"/>
    <col min="3844" max="3844" width="6.28515625" style="186" customWidth="1"/>
    <col min="3845" max="3845" width="10.42578125" style="186" customWidth="1"/>
    <col min="3846" max="3846" width="6.140625" style="186" bestFit="1" customWidth="1"/>
    <col min="3847" max="3847" width="11.85546875" style="186" bestFit="1" customWidth="1"/>
    <col min="3848" max="3848" width="20.85546875" style="186" customWidth="1"/>
    <col min="3849" max="3849" width="20.42578125" style="186" customWidth="1"/>
    <col min="3850" max="3850" width="12.42578125" style="186" bestFit="1" customWidth="1"/>
    <col min="3851" max="3851" width="3.5703125" style="186" bestFit="1" customWidth="1"/>
    <col min="3852" max="4096" width="9.140625" style="186"/>
    <col min="4097" max="4097" width="5.7109375" style="186" customWidth="1"/>
    <col min="4098" max="4098" width="69.140625" style="186" customWidth="1"/>
    <col min="4099" max="4099" width="13.28515625" style="186" customWidth="1"/>
    <col min="4100" max="4100" width="6.28515625" style="186" customWidth="1"/>
    <col min="4101" max="4101" width="10.42578125" style="186" customWidth="1"/>
    <col min="4102" max="4102" width="6.140625" style="186" bestFit="1" customWidth="1"/>
    <col min="4103" max="4103" width="11.85546875" style="186" bestFit="1" customWidth="1"/>
    <col min="4104" max="4104" width="20.85546875" style="186" customWidth="1"/>
    <col min="4105" max="4105" width="20.42578125" style="186" customWidth="1"/>
    <col min="4106" max="4106" width="12.42578125" style="186" bestFit="1" customWidth="1"/>
    <col min="4107" max="4107" width="3.5703125" style="186" bestFit="1" customWidth="1"/>
    <col min="4108" max="4352" width="9.140625" style="186"/>
    <col min="4353" max="4353" width="5.7109375" style="186" customWidth="1"/>
    <col min="4354" max="4354" width="69.140625" style="186" customWidth="1"/>
    <col min="4355" max="4355" width="13.28515625" style="186" customWidth="1"/>
    <col min="4356" max="4356" width="6.28515625" style="186" customWidth="1"/>
    <col min="4357" max="4357" width="10.42578125" style="186" customWidth="1"/>
    <col min="4358" max="4358" width="6.140625" style="186" bestFit="1" customWidth="1"/>
    <col min="4359" max="4359" width="11.85546875" style="186" bestFit="1" customWidth="1"/>
    <col min="4360" max="4360" width="20.85546875" style="186" customWidth="1"/>
    <col min="4361" max="4361" width="20.42578125" style="186" customWidth="1"/>
    <col min="4362" max="4362" width="12.42578125" style="186" bestFit="1" customWidth="1"/>
    <col min="4363" max="4363" width="3.5703125" style="186" bestFit="1" customWidth="1"/>
    <col min="4364" max="4608" width="9.140625" style="186"/>
    <col min="4609" max="4609" width="5.7109375" style="186" customWidth="1"/>
    <col min="4610" max="4610" width="69.140625" style="186" customWidth="1"/>
    <col min="4611" max="4611" width="13.28515625" style="186" customWidth="1"/>
    <col min="4612" max="4612" width="6.28515625" style="186" customWidth="1"/>
    <col min="4613" max="4613" width="10.42578125" style="186" customWidth="1"/>
    <col min="4614" max="4614" width="6.140625" style="186" bestFit="1" customWidth="1"/>
    <col min="4615" max="4615" width="11.85546875" style="186" bestFit="1" customWidth="1"/>
    <col min="4616" max="4616" width="20.85546875" style="186" customWidth="1"/>
    <col min="4617" max="4617" width="20.42578125" style="186" customWidth="1"/>
    <col min="4618" max="4618" width="12.42578125" style="186" bestFit="1" customWidth="1"/>
    <col min="4619" max="4619" width="3.5703125" style="186" bestFit="1" customWidth="1"/>
    <col min="4620" max="4864" width="9.140625" style="186"/>
    <col min="4865" max="4865" width="5.7109375" style="186" customWidth="1"/>
    <col min="4866" max="4866" width="69.140625" style="186" customWidth="1"/>
    <col min="4867" max="4867" width="13.28515625" style="186" customWidth="1"/>
    <col min="4868" max="4868" width="6.28515625" style="186" customWidth="1"/>
    <col min="4869" max="4869" width="10.42578125" style="186" customWidth="1"/>
    <col min="4870" max="4870" width="6.140625" style="186" bestFit="1" customWidth="1"/>
    <col min="4871" max="4871" width="11.85546875" style="186" bestFit="1" customWidth="1"/>
    <col min="4872" max="4872" width="20.85546875" style="186" customWidth="1"/>
    <col min="4873" max="4873" width="20.42578125" style="186" customWidth="1"/>
    <col min="4874" max="4874" width="12.42578125" style="186" bestFit="1" customWidth="1"/>
    <col min="4875" max="4875" width="3.5703125" style="186" bestFit="1" customWidth="1"/>
    <col min="4876" max="5120" width="9.140625" style="186"/>
    <col min="5121" max="5121" width="5.7109375" style="186" customWidth="1"/>
    <col min="5122" max="5122" width="69.140625" style="186" customWidth="1"/>
    <col min="5123" max="5123" width="13.28515625" style="186" customWidth="1"/>
    <col min="5124" max="5124" width="6.28515625" style="186" customWidth="1"/>
    <col min="5125" max="5125" width="10.42578125" style="186" customWidth="1"/>
    <col min="5126" max="5126" width="6.140625" style="186" bestFit="1" customWidth="1"/>
    <col min="5127" max="5127" width="11.85546875" style="186" bestFit="1" customWidth="1"/>
    <col min="5128" max="5128" width="20.85546875" style="186" customWidth="1"/>
    <col min="5129" max="5129" width="20.42578125" style="186" customWidth="1"/>
    <col min="5130" max="5130" width="12.42578125" style="186" bestFit="1" customWidth="1"/>
    <col min="5131" max="5131" width="3.5703125" style="186" bestFit="1" customWidth="1"/>
    <col min="5132" max="5376" width="9.140625" style="186"/>
    <col min="5377" max="5377" width="5.7109375" style="186" customWidth="1"/>
    <col min="5378" max="5378" width="69.140625" style="186" customWidth="1"/>
    <col min="5379" max="5379" width="13.28515625" style="186" customWidth="1"/>
    <col min="5380" max="5380" width="6.28515625" style="186" customWidth="1"/>
    <col min="5381" max="5381" width="10.42578125" style="186" customWidth="1"/>
    <col min="5382" max="5382" width="6.140625" style="186" bestFit="1" customWidth="1"/>
    <col min="5383" max="5383" width="11.85546875" style="186" bestFit="1" customWidth="1"/>
    <col min="5384" max="5384" width="20.85546875" style="186" customWidth="1"/>
    <col min="5385" max="5385" width="20.42578125" style="186" customWidth="1"/>
    <col min="5386" max="5386" width="12.42578125" style="186" bestFit="1" customWidth="1"/>
    <col min="5387" max="5387" width="3.5703125" style="186" bestFit="1" customWidth="1"/>
    <col min="5388" max="5632" width="9.140625" style="186"/>
    <col min="5633" max="5633" width="5.7109375" style="186" customWidth="1"/>
    <col min="5634" max="5634" width="69.140625" style="186" customWidth="1"/>
    <col min="5635" max="5635" width="13.28515625" style="186" customWidth="1"/>
    <col min="5636" max="5636" width="6.28515625" style="186" customWidth="1"/>
    <col min="5637" max="5637" width="10.42578125" style="186" customWidth="1"/>
    <col min="5638" max="5638" width="6.140625" style="186" bestFit="1" customWidth="1"/>
    <col min="5639" max="5639" width="11.85546875" style="186" bestFit="1" customWidth="1"/>
    <col min="5640" max="5640" width="20.85546875" style="186" customWidth="1"/>
    <col min="5641" max="5641" width="20.42578125" style="186" customWidth="1"/>
    <col min="5642" max="5642" width="12.42578125" style="186" bestFit="1" customWidth="1"/>
    <col min="5643" max="5643" width="3.5703125" style="186" bestFit="1" customWidth="1"/>
    <col min="5644" max="5888" width="9.140625" style="186"/>
    <col min="5889" max="5889" width="5.7109375" style="186" customWidth="1"/>
    <col min="5890" max="5890" width="69.140625" style="186" customWidth="1"/>
    <col min="5891" max="5891" width="13.28515625" style="186" customWidth="1"/>
    <col min="5892" max="5892" width="6.28515625" style="186" customWidth="1"/>
    <col min="5893" max="5893" width="10.42578125" style="186" customWidth="1"/>
    <col min="5894" max="5894" width="6.140625" style="186" bestFit="1" customWidth="1"/>
    <col min="5895" max="5895" width="11.85546875" style="186" bestFit="1" customWidth="1"/>
    <col min="5896" max="5896" width="20.85546875" style="186" customWidth="1"/>
    <col min="5897" max="5897" width="20.42578125" style="186" customWidth="1"/>
    <col min="5898" max="5898" width="12.42578125" style="186" bestFit="1" customWidth="1"/>
    <col min="5899" max="5899" width="3.5703125" style="186" bestFit="1" customWidth="1"/>
    <col min="5900" max="6144" width="9.140625" style="186"/>
    <col min="6145" max="6145" width="5.7109375" style="186" customWidth="1"/>
    <col min="6146" max="6146" width="69.140625" style="186" customWidth="1"/>
    <col min="6147" max="6147" width="13.28515625" style="186" customWidth="1"/>
    <col min="6148" max="6148" width="6.28515625" style="186" customWidth="1"/>
    <col min="6149" max="6149" width="10.42578125" style="186" customWidth="1"/>
    <col min="6150" max="6150" width="6.140625" style="186" bestFit="1" customWidth="1"/>
    <col min="6151" max="6151" width="11.85546875" style="186" bestFit="1" customWidth="1"/>
    <col min="6152" max="6152" width="20.85546875" style="186" customWidth="1"/>
    <col min="6153" max="6153" width="20.42578125" style="186" customWidth="1"/>
    <col min="6154" max="6154" width="12.42578125" style="186" bestFit="1" customWidth="1"/>
    <col min="6155" max="6155" width="3.5703125" style="186" bestFit="1" customWidth="1"/>
    <col min="6156" max="6400" width="9.140625" style="186"/>
    <col min="6401" max="6401" width="5.7109375" style="186" customWidth="1"/>
    <col min="6402" max="6402" width="69.140625" style="186" customWidth="1"/>
    <col min="6403" max="6403" width="13.28515625" style="186" customWidth="1"/>
    <col min="6404" max="6404" width="6.28515625" style="186" customWidth="1"/>
    <col min="6405" max="6405" width="10.42578125" style="186" customWidth="1"/>
    <col min="6406" max="6406" width="6.140625" style="186" bestFit="1" customWidth="1"/>
    <col min="6407" max="6407" width="11.85546875" style="186" bestFit="1" customWidth="1"/>
    <col min="6408" max="6408" width="20.85546875" style="186" customWidth="1"/>
    <col min="6409" max="6409" width="20.42578125" style="186" customWidth="1"/>
    <col min="6410" max="6410" width="12.42578125" style="186" bestFit="1" customWidth="1"/>
    <col min="6411" max="6411" width="3.5703125" style="186" bestFit="1" customWidth="1"/>
    <col min="6412" max="6656" width="9.140625" style="186"/>
    <col min="6657" max="6657" width="5.7109375" style="186" customWidth="1"/>
    <col min="6658" max="6658" width="69.140625" style="186" customWidth="1"/>
    <col min="6659" max="6659" width="13.28515625" style="186" customWidth="1"/>
    <col min="6660" max="6660" width="6.28515625" style="186" customWidth="1"/>
    <col min="6661" max="6661" width="10.42578125" style="186" customWidth="1"/>
    <col min="6662" max="6662" width="6.140625" style="186" bestFit="1" customWidth="1"/>
    <col min="6663" max="6663" width="11.85546875" style="186" bestFit="1" customWidth="1"/>
    <col min="6664" max="6664" width="20.85546875" style="186" customWidth="1"/>
    <col min="6665" max="6665" width="20.42578125" style="186" customWidth="1"/>
    <col min="6666" max="6666" width="12.42578125" style="186" bestFit="1" customWidth="1"/>
    <col min="6667" max="6667" width="3.5703125" style="186" bestFit="1" customWidth="1"/>
    <col min="6668" max="6912" width="9.140625" style="186"/>
    <col min="6913" max="6913" width="5.7109375" style="186" customWidth="1"/>
    <col min="6914" max="6914" width="69.140625" style="186" customWidth="1"/>
    <col min="6915" max="6915" width="13.28515625" style="186" customWidth="1"/>
    <col min="6916" max="6916" width="6.28515625" style="186" customWidth="1"/>
    <col min="6917" max="6917" width="10.42578125" style="186" customWidth="1"/>
    <col min="6918" max="6918" width="6.140625" style="186" bestFit="1" customWidth="1"/>
    <col min="6919" max="6919" width="11.85546875" style="186" bestFit="1" customWidth="1"/>
    <col min="6920" max="6920" width="20.85546875" style="186" customWidth="1"/>
    <col min="6921" max="6921" width="20.42578125" style="186" customWidth="1"/>
    <col min="6922" max="6922" width="12.42578125" style="186" bestFit="1" customWidth="1"/>
    <col min="6923" max="6923" width="3.5703125" style="186" bestFit="1" customWidth="1"/>
    <col min="6924" max="7168" width="9.140625" style="186"/>
    <col min="7169" max="7169" width="5.7109375" style="186" customWidth="1"/>
    <col min="7170" max="7170" width="69.140625" style="186" customWidth="1"/>
    <col min="7171" max="7171" width="13.28515625" style="186" customWidth="1"/>
    <col min="7172" max="7172" width="6.28515625" style="186" customWidth="1"/>
    <col min="7173" max="7173" width="10.42578125" style="186" customWidth="1"/>
    <col min="7174" max="7174" width="6.140625" style="186" bestFit="1" customWidth="1"/>
    <col min="7175" max="7175" width="11.85546875" style="186" bestFit="1" customWidth="1"/>
    <col min="7176" max="7176" width="20.85546875" style="186" customWidth="1"/>
    <col min="7177" max="7177" width="20.42578125" style="186" customWidth="1"/>
    <col min="7178" max="7178" width="12.42578125" style="186" bestFit="1" customWidth="1"/>
    <col min="7179" max="7179" width="3.5703125" style="186" bestFit="1" customWidth="1"/>
    <col min="7180" max="7424" width="9.140625" style="186"/>
    <col min="7425" max="7425" width="5.7109375" style="186" customWidth="1"/>
    <col min="7426" max="7426" width="69.140625" style="186" customWidth="1"/>
    <col min="7427" max="7427" width="13.28515625" style="186" customWidth="1"/>
    <col min="7428" max="7428" width="6.28515625" style="186" customWidth="1"/>
    <col min="7429" max="7429" width="10.42578125" style="186" customWidth="1"/>
    <col min="7430" max="7430" width="6.140625" style="186" bestFit="1" customWidth="1"/>
    <col min="7431" max="7431" width="11.85546875" style="186" bestFit="1" customWidth="1"/>
    <col min="7432" max="7432" width="20.85546875" style="186" customWidth="1"/>
    <col min="7433" max="7433" width="20.42578125" style="186" customWidth="1"/>
    <col min="7434" max="7434" width="12.42578125" style="186" bestFit="1" customWidth="1"/>
    <col min="7435" max="7435" width="3.5703125" style="186" bestFit="1" customWidth="1"/>
    <col min="7436" max="7680" width="9.140625" style="186"/>
    <col min="7681" max="7681" width="5.7109375" style="186" customWidth="1"/>
    <col min="7682" max="7682" width="69.140625" style="186" customWidth="1"/>
    <col min="7683" max="7683" width="13.28515625" style="186" customWidth="1"/>
    <col min="7684" max="7684" width="6.28515625" style="186" customWidth="1"/>
    <col min="7685" max="7685" width="10.42578125" style="186" customWidth="1"/>
    <col min="7686" max="7686" width="6.140625" style="186" bestFit="1" customWidth="1"/>
    <col min="7687" max="7687" width="11.85546875" style="186" bestFit="1" customWidth="1"/>
    <col min="7688" max="7688" width="20.85546875" style="186" customWidth="1"/>
    <col min="7689" max="7689" width="20.42578125" style="186" customWidth="1"/>
    <col min="7690" max="7690" width="12.42578125" style="186" bestFit="1" customWidth="1"/>
    <col min="7691" max="7691" width="3.5703125" style="186" bestFit="1" customWidth="1"/>
    <col min="7692" max="7936" width="9.140625" style="186"/>
    <col min="7937" max="7937" width="5.7109375" style="186" customWidth="1"/>
    <col min="7938" max="7938" width="69.140625" style="186" customWidth="1"/>
    <col min="7939" max="7939" width="13.28515625" style="186" customWidth="1"/>
    <col min="7940" max="7940" width="6.28515625" style="186" customWidth="1"/>
    <col min="7941" max="7941" width="10.42578125" style="186" customWidth="1"/>
    <col min="7942" max="7942" width="6.140625" style="186" bestFit="1" customWidth="1"/>
    <col min="7943" max="7943" width="11.85546875" style="186" bestFit="1" customWidth="1"/>
    <col min="7944" max="7944" width="20.85546875" style="186" customWidth="1"/>
    <col min="7945" max="7945" width="20.42578125" style="186" customWidth="1"/>
    <col min="7946" max="7946" width="12.42578125" style="186" bestFit="1" customWidth="1"/>
    <col min="7947" max="7947" width="3.5703125" style="186" bestFit="1" customWidth="1"/>
    <col min="7948" max="8192" width="9.140625" style="186"/>
    <col min="8193" max="8193" width="5.7109375" style="186" customWidth="1"/>
    <col min="8194" max="8194" width="69.140625" style="186" customWidth="1"/>
    <col min="8195" max="8195" width="13.28515625" style="186" customWidth="1"/>
    <col min="8196" max="8196" width="6.28515625" style="186" customWidth="1"/>
    <col min="8197" max="8197" width="10.42578125" style="186" customWidth="1"/>
    <col min="8198" max="8198" width="6.140625" style="186" bestFit="1" customWidth="1"/>
    <col min="8199" max="8199" width="11.85546875" style="186" bestFit="1" customWidth="1"/>
    <col min="8200" max="8200" width="20.85546875" style="186" customWidth="1"/>
    <col min="8201" max="8201" width="20.42578125" style="186" customWidth="1"/>
    <col min="8202" max="8202" width="12.42578125" style="186" bestFit="1" customWidth="1"/>
    <col min="8203" max="8203" width="3.5703125" style="186" bestFit="1" customWidth="1"/>
    <col min="8204" max="8448" width="9.140625" style="186"/>
    <col min="8449" max="8449" width="5.7109375" style="186" customWidth="1"/>
    <col min="8450" max="8450" width="69.140625" style="186" customWidth="1"/>
    <col min="8451" max="8451" width="13.28515625" style="186" customWidth="1"/>
    <col min="8452" max="8452" width="6.28515625" style="186" customWidth="1"/>
    <col min="8453" max="8453" width="10.42578125" style="186" customWidth="1"/>
    <col min="8454" max="8454" width="6.140625" style="186" bestFit="1" customWidth="1"/>
    <col min="8455" max="8455" width="11.85546875" style="186" bestFit="1" customWidth="1"/>
    <col min="8456" max="8456" width="20.85546875" style="186" customWidth="1"/>
    <col min="8457" max="8457" width="20.42578125" style="186" customWidth="1"/>
    <col min="8458" max="8458" width="12.42578125" style="186" bestFit="1" customWidth="1"/>
    <col min="8459" max="8459" width="3.5703125" style="186" bestFit="1" customWidth="1"/>
    <col min="8460" max="8704" width="9.140625" style="186"/>
    <col min="8705" max="8705" width="5.7109375" style="186" customWidth="1"/>
    <col min="8706" max="8706" width="69.140625" style="186" customWidth="1"/>
    <col min="8707" max="8707" width="13.28515625" style="186" customWidth="1"/>
    <col min="8708" max="8708" width="6.28515625" style="186" customWidth="1"/>
    <col min="8709" max="8709" width="10.42578125" style="186" customWidth="1"/>
    <col min="8710" max="8710" width="6.140625" style="186" bestFit="1" customWidth="1"/>
    <col min="8711" max="8711" width="11.85546875" style="186" bestFit="1" customWidth="1"/>
    <col min="8712" max="8712" width="20.85546875" style="186" customWidth="1"/>
    <col min="8713" max="8713" width="20.42578125" style="186" customWidth="1"/>
    <col min="8714" max="8714" width="12.42578125" style="186" bestFit="1" customWidth="1"/>
    <col min="8715" max="8715" width="3.5703125" style="186" bestFit="1" customWidth="1"/>
    <col min="8716" max="8960" width="9.140625" style="186"/>
    <col min="8961" max="8961" width="5.7109375" style="186" customWidth="1"/>
    <col min="8962" max="8962" width="69.140625" style="186" customWidth="1"/>
    <col min="8963" max="8963" width="13.28515625" style="186" customWidth="1"/>
    <col min="8964" max="8964" width="6.28515625" style="186" customWidth="1"/>
    <col min="8965" max="8965" width="10.42578125" style="186" customWidth="1"/>
    <col min="8966" max="8966" width="6.140625" style="186" bestFit="1" customWidth="1"/>
    <col min="8967" max="8967" width="11.85546875" style="186" bestFit="1" customWidth="1"/>
    <col min="8968" max="8968" width="20.85546875" style="186" customWidth="1"/>
    <col min="8969" max="8969" width="20.42578125" style="186" customWidth="1"/>
    <col min="8970" max="8970" width="12.42578125" style="186" bestFit="1" customWidth="1"/>
    <col min="8971" max="8971" width="3.5703125" style="186" bestFit="1" customWidth="1"/>
    <col min="8972" max="9216" width="9.140625" style="186"/>
    <col min="9217" max="9217" width="5.7109375" style="186" customWidth="1"/>
    <col min="9218" max="9218" width="69.140625" style="186" customWidth="1"/>
    <col min="9219" max="9219" width="13.28515625" style="186" customWidth="1"/>
    <col min="9220" max="9220" width="6.28515625" style="186" customWidth="1"/>
    <col min="9221" max="9221" width="10.42578125" style="186" customWidth="1"/>
    <col min="9222" max="9222" width="6.140625" style="186" bestFit="1" customWidth="1"/>
    <col min="9223" max="9223" width="11.85546875" style="186" bestFit="1" customWidth="1"/>
    <col min="9224" max="9224" width="20.85546875" style="186" customWidth="1"/>
    <col min="9225" max="9225" width="20.42578125" style="186" customWidth="1"/>
    <col min="9226" max="9226" width="12.42578125" style="186" bestFit="1" customWidth="1"/>
    <col min="9227" max="9227" width="3.5703125" style="186" bestFit="1" customWidth="1"/>
    <col min="9228" max="9472" width="9.140625" style="186"/>
    <col min="9473" max="9473" width="5.7109375" style="186" customWidth="1"/>
    <col min="9474" max="9474" width="69.140625" style="186" customWidth="1"/>
    <col min="9475" max="9475" width="13.28515625" style="186" customWidth="1"/>
    <col min="9476" max="9476" width="6.28515625" style="186" customWidth="1"/>
    <col min="9477" max="9477" width="10.42578125" style="186" customWidth="1"/>
    <col min="9478" max="9478" width="6.140625" style="186" bestFit="1" customWidth="1"/>
    <col min="9479" max="9479" width="11.85546875" style="186" bestFit="1" customWidth="1"/>
    <col min="9480" max="9480" width="20.85546875" style="186" customWidth="1"/>
    <col min="9481" max="9481" width="20.42578125" style="186" customWidth="1"/>
    <col min="9482" max="9482" width="12.42578125" style="186" bestFit="1" customWidth="1"/>
    <col min="9483" max="9483" width="3.5703125" style="186" bestFit="1" customWidth="1"/>
    <col min="9484" max="9728" width="9.140625" style="186"/>
    <col min="9729" max="9729" width="5.7109375" style="186" customWidth="1"/>
    <col min="9730" max="9730" width="69.140625" style="186" customWidth="1"/>
    <col min="9731" max="9731" width="13.28515625" style="186" customWidth="1"/>
    <col min="9732" max="9732" width="6.28515625" style="186" customWidth="1"/>
    <col min="9733" max="9733" width="10.42578125" style="186" customWidth="1"/>
    <col min="9734" max="9734" width="6.140625" style="186" bestFit="1" customWidth="1"/>
    <col min="9735" max="9735" width="11.85546875" style="186" bestFit="1" customWidth="1"/>
    <col min="9736" max="9736" width="20.85546875" style="186" customWidth="1"/>
    <col min="9737" max="9737" width="20.42578125" style="186" customWidth="1"/>
    <col min="9738" max="9738" width="12.42578125" style="186" bestFit="1" customWidth="1"/>
    <col min="9739" max="9739" width="3.5703125" style="186" bestFit="1" customWidth="1"/>
    <col min="9740" max="9984" width="9.140625" style="186"/>
    <col min="9985" max="9985" width="5.7109375" style="186" customWidth="1"/>
    <col min="9986" max="9986" width="69.140625" style="186" customWidth="1"/>
    <col min="9987" max="9987" width="13.28515625" style="186" customWidth="1"/>
    <col min="9988" max="9988" width="6.28515625" style="186" customWidth="1"/>
    <col min="9989" max="9989" width="10.42578125" style="186" customWidth="1"/>
    <col min="9990" max="9990" width="6.140625" style="186" bestFit="1" customWidth="1"/>
    <col min="9991" max="9991" width="11.85546875" style="186" bestFit="1" customWidth="1"/>
    <col min="9992" max="9992" width="20.85546875" style="186" customWidth="1"/>
    <col min="9993" max="9993" width="20.42578125" style="186" customWidth="1"/>
    <col min="9994" max="9994" width="12.42578125" style="186" bestFit="1" customWidth="1"/>
    <col min="9995" max="9995" width="3.5703125" style="186" bestFit="1" customWidth="1"/>
    <col min="9996" max="10240" width="9.140625" style="186"/>
    <col min="10241" max="10241" width="5.7109375" style="186" customWidth="1"/>
    <col min="10242" max="10242" width="69.140625" style="186" customWidth="1"/>
    <col min="10243" max="10243" width="13.28515625" style="186" customWidth="1"/>
    <col min="10244" max="10244" width="6.28515625" style="186" customWidth="1"/>
    <col min="10245" max="10245" width="10.42578125" style="186" customWidth="1"/>
    <col min="10246" max="10246" width="6.140625" style="186" bestFit="1" customWidth="1"/>
    <col min="10247" max="10247" width="11.85546875" style="186" bestFit="1" customWidth="1"/>
    <col min="10248" max="10248" width="20.85546875" style="186" customWidth="1"/>
    <col min="10249" max="10249" width="20.42578125" style="186" customWidth="1"/>
    <col min="10250" max="10250" width="12.42578125" style="186" bestFit="1" customWidth="1"/>
    <col min="10251" max="10251" width="3.5703125" style="186" bestFit="1" customWidth="1"/>
    <col min="10252" max="10496" width="9.140625" style="186"/>
    <col min="10497" max="10497" width="5.7109375" style="186" customWidth="1"/>
    <col min="10498" max="10498" width="69.140625" style="186" customWidth="1"/>
    <col min="10499" max="10499" width="13.28515625" style="186" customWidth="1"/>
    <col min="10500" max="10500" width="6.28515625" style="186" customWidth="1"/>
    <col min="10501" max="10501" width="10.42578125" style="186" customWidth="1"/>
    <col min="10502" max="10502" width="6.140625" style="186" bestFit="1" customWidth="1"/>
    <col min="10503" max="10503" width="11.85546875" style="186" bestFit="1" customWidth="1"/>
    <col min="10504" max="10504" width="20.85546875" style="186" customWidth="1"/>
    <col min="10505" max="10505" width="20.42578125" style="186" customWidth="1"/>
    <col min="10506" max="10506" width="12.42578125" style="186" bestFit="1" customWidth="1"/>
    <col min="10507" max="10507" width="3.5703125" style="186" bestFit="1" customWidth="1"/>
    <col min="10508" max="10752" width="9.140625" style="186"/>
    <col min="10753" max="10753" width="5.7109375" style="186" customWidth="1"/>
    <col min="10754" max="10754" width="69.140625" style="186" customWidth="1"/>
    <col min="10755" max="10755" width="13.28515625" style="186" customWidth="1"/>
    <col min="10756" max="10756" width="6.28515625" style="186" customWidth="1"/>
    <col min="10757" max="10757" width="10.42578125" style="186" customWidth="1"/>
    <col min="10758" max="10758" width="6.140625" style="186" bestFit="1" customWidth="1"/>
    <col min="10759" max="10759" width="11.85546875" style="186" bestFit="1" customWidth="1"/>
    <col min="10760" max="10760" width="20.85546875" style="186" customWidth="1"/>
    <col min="10761" max="10761" width="20.42578125" style="186" customWidth="1"/>
    <col min="10762" max="10762" width="12.42578125" style="186" bestFit="1" customWidth="1"/>
    <col min="10763" max="10763" width="3.5703125" style="186" bestFit="1" customWidth="1"/>
    <col min="10764" max="11008" width="9.140625" style="186"/>
    <col min="11009" max="11009" width="5.7109375" style="186" customWidth="1"/>
    <col min="11010" max="11010" width="69.140625" style="186" customWidth="1"/>
    <col min="11011" max="11011" width="13.28515625" style="186" customWidth="1"/>
    <col min="11012" max="11012" width="6.28515625" style="186" customWidth="1"/>
    <col min="11013" max="11013" width="10.42578125" style="186" customWidth="1"/>
    <col min="11014" max="11014" width="6.140625" style="186" bestFit="1" customWidth="1"/>
    <col min="11015" max="11015" width="11.85546875" style="186" bestFit="1" customWidth="1"/>
    <col min="11016" max="11016" width="20.85546875" style="186" customWidth="1"/>
    <col min="11017" max="11017" width="20.42578125" style="186" customWidth="1"/>
    <col min="11018" max="11018" width="12.42578125" style="186" bestFit="1" customWidth="1"/>
    <col min="11019" max="11019" width="3.5703125" style="186" bestFit="1" customWidth="1"/>
    <col min="11020" max="11264" width="9.140625" style="186"/>
    <col min="11265" max="11265" width="5.7109375" style="186" customWidth="1"/>
    <col min="11266" max="11266" width="69.140625" style="186" customWidth="1"/>
    <col min="11267" max="11267" width="13.28515625" style="186" customWidth="1"/>
    <col min="11268" max="11268" width="6.28515625" style="186" customWidth="1"/>
    <col min="11269" max="11269" width="10.42578125" style="186" customWidth="1"/>
    <col min="11270" max="11270" width="6.140625" style="186" bestFit="1" customWidth="1"/>
    <col min="11271" max="11271" width="11.85546875" style="186" bestFit="1" customWidth="1"/>
    <col min="11272" max="11272" width="20.85546875" style="186" customWidth="1"/>
    <col min="11273" max="11273" width="20.42578125" style="186" customWidth="1"/>
    <col min="11274" max="11274" width="12.42578125" style="186" bestFit="1" customWidth="1"/>
    <col min="11275" max="11275" width="3.5703125" style="186" bestFit="1" customWidth="1"/>
    <col min="11276" max="11520" width="9.140625" style="186"/>
    <col min="11521" max="11521" width="5.7109375" style="186" customWidth="1"/>
    <col min="11522" max="11522" width="69.140625" style="186" customWidth="1"/>
    <col min="11523" max="11523" width="13.28515625" style="186" customWidth="1"/>
    <col min="11524" max="11524" width="6.28515625" style="186" customWidth="1"/>
    <col min="11525" max="11525" width="10.42578125" style="186" customWidth="1"/>
    <col min="11526" max="11526" width="6.140625" style="186" bestFit="1" customWidth="1"/>
    <col min="11527" max="11527" width="11.85546875" style="186" bestFit="1" customWidth="1"/>
    <col min="11528" max="11528" width="20.85546875" style="186" customWidth="1"/>
    <col min="11529" max="11529" width="20.42578125" style="186" customWidth="1"/>
    <col min="11530" max="11530" width="12.42578125" style="186" bestFit="1" customWidth="1"/>
    <col min="11531" max="11531" width="3.5703125" style="186" bestFit="1" customWidth="1"/>
    <col min="11532" max="11776" width="9.140625" style="186"/>
    <col min="11777" max="11777" width="5.7109375" style="186" customWidth="1"/>
    <col min="11778" max="11778" width="69.140625" style="186" customWidth="1"/>
    <col min="11779" max="11779" width="13.28515625" style="186" customWidth="1"/>
    <col min="11780" max="11780" width="6.28515625" style="186" customWidth="1"/>
    <col min="11781" max="11781" width="10.42578125" style="186" customWidth="1"/>
    <col min="11782" max="11782" width="6.140625" style="186" bestFit="1" customWidth="1"/>
    <col min="11783" max="11783" width="11.85546875" style="186" bestFit="1" customWidth="1"/>
    <col min="11784" max="11784" width="20.85546875" style="186" customWidth="1"/>
    <col min="11785" max="11785" width="20.42578125" style="186" customWidth="1"/>
    <col min="11786" max="11786" width="12.42578125" style="186" bestFit="1" customWidth="1"/>
    <col min="11787" max="11787" width="3.5703125" style="186" bestFit="1" customWidth="1"/>
    <col min="11788" max="12032" width="9.140625" style="186"/>
    <col min="12033" max="12033" width="5.7109375" style="186" customWidth="1"/>
    <col min="12034" max="12034" width="69.140625" style="186" customWidth="1"/>
    <col min="12035" max="12035" width="13.28515625" style="186" customWidth="1"/>
    <col min="12036" max="12036" width="6.28515625" style="186" customWidth="1"/>
    <col min="12037" max="12037" width="10.42578125" style="186" customWidth="1"/>
    <col min="12038" max="12038" width="6.140625" style="186" bestFit="1" customWidth="1"/>
    <col min="12039" max="12039" width="11.85546875" style="186" bestFit="1" customWidth="1"/>
    <col min="12040" max="12040" width="20.85546875" style="186" customWidth="1"/>
    <col min="12041" max="12041" width="20.42578125" style="186" customWidth="1"/>
    <col min="12042" max="12042" width="12.42578125" style="186" bestFit="1" customWidth="1"/>
    <col min="12043" max="12043" width="3.5703125" style="186" bestFit="1" customWidth="1"/>
    <col min="12044" max="12288" width="9.140625" style="186"/>
    <col min="12289" max="12289" width="5.7109375" style="186" customWidth="1"/>
    <col min="12290" max="12290" width="69.140625" style="186" customWidth="1"/>
    <col min="12291" max="12291" width="13.28515625" style="186" customWidth="1"/>
    <col min="12292" max="12292" width="6.28515625" style="186" customWidth="1"/>
    <col min="12293" max="12293" width="10.42578125" style="186" customWidth="1"/>
    <col min="12294" max="12294" width="6.140625" style="186" bestFit="1" customWidth="1"/>
    <col min="12295" max="12295" width="11.85546875" style="186" bestFit="1" customWidth="1"/>
    <col min="12296" max="12296" width="20.85546875" style="186" customWidth="1"/>
    <col min="12297" max="12297" width="20.42578125" style="186" customWidth="1"/>
    <col min="12298" max="12298" width="12.42578125" style="186" bestFit="1" customWidth="1"/>
    <col min="12299" max="12299" width="3.5703125" style="186" bestFit="1" customWidth="1"/>
    <col min="12300" max="12544" width="9.140625" style="186"/>
    <col min="12545" max="12545" width="5.7109375" style="186" customWidth="1"/>
    <col min="12546" max="12546" width="69.140625" style="186" customWidth="1"/>
    <col min="12547" max="12547" width="13.28515625" style="186" customWidth="1"/>
    <col min="12548" max="12548" width="6.28515625" style="186" customWidth="1"/>
    <col min="12549" max="12549" width="10.42578125" style="186" customWidth="1"/>
    <col min="12550" max="12550" width="6.140625" style="186" bestFit="1" customWidth="1"/>
    <col min="12551" max="12551" width="11.85546875" style="186" bestFit="1" customWidth="1"/>
    <col min="12552" max="12552" width="20.85546875" style="186" customWidth="1"/>
    <col min="12553" max="12553" width="20.42578125" style="186" customWidth="1"/>
    <col min="12554" max="12554" width="12.42578125" style="186" bestFit="1" customWidth="1"/>
    <col min="12555" max="12555" width="3.5703125" style="186" bestFit="1" customWidth="1"/>
    <col min="12556" max="12800" width="9.140625" style="186"/>
    <col min="12801" max="12801" width="5.7109375" style="186" customWidth="1"/>
    <col min="12802" max="12802" width="69.140625" style="186" customWidth="1"/>
    <col min="12803" max="12803" width="13.28515625" style="186" customWidth="1"/>
    <col min="12804" max="12804" width="6.28515625" style="186" customWidth="1"/>
    <col min="12805" max="12805" width="10.42578125" style="186" customWidth="1"/>
    <col min="12806" max="12806" width="6.140625" style="186" bestFit="1" customWidth="1"/>
    <col min="12807" max="12807" width="11.85546875" style="186" bestFit="1" customWidth="1"/>
    <col min="12808" max="12808" width="20.85546875" style="186" customWidth="1"/>
    <col min="12809" max="12809" width="20.42578125" style="186" customWidth="1"/>
    <col min="12810" max="12810" width="12.42578125" style="186" bestFit="1" customWidth="1"/>
    <col min="12811" max="12811" width="3.5703125" style="186" bestFit="1" customWidth="1"/>
    <col min="12812" max="13056" width="9.140625" style="186"/>
    <col min="13057" max="13057" width="5.7109375" style="186" customWidth="1"/>
    <col min="13058" max="13058" width="69.140625" style="186" customWidth="1"/>
    <col min="13059" max="13059" width="13.28515625" style="186" customWidth="1"/>
    <col min="13060" max="13060" width="6.28515625" style="186" customWidth="1"/>
    <col min="13061" max="13061" width="10.42578125" style="186" customWidth="1"/>
    <col min="13062" max="13062" width="6.140625" style="186" bestFit="1" customWidth="1"/>
    <col min="13063" max="13063" width="11.85546875" style="186" bestFit="1" customWidth="1"/>
    <col min="13064" max="13064" width="20.85546875" style="186" customWidth="1"/>
    <col min="13065" max="13065" width="20.42578125" style="186" customWidth="1"/>
    <col min="13066" max="13066" width="12.42578125" style="186" bestFit="1" customWidth="1"/>
    <col min="13067" max="13067" width="3.5703125" style="186" bestFit="1" customWidth="1"/>
    <col min="13068" max="13312" width="9.140625" style="186"/>
    <col min="13313" max="13313" width="5.7109375" style="186" customWidth="1"/>
    <col min="13314" max="13314" width="69.140625" style="186" customWidth="1"/>
    <col min="13315" max="13315" width="13.28515625" style="186" customWidth="1"/>
    <col min="13316" max="13316" width="6.28515625" style="186" customWidth="1"/>
    <col min="13317" max="13317" width="10.42578125" style="186" customWidth="1"/>
    <col min="13318" max="13318" width="6.140625" style="186" bestFit="1" customWidth="1"/>
    <col min="13319" max="13319" width="11.85546875" style="186" bestFit="1" customWidth="1"/>
    <col min="13320" max="13320" width="20.85546875" style="186" customWidth="1"/>
    <col min="13321" max="13321" width="20.42578125" style="186" customWidth="1"/>
    <col min="13322" max="13322" width="12.42578125" style="186" bestFit="1" customWidth="1"/>
    <col min="13323" max="13323" width="3.5703125" style="186" bestFit="1" customWidth="1"/>
    <col min="13324" max="13568" width="9.140625" style="186"/>
    <col min="13569" max="13569" width="5.7109375" style="186" customWidth="1"/>
    <col min="13570" max="13570" width="69.140625" style="186" customWidth="1"/>
    <col min="13571" max="13571" width="13.28515625" style="186" customWidth="1"/>
    <col min="13572" max="13572" width="6.28515625" style="186" customWidth="1"/>
    <col min="13573" max="13573" width="10.42578125" style="186" customWidth="1"/>
    <col min="13574" max="13574" width="6.140625" style="186" bestFit="1" customWidth="1"/>
    <col min="13575" max="13575" width="11.85546875" style="186" bestFit="1" customWidth="1"/>
    <col min="13576" max="13576" width="20.85546875" style="186" customWidth="1"/>
    <col min="13577" max="13577" width="20.42578125" style="186" customWidth="1"/>
    <col min="13578" max="13578" width="12.42578125" style="186" bestFit="1" customWidth="1"/>
    <col min="13579" max="13579" width="3.5703125" style="186" bestFit="1" customWidth="1"/>
    <col min="13580" max="13824" width="9.140625" style="186"/>
    <col min="13825" max="13825" width="5.7109375" style="186" customWidth="1"/>
    <col min="13826" max="13826" width="69.140625" style="186" customWidth="1"/>
    <col min="13827" max="13827" width="13.28515625" style="186" customWidth="1"/>
    <col min="13828" max="13828" width="6.28515625" style="186" customWidth="1"/>
    <col min="13829" max="13829" width="10.42578125" style="186" customWidth="1"/>
    <col min="13830" max="13830" width="6.140625" style="186" bestFit="1" customWidth="1"/>
    <col min="13831" max="13831" width="11.85546875" style="186" bestFit="1" customWidth="1"/>
    <col min="13832" max="13832" width="20.85546875" style="186" customWidth="1"/>
    <col min="13833" max="13833" width="20.42578125" style="186" customWidth="1"/>
    <col min="13834" max="13834" width="12.42578125" style="186" bestFit="1" customWidth="1"/>
    <col min="13835" max="13835" width="3.5703125" style="186" bestFit="1" customWidth="1"/>
    <col min="13836" max="14080" width="9.140625" style="186"/>
    <col min="14081" max="14081" width="5.7109375" style="186" customWidth="1"/>
    <col min="14082" max="14082" width="69.140625" style="186" customWidth="1"/>
    <col min="14083" max="14083" width="13.28515625" style="186" customWidth="1"/>
    <col min="14084" max="14084" width="6.28515625" style="186" customWidth="1"/>
    <col min="14085" max="14085" width="10.42578125" style="186" customWidth="1"/>
    <col min="14086" max="14086" width="6.140625" style="186" bestFit="1" customWidth="1"/>
    <col min="14087" max="14087" width="11.85546875" style="186" bestFit="1" customWidth="1"/>
    <col min="14088" max="14088" width="20.85546875" style="186" customWidth="1"/>
    <col min="14089" max="14089" width="20.42578125" style="186" customWidth="1"/>
    <col min="14090" max="14090" width="12.42578125" style="186" bestFit="1" customWidth="1"/>
    <col min="14091" max="14091" width="3.5703125" style="186" bestFit="1" customWidth="1"/>
    <col min="14092" max="14336" width="9.140625" style="186"/>
    <col min="14337" max="14337" width="5.7109375" style="186" customWidth="1"/>
    <col min="14338" max="14338" width="69.140625" style="186" customWidth="1"/>
    <col min="14339" max="14339" width="13.28515625" style="186" customWidth="1"/>
    <col min="14340" max="14340" width="6.28515625" style="186" customWidth="1"/>
    <col min="14341" max="14341" width="10.42578125" style="186" customWidth="1"/>
    <col min="14342" max="14342" width="6.140625" style="186" bestFit="1" customWidth="1"/>
    <col min="14343" max="14343" width="11.85546875" style="186" bestFit="1" customWidth="1"/>
    <col min="14344" max="14344" width="20.85546875" style="186" customWidth="1"/>
    <col min="14345" max="14345" width="20.42578125" style="186" customWidth="1"/>
    <col min="14346" max="14346" width="12.42578125" style="186" bestFit="1" customWidth="1"/>
    <col min="14347" max="14347" width="3.5703125" style="186" bestFit="1" customWidth="1"/>
    <col min="14348" max="14592" width="9.140625" style="186"/>
    <col min="14593" max="14593" width="5.7109375" style="186" customWidth="1"/>
    <col min="14594" max="14594" width="69.140625" style="186" customWidth="1"/>
    <col min="14595" max="14595" width="13.28515625" style="186" customWidth="1"/>
    <col min="14596" max="14596" width="6.28515625" style="186" customWidth="1"/>
    <col min="14597" max="14597" width="10.42578125" style="186" customWidth="1"/>
    <col min="14598" max="14598" width="6.140625" style="186" bestFit="1" customWidth="1"/>
    <col min="14599" max="14599" width="11.85546875" style="186" bestFit="1" customWidth="1"/>
    <col min="14600" max="14600" width="20.85546875" style="186" customWidth="1"/>
    <col min="14601" max="14601" width="20.42578125" style="186" customWidth="1"/>
    <col min="14602" max="14602" width="12.42578125" style="186" bestFit="1" customWidth="1"/>
    <col min="14603" max="14603" width="3.5703125" style="186" bestFit="1" customWidth="1"/>
    <col min="14604" max="14848" width="9.140625" style="186"/>
    <col min="14849" max="14849" width="5.7109375" style="186" customWidth="1"/>
    <col min="14850" max="14850" width="69.140625" style="186" customWidth="1"/>
    <col min="14851" max="14851" width="13.28515625" style="186" customWidth="1"/>
    <col min="14852" max="14852" width="6.28515625" style="186" customWidth="1"/>
    <col min="14853" max="14853" width="10.42578125" style="186" customWidth="1"/>
    <col min="14854" max="14854" width="6.140625" style="186" bestFit="1" customWidth="1"/>
    <col min="14855" max="14855" width="11.85546875" style="186" bestFit="1" customWidth="1"/>
    <col min="14856" max="14856" width="20.85546875" style="186" customWidth="1"/>
    <col min="14857" max="14857" width="20.42578125" style="186" customWidth="1"/>
    <col min="14858" max="14858" width="12.42578125" style="186" bestFit="1" customWidth="1"/>
    <col min="14859" max="14859" width="3.5703125" style="186" bestFit="1" customWidth="1"/>
    <col min="14860" max="15104" width="9.140625" style="186"/>
    <col min="15105" max="15105" width="5.7109375" style="186" customWidth="1"/>
    <col min="15106" max="15106" width="69.140625" style="186" customWidth="1"/>
    <col min="15107" max="15107" width="13.28515625" style="186" customWidth="1"/>
    <col min="15108" max="15108" width="6.28515625" style="186" customWidth="1"/>
    <col min="15109" max="15109" width="10.42578125" style="186" customWidth="1"/>
    <col min="15110" max="15110" width="6.140625" style="186" bestFit="1" customWidth="1"/>
    <col min="15111" max="15111" width="11.85546875" style="186" bestFit="1" customWidth="1"/>
    <col min="15112" max="15112" width="20.85546875" style="186" customWidth="1"/>
    <col min="15113" max="15113" width="20.42578125" style="186" customWidth="1"/>
    <col min="15114" max="15114" width="12.42578125" style="186" bestFit="1" customWidth="1"/>
    <col min="15115" max="15115" width="3.5703125" style="186" bestFit="1" customWidth="1"/>
    <col min="15116" max="15360" width="9.140625" style="186"/>
    <col min="15361" max="15361" width="5.7109375" style="186" customWidth="1"/>
    <col min="15362" max="15362" width="69.140625" style="186" customWidth="1"/>
    <col min="15363" max="15363" width="13.28515625" style="186" customWidth="1"/>
    <col min="15364" max="15364" width="6.28515625" style="186" customWidth="1"/>
    <col min="15365" max="15365" width="10.42578125" style="186" customWidth="1"/>
    <col min="15366" max="15366" width="6.140625" style="186" bestFit="1" customWidth="1"/>
    <col min="15367" max="15367" width="11.85546875" style="186" bestFit="1" customWidth="1"/>
    <col min="15368" max="15368" width="20.85546875" style="186" customWidth="1"/>
    <col min="15369" max="15369" width="20.42578125" style="186" customWidth="1"/>
    <col min="15370" max="15370" width="12.42578125" style="186" bestFit="1" customWidth="1"/>
    <col min="15371" max="15371" width="3.5703125" style="186" bestFit="1" customWidth="1"/>
    <col min="15372" max="15616" width="9.140625" style="186"/>
    <col min="15617" max="15617" width="5.7109375" style="186" customWidth="1"/>
    <col min="15618" max="15618" width="69.140625" style="186" customWidth="1"/>
    <col min="15619" max="15619" width="13.28515625" style="186" customWidth="1"/>
    <col min="15620" max="15620" width="6.28515625" style="186" customWidth="1"/>
    <col min="15621" max="15621" width="10.42578125" style="186" customWidth="1"/>
    <col min="15622" max="15622" width="6.140625" style="186" bestFit="1" customWidth="1"/>
    <col min="15623" max="15623" width="11.85546875" style="186" bestFit="1" customWidth="1"/>
    <col min="15624" max="15624" width="20.85546875" style="186" customWidth="1"/>
    <col min="15625" max="15625" width="20.42578125" style="186" customWidth="1"/>
    <col min="15626" max="15626" width="12.42578125" style="186" bestFit="1" customWidth="1"/>
    <col min="15627" max="15627" width="3.5703125" style="186" bestFit="1" customWidth="1"/>
    <col min="15628" max="15872" width="9.140625" style="186"/>
    <col min="15873" max="15873" width="5.7109375" style="186" customWidth="1"/>
    <col min="15874" max="15874" width="69.140625" style="186" customWidth="1"/>
    <col min="15875" max="15875" width="13.28515625" style="186" customWidth="1"/>
    <col min="15876" max="15876" width="6.28515625" style="186" customWidth="1"/>
    <col min="15877" max="15877" width="10.42578125" style="186" customWidth="1"/>
    <col min="15878" max="15878" width="6.140625" style="186" bestFit="1" customWidth="1"/>
    <col min="15879" max="15879" width="11.85546875" style="186" bestFit="1" customWidth="1"/>
    <col min="15880" max="15880" width="20.85546875" style="186" customWidth="1"/>
    <col min="15881" max="15881" width="20.42578125" style="186" customWidth="1"/>
    <col min="15882" max="15882" width="12.42578125" style="186" bestFit="1" customWidth="1"/>
    <col min="15883" max="15883" width="3.5703125" style="186" bestFit="1" customWidth="1"/>
    <col min="15884" max="16128" width="9.140625" style="186"/>
    <col min="16129" max="16129" width="5.7109375" style="186" customWidth="1"/>
    <col min="16130" max="16130" width="69.140625" style="186" customWidth="1"/>
    <col min="16131" max="16131" width="13.28515625" style="186" customWidth="1"/>
    <col min="16132" max="16132" width="6.28515625" style="186" customWidth="1"/>
    <col min="16133" max="16133" width="10.42578125" style="186" customWidth="1"/>
    <col min="16134" max="16134" width="6.140625" style="186" bestFit="1" customWidth="1"/>
    <col min="16135" max="16135" width="11.85546875" style="186" bestFit="1" customWidth="1"/>
    <col min="16136" max="16136" width="20.85546875" style="186" customWidth="1"/>
    <col min="16137" max="16137" width="20.42578125" style="186" customWidth="1"/>
    <col min="16138" max="16138" width="12.42578125" style="186" bestFit="1" customWidth="1"/>
    <col min="16139" max="16139" width="3.5703125" style="186" bestFit="1" customWidth="1"/>
    <col min="16140" max="16384" width="9.140625" style="186"/>
  </cols>
  <sheetData>
    <row r="1" spans="1:9" ht="18" customHeight="1">
      <c r="B1" s="3455" t="s">
        <v>2946</v>
      </c>
      <c r="C1" s="3455"/>
      <c r="D1" s="3455"/>
      <c r="E1" s="2863"/>
      <c r="F1" s="2863"/>
      <c r="G1" s="2863"/>
    </row>
    <row r="2" spans="1:9" ht="16.5" customHeight="1">
      <c r="A2" s="2823"/>
      <c r="B2" s="2823"/>
      <c r="C2" s="2823"/>
      <c r="D2" s="2823"/>
      <c r="E2" s="2823"/>
      <c r="F2" s="2823"/>
      <c r="G2" s="2858" t="s">
        <v>89</v>
      </c>
    </row>
    <row r="3" spans="1:9" ht="18" customHeight="1">
      <c r="B3" s="3489" t="s">
        <v>2947</v>
      </c>
      <c r="C3" s="3489"/>
      <c r="D3" s="3489"/>
      <c r="E3" s="3489"/>
      <c r="F3" s="2862"/>
      <c r="G3" s="2862"/>
    </row>
    <row r="4" spans="1:9" ht="11.25" customHeight="1">
      <c r="A4" s="716"/>
      <c r="B4" s="333"/>
      <c r="C4" s="333"/>
      <c r="D4" s="333"/>
      <c r="E4" s="333"/>
      <c r="F4" s="333"/>
      <c r="G4" s="333"/>
    </row>
    <row r="5" spans="1:9" ht="30">
      <c r="A5" s="2800" t="s">
        <v>2</v>
      </c>
      <c r="B5" s="2800" t="s">
        <v>3</v>
      </c>
      <c r="C5" s="2819" t="s">
        <v>2716</v>
      </c>
      <c r="D5" s="190" t="s">
        <v>5</v>
      </c>
      <c r="E5" s="190" t="s">
        <v>9</v>
      </c>
      <c r="F5" s="190" t="s">
        <v>8</v>
      </c>
      <c r="G5" s="190" t="s">
        <v>10</v>
      </c>
    </row>
    <row r="6" spans="1:9" ht="15">
      <c r="A6" s="2809">
        <v>1</v>
      </c>
      <c r="B6" s="2809">
        <v>2</v>
      </c>
      <c r="C6" s="2809">
        <v>3</v>
      </c>
      <c r="D6" s="2810">
        <v>4</v>
      </c>
      <c r="E6" s="2810">
        <v>5</v>
      </c>
      <c r="F6" s="2810">
        <v>6</v>
      </c>
      <c r="G6" s="2810">
        <v>7</v>
      </c>
      <c r="H6" s="2824"/>
    </row>
    <row r="7" spans="1:9" ht="15">
      <c r="A7" s="2832">
        <v>1</v>
      </c>
      <c r="B7" s="1188" t="s">
        <v>2425</v>
      </c>
      <c r="C7" s="2833"/>
      <c r="D7" s="2833"/>
      <c r="E7" s="2834"/>
      <c r="F7" s="2834"/>
      <c r="G7" s="2835"/>
      <c r="H7" s="2824"/>
    </row>
    <row r="8" spans="1:9" ht="17.25" customHeight="1">
      <c r="A8" s="1183" t="s">
        <v>1493</v>
      </c>
      <c r="B8" s="1200" t="s">
        <v>2903</v>
      </c>
      <c r="C8" s="2836">
        <v>7132210018</v>
      </c>
      <c r="D8" s="2801" t="s">
        <v>12</v>
      </c>
      <c r="E8" s="1269">
        <f>VLOOKUP(C8,'[25]SOR RATE'!A:D,4,0)</f>
        <v>62449.99</v>
      </c>
      <c r="F8" s="2837">
        <v>3</v>
      </c>
      <c r="G8" s="2838">
        <f>E8*F8</f>
        <v>187349.97</v>
      </c>
      <c r="H8" s="2811"/>
    </row>
    <row r="9" spans="1:9" ht="17.25" customHeight="1">
      <c r="A9" s="1183" t="s">
        <v>1494</v>
      </c>
      <c r="B9" s="1182" t="s">
        <v>2904</v>
      </c>
      <c r="C9" s="2839">
        <v>7132210017</v>
      </c>
      <c r="D9" s="1183" t="s">
        <v>12</v>
      </c>
      <c r="E9" s="1269">
        <f>VLOOKUP(C9,'[25]SOR RATE'!A:D,4,0)</f>
        <v>75035.14</v>
      </c>
      <c r="F9" s="1183">
        <v>0</v>
      </c>
      <c r="G9" s="2840">
        <f t="shared" ref="G9:G12" si="0">E9*F9</f>
        <v>0</v>
      </c>
      <c r="H9" s="2811"/>
    </row>
    <row r="10" spans="1:9" ht="17.25" customHeight="1">
      <c r="A10" s="1183">
        <v>2</v>
      </c>
      <c r="B10" s="2841" t="s">
        <v>2905</v>
      </c>
      <c r="C10" s="1258">
        <v>7130800012</v>
      </c>
      <c r="D10" s="2859" t="s">
        <v>12</v>
      </c>
      <c r="E10" s="734">
        <f>VLOOKUP(C10,'[25]SOR RATE'!A:D,4,0)</f>
        <v>2298.46</v>
      </c>
      <c r="F10" s="1286">
        <v>6</v>
      </c>
      <c r="G10" s="2840">
        <f t="shared" si="0"/>
        <v>13790.76</v>
      </c>
    </row>
    <row r="11" spans="1:9" ht="17.25" customHeight="1">
      <c r="A11" s="3225">
        <v>3</v>
      </c>
      <c r="B11" s="1182" t="s">
        <v>2802</v>
      </c>
      <c r="C11" s="2842">
        <v>7130860032</v>
      </c>
      <c r="D11" s="1183" t="s">
        <v>12</v>
      </c>
      <c r="E11" s="734">
        <f>VLOOKUP(C11,'[25]SOR RATE'!A:D,4,0)</f>
        <v>566.19000000000005</v>
      </c>
      <c r="F11" s="1286">
        <v>20</v>
      </c>
      <c r="G11" s="2840">
        <f>E11*F11</f>
        <v>11323.800000000001</v>
      </c>
    </row>
    <row r="12" spans="1:9" ht="17.25" customHeight="1">
      <c r="A12" s="3226"/>
      <c r="B12" s="1182" t="s">
        <v>2948</v>
      </c>
      <c r="C12" s="2842">
        <v>7130860077</v>
      </c>
      <c r="D12" s="1183" t="s">
        <v>26</v>
      </c>
      <c r="E12" s="734">
        <f>VLOOKUP(C12,'[25]SOR RATE'!A:D,4,0)/1000</f>
        <v>93.76643</v>
      </c>
      <c r="F12" s="1286">
        <v>110</v>
      </c>
      <c r="G12" s="2840">
        <f t="shared" si="0"/>
        <v>10314.3073</v>
      </c>
    </row>
    <row r="13" spans="1:9" ht="17.25" customHeight="1">
      <c r="A13" s="3226"/>
      <c r="B13" s="1182" t="s">
        <v>2949</v>
      </c>
      <c r="C13" s="2844">
        <v>7130810026</v>
      </c>
      <c r="D13" s="2768" t="s">
        <v>15</v>
      </c>
      <c r="E13" s="734">
        <f>VLOOKUP(C13,'[25]SOR RATE'!A201:D201,4,0)</f>
        <v>198.14</v>
      </c>
      <c r="F13" s="1286">
        <v>20</v>
      </c>
      <c r="G13" s="2840">
        <f>E13*F13</f>
        <v>3962.7999999999997</v>
      </c>
      <c r="I13" s="792"/>
    </row>
    <row r="14" spans="1:9" ht="17.25" customHeight="1">
      <c r="A14" s="3220"/>
      <c r="B14" s="1182" t="s">
        <v>1736</v>
      </c>
      <c r="C14" s="2842">
        <v>7130820117</v>
      </c>
      <c r="D14" s="2843" t="s">
        <v>68</v>
      </c>
      <c r="E14" s="734">
        <f>VLOOKUP(C14,'[25]SOR RATE'!A:D,4,0)</f>
        <v>12.42</v>
      </c>
      <c r="F14" s="1286">
        <v>20</v>
      </c>
      <c r="G14" s="2840">
        <f>E14*F14</f>
        <v>248.4</v>
      </c>
      <c r="H14" s="739" t="s">
        <v>119</v>
      </c>
      <c r="I14" s="792"/>
    </row>
    <row r="15" spans="1:9" ht="33" customHeight="1">
      <c r="A15" s="2845">
        <v>4</v>
      </c>
      <c r="B15" s="1506" t="s">
        <v>2950</v>
      </c>
      <c r="C15" s="2846">
        <v>7130850201</v>
      </c>
      <c r="D15" s="2802" t="s">
        <v>40</v>
      </c>
      <c r="E15" s="734">
        <f>VLOOKUP(C15,'[25]SOR RATE'!A279:D279,4,0)</f>
        <v>5987.84</v>
      </c>
      <c r="F15" s="1286">
        <v>3</v>
      </c>
      <c r="G15" s="2840">
        <f t="shared" ref="G15:G20" si="1">E15*F15</f>
        <v>17963.52</v>
      </c>
      <c r="I15" s="792"/>
    </row>
    <row r="16" spans="1:9" ht="17.25" customHeight="1">
      <c r="A16" s="2845">
        <v>5</v>
      </c>
      <c r="B16" s="1506" t="s">
        <v>2951</v>
      </c>
      <c r="C16" s="2846">
        <v>7130850201</v>
      </c>
      <c r="D16" s="2802" t="s">
        <v>40</v>
      </c>
      <c r="E16" s="734">
        <f>VLOOKUP(C16,'[25]SOR RATE'!A279:D279,4,0)</f>
        <v>5987.84</v>
      </c>
      <c r="F16" s="1286">
        <v>3</v>
      </c>
      <c r="G16" s="2840">
        <f>E16*F16</f>
        <v>17963.52</v>
      </c>
      <c r="I16" s="792"/>
    </row>
    <row r="17" spans="1:13" ht="17.25" customHeight="1">
      <c r="A17" s="2845">
        <v>6</v>
      </c>
      <c r="B17" s="1506" t="s">
        <v>2952</v>
      </c>
      <c r="C17" s="1287">
        <v>7130810509</v>
      </c>
      <c r="D17" s="1181" t="s">
        <v>40</v>
      </c>
      <c r="E17" s="735">
        <f>VLOOKUP(C17,'[25]SOR RATE'!A:D,4,0)</f>
        <v>2187.33</v>
      </c>
      <c r="F17" s="1286">
        <v>3</v>
      </c>
      <c r="G17" s="2840">
        <f>E17*F17</f>
        <v>6561.99</v>
      </c>
      <c r="H17" s="4"/>
    </row>
    <row r="18" spans="1:13" ht="17.25" customHeight="1">
      <c r="A18" s="2845">
        <v>7</v>
      </c>
      <c r="B18" s="1506" t="s">
        <v>2953</v>
      </c>
      <c r="C18" s="1186">
        <v>7130810681</v>
      </c>
      <c r="D18" s="1181" t="s">
        <v>40</v>
      </c>
      <c r="E18" s="734">
        <f>VLOOKUP(C18,'[25]SOR RATE'!A:D,4,0)</f>
        <v>4249.5600000000004</v>
      </c>
      <c r="F18" s="1286">
        <v>10</v>
      </c>
      <c r="G18" s="2840">
        <f>E18*F18</f>
        <v>42495.600000000006</v>
      </c>
    </row>
    <row r="19" spans="1:13" ht="17.25" customHeight="1">
      <c r="A19" s="2845">
        <v>8</v>
      </c>
      <c r="B19" s="1506" t="s">
        <v>2914</v>
      </c>
      <c r="C19" s="2839">
        <v>7130820241</v>
      </c>
      <c r="D19" s="1181" t="s">
        <v>40</v>
      </c>
      <c r="E19" s="734">
        <f>VLOOKUP(C19,'[25]SOR RATE'!A:D,4,0)</f>
        <v>153.49</v>
      </c>
      <c r="F19" s="1286">
        <v>36</v>
      </c>
      <c r="G19" s="2840">
        <f t="shared" si="1"/>
        <v>5525.64</v>
      </c>
    </row>
    <row r="20" spans="1:13" ht="17.25" customHeight="1">
      <c r="A20" s="2845">
        <v>9</v>
      </c>
      <c r="B20" s="1506" t="s">
        <v>67</v>
      </c>
      <c r="C20" s="2839">
        <v>7130820010</v>
      </c>
      <c r="D20" s="1181" t="s">
        <v>12</v>
      </c>
      <c r="E20" s="734">
        <f>VLOOKUP(C20,'[25]SOR RATE'!A232:D232,4,0)</f>
        <v>118.97</v>
      </c>
      <c r="F20" s="1286">
        <v>36</v>
      </c>
      <c r="G20" s="2840">
        <f t="shared" si="1"/>
        <v>4282.92</v>
      </c>
      <c r="I20" s="4"/>
    </row>
    <row r="21" spans="1:13" ht="17.25" customHeight="1">
      <c r="A21" s="2845">
        <v>10</v>
      </c>
      <c r="B21" s="1506" t="s">
        <v>2915</v>
      </c>
      <c r="C21" s="2839">
        <v>7130840029</v>
      </c>
      <c r="D21" s="1181" t="s">
        <v>12</v>
      </c>
      <c r="E21" s="734">
        <f>VLOOKUP(C21,'[25]SOR RATE'!A:D,4,0)</f>
        <v>368.52</v>
      </c>
      <c r="F21" s="1286">
        <v>9</v>
      </c>
      <c r="G21" s="2840">
        <f>E21*F21</f>
        <v>3316.68</v>
      </c>
      <c r="I21" s="239"/>
    </row>
    <row r="22" spans="1:13" ht="17.25" customHeight="1">
      <c r="A22" s="2845">
        <v>11</v>
      </c>
      <c r="B22" s="1506" t="s">
        <v>2940</v>
      </c>
      <c r="C22" s="2839">
        <v>7131930412</v>
      </c>
      <c r="D22" s="1181" t="s">
        <v>12</v>
      </c>
      <c r="E22" s="734">
        <f>VLOOKUP(C22,'[25]SOR RATE'!A:D,4,0)</f>
        <v>1123.1500000000001</v>
      </c>
      <c r="F22" s="1286">
        <v>9</v>
      </c>
      <c r="G22" s="2840">
        <f>E22*F22</f>
        <v>10108.35</v>
      </c>
    </row>
    <row r="23" spans="1:13" ht="31.5" customHeight="1">
      <c r="A23" s="2845">
        <v>12</v>
      </c>
      <c r="B23" s="1506" t="s">
        <v>2954</v>
      </c>
      <c r="C23" s="2847"/>
      <c r="D23" s="735" t="s">
        <v>12</v>
      </c>
      <c r="E23" s="735">
        <v>16000</v>
      </c>
      <c r="F23" s="1286">
        <v>3</v>
      </c>
      <c r="G23" s="2840">
        <f t="shared" ref="G23:G33" si="2">E23*F23</f>
        <v>48000</v>
      </c>
    </row>
    <row r="24" spans="1:13" ht="30" customHeight="1">
      <c r="A24" s="2845">
        <v>13</v>
      </c>
      <c r="B24" s="1506" t="s">
        <v>2955</v>
      </c>
      <c r="C24" s="2847"/>
      <c r="D24" s="735" t="s">
        <v>12</v>
      </c>
      <c r="E24" s="735">
        <v>13000</v>
      </c>
      <c r="F24" s="1286">
        <v>0</v>
      </c>
      <c r="G24" s="2840">
        <f t="shared" si="2"/>
        <v>0</v>
      </c>
    </row>
    <row r="25" spans="1:13" ht="17.25" customHeight="1">
      <c r="A25" s="2845">
        <v>14</v>
      </c>
      <c r="B25" s="1506" t="s">
        <v>2919</v>
      </c>
      <c r="C25" s="2842">
        <v>7130310021</v>
      </c>
      <c r="D25" s="1181" t="s">
        <v>21</v>
      </c>
      <c r="E25" s="734">
        <f>VLOOKUP(C25,'[25]SOR RATE'!A:D,4,0)/1000</f>
        <v>42.882390000000001</v>
      </c>
      <c r="F25" s="1286">
        <v>100</v>
      </c>
      <c r="G25" s="2840">
        <f t="shared" si="2"/>
        <v>4288.2390000000005</v>
      </c>
      <c r="I25" s="2812"/>
      <c r="J25" s="2812"/>
      <c r="K25" s="2812"/>
      <c r="L25" s="2812"/>
      <c r="M25" s="2812"/>
    </row>
    <row r="26" spans="1:13" ht="17.25" customHeight="1">
      <c r="A26" s="2845">
        <v>15</v>
      </c>
      <c r="B26" s="1506" t="s">
        <v>2920</v>
      </c>
      <c r="C26" s="2839">
        <v>7130310044</v>
      </c>
      <c r="D26" s="1181" t="s">
        <v>21</v>
      </c>
      <c r="E26" s="734">
        <f>VLOOKUP(C26,'[25]SOR RATE'!A:D,4,0)/1000</f>
        <v>74.331229999999991</v>
      </c>
      <c r="F26" s="1286">
        <v>300</v>
      </c>
      <c r="G26" s="2840">
        <f>E26*F26</f>
        <v>22299.368999999999</v>
      </c>
      <c r="I26" s="239"/>
      <c r="J26" s="239"/>
      <c r="K26" s="239"/>
      <c r="L26" s="239"/>
      <c r="M26" s="239"/>
    </row>
    <row r="27" spans="1:13" ht="17.25" customHeight="1">
      <c r="A27" s="2845">
        <v>16</v>
      </c>
      <c r="B27" s="1506" t="s">
        <v>2921</v>
      </c>
      <c r="C27" s="2839">
        <v>7132476007</v>
      </c>
      <c r="D27" s="1181" t="s">
        <v>1193</v>
      </c>
      <c r="E27" s="734">
        <f>VLOOKUP(C27,'[25]SOR RATE'!A:D,4,0)</f>
        <v>17.59</v>
      </c>
      <c r="F27" s="1286">
        <v>30</v>
      </c>
      <c r="G27" s="2840">
        <f>E27*F27</f>
        <v>527.70000000000005</v>
      </c>
      <c r="H27" s="739" t="s">
        <v>119</v>
      </c>
      <c r="I27" s="239"/>
      <c r="J27" s="239"/>
      <c r="K27" s="239"/>
      <c r="L27" s="239"/>
      <c r="M27" s="239"/>
    </row>
    <row r="28" spans="1:13" ht="17.25" customHeight="1">
      <c r="A28" s="2845">
        <v>17</v>
      </c>
      <c r="B28" s="1506" t="s">
        <v>2956</v>
      </c>
      <c r="C28" s="2839">
        <v>7130641396</v>
      </c>
      <c r="D28" s="1181" t="s">
        <v>21</v>
      </c>
      <c r="E28" s="734">
        <f>VLOOKUP(C28,'[25]SOR RATE'!A:D,4,0)</f>
        <v>253.11</v>
      </c>
      <c r="F28" s="1286">
        <v>27</v>
      </c>
      <c r="G28" s="2840">
        <f>E28*F28</f>
        <v>6833.97</v>
      </c>
    </row>
    <row r="29" spans="1:13" ht="17.25" customHeight="1">
      <c r="A29" s="2845">
        <v>18</v>
      </c>
      <c r="B29" s="1506" t="s">
        <v>177</v>
      </c>
      <c r="C29" s="2839">
        <v>7130870043</v>
      </c>
      <c r="D29" s="1181" t="s">
        <v>26</v>
      </c>
      <c r="E29" s="734">
        <f>VLOOKUP(C29,'[25]SOR RATE'!A:D,4,0)/1000</f>
        <v>80.521839999999997</v>
      </c>
      <c r="F29" s="1286">
        <v>130</v>
      </c>
      <c r="G29" s="2840">
        <f t="shared" si="2"/>
        <v>10467.8392</v>
      </c>
    </row>
    <row r="30" spans="1:13" ht="17.25" customHeight="1">
      <c r="A30" s="2845">
        <v>19</v>
      </c>
      <c r="B30" s="1506" t="s">
        <v>2272</v>
      </c>
      <c r="C30" s="1258">
        <v>7130810495</v>
      </c>
      <c r="D30" s="1181" t="s">
        <v>12</v>
      </c>
      <c r="E30" s="734">
        <f>VLOOKUP(C30,'[25]SOR RATE'!A:D,4,0)</f>
        <v>1380.08</v>
      </c>
      <c r="F30" s="1286">
        <v>45</v>
      </c>
      <c r="G30" s="2840">
        <f t="shared" si="2"/>
        <v>62103.6</v>
      </c>
    </row>
    <row r="31" spans="1:13" ht="17.25" customHeight="1">
      <c r="A31" s="1183">
        <v>20</v>
      </c>
      <c r="B31" s="1182" t="s">
        <v>2273</v>
      </c>
      <c r="C31" s="1258">
        <v>7130810679</v>
      </c>
      <c r="D31" s="1181" t="s">
        <v>12</v>
      </c>
      <c r="E31" s="734">
        <f>VLOOKUP(C31,'[25]SOR RATE'!A:D,4,0)</f>
        <v>387.16</v>
      </c>
      <c r="F31" s="1286">
        <v>45</v>
      </c>
      <c r="G31" s="2840">
        <f t="shared" si="2"/>
        <v>17422.2</v>
      </c>
    </row>
    <row r="32" spans="1:13" ht="17.25" customHeight="1">
      <c r="A32" s="2845">
        <v>21</v>
      </c>
      <c r="B32" s="1506" t="s">
        <v>19</v>
      </c>
      <c r="C32" s="1258">
        <v>7130820008</v>
      </c>
      <c r="D32" s="1181" t="s">
        <v>12</v>
      </c>
      <c r="E32" s="734">
        <f>VLOOKUP(C32,'[25]SOR RATE'!A:D,4,0)</f>
        <v>157.08000000000001</v>
      </c>
      <c r="F32" s="1286">
        <v>145</v>
      </c>
      <c r="G32" s="2840">
        <f t="shared" si="2"/>
        <v>22776.600000000002</v>
      </c>
      <c r="I32" s="239"/>
      <c r="J32" s="239"/>
    </row>
    <row r="33" spans="1:10" ht="17.25" customHeight="1">
      <c r="A33" s="1183">
        <v>22</v>
      </c>
      <c r="B33" s="1182" t="s">
        <v>1740</v>
      </c>
      <c r="C33" s="1186">
        <v>7130870013</v>
      </c>
      <c r="D33" s="1183" t="s">
        <v>12</v>
      </c>
      <c r="E33" s="734">
        <f>VLOOKUP(C33,'[25]SOR RATE'!A:D,4,0)</f>
        <v>152.88999999999999</v>
      </c>
      <c r="F33" s="1286">
        <v>45</v>
      </c>
      <c r="G33" s="2840">
        <f t="shared" si="2"/>
        <v>6880.0499999999993</v>
      </c>
    </row>
    <row r="34" spans="1:10" ht="17.25" customHeight="1">
      <c r="A34" s="3225">
        <v>23</v>
      </c>
      <c r="B34" s="2841" t="s">
        <v>1443</v>
      </c>
      <c r="C34" s="2842"/>
      <c r="D34" s="1183" t="s">
        <v>26</v>
      </c>
      <c r="E34" s="735"/>
      <c r="F34" s="1286">
        <v>190</v>
      </c>
      <c r="G34" s="2840"/>
    </row>
    <row r="35" spans="1:10" ht="17.25" customHeight="1">
      <c r="A35" s="3226"/>
      <c r="B35" s="1695" t="s">
        <v>79</v>
      </c>
      <c r="C35" s="2842">
        <v>7130620609</v>
      </c>
      <c r="D35" s="1183" t="s">
        <v>26</v>
      </c>
      <c r="E35" s="735">
        <f>VLOOKUP(C35,'[25]SOR RATE'!A:D,4,0)</f>
        <v>87.23</v>
      </c>
      <c r="F35" s="1286">
        <v>30</v>
      </c>
      <c r="G35" s="2840">
        <f t="shared" ref="G35:G40" si="3">E35*F35</f>
        <v>2616.9</v>
      </c>
    </row>
    <row r="36" spans="1:10" ht="17.25" customHeight="1">
      <c r="A36" s="3226"/>
      <c r="B36" s="1695" t="s">
        <v>111</v>
      </c>
      <c r="C36" s="2842">
        <v>7130620614</v>
      </c>
      <c r="D36" s="1183" t="s">
        <v>26</v>
      </c>
      <c r="E36" s="735">
        <f>VLOOKUP(C36,'[25]SOR RATE'!A:D,4,0)</f>
        <v>85.77</v>
      </c>
      <c r="F36" s="1286">
        <v>60</v>
      </c>
      <c r="G36" s="2840">
        <f t="shared" si="3"/>
        <v>5146.2</v>
      </c>
    </row>
    <row r="37" spans="1:10" ht="17.25" customHeight="1">
      <c r="A37" s="3226"/>
      <c r="B37" s="1695" t="s">
        <v>36</v>
      </c>
      <c r="C37" s="1258">
        <v>7130620619</v>
      </c>
      <c r="D37" s="1183" t="s">
        <v>26</v>
      </c>
      <c r="E37" s="735">
        <f>VLOOKUP(C37,'[25]SOR RATE'!A:D,4,0)</f>
        <v>85.77</v>
      </c>
      <c r="F37" s="1286">
        <v>10</v>
      </c>
      <c r="G37" s="2840">
        <f t="shared" si="3"/>
        <v>857.69999999999993</v>
      </c>
    </row>
    <row r="38" spans="1:10" ht="17.25" customHeight="1">
      <c r="A38" s="3226"/>
      <c r="B38" s="1695" t="s">
        <v>112</v>
      </c>
      <c r="C38" s="1258">
        <v>7130620625</v>
      </c>
      <c r="D38" s="1183" t="s">
        <v>26</v>
      </c>
      <c r="E38" s="735">
        <f>VLOOKUP(C38,'[25]SOR RATE'!A:D,4,0)</f>
        <v>84.32</v>
      </c>
      <c r="F38" s="1286">
        <v>30</v>
      </c>
      <c r="G38" s="2840">
        <f t="shared" si="3"/>
        <v>2529.6</v>
      </c>
    </row>
    <row r="39" spans="1:10" ht="17.25" customHeight="1">
      <c r="A39" s="3226"/>
      <c r="B39" s="1695" t="s">
        <v>37</v>
      </c>
      <c r="C39" s="1258">
        <v>7130620627</v>
      </c>
      <c r="D39" s="1183" t="s">
        <v>26</v>
      </c>
      <c r="E39" s="735">
        <f>VLOOKUP(C39,'[25]SOR RATE'!A:D,4,0)</f>
        <v>84.32</v>
      </c>
      <c r="F39" s="1286">
        <v>30</v>
      </c>
      <c r="G39" s="2840">
        <f t="shared" si="3"/>
        <v>2529.6</v>
      </c>
    </row>
    <row r="40" spans="1:10" ht="17.25" customHeight="1">
      <c r="A40" s="3220"/>
      <c r="B40" s="2860" t="s">
        <v>2925</v>
      </c>
      <c r="C40" s="1258">
        <v>7130620631</v>
      </c>
      <c r="D40" s="1183" t="s">
        <v>26</v>
      </c>
      <c r="E40" s="735">
        <f>VLOOKUP(C40,'[25]SOR RATE'!A:D,4,0)</f>
        <v>84.32</v>
      </c>
      <c r="F40" s="1286">
        <v>30</v>
      </c>
      <c r="G40" s="2840">
        <f t="shared" si="3"/>
        <v>2529.6</v>
      </c>
    </row>
    <row r="41" spans="1:10" ht="32.25" customHeight="1">
      <c r="A41" s="3488">
        <v>24</v>
      </c>
      <c r="B41" s="1506" t="s">
        <v>45</v>
      </c>
      <c r="C41" s="2842"/>
      <c r="D41" s="1183"/>
      <c r="E41" s="735"/>
      <c r="F41" s="1286">
        <f>6+20</f>
        <v>26</v>
      </c>
      <c r="G41" s="2840"/>
    </row>
    <row r="42" spans="1:10" ht="18" customHeight="1">
      <c r="A42" s="3488"/>
      <c r="B42" s="1470" t="s">
        <v>2926</v>
      </c>
      <c r="C42" s="1186">
        <v>7130640008</v>
      </c>
      <c r="D42" s="2769" t="s">
        <v>33</v>
      </c>
      <c r="E42" s="2762">
        <f>VLOOKUP(C42,'[25]SOR RATE'!A:D,4,0)</f>
        <v>158</v>
      </c>
      <c r="F42" s="2763">
        <f>6+(20*2)</f>
        <v>46</v>
      </c>
      <c r="G42" s="2840">
        <f>E42*F42</f>
        <v>7268</v>
      </c>
      <c r="H42" s="3460" t="s">
        <v>47</v>
      </c>
      <c r="I42" s="3484"/>
    </row>
    <row r="43" spans="1:10" ht="17.25" customHeight="1">
      <c r="A43" s="1183">
        <v>25</v>
      </c>
      <c r="B43" s="2841" t="s">
        <v>2944</v>
      </c>
      <c r="C43" s="1181">
        <v>7130860017</v>
      </c>
      <c r="D43" s="1183" t="s">
        <v>12</v>
      </c>
      <c r="E43" s="2762">
        <f>VLOOKUP(C43,'[25]SOR RATE'!A:D,4,0)</f>
        <v>132.26</v>
      </c>
      <c r="F43" s="1286">
        <v>10</v>
      </c>
      <c r="G43" s="2840">
        <f>E43*F43</f>
        <v>1322.6</v>
      </c>
      <c r="I43" s="248"/>
      <c r="J43" s="1329"/>
    </row>
    <row r="44" spans="1:10" ht="17.25" customHeight="1">
      <c r="A44" s="1183">
        <v>26</v>
      </c>
      <c r="B44" s="1182" t="s">
        <v>2928</v>
      </c>
      <c r="C44" s="1258">
        <v>7130830055</v>
      </c>
      <c r="D44" s="1181" t="s">
        <v>21</v>
      </c>
      <c r="E44" s="735">
        <f>VLOOKUP(C44,'[25]SOR RATE'!A:D,4,0)/1000</f>
        <v>28.020759999999999</v>
      </c>
      <c r="F44" s="1286">
        <v>500</v>
      </c>
      <c r="G44" s="2840">
        <f>E44*F44</f>
        <v>14010.38</v>
      </c>
    </row>
    <row r="45" spans="1:10" ht="17.25" customHeight="1">
      <c r="A45" s="2799">
        <v>27</v>
      </c>
      <c r="B45" s="1191" t="s">
        <v>48</v>
      </c>
      <c r="C45" s="1186"/>
      <c r="D45" s="2850"/>
      <c r="E45" s="1183"/>
      <c r="F45" s="2805"/>
      <c r="G45" s="2805">
        <f>SUM(G8:G44)</f>
        <v>575618.40449999983</v>
      </c>
      <c r="H45" s="793"/>
      <c r="I45" s="794"/>
    </row>
    <row r="46" spans="1:10" ht="17.25" customHeight="1">
      <c r="A46" s="2799">
        <v>28</v>
      </c>
      <c r="B46" s="1191" t="s">
        <v>49</v>
      </c>
      <c r="C46" s="1186"/>
      <c r="D46" s="2851"/>
      <c r="E46" s="1183"/>
      <c r="F46" s="2805"/>
      <c r="G46" s="2805">
        <f>G45/1.18</f>
        <v>487812.20720338973</v>
      </c>
      <c r="H46" s="704"/>
      <c r="I46" s="794"/>
    </row>
    <row r="47" spans="1:10" ht="18" customHeight="1">
      <c r="A47" s="1187" t="s">
        <v>2957</v>
      </c>
      <c r="B47" s="1185" t="s">
        <v>50</v>
      </c>
      <c r="C47" s="2855"/>
      <c r="D47" s="2856"/>
      <c r="E47" s="1186">
        <v>7.4999999999999997E-2</v>
      </c>
      <c r="F47" s="1186"/>
      <c r="G47" s="735">
        <f>G45*E47</f>
        <v>43171.380337499984</v>
      </c>
      <c r="H47" s="732"/>
      <c r="I47" s="794"/>
    </row>
    <row r="48" spans="1:10" ht="16.5" customHeight="1">
      <c r="A48" s="1187" t="s">
        <v>2958</v>
      </c>
      <c r="B48" s="1182" t="s">
        <v>1742</v>
      </c>
      <c r="C48" s="2861"/>
      <c r="D48" s="2843" t="s">
        <v>12</v>
      </c>
      <c r="E48" s="1202">
        <f>229.365334460327*1.043</f>
        <v>239.22804384212105</v>
      </c>
      <c r="F48" s="1186">
        <v>6</v>
      </c>
      <c r="G48" s="735">
        <f>E48*F48</f>
        <v>1435.3682630527264</v>
      </c>
      <c r="H48" s="797"/>
      <c r="I48" s="2813"/>
    </row>
    <row r="49" spans="1:10" ht="15.75" customHeight="1">
      <c r="A49" s="1183">
        <v>31</v>
      </c>
      <c r="B49" s="2797" t="s">
        <v>2959</v>
      </c>
      <c r="C49" s="2844"/>
      <c r="D49" s="735"/>
      <c r="E49" s="1183"/>
      <c r="F49" s="1183"/>
      <c r="G49" s="735">
        <v>118740.41</v>
      </c>
      <c r="H49" s="795"/>
      <c r="I49" s="490"/>
      <c r="J49" s="751"/>
    </row>
    <row r="50" spans="1:10" ht="17.25" customHeight="1">
      <c r="A50" s="1183">
        <v>32</v>
      </c>
      <c r="B50" s="564" t="s">
        <v>1716</v>
      </c>
      <c r="C50" s="2844"/>
      <c r="D50" s="735"/>
      <c r="E50" s="1183">
        <v>0.02</v>
      </c>
      <c r="F50" s="1183"/>
      <c r="G50" s="735">
        <f>((G8+G9)/1.18)*E50</f>
        <v>3175.4232203389834</v>
      </c>
      <c r="H50" s="739" t="s">
        <v>119</v>
      </c>
      <c r="I50" s="490"/>
      <c r="J50" s="751"/>
    </row>
    <row r="51" spans="1:10" ht="32.25" customHeight="1">
      <c r="A51" s="1183">
        <v>33</v>
      </c>
      <c r="B51" s="1182" t="s">
        <v>2627</v>
      </c>
      <c r="C51" s="2844"/>
      <c r="D51" s="735"/>
      <c r="E51" s="1183">
        <v>0.04</v>
      </c>
      <c r="F51" s="1183"/>
      <c r="G51" s="734">
        <f>((G45-G8-G9)/1.18)*E51</f>
        <v>13161.641847457622</v>
      </c>
      <c r="H51" s="2533" t="s">
        <v>1827</v>
      </c>
      <c r="I51" s="177"/>
    </row>
    <row r="52" spans="1:10" ht="33" customHeight="1">
      <c r="A52" s="1183">
        <v>34</v>
      </c>
      <c r="B52" s="1185" t="s">
        <v>2930</v>
      </c>
      <c r="C52" s="2844"/>
      <c r="D52" s="735"/>
      <c r="E52" s="1183"/>
      <c r="F52" s="1183"/>
      <c r="G52" s="1210">
        <f>(G45+G47+G48+G49+G50+G51)*0.125</f>
        <v>94412.828521043659</v>
      </c>
      <c r="H52" s="796"/>
      <c r="I52" s="177"/>
    </row>
    <row r="53" spans="1:10" ht="17.25" customHeight="1">
      <c r="A53" s="190">
        <v>35</v>
      </c>
      <c r="B53" s="1214" t="s">
        <v>2931</v>
      </c>
      <c r="C53" s="2844"/>
      <c r="D53" s="735"/>
      <c r="E53" s="1183"/>
      <c r="F53" s="1183"/>
      <c r="G53" s="2805">
        <f>SUM(G46:G52)</f>
        <v>761909.25939278281</v>
      </c>
      <c r="H53" s="797"/>
      <c r="I53" s="4"/>
    </row>
    <row r="54" spans="1:10" ht="17.25" customHeight="1">
      <c r="A54" s="1183">
        <v>36</v>
      </c>
      <c r="B54" s="1185" t="s">
        <v>2435</v>
      </c>
      <c r="C54" s="2844"/>
      <c r="D54" s="735"/>
      <c r="E54" s="1183">
        <v>0.09</v>
      </c>
      <c r="F54" s="1183"/>
      <c r="G54" s="735">
        <f>G53*E54</f>
        <v>68571.833345350446</v>
      </c>
      <c r="H54" s="797"/>
      <c r="I54" s="4"/>
    </row>
    <row r="55" spans="1:10" ht="17.25" customHeight="1">
      <c r="A55" s="1183">
        <v>37</v>
      </c>
      <c r="B55" s="1185" t="s">
        <v>2436</v>
      </c>
      <c r="C55" s="2844"/>
      <c r="D55" s="735"/>
      <c r="E55" s="1183">
        <v>0.09</v>
      </c>
      <c r="F55" s="1183"/>
      <c r="G55" s="735">
        <f>G53*E55</f>
        <v>68571.833345350446</v>
      </c>
      <c r="H55" s="398"/>
      <c r="I55" s="4"/>
    </row>
    <row r="56" spans="1:10" ht="17.25" customHeight="1">
      <c r="A56" s="1183">
        <v>38</v>
      </c>
      <c r="B56" s="1185" t="s">
        <v>2437</v>
      </c>
      <c r="C56" s="1186"/>
      <c r="D56" s="735"/>
      <c r="E56" s="1183"/>
      <c r="F56" s="735"/>
      <c r="G56" s="735">
        <f>G53+G54+G55</f>
        <v>899052.92608348373</v>
      </c>
    </row>
    <row r="57" spans="1:10" ht="17.25" customHeight="1">
      <c r="A57" s="190">
        <v>39</v>
      </c>
      <c r="B57" s="1214" t="s">
        <v>59</v>
      </c>
      <c r="C57" s="2798"/>
      <c r="D57" s="2805"/>
      <c r="E57" s="190"/>
      <c r="F57" s="1183"/>
      <c r="G57" s="2805">
        <f>ROUND(G56,0)</f>
        <v>899053</v>
      </c>
    </row>
    <row r="58" spans="1:10" ht="15">
      <c r="A58" s="188"/>
      <c r="B58" s="187"/>
      <c r="C58" s="2825"/>
      <c r="D58" s="2826"/>
      <c r="E58" s="188"/>
      <c r="F58" s="2794"/>
      <c r="G58" s="2826"/>
    </row>
    <row r="59" spans="1:10" ht="31.5" customHeight="1">
      <c r="A59" s="2827" t="s">
        <v>2960</v>
      </c>
      <c r="B59" s="644" t="s">
        <v>2961</v>
      </c>
      <c r="C59" s="212"/>
      <c r="D59" s="212"/>
      <c r="E59" s="212"/>
      <c r="F59" s="212"/>
      <c r="G59" s="212"/>
    </row>
    <row r="60" spans="1:10" ht="16.5" customHeight="1">
      <c r="A60" s="2828" t="s">
        <v>62</v>
      </c>
      <c r="B60" s="242" t="s">
        <v>2180</v>
      </c>
      <c r="C60" s="2829"/>
      <c r="D60" s="2830"/>
      <c r="E60" s="2830"/>
      <c r="F60" s="2830"/>
      <c r="G60" s="2830"/>
    </row>
    <row r="61" spans="1:10" ht="33" customHeight="1">
      <c r="A61" s="2828" t="s">
        <v>2542</v>
      </c>
      <c r="B61" s="644" t="s">
        <v>63</v>
      </c>
    </row>
    <row r="62" spans="1:10">
      <c r="B62" s="644"/>
    </row>
    <row r="63" spans="1:10">
      <c r="B63" s="644"/>
    </row>
    <row r="73" spans="5:5">
      <c r="E73" s="2831"/>
    </row>
  </sheetData>
  <mergeCells count="6">
    <mergeCell ref="B1:D1"/>
    <mergeCell ref="A11:A14"/>
    <mergeCell ref="A34:A40"/>
    <mergeCell ref="A41:A42"/>
    <mergeCell ref="H42:I42"/>
    <mergeCell ref="B3:E3"/>
  </mergeCells>
  <conditionalFormatting sqref="B45">
    <cfRule type="cellIs" dxfId="24" priority="2" stopIfTrue="1" operator="equal">
      <formula>"?"</formula>
    </cfRule>
  </conditionalFormatting>
  <conditionalFormatting sqref="B46">
    <cfRule type="cellIs" dxfId="23" priority="1" stopIfTrue="1" operator="equal">
      <formula>"?"</formula>
    </cfRule>
  </conditionalFormatting>
  <printOptions horizontalCentered="1"/>
  <pageMargins left="0.74" right="0.16" top="0.76" bottom="0.32" header="0.5" footer="0.15"/>
  <pageSetup scale="10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39"/>
  <sheetViews>
    <sheetView workbookViewId="0">
      <pane xSplit="3" ySplit="7" topLeftCell="D35" activePane="bottomRight" state="frozen"/>
      <selection pane="topRight" activeCell="D1" sqref="D1"/>
      <selection pane="bottomLeft" activeCell="A8" sqref="A8"/>
      <selection pane="bottomRight" activeCell="H32" sqref="H32"/>
    </sheetView>
  </sheetViews>
  <sheetFormatPr defaultRowHeight="12.75"/>
  <cols>
    <col min="1" max="1" width="4.85546875" style="343" customWidth="1"/>
    <col min="2" max="2" width="50.140625" style="4" customWidth="1"/>
    <col min="3" max="3" width="13.42578125" style="4" customWidth="1"/>
    <col min="4" max="4" width="6.28515625" style="4" customWidth="1"/>
    <col min="5" max="5" width="8" style="4" customWidth="1"/>
    <col min="6" max="6" width="9.28515625" style="4" customWidth="1"/>
    <col min="7" max="7" width="11.28515625" style="4" customWidth="1"/>
    <col min="8" max="8" width="19.85546875" style="4" customWidth="1"/>
    <col min="9" max="9" width="10.28515625" style="4" customWidth="1"/>
    <col min="10" max="10" width="18.28515625" style="4" customWidth="1"/>
    <col min="11" max="11" width="9.140625" style="4"/>
    <col min="12" max="12" width="6.28515625" style="4" customWidth="1"/>
    <col min="13" max="256" width="9.140625" style="4"/>
    <col min="257" max="257" width="4.85546875" style="4" customWidth="1"/>
    <col min="258" max="258" width="48.140625" style="4" customWidth="1"/>
    <col min="259" max="259" width="13.42578125" style="4" customWidth="1"/>
    <col min="260" max="260" width="6.28515625" style="4" customWidth="1"/>
    <col min="261" max="261" width="8" style="4" customWidth="1"/>
    <col min="262" max="262" width="9.28515625" style="4" customWidth="1"/>
    <col min="263" max="263" width="11.28515625" style="4" customWidth="1"/>
    <col min="264" max="264" width="19.85546875" style="4" customWidth="1"/>
    <col min="265" max="265" width="10.28515625" style="4" customWidth="1"/>
    <col min="266" max="266" width="18.28515625" style="4" customWidth="1"/>
    <col min="267" max="267" width="9.140625" style="4"/>
    <col min="268" max="268" width="6.28515625" style="4" customWidth="1"/>
    <col min="269" max="512" width="9.140625" style="4"/>
    <col min="513" max="513" width="4.85546875" style="4" customWidth="1"/>
    <col min="514" max="514" width="48.140625" style="4" customWidth="1"/>
    <col min="515" max="515" width="13.42578125" style="4" customWidth="1"/>
    <col min="516" max="516" width="6.28515625" style="4" customWidth="1"/>
    <col min="517" max="517" width="8" style="4" customWidth="1"/>
    <col min="518" max="518" width="9.28515625" style="4" customWidth="1"/>
    <col min="519" max="519" width="11.28515625" style="4" customWidth="1"/>
    <col min="520" max="520" width="19.85546875" style="4" customWidth="1"/>
    <col min="521" max="521" width="10.28515625" style="4" customWidth="1"/>
    <col min="522" max="522" width="18.28515625" style="4" customWidth="1"/>
    <col min="523" max="523" width="9.140625" style="4"/>
    <col min="524" max="524" width="6.28515625" style="4" customWidth="1"/>
    <col min="525" max="768" width="9.140625" style="4"/>
    <col min="769" max="769" width="4.85546875" style="4" customWidth="1"/>
    <col min="770" max="770" width="48.140625" style="4" customWidth="1"/>
    <col min="771" max="771" width="13.42578125" style="4" customWidth="1"/>
    <col min="772" max="772" width="6.28515625" style="4" customWidth="1"/>
    <col min="773" max="773" width="8" style="4" customWidth="1"/>
    <col min="774" max="774" width="9.28515625" style="4" customWidth="1"/>
    <col min="775" max="775" width="11.28515625" style="4" customWidth="1"/>
    <col min="776" max="776" width="19.85546875" style="4" customWidth="1"/>
    <col min="777" max="777" width="10.28515625" style="4" customWidth="1"/>
    <col min="778" max="778" width="18.28515625" style="4" customWidth="1"/>
    <col min="779" max="779" width="9.140625" style="4"/>
    <col min="780" max="780" width="6.28515625" style="4" customWidth="1"/>
    <col min="781" max="1024" width="9.140625" style="4"/>
    <col min="1025" max="1025" width="4.85546875" style="4" customWidth="1"/>
    <col min="1026" max="1026" width="48.140625" style="4" customWidth="1"/>
    <col min="1027" max="1027" width="13.42578125" style="4" customWidth="1"/>
    <col min="1028" max="1028" width="6.28515625" style="4" customWidth="1"/>
    <col min="1029" max="1029" width="8" style="4" customWidth="1"/>
    <col min="1030" max="1030" width="9.28515625" style="4" customWidth="1"/>
    <col min="1031" max="1031" width="11.28515625" style="4" customWidth="1"/>
    <col min="1032" max="1032" width="19.85546875" style="4" customWidth="1"/>
    <col min="1033" max="1033" width="10.28515625" style="4" customWidth="1"/>
    <col min="1034" max="1034" width="18.28515625" style="4" customWidth="1"/>
    <col min="1035" max="1035" width="9.140625" style="4"/>
    <col min="1036" max="1036" width="6.28515625" style="4" customWidth="1"/>
    <col min="1037" max="1280" width="9.140625" style="4"/>
    <col min="1281" max="1281" width="4.85546875" style="4" customWidth="1"/>
    <col min="1282" max="1282" width="48.140625" style="4" customWidth="1"/>
    <col min="1283" max="1283" width="13.42578125" style="4" customWidth="1"/>
    <col min="1284" max="1284" width="6.28515625" style="4" customWidth="1"/>
    <col min="1285" max="1285" width="8" style="4" customWidth="1"/>
    <col min="1286" max="1286" width="9.28515625" style="4" customWidth="1"/>
    <col min="1287" max="1287" width="11.28515625" style="4" customWidth="1"/>
    <col min="1288" max="1288" width="19.85546875" style="4" customWidth="1"/>
    <col min="1289" max="1289" width="10.28515625" style="4" customWidth="1"/>
    <col min="1290" max="1290" width="18.28515625" style="4" customWidth="1"/>
    <col min="1291" max="1291" width="9.140625" style="4"/>
    <col min="1292" max="1292" width="6.28515625" style="4" customWidth="1"/>
    <col min="1293" max="1536" width="9.140625" style="4"/>
    <col min="1537" max="1537" width="4.85546875" style="4" customWidth="1"/>
    <col min="1538" max="1538" width="48.140625" style="4" customWidth="1"/>
    <col min="1539" max="1539" width="13.42578125" style="4" customWidth="1"/>
    <col min="1540" max="1540" width="6.28515625" style="4" customWidth="1"/>
    <col min="1541" max="1541" width="8" style="4" customWidth="1"/>
    <col min="1542" max="1542" width="9.28515625" style="4" customWidth="1"/>
    <col min="1543" max="1543" width="11.28515625" style="4" customWidth="1"/>
    <col min="1544" max="1544" width="19.85546875" style="4" customWidth="1"/>
    <col min="1545" max="1545" width="10.28515625" style="4" customWidth="1"/>
    <col min="1546" max="1546" width="18.28515625" style="4" customWidth="1"/>
    <col min="1547" max="1547" width="9.140625" style="4"/>
    <col min="1548" max="1548" width="6.28515625" style="4" customWidth="1"/>
    <col min="1549" max="1792" width="9.140625" style="4"/>
    <col min="1793" max="1793" width="4.85546875" style="4" customWidth="1"/>
    <col min="1794" max="1794" width="48.140625" style="4" customWidth="1"/>
    <col min="1795" max="1795" width="13.42578125" style="4" customWidth="1"/>
    <col min="1796" max="1796" width="6.28515625" style="4" customWidth="1"/>
    <col min="1797" max="1797" width="8" style="4" customWidth="1"/>
    <col min="1798" max="1798" width="9.28515625" style="4" customWidth="1"/>
    <col min="1799" max="1799" width="11.28515625" style="4" customWidth="1"/>
    <col min="1800" max="1800" width="19.85546875" style="4" customWidth="1"/>
    <col min="1801" max="1801" width="10.28515625" style="4" customWidth="1"/>
    <col min="1802" max="1802" width="18.28515625" style="4" customWidth="1"/>
    <col min="1803" max="1803" width="9.140625" style="4"/>
    <col min="1804" max="1804" width="6.28515625" style="4" customWidth="1"/>
    <col min="1805" max="2048" width="9.140625" style="4"/>
    <col min="2049" max="2049" width="4.85546875" style="4" customWidth="1"/>
    <col min="2050" max="2050" width="48.140625" style="4" customWidth="1"/>
    <col min="2051" max="2051" width="13.42578125" style="4" customWidth="1"/>
    <col min="2052" max="2052" width="6.28515625" style="4" customWidth="1"/>
    <col min="2053" max="2053" width="8" style="4" customWidth="1"/>
    <col min="2054" max="2054" width="9.28515625" style="4" customWidth="1"/>
    <col min="2055" max="2055" width="11.28515625" style="4" customWidth="1"/>
    <col min="2056" max="2056" width="19.85546875" style="4" customWidth="1"/>
    <col min="2057" max="2057" width="10.28515625" style="4" customWidth="1"/>
    <col min="2058" max="2058" width="18.28515625" style="4" customWidth="1"/>
    <col min="2059" max="2059" width="9.140625" style="4"/>
    <col min="2060" max="2060" width="6.28515625" style="4" customWidth="1"/>
    <col min="2061" max="2304" width="9.140625" style="4"/>
    <col min="2305" max="2305" width="4.85546875" style="4" customWidth="1"/>
    <col min="2306" max="2306" width="48.140625" style="4" customWidth="1"/>
    <col min="2307" max="2307" width="13.42578125" style="4" customWidth="1"/>
    <col min="2308" max="2308" width="6.28515625" style="4" customWidth="1"/>
    <col min="2309" max="2309" width="8" style="4" customWidth="1"/>
    <col min="2310" max="2310" width="9.28515625" style="4" customWidth="1"/>
    <col min="2311" max="2311" width="11.28515625" style="4" customWidth="1"/>
    <col min="2312" max="2312" width="19.85546875" style="4" customWidth="1"/>
    <col min="2313" max="2313" width="10.28515625" style="4" customWidth="1"/>
    <col min="2314" max="2314" width="18.28515625" style="4" customWidth="1"/>
    <col min="2315" max="2315" width="9.140625" style="4"/>
    <col min="2316" max="2316" width="6.28515625" style="4" customWidth="1"/>
    <col min="2317" max="2560" width="9.140625" style="4"/>
    <col min="2561" max="2561" width="4.85546875" style="4" customWidth="1"/>
    <col min="2562" max="2562" width="48.140625" style="4" customWidth="1"/>
    <col min="2563" max="2563" width="13.42578125" style="4" customWidth="1"/>
    <col min="2564" max="2564" width="6.28515625" style="4" customWidth="1"/>
    <col min="2565" max="2565" width="8" style="4" customWidth="1"/>
    <col min="2566" max="2566" width="9.28515625" style="4" customWidth="1"/>
    <col min="2567" max="2567" width="11.28515625" style="4" customWidth="1"/>
    <col min="2568" max="2568" width="19.85546875" style="4" customWidth="1"/>
    <col min="2569" max="2569" width="10.28515625" style="4" customWidth="1"/>
    <col min="2570" max="2570" width="18.28515625" style="4" customWidth="1"/>
    <col min="2571" max="2571" width="9.140625" style="4"/>
    <col min="2572" max="2572" width="6.28515625" style="4" customWidth="1"/>
    <col min="2573" max="2816" width="9.140625" style="4"/>
    <col min="2817" max="2817" width="4.85546875" style="4" customWidth="1"/>
    <col min="2818" max="2818" width="48.140625" style="4" customWidth="1"/>
    <col min="2819" max="2819" width="13.42578125" style="4" customWidth="1"/>
    <col min="2820" max="2820" width="6.28515625" style="4" customWidth="1"/>
    <col min="2821" max="2821" width="8" style="4" customWidth="1"/>
    <col min="2822" max="2822" width="9.28515625" style="4" customWidth="1"/>
    <col min="2823" max="2823" width="11.28515625" style="4" customWidth="1"/>
    <col min="2824" max="2824" width="19.85546875" style="4" customWidth="1"/>
    <col min="2825" max="2825" width="10.28515625" style="4" customWidth="1"/>
    <col min="2826" max="2826" width="18.28515625" style="4" customWidth="1"/>
    <col min="2827" max="2827" width="9.140625" style="4"/>
    <col min="2828" max="2828" width="6.28515625" style="4" customWidth="1"/>
    <col min="2829" max="3072" width="9.140625" style="4"/>
    <col min="3073" max="3073" width="4.85546875" style="4" customWidth="1"/>
    <col min="3074" max="3074" width="48.140625" style="4" customWidth="1"/>
    <col min="3075" max="3075" width="13.42578125" style="4" customWidth="1"/>
    <col min="3076" max="3076" width="6.28515625" style="4" customWidth="1"/>
    <col min="3077" max="3077" width="8" style="4" customWidth="1"/>
    <col min="3078" max="3078" width="9.28515625" style="4" customWidth="1"/>
    <col min="3079" max="3079" width="11.28515625" style="4" customWidth="1"/>
    <col min="3080" max="3080" width="19.85546875" style="4" customWidth="1"/>
    <col min="3081" max="3081" width="10.28515625" style="4" customWidth="1"/>
    <col min="3082" max="3082" width="18.28515625" style="4" customWidth="1"/>
    <col min="3083" max="3083" width="9.140625" style="4"/>
    <col min="3084" max="3084" width="6.28515625" style="4" customWidth="1"/>
    <col min="3085" max="3328" width="9.140625" style="4"/>
    <col min="3329" max="3329" width="4.85546875" style="4" customWidth="1"/>
    <col min="3330" max="3330" width="48.140625" style="4" customWidth="1"/>
    <col min="3331" max="3331" width="13.42578125" style="4" customWidth="1"/>
    <col min="3332" max="3332" width="6.28515625" style="4" customWidth="1"/>
    <col min="3333" max="3333" width="8" style="4" customWidth="1"/>
    <col min="3334" max="3334" width="9.28515625" style="4" customWidth="1"/>
    <col min="3335" max="3335" width="11.28515625" style="4" customWidth="1"/>
    <col min="3336" max="3336" width="19.85546875" style="4" customWidth="1"/>
    <col min="3337" max="3337" width="10.28515625" style="4" customWidth="1"/>
    <col min="3338" max="3338" width="18.28515625" style="4" customWidth="1"/>
    <col min="3339" max="3339" width="9.140625" style="4"/>
    <col min="3340" max="3340" width="6.28515625" style="4" customWidth="1"/>
    <col min="3341" max="3584" width="9.140625" style="4"/>
    <col min="3585" max="3585" width="4.85546875" style="4" customWidth="1"/>
    <col min="3586" max="3586" width="48.140625" style="4" customWidth="1"/>
    <col min="3587" max="3587" width="13.42578125" style="4" customWidth="1"/>
    <col min="3588" max="3588" width="6.28515625" style="4" customWidth="1"/>
    <col min="3589" max="3589" width="8" style="4" customWidth="1"/>
    <col min="3590" max="3590" width="9.28515625" style="4" customWidth="1"/>
    <col min="3591" max="3591" width="11.28515625" style="4" customWidth="1"/>
    <col min="3592" max="3592" width="19.85546875" style="4" customWidth="1"/>
    <col min="3593" max="3593" width="10.28515625" style="4" customWidth="1"/>
    <col min="3594" max="3594" width="18.28515625" style="4" customWidth="1"/>
    <col min="3595" max="3595" width="9.140625" style="4"/>
    <col min="3596" max="3596" width="6.28515625" style="4" customWidth="1"/>
    <col min="3597" max="3840" width="9.140625" style="4"/>
    <col min="3841" max="3841" width="4.85546875" style="4" customWidth="1"/>
    <col min="3842" max="3842" width="48.140625" style="4" customWidth="1"/>
    <col min="3843" max="3843" width="13.42578125" style="4" customWidth="1"/>
    <col min="3844" max="3844" width="6.28515625" style="4" customWidth="1"/>
    <col min="3845" max="3845" width="8" style="4" customWidth="1"/>
    <col min="3846" max="3846" width="9.28515625" style="4" customWidth="1"/>
    <col min="3847" max="3847" width="11.28515625" style="4" customWidth="1"/>
    <col min="3848" max="3848" width="19.85546875" style="4" customWidth="1"/>
    <col min="3849" max="3849" width="10.28515625" style="4" customWidth="1"/>
    <col min="3850" max="3850" width="18.28515625" style="4" customWidth="1"/>
    <col min="3851" max="3851" width="9.140625" style="4"/>
    <col min="3852" max="3852" width="6.28515625" style="4" customWidth="1"/>
    <col min="3853" max="4096" width="9.140625" style="4"/>
    <col min="4097" max="4097" width="4.85546875" style="4" customWidth="1"/>
    <col min="4098" max="4098" width="48.140625" style="4" customWidth="1"/>
    <col min="4099" max="4099" width="13.42578125" style="4" customWidth="1"/>
    <col min="4100" max="4100" width="6.28515625" style="4" customWidth="1"/>
    <col min="4101" max="4101" width="8" style="4" customWidth="1"/>
    <col min="4102" max="4102" width="9.28515625" style="4" customWidth="1"/>
    <col min="4103" max="4103" width="11.28515625" style="4" customWidth="1"/>
    <col min="4104" max="4104" width="19.85546875" style="4" customWidth="1"/>
    <col min="4105" max="4105" width="10.28515625" style="4" customWidth="1"/>
    <col min="4106" max="4106" width="18.28515625" style="4" customWidth="1"/>
    <col min="4107" max="4107" width="9.140625" style="4"/>
    <col min="4108" max="4108" width="6.28515625" style="4" customWidth="1"/>
    <col min="4109" max="4352" width="9.140625" style="4"/>
    <col min="4353" max="4353" width="4.85546875" style="4" customWidth="1"/>
    <col min="4354" max="4354" width="48.140625" style="4" customWidth="1"/>
    <col min="4355" max="4355" width="13.42578125" style="4" customWidth="1"/>
    <col min="4356" max="4356" width="6.28515625" style="4" customWidth="1"/>
    <col min="4357" max="4357" width="8" style="4" customWidth="1"/>
    <col min="4358" max="4358" width="9.28515625" style="4" customWidth="1"/>
    <col min="4359" max="4359" width="11.28515625" style="4" customWidth="1"/>
    <col min="4360" max="4360" width="19.85546875" style="4" customWidth="1"/>
    <col min="4361" max="4361" width="10.28515625" style="4" customWidth="1"/>
    <col min="4362" max="4362" width="18.28515625" style="4" customWidth="1"/>
    <col min="4363" max="4363" width="9.140625" style="4"/>
    <col min="4364" max="4364" width="6.28515625" style="4" customWidth="1"/>
    <col min="4365" max="4608" width="9.140625" style="4"/>
    <col min="4609" max="4609" width="4.85546875" style="4" customWidth="1"/>
    <col min="4610" max="4610" width="48.140625" style="4" customWidth="1"/>
    <col min="4611" max="4611" width="13.42578125" style="4" customWidth="1"/>
    <col min="4612" max="4612" width="6.28515625" style="4" customWidth="1"/>
    <col min="4613" max="4613" width="8" style="4" customWidth="1"/>
    <col min="4614" max="4614" width="9.28515625" style="4" customWidth="1"/>
    <col min="4615" max="4615" width="11.28515625" style="4" customWidth="1"/>
    <col min="4616" max="4616" width="19.85546875" style="4" customWidth="1"/>
    <col min="4617" max="4617" width="10.28515625" style="4" customWidth="1"/>
    <col min="4618" max="4618" width="18.28515625" style="4" customWidth="1"/>
    <col min="4619" max="4619" width="9.140625" style="4"/>
    <col min="4620" max="4620" width="6.28515625" style="4" customWidth="1"/>
    <col min="4621" max="4864" width="9.140625" style="4"/>
    <col min="4865" max="4865" width="4.85546875" style="4" customWidth="1"/>
    <col min="4866" max="4866" width="48.140625" style="4" customWidth="1"/>
    <col min="4867" max="4867" width="13.42578125" style="4" customWidth="1"/>
    <col min="4868" max="4868" width="6.28515625" style="4" customWidth="1"/>
    <col min="4869" max="4869" width="8" style="4" customWidth="1"/>
    <col min="4870" max="4870" width="9.28515625" style="4" customWidth="1"/>
    <col min="4871" max="4871" width="11.28515625" style="4" customWidth="1"/>
    <col min="4872" max="4872" width="19.85546875" style="4" customWidth="1"/>
    <col min="4873" max="4873" width="10.28515625" style="4" customWidth="1"/>
    <col min="4874" max="4874" width="18.28515625" style="4" customWidth="1"/>
    <col min="4875" max="4875" width="9.140625" style="4"/>
    <col min="4876" max="4876" width="6.28515625" style="4" customWidth="1"/>
    <col min="4877" max="5120" width="9.140625" style="4"/>
    <col min="5121" max="5121" width="4.85546875" style="4" customWidth="1"/>
    <col min="5122" max="5122" width="48.140625" style="4" customWidth="1"/>
    <col min="5123" max="5123" width="13.42578125" style="4" customWidth="1"/>
    <col min="5124" max="5124" width="6.28515625" style="4" customWidth="1"/>
    <col min="5125" max="5125" width="8" style="4" customWidth="1"/>
    <col min="5126" max="5126" width="9.28515625" style="4" customWidth="1"/>
    <col min="5127" max="5127" width="11.28515625" style="4" customWidth="1"/>
    <col min="5128" max="5128" width="19.85546875" style="4" customWidth="1"/>
    <col min="5129" max="5129" width="10.28515625" style="4" customWidth="1"/>
    <col min="5130" max="5130" width="18.28515625" style="4" customWidth="1"/>
    <col min="5131" max="5131" width="9.140625" style="4"/>
    <col min="5132" max="5132" width="6.28515625" style="4" customWidth="1"/>
    <col min="5133" max="5376" width="9.140625" style="4"/>
    <col min="5377" max="5377" width="4.85546875" style="4" customWidth="1"/>
    <col min="5378" max="5378" width="48.140625" style="4" customWidth="1"/>
    <col min="5379" max="5379" width="13.42578125" style="4" customWidth="1"/>
    <col min="5380" max="5380" width="6.28515625" style="4" customWidth="1"/>
    <col min="5381" max="5381" width="8" style="4" customWidth="1"/>
    <col min="5382" max="5382" width="9.28515625" style="4" customWidth="1"/>
    <col min="5383" max="5383" width="11.28515625" style="4" customWidth="1"/>
    <col min="5384" max="5384" width="19.85546875" style="4" customWidth="1"/>
    <col min="5385" max="5385" width="10.28515625" style="4" customWidth="1"/>
    <col min="5386" max="5386" width="18.28515625" style="4" customWidth="1"/>
    <col min="5387" max="5387" width="9.140625" style="4"/>
    <col min="5388" max="5388" width="6.28515625" style="4" customWidth="1"/>
    <col min="5389" max="5632" width="9.140625" style="4"/>
    <col min="5633" max="5633" width="4.85546875" style="4" customWidth="1"/>
    <col min="5634" max="5634" width="48.140625" style="4" customWidth="1"/>
    <col min="5635" max="5635" width="13.42578125" style="4" customWidth="1"/>
    <col min="5636" max="5636" width="6.28515625" style="4" customWidth="1"/>
    <col min="5637" max="5637" width="8" style="4" customWidth="1"/>
    <col min="5638" max="5638" width="9.28515625" style="4" customWidth="1"/>
    <col min="5639" max="5639" width="11.28515625" style="4" customWidth="1"/>
    <col min="5640" max="5640" width="19.85546875" style="4" customWidth="1"/>
    <col min="5641" max="5641" width="10.28515625" style="4" customWidth="1"/>
    <col min="5642" max="5642" width="18.28515625" style="4" customWidth="1"/>
    <col min="5643" max="5643" width="9.140625" style="4"/>
    <col min="5644" max="5644" width="6.28515625" style="4" customWidth="1"/>
    <col min="5645" max="5888" width="9.140625" style="4"/>
    <col min="5889" max="5889" width="4.85546875" style="4" customWidth="1"/>
    <col min="5890" max="5890" width="48.140625" style="4" customWidth="1"/>
    <col min="5891" max="5891" width="13.42578125" style="4" customWidth="1"/>
    <col min="5892" max="5892" width="6.28515625" style="4" customWidth="1"/>
    <col min="5893" max="5893" width="8" style="4" customWidth="1"/>
    <col min="5894" max="5894" width="9.28515625" style="4" customWidth="1"/>
    <col min="5895" max="5895" width="11.28515625" style="4" customWidth="1"/>
    <col min="5896" max="5896" width="19.85546875" style="4" customWidth="1"/>
    <col min="5897" max="5897" width="10.28515625" style="4" customWidth="1"/>
    <col min="5898" max="5898" width="18.28515625" style="4" customWidth="1"/>
    <col min="5899" max="5899" width="9.140625" style="4"/>
    <col min="5900" max="5900" width="6.28515625" style="4" customWidth="1"/>
    <col min="5901" max="6144" width="9.140625" style="4"/>
    <col min="6145" max="6145" width="4.85546875" style="4" customWidth="1"/>
    <col min="6146" max="6146" width="48.140625" style="4" customWidth="1"/>
    <col min="6147" max="6147" width="13.42578125" style="4" customWidth="1"/>
    <col min="6148" max="6148" width="6.28515625" style="4" customWidth="1"/>
    <col min="6149" max="6149" width="8" style="4" customWidth="1"/>
    <col min="6150" max="6150" width="9.28515625" style="4" customWidth="1"/>
    <col min="6151" max="6151" width="11.28515625" style="4" customWidth="1"/>
    <col min="6152" max="6152" width="19.85546875" style="4" customWidth="1"/>
    <col min="6153" max="6153" width="10.28515625" style="4" customWidth="1"/>
    <col min="6154" max="6154" width="18.28515625" style="4" customWidth="1"/>
    <col min="6155" max="6155" width="9.140625" style="4"/>
    <col min="6156" max="6156" width="6.28515625" style="4" customWidth="1"/>
    <col min="6157" max="6400" width="9.140625" style="4"/>
    <col min="6401" max="6401" width="4.85546875" style="4" customWidth="1"/>
    <col min="6402" max="6402" width="48.140625" style="4" customWidth="1"/>
    <col min="6403" max="6403" width="13.42578125" style="4" customWidth="1"/>
    <col min="6404" max="6404" width="6.28515625" style="4" customWidth="1"/>
    <col min="6405" max="6405" width="8" style="4" customWidth="1"/>
    <col min="6406" max="6406" width="9.28515625" style="4" customWidth="1"/>
    <col min="6407" max="6407" width="11.28515625" style="4" customWidth="1"/>
    <col min="6408" max="6408" width="19.85546875" style="4" customWidth="1"/>
    <col min="6409" max="6409" width="10.28515625" style="4" customWidth="1"/>
    <col min="6410" max="6410" width="18.28515625" style="4" customWidth="1"/>
    <col min="6411" max="6411" width="9.140625" style="4"/>
    <col min="6412" max="6412" width="6.28515625" style="4" customWidth="1"/>
    <col min="6413" max="6656" width="9.140625" style="4"/>
    <col min="6657" max="6657" width="4.85546875" style="4" customWidth="1"/>
    <col min="6658" max="6658" width="48.140625" style="4" customWidth="1"/>
    <col min="6659" max="6659" width="13.42578125" style="4" customWidth="1"/>
    <col min="6660" max="6660" width="6.28515625" style="4" customWidth="1"/>
    <col min="6661" max="6661" width="8" style="4" customWidth="1"/>
    <col min="6662" max="6662" width="9.28515625" style="4" customWidth="1"/>
    <col min="6663" max="6663" width="11.28515625" style="4" customWidth="1"/>
    <col min="6664" max="6664" width="19.85546875" style="4" customWidth="1"/>
    <col min="6665" max="6665" width="10.28515625" style="4" customWidth="1"/>
    <col min="6666" max="6666" width="18.28515625" style="4" customWidth="1"/>
    <col min="6667" max="6667" width="9.140625" style="4"/>
    <col min="6668" max="6668" width="6.28515625" style="4" customWidth="1"/>
    <col min="6669" max="6912" width="9.140625" style="4"/>
    <col min="6913" max="6913" width="4.85546875" style="4" customWidth="1"/>
    <col min="6914" max="6914" width="48.140625" style="4" customWidth="1"/>
    <col min="6915" max="6915" width="13.42578125" style="4" customWidth="1"/>
    <col min="6916" max="6916" width="6.28515625" style="4" customWidth="1"/>
    <col min="6917" max="6917" width="8" style="4" customWidth="1"/>
    <col min="6918" max="6918" width="9.28515625" style="4" customWidth="1"/>
    <col min="6919" max="6919" width="11.28515625" style="4" customWidth="1"/>
    <col min="6920" max="6920" width="19.85546875" style="4" customWidth="1"/>
    <col min="6921" max="6921" width="10.28515625" style="4" customWidth="1"/>
    <col min="6922" max="6922" width="18.28515625" style="4" customWidth="1"/>
    <col min="6923" max="6923" width="9.140625" style="4"/>
    <col min="6924" max="6924" width="6.28515625" style="4" customWidth="1"/>
    <col min="6925" max="7168" width="9.140625" style="4"/>
    <col min="7169" max="7169" width="4.85546875" style="4" customWidth="1"/>
    <col min="7170" max="7170" width="48.140625" style="4" customWidth="1"/>
    <col min="7171" max="7171" width="13.42578125" style="4" customWidth="1"/>
    <col min="7172" max="7172" width="6.28515625" style="4" customWidth="1"/>
    <col min="7173" max="7173" width="8" style="4" customWidth="1"/>
    <col min="7174" max="7174" width="9.28515625" style="4" customWidth="1"/>
    <col min="7175" max="7175" width="11.28515625" style="4" customWidth="1"/>
    <col min="7176" max="7176" width="19.85546875" style="4" customWidth="1"/>
    <col min="7177" max="7177" width="10.28515625" style="4" customWidth="1"/>
    <col min="7178" max="7178" width="18.28515625" style="4" customWidth="1"/>
    <col min="7179" max="7179" width="9.140625" style="4"/>
    <col min="7180" max="7180" width="6.28515625" style="4" customWidth="1"/>
    <col min="7181" max="7424" width="9.140625" style="4"/>
    <col min="7425" max="7425" width="4.85546875" style="4" customWidth="1"/>
    <col min="7426" max="7426" width="48.140625" style="4" customWidth="1"/>
    <col min="7427" max="7427" width="13.42578125" style="4" customWidth="1"/>
    <col min="7428" max="7428" width="6.28515625" style="4" customWidth="1"/>
    <col min="7429" max="7429" width="8" style="4" customWidth="1"/>
    <col min="7430" max="7430" width="9.28515625" style="4" customWidth="1"/>
    <col min="7431" max="7431" width="11.28515625" style="4" customWidth="1"/>
    <col min="7432" max="7432" width="19.85546875" style="4" customWidth="1"/>
    <col min="7433" max="7433" width="10.28515625" style="4" customWidth="1"/>
    <col min="7434" max="7434" width="18.28515625" style="4" customWidth="1"/>
    <col min="7435" max="7435" width="9.140625" style="4"/>
    <col min="7436" max="7436" width="6.28515625" style="4" customWidth="1"/>
    <col min="7437" max="7680" width="9.140625" style="4"/>
    <col min="7681" max="7681" width="4.85546875" style="4" customWidth="1"/>
    <col min="7682" max="7682" width="48.140625" style="4" customWidth="1"/>
    <col min="7683" max="7683" width="13.42578125" style="4" customWidth="1"/>
    <col min="7684" max="7684" width="6.28515625" style="4" customWidth="1"/>
    <col min="7685" max="7685" width="8" style="4" customWidth="1"/>
    <col min="7686" max="7686" width="9.28515625" style="4" customWidth="1"/>
    <col min="7687" max="7687" width="11.28515625" style="4" customWidth="1"/>
    <col min="7688" max="7688" width="19.85546875" style="4" customWidth="1"/>
    <col min="7689" max="7689" width="10.28515625" style="4" customWidth="1"/>
    <col min="7690" max="7690" width="18.28515625" style="4" customWidth="1"/>
    <col min="7691" max="7691" width="9.140625" style="4"/>
    <col min="7692" max="7692" width="6.28515625" style="4" customWidth="1"/>
    <col min="7693" max="7936" width="9.140625" style="4"/>
    <col min="7937" max="7937" width="4.85546875" style="4" customWidth="1"/>
    <col min="7938" max="7938" width="48.140625" style="4" customWidth="1"/>
    <col min="7939" max="7939" width="13.42578125" style="4" customWidth="1"/>
    <col min="7940" max="7940" width="6.28515625" style="4" customWidth="1"/>
    <col min="7941" max="7941" width="8" style="4" customWidth="1"/>
    <col min="7942" max="7942" width="9.28515625" style="4" customWidth="1"/>
    <col min="7943" max="7943" width="11.28515625" style="4" customWidth="1"/>
    <col min="7944" max="7944" width="19.85546875" style="4" customWidth="1"/>
    <col min="7945" max="7945" width="10.28515625" style="4" customWidth="1"/>
    <col min="7946" max="7946" width="18.28515625" style="4" customWidth="1"/>
    <col min="7947" max="7947" width="9.140625" style="4"/>
    <col min="7948" max="7948" width="6.28515625" style="4" customWidth="1"/>
    <col min="7949" max="8192" width="9.140625" style="4"/>
    <col min="8193" max="8193" width="4.85546875" style="4" customWidth="1"/>
    <col min="8194" max="8194" width="48.140625" style="4" customWidth="1"/>
    <col min="8195" max="8195" width="13.42578125" style="4" customWidth="1"/>
    <col min="8196" max="8196" width="6.28515625" style="4" customWidth="1"/>
    <col min="8197" max="8197" width="8" style="4" customWidth="1"/>
    <col min="8198" max="8198" width="9.28515625" style="4" customWidth="1"/>
    <col min="8199" max="8199" width="11.28515625" style="4" customWidth="1"/>
    <col min="8200" max="8200" width="19.85546875" style="4" customWidth="1"/>
    <col min="8201" max="8201" width="10.28515625" style="4" customWidth="1"/>
    <col min="8202" max="8202" width="18.28515625" style="4" customWidth="1"/>
    <col min="8203" max="8203" width="9.140625" style="4"/>
    <col min="8204" max="8204" width="6.28515625" style="4" customWidth="1"/>
    <col min="8205" max="8448" width="9.140625" style="4"/>
    <col min="8449" max="8449" width="4.85546875" style="4" customWidth="1"/>
    <col min="8450" max="8450" width="48.140625" style="4" customWidth="1"/>
    <col min="8451" max="8451" width="13.42578125" style="4" customWidth="1"/>
    <col min="8452" max="8452" width="6.28515625" style="4" customWidth="1"/>
    <col min="8453" max="8453" width="8" style="4" customWidth="1"/>
    <col min="8454" max="8454" width="9.28515625" style="4" customWidth="1"/>
    <col min="8455" max="8455" width="11.28515625" style="4" customWidth="1"/>
    <col min="8456" max="8456" width="19.85546875" style="4" customWidth="1"/>
    <col min="8457" max="8457" width="10.28515625" style="4" customWidth="1"/>
    <col min="8458" max="8458" width="18.28515625" style="4" customWidth="1"/>
    <col min="8459" max="8459" width="9.140625" style="4"/>
    <col min="8460" max="8460" width="6.28515625" style="4" customWidth="1"/>
    <col min="8461" max="8704" width="9.140625" style="4"/>
    <col min="8705" max="8705" width="4.85546875" style="4" customWidth="1"/>
    <col min="8706" max="8706" width="48.140625" style="4" customWidth="1"/>
    <col min="8707" max="8707" width="13.42578125" style="4" customWidth="1"/>
    <col min="8708" max="8708" width="6.28515625" style="4" customWidth="1"/>
    <col min="8709" max="8709" width="8" style="4" customWidth="1"/>
    <col min="8710" max="8710" width="9.28515625" style="4" customWidth="1"/>
    <col min="8711" max="8711" width="11.28515625" style="4" customWidth="1"/>
    <col min="8712" max="8712" width="19.85546875" style="4" customWidth="1"/>
    <col min="8713" max="8713" width="10.28515625" style="4" customWidth="1"/>
    <col min="8714" max="8714" width="18.28515625" style="4" customWidth="1"/>
    <col min="8715" max="8715" width="9.140625" style="4"/>
    <col min="8716" max="8716" width="6.28515625" style="4" customWidth="1"/>
    <col min="8717" max="8960" width="9.140625" style="4"/>
    <col min="8961" max="8961" width="4.85546875" style="4" customWidth="1"/>
    <col min="8962" max="8962" width="48.140625" style="4" customWidth="1"/>
    <col min="8963" max="8963" width="13.42578125" style="4" customWidth="1"/>
    <col min="8964" max="8964" width="6.28515625" style="4" customWidth="1"/>
    <col min="8965" max="8965" width="8" style="4" customWidth="1"/>
    <col min="8966" max="8966" width="9.28515625" style="4" customWidth="1"/>
    <col min="8967" max="8967" width="11.28515625" style="4" customWidth="1"/>
    <col min="8968" max="8968" width="19.85546875" style="4" customWidth="1"/>
    <col min="8969" max="8969" width="10.28515625" style="4" customWidth="1"/>
    <col min="8970" max="8970" width="18.28515625" style="4" customWidth="1"/>
    <col min="8971" max="8971" width="9.140625" style="4"/>
    <col min="8972" max="8972" width="6.28515625" style="4" customWidth="1"/>
    <col min="8973" max="9216" width="9.140625" style="4"/>
    <col min="9217" max="9217" width="4.85546875" style="4" customWidth="1"/>
    <col min="9218" max="9218" width="48.140625" style="4" customWidth="1"/>
    <col min="9219" max="9219" width="13.42578125" style="4" customWidth="1"/>
    <col min="9220" max="9220" width="6.28515625" style="4" customWidth="1"/>
    <col min="9221" max="9221" width="8" style="4" customWidth="1"/>
    <col min="9222" max="9222" width="9.28515625" style="4" customWidth="1"/>
    <col min="9223" max="9223" width="11.28515625" style="4" customWidth="1"/>
    <col min="9224" max="9224" width="19.85546875" style="4" customWidth="1"/>
    <col min="9225" max="9225" width="10.28515625" style="4" customWidth="1"/>
    <col min="9226" max="9226" width="18.28515625" style="4" customWidth="1"/>
    <col min="9227" max="9227" width="9.140625" style="4"/>
    <col min="9228" max="9228" width="6.28515625" style="4" customWidth="1"/>
    <col min="9229" max="9472" width="9.140625" style="4"/>
    <col min="9473" max="9473" width="4.85546875" style="4" customWidth="1"/>
    <col min="9474" max="9474" width="48.140625" style="4" customWidth="1"/>
    <col min="9475" max="9475" width="13.42578125" style="4" customWidth="1"/>
    <col min="9476" max="9476" width="6.28515625" style="4" customWidth="1"/>
    <col min="9477" max="9477" width="8" style="4" customWidth="1"/>
    <col min="9478" max="9478" width="9.28515625" style="4" customWidth="1"/>
    <col min="9479" max="9479" width="11.28515625" style="4" customWidth="1"/>
    <col min="9480" max="9480" width="19.85546875" style="4" customWidth="1"/>
    <col min="9481" max="9481" width="10.28515625" style="4" customWidth="1"/>
    <col min="9482" max="9482" width="18.28515625" style="4" customWidth="1"/>
    <col min="9483" max="9483" width="9.140625" style="4"/>
    <col min="9484" max="9484" width="6.28515625" style="4" customWidth="1"/>
    <col min="9485" max="9728" width="9.140625" style="4"/>
    <col min="9729" max="9729" width="4.85546875" style="4" customWidth="1"/>
    <col min="9730" max="9730" width="48.140625" style="4" customWidth="1"/>
    <col min="9731" max="9731" width="13.42578125" style="4" customWidth="1"/>
    <col min="9732" max="9732" width="6.28515625" style="4" customWidth="1"/>
    <col min="9733" max="9733" width="8" style="4" customWidth="1"/>
    <col min="9734" max="9734" width="9.28515625" style="4" customWidth="1"/>
    <col min="9735" max="9735" width="11.28515625" style="4" customWidth="1"/>
    <col min="9736" max="9736" width="19.85546875" style="4" customWidth="1"/>
    <col min="9737" max="9737" width="10.28515625" style="4" customWidth="1"/>
    <col min="9738" max="9738" width="18.28515625" style="4" customWidth="1"/>
    <col min="9739" max="9739" width="9.140625" style="4"/>
    <col min="9740" max="9740" width="6.28515625" style="4" customWidth="1"/>
    <col min="9741" max="9984" width="9.140625" style="4"/>
    <col min="9985" max="9985" width="4.85546875" style="4" customWidth="1"/>
    <col min="9986" max="9986" width="48.140625" style="4" customWidth="1"/>
    <col min="9987" max="9987" width="13.42578125" style="4" customWidth="1"/>
    <col min="9988" max="9988" width="6.28515625" style="4" customWidth="1"/>
    <col min="9989" max="9989" width="8" style="4" customWidth="1"/>
    <col min="9990" max="9990" width="9.28515625" style="4" customWidth="1"/>
    <col min="9991" max="9991" width="11.28515625" style="4" customWidth="1"/>
    <col min="9992" max="9992" width="19.85546875" style="4" customWidth="1"/>
    <col min="9993" max="9993" width="10.28515625" style="4" customWidth="1"/>
    <col min="9994" max="9994" width="18.28515625" style="4" customWidth="1"/>
    <col min="9995" max="9995" width="9.140625" style="4"/>
    <col min="9996" max="9996" width="6.28515625" style="4" customWidth="1"/>
    <col min="9997" max="10240" width="9.140625" style="4"/>
    <col min="10241" max="10241" width="4.85546875" style="4" customWidth="1"/>
    <col min="10242" max="10242" width="48.140625" style="4" customWidth="1"/>
    <col min="10243" max="10243" width="13.42578125" style="4" customWidth="1"/>
    <col min="10244" max="10244" width="6.28515625" style="4" customWidth="1"/>
    <col min="10245" max="10245" width="8" style="4" customWidth="1"/>
    <col min="10246" max="10246" width="9.28515625" style="4" customWidth="1"/>
    <col min="10247" max="10247" width="11.28515625" style="4" customWidth="1"/>
    <col min="10248" max="10248" width="19.85546875" style="4" customWidth="1"/>
    <col min="10249" max="10249" width="10.28515625" style="4" customWidth="1"/>
    <col min="10250" max="10250" width="18.28515625" style="4" customWidth="1"/>
    <col min="10251" max="10251" width="9.140625" style="4"/>
    <col min="10252" max="10252" width="6.28515625" style="4" customWidth="1"/>
    <col min="10253" max="10496" width="9.140625" style="4"/>
    <col min="10497" max="10497" width="4.85546875" style="4" customWidth="1"/>
    <col min="10498" max="10498" width="48.140625" style="4" customWidth="1"/>
    <col min="10499" max="10499" width="13.42578125" style="4" customWidth="1"/>
    <col min="10500" max="10500" width="6.28515625" style="4" customWidth="1"/>
    <col min="10501" max="10501" width="8" style="4" customWidth="1"/>
    <col min="10502" max="10502" width="9.28515625" style="4" customWidth="1"/>
    <col min="10503" max="10503" width="11.28515625" style="4" customWidth="1"/>
    <col min="10504" max="10504" width="19.85546875" style="4" customWidth="1"/>
    <col min="10505" max="10505" width="10.28515625" style="4" customWidth="1"/>
    <col min="10506" max="10506" width="18.28515625" style="4" customWidth="1"/>
    <col min="10507" max="10507" width="9.140625" style="4"/>
    <col min="10508" max="10508" width="6.28515625" style="4" customWidth="1"/>
    <col min="10509" max="10752" width="9.140625" style="4"/>
    <col min="10753" max="10753" width="4.85546875" style="4" customWidth="1"/>
    <col min="10754" max="10754" width="48.140625" style="4" customWidth="1"/>
    <col min="10755" max="10755" width="13.42578125" style="4" customWidth="1"/>
    <col min="10756" max="10756" width="6.28515625" style="4" customWidth="1"/>
    <col min="10757" max="10757" width="8" style="4" customWidth="1"/>
    <col min="10758" max="10758" width="9.28515625" style="4" customWidth="1"/>
    <col min="10759" max="10759" width="11.28515625" style="4" customWidth="1"/>
    <col min="10760" max="10760" width="19.85546875" style="4" customWidth="1"/>
    <col min="10761" max="10761" width="10.28515625" style="4" customWidth="1"/>
    <col min="10762" max="10762" width="18.28515625" style="4" customWidth="1"/>
    <col min="10763" max="10763" width="9.140625" style="4"/>
    <col min="10764" max="10764" width="6.28515625" style="4" customWidth="1"/>
    <col min="10765" max="11008" width="9.140625" style="4"/>
    <col min="11009" max="11009" width="4.85546875" style="4" customWidth="1"/>
    <col min="11010" max="11010" width="48.140625" style="4" customWidth="1"/>
    <col min="11011" max="11011" width="13.42578125" style="4" customWidth="1"/>
    <col min="11012" max="11012" width="6.28515625" style="4" customWidth="1"/>
    <col min="11013" max="11013" width="8" style="4" customWidth="1"/>
    <col min="11014" max="11014" width="9.28515625" style="4" customWidth="1"/>
    <col min="11015" max="11015" width="11.28515625" style="4" customWidth="1"/>
    <col min="11016" max="11016" width="19.85546875" style="4" customWidth="1"/>
    <col min="11017" max="11017" width="10.28515625" style="4" customWidth="1"/>
    <col min="11018" max="11018" width="18.28515625" style="4" customWidth="1"/>
    <col min="11019" max="11019" width="9.140625" style="4"/>
    <col min="11020" max="11020" width="6.28515625" style="4" customWidth="1"/>
    <col min="11021" max="11264" width="9.140625" style="4"/>
    <col min="11265" max="11265" width="4.85546875" style="4" customWidth="1"/>
    <col min="11266" max="11266" width="48.140625" style="4" customWidth="1"/>
    <col min="11267" max="11267" width="13.42578125" style="4" customWidth="1"/>
    <col min="11268" max="11268" width="6.28515625" style="4" customWidth="1"/>
    <col min="11269" max="11269" width="8" style="4" customWidth="1"/>
    <col min="11270" max="11270" width="9.28515625" style="4" customWidth="1"/>
    <col min="11271" max="11271" width="11.28515625" style="4" customWidth="1"/>
    <col min="11272" max="11272" width="19.85546875" style="4" customWidth="1"/>
    <col min="11273" max="11273" width="10.28515625" style="4" customWidth="1"/>
    <col min="11274" max="11274" width="18.28515625" style="4" customWidth="1"/>
    <col min="11275" max="11275" width="9.140625" style="4"/>
    <col min="11276" max="11276" width="6.28515625" style="4" customWidth="1"/>
    <col min="11277" max="11520" width="9.140625" style="4"/>
    <col min="11521" max="11521" width="4.85546875" style="4" customWidth="1"/>
    <col min="11522" max="11522" width="48.140625" style="4" customWidth="1"/>
    <col min="11523" max="11523" width="13.42578125" style="4" customWidth="1"/>
    <col min="11524" max="11524" width="6.28515625" style="4" customWidth="1"/>
    <col min="11525" max="11525" width="8" style="4" customWidth="1"/>
    <col min="11526" max="11526" width="9.28515625" style="4" customWidth="1"/>
    <col min="11527" max="11527" width="11.28515625" style="4" customWidth="1"/>
    <col min="11528" max="11528" width="19.85546875" style="4" customWidth="1"/>
    <col min="11529" max="11529" width="10.28515625" style="4" customWidth="1"/>
    <col min="11530" max="11530" width="18.28515625" style="4" customWidth="1"/>
    <col min="11531" max="11531" width="9.140625" style="4"/>
    <col min="11532" max="11532" width="6.28515625" style="4" customWidth="1"/>
    <col min="11533" max="11776" width="9.140625" style="4"/>
    <col min="11777" max="11777" width="4.85546875" style="4" customWidth="1"/>
    <col min="11778" max="11778" width="48.140625" style="4" customWidth="1"/>
    <col min="11779" max="11779" width="13.42578125" style="4" customWidth="1"/>
    <col min="11780" max="11780" width="6.28515625" style="4" customWidth="1"/>
    <col min="11781" max="11781" width="8" style="4" customWidth="1"/>
    <col min="11782" max="11782" width="9.28515625" style="4" customWidth="1"/>
    <col min="11783" max="11783" width="11.28515625" style="4" customWidth="1"/>
    <col min="11784" max="11784" width="19.85546875" style="4" customWidth="1"/>
    <col min="11785" max="11785" width="10.28515625" style="4" customWidth="1"/>
    <col min="11786" max="11786" width="18.28515625" style="4" customWidth="1"/>
    <col min="11787" max="11787" width="9.140625" style="4"/>
    <col min="11788" max="11788" width="6.28515625" style="4" customWidth="1"/>
    <col min="11789" max="12032" width="9.140625" style="4"/>
    <col min="12033" max="12033" width="4.85546875" style="4" customWidth="1"/>
    <col min="12034" max="12034" width="48.140625" style="4" customWidth="1"/>
    <col min="12035" max="12035" width="13.42578125" style="4" customWidth="1"/>
    <col min="12036" max="12036" width="6.28515625" style="4" customWidth="1"/>
    <col min="12037" max="12037" width="8" style="4" customWidth="1"/>
    <col min="12038" max="12038" width="9.28515625" style="4" customWidth="1"/>
    <col min="12039" max="12039" width="11.28515625" style="4" customWidth="1"/>
    <col min="12040" max="12040" width="19.85546875" style="4" customWidth="1"/>
    <col min="12041" max="12041" width="10.28515625" style="4" customWidth="1"/>
    <col min="12042" max="12042" width="18.28515625" style="4" customWidth="1"/>
    <col min="12043" max="12043" width="9.140625" style="4"/>
    <col min="12044" max="12044" width="6.28515625" style="4" customWidth="1"/>
    <col min="12045" max="12288" width="9.140625" style="4"/>
    <col min="12289" max="12289" width="4.85546875" style="4" customWidth="1"/>
    <col min="12290" max="12290" width="48.140625" style="4" customWidth="1"/>
    <col min="12291" max="12291" width="13.42578125" style="4" customWidth="1"/>
    <col min="12292" max="12292" width="6.28515625" style="4" customWidth="1"/>
    <col min="12293" max="12293" width="8" style="4" customWidth="1"/>
    <col min="12294" max="12294" width="9.28515625" style="4" customWidth="1"/>
    <col min="12295" max="12295" width="11.28515625" style="4" customWidth="1"/>
    <col min="12296" max="12296" width="19.85546875" style="4" customWidth="1"/>
    <col min="12297" max="12297" width="10.28515625" style="4" customWidth="1"/>
    <col min="12298" max="12298" width="18.28515625" style="4" customWidth="1"/>
    <col min="12299" max="12299" width="9.140625" style="4"/>
    <col min="12300" max="12300" width="6.28515625" style="4" customWidth="1"/>
    <col min="12301" max="12544" width="9.140625" style="4"/>
    <col min="12545" max="12545" width="4.85546875" style="4" customWidth="1"/>
    <col min="12546" max="12546" width="48.140625" style="4" customWidth="1"/>
    <col min="12547" max="12547" width="13.42578125" style="4" customWidth="1"/>
    <col min="12548" max="12548" width="6.28515625" style="4" customWidth="1"/>
    <col min="12549" max="12549" width="8" style="4" customWidth="1"/>
    <col min="12550" max="12550" width="9.28515625" style="4" customWidth="1"/>
    <col min="12551" max="12551" width="11.28515625" style="4" customWidth="1"/>
    <col min="12552" max="12552" width="19.85546875" style="4" customWidth="1"/>
    <col min="12553" max="12553" width="10.28515625" style="4" customWidth="1"/>
    <col min="12554" max="12554" width="18.28515625" style="4" customWidth="1"/>
    <col min="12555" max="12555" width="9.140625" style="4"/>
    <col min="12556" max="12556" width="6.28515625" style="4" customWidth="1"/>
    <col min="12557" max="12800" width="9.140625" style="4"/>
    <col min="12801" max="12801" width="4.85546875" style="4" customWidth="1"/>
    <col min="12802" max="12802" width="48.140625" style="4" customWidth="1"/>
    <col min="12803" max="12803" width="13.42578125" style="4" customWidth="1"/>
    <col min="12804" max="12804" width="6.28515625" style="4" customWidth="1"/>
    <col min="12805" max="12805" width="8" style="4" customWidth="1"/>
    <col min="12806" max="12806" width="9.28515625" style="4" customWidth="1"/>
    <col min="12807" max="12807" width="11.28515625" style="4" customWidth="1"/>
    <col min="12808" max="12808" width="19.85546875" style="4" customWidth="1"/>
    <col min="12809" max="12809" width="10.28515625" style="4" customWidth="1"/>
    <col min="12810" max="12810" width="18.28515625" style="4" customWidth="1"/>
    <col min="12811" max="12811" width="9.140625" style="4"/>
    <col min="12812" max="12812" width="6.28515625" style="4" customWidth="1"/>
    <col min="12813" max="13056" width="9.140625" style="4"/>
    <col min="13057" max="13057" width="4.85546875" style="4" customWidth="1"/>
    <col min="13058" max="13058" width="48.140625" style="4" customWidth="1"/>
    <col min="13059" max="13059" width="13.42578125" style="4" customWidth="1"/>
    <col min="13060" max="13060" width="6.28515625" style="4" customWidth="1"/>
    <col min="13061" max="13061" width="8" style="4" customWidth="1"/>
    <col min="13062" max="13062" width="9.28515625" style="4" customWidth="1"/>
    <col min="13063" max="13063" width="11.28515625" style="4" customWidth="1"/>
    <col min="13064" max="13064" width="19.85546875" style="4" customWidth="1"/>
    <col min="13065" max="13065" width="10.28515625" style="4" customWidth="1"/>
    <col min="13066" max="13066" width="18.28515625" style="4" customWidth="1"/>
    <col min="13067" max="13067" width="9.140625" style="4"/>
    <col min="13068" max="13068" width="6.28515625" style="4" customWidth="1"/>
    <col min="13069" max="13312" width="9.140625" style="4"/>
    <col min="13313" max="13313" width="4.85546875" style="4" customWidth="1"/>
    <col min="13314" max="13314" width="48.140625" style="4" customWidth="1"/>
    <col min="13315" max="13315" width="13.42578125" style="4" customWidth="1"/>
    <col min="13316" max="13316" width="6.28515625" style="4" customWidth="1"/>
    <col min="13317" max="13317" width="8" style="4" customWidth="1"/>
    <col min="13318" max="13318" width="9.28515625" style="4" customWidth="1"/>
    <col min="13319" max="13319" width="11.28515625" style="4" customWidth="1"/>
    <col min="13320" max="13320" width="19.85546875" style="4" customWidth="1"/>
    <col min="13321" max="13321" width="10.28515625" style="4" customWidth="1"/>
    <col min="13322" max="13322" width="18.28515625" style="4" customWidth="1"/>
    <col min="13323" max="13323" width="9.140625" style="4"/>
    <col min="13324" max="13324" width="6.28515625" style="4" customWidth="1"/>
    <col min="13325" max="13568" width="9.140625" style="4"/>
    <col min="13569" max="13569" width="4.85546875" style="4" customWidth="1"/>
    <col min="13570" max="13570" width="48.140625" style="4" customWidth="1"/>
    <col min="13571" max="13571" width="13.42578125" style="4" customWidth="1"/>
    <col min="13572" max="13572" width="6.28515625" style="4" customWidth="1"/>
    <col min="13573" max="13573" width="8" style="4" customWidth="1"/>
    <col min="13574" max="13574" width="9.28515625" style="4" customWidth="1"/>
    <col min="13575" max="13575" width="11.28515625" style="4" customWidth="1"/>
    <col min="13576" max="13576" width="19.85546875" style="4" customWidth="1"/>
    <col min="13577" max="13577" width="10.28515625" style="4" customWidth="1"/>
    <col min="13578" max="13578" width="18.28515625" style="4" customWidth="1"/>
    <col min="13579" max="13579" width="9.140625" style="4"/>
    <col min="13580" max="13580" width="6.28515625" style="4" customWidth="1"/>
    <col min="13581" max="13824" width="9.140625" style="4"/>
    <col min="13825" max="13825" width="4.85546875" style="4" customWidth="1"/>
    <col min="13826" max="13826" width="48.140625" style="4" customWidth="1"/>
    <col min="13827" max="13827" width="13.42578125" style="4" customWidth="1"/>
    <col min="13828" max="13828" width="6.28515625" style="4" customWidth="1"/>
    <col min="13829" max="13829" width="8" style="4" customWidth="1"/>
    <col min="13830" max="13830" width="9.28515625" style="4" customWidth="1"/>
    <col min="13831" max="13831" width="11.28515625" style="4" customWidth="1"/>
    <col min="13832" max="13832" width="19.85546875" style="4" customWidth="1"/>
    <col min="13833" max="13833" width="10.28515625" style="4" customWidth="1"/>
    <col min="13834" max="13834" width="18.28515625" style="4" customWidth="1"/>
    <col min="13835" max="13835" width="9.140625" style="4"/>
    <col min="13836" max="13836" width="6.28515625" style="4" customWidth="1"/>
    <col min="13837" max="14080" width="9.140625" style="4"/>
    <col min="14081" max="14081" width="4.85546875" style="4" customWidth="1"/>
    <col min="14082" max="14082" width="48.140625" style="4" customWidth="1"/>
    <col min="14083" max="14083" width="13.42578125" style="4" customWidth="1"/>
    <col min="14084" max="14084" width="6.28515625" style="4" customWidth="1"/>
    <col min="14085" max="14085" width="8" style="4" customWidth="1"/>
    <col min="14086" max="14086" width="9.28515625" style="4" customWidth="1"/>
    <col min="14087" max="14087" width="11.28515625" style="4" customWidth="1"/>
    <col min="14088" max="14088" width="19.85546875" style="4" customWidth="1"/>
    <col min="14089" max="14089" width="10.28515625" style="4" customWidth="1"/>
    <col min="14090" max="14090" width="18.28515625" style="4" customWidth="1"/>
    <col min="14091" max="14091" width="9.140625" style="4"/>
    <col min="14092" max="14092" width="6.28515625" style="4" customWidth="1"/>
    <col min="14093" max="14336" width="9.140625" style="4"/>
    <col min="14337" max="14337" width="4.85546875" style="4" customWidth="1"/>
    <col min="14338" max="14338" width="48.140625" style="4" customWidth="1"/>
    <col min="14339" max="14339" width="13.42578125" style="4" customWidth="1"/>
    <col min="14340" max="14340" width="6.28515625" style="4" customWidth="1"/>
    <col min="14341" max="14341" width="8" style="4" customWidth="1"/>
    <col min="14342" max="14342" width="9.28515625" style="4" customWidth="1"/>
    <col min="14343" max="14343" width="11.28515625" style="4" customWidth="1"/>
    <col min="14344" max="14344" width="19.85546875" style="4" customWidth="1"/>
    <col min="14345" max="14345" width="10.28515625" style="4" customWidth="1"/>
    <col min="14346" max="14346" width="18.28515625" style="4" customWidth="1"/>
    <col min="14347" max="14347" width="9.140625" style="4"/>
    <col min="14348" max="14348" width="6.28515625" style="4" customWidth="1"/>
    <col min="14349" max="14592" width="9.140625" style="4"/>
    <col min="14593" max="14593" width="4.85546875" style="4" customWidth="1"/>
    <col min="14594" max="14594" width="48.140625" style="4" customWidth="1"/>
    <col min="14595" max="14595" width="13.42578125" style="4" customWidth="1"/>
    <col min="14596" max="14596" width="6.28515625" style="4" customWidth="1"/>
    <col min="14597" max="14597" width="8" style="4" customWidth="1"/>
    <col min="14598" max="14598" width="9.28515625" style="4" customWidth="1"/>
    <col min="14599" max="14599" width="11.28515625" style="4" customWidth="1"/>
    <col min="14600" max="14600" width="19.85546875" style="4" customWidth="1"/>
    <col min="14601" max="14601" width="10.28515625" style="4" customWidth="1"/>
    <col min="14602" max="14602" width="18.28515625" style="4" customWidth="1"/>
    <col min="14603" max="14603" width="9.140625" style="4"/>
    <col min="14604" max="14604" width="6.28515625" style="4" customWidth="1"/>
    <col min="14605" max="14848" width="9.140625" style="4"/>
    <col min="14849" max="14849" width="4.85546875" style="4" customWidth="1"/>
    <col min="14850" max="14850" width="48.140625" style="4" customWidth="1"/>
    <col min="14851" max="14851" width="13.42578125" style="4" customWidth="1"/>
    <col min="14852" max="14852" width="6.28515625" style="4" customWidth="1"/>
    <col min="14853" max="14853" width="8" style="4" customWidth="1"/>
    <col min="14854" max="14854" width="9.28515625" style="4" customWidth="1"/>
    <col min="14855" max="14855" width="11.28515625" style="4" customWidth="1"/>
    <col min="14856" max="14856" width="19.85546875" style="4" customWidth="1"/>
    <col min="14857" max="14857" width="10.28515625" style="4" customWidth="1"/>
    <col min="14858" max="14858" width="18.28515625" style="4" customWidth="1"/>
    <col min="14859" max="14859" width="9.140625" style="4"/>
    <col min="14860" max="14860" width="6.28515625" style="4" customWidth="1"/>
    <col min="14861" max="15104" width="9.140625" style="4"/>
    <col min="15105" max="15105" width="4.85546875" style="4" customWidth="1"/>
    <col min="15106" max="15106" width="48.140625" style="4" customWidth="1"/>
    <col min="15107" max="15107" width="13.42578125" style="4" customWidth="1"/>
    <col min="15108" max="15108" width="6.28515625" style="4" customWidth="1"/>
    <col min="15109" max="15109" width="8" style="4" customWidth="1"/>
    <col min="15110" max="15110" width="9.28515625" style="4" customWidth="1"/>
    <col min="15111" max="15111" width="11.28515625" style="4" customWidth="1"/>
    <col min="15112" max="15112" width="19.85546875" style="4" customWidth="1"/>
    <col min="15113" max="15113" width="10.28515625" style="4" customWidth="1"/>
    <col min="15114" max="15114" width="18.28515625" style="4" customWidth="1"/>
    <col min="15115" max="15115" width="9.140625" style="4"/>
    <col min="15116" max="15116" width="6.28515625" style="4" customWidth="1"/>
    <col min="15117" max="15360" width="9.140625" style="4"/>
    <col min="15361" max="15361" width="4.85546875" style="4" customWidth="1"/>
    <col min="15362" max="15362" width="48.140625" style="4" customWidth="1"/>
    <col min="15363" max="15363" width="13.42578125" style="4" customWidth="1"/>
    <col min="15364" max="15364" width="6.28515625" style="4" customWidth="1"/>
    <col min="15365" max="15365" width="8" style="4" customWidth="1"/>
    <col min="15366" max="15366" width="9.28515625" style="4" customWidth="1"/>
    <col min="15367" max="15367" width="11.28515625" style="4" customWidth="1"/>
    <col min="15368" max="15368" width="19.85546875" style="4" customWidth="1"/>
    <col min="15369" max="15369" width="10.28515625" style="4" customWidth="1"/>
    <col min="15370" max="15370" width="18.28515625" style="4" customWidth="1"/>
    <col min="15371" max="15371" width="9.140625" style="4"/>
    <col min="15372" max="15372" width="6.28515625" style="4" customWidth="1"/>
    <col min="15373" max="15616" width="9.140625" style="4"/>
    <col min="15617" max="15617" width="4.85546875" style="4" customWidth="1"/>
    <col min="15618" max="15618" width="48.140625" style="4" customWidth="1"/>
    <col min="15619" max="15619" width="13.42578125" style="4" customWidth="1"/>
    <col min="15620" max="15620" width="6.28515625" style="4" customWidth="1"/>
    <col min="15621" max="15621" width="8" style="4" customWidth="1"/>
    <col min="15622" max="15622" width="9.28515625" style="4" customWidth="1"/>
    <col min="15623" max="15623" width="11.28515625" style="4" customWidth="1"/>
    <col min="15624" max="15624" width="19.85546875" style="4" customWidth="1"/>
    <col min="15625" max="15625" width="10.28515625" style="4" customWidth="1"/>
    <col min="15626" max="15626" width="18.28515625" style="4" customWidth="1"/>
    <col min="15627" max="15627" width="9.140625" style="4"/>
    <col min="15628" max="15628" width="6.28515625" style="4" customWidth="1"/>
    <col min="15629" max="15872" width="9.140625" style="4"/>
    <col min="15873" max="15873" width="4.85546875" style="4" customWidth="1"/>
    <col min="15874" max="15874" width="48.140625" style="4" customWidth="1"/>
    <col min="15875" max="15875" width="13.42578125" style="4" customWidth="1"/>
    <col min="15876" max="15876" width="6.28515625" style="4" customWidth="1"/>
    <col min="15877" max="15877" width="8" style="4" customWidth="1"/>
    <col min="15878" max="15878" width="9.28515625" style="4" customWidth="1"/>
    <col min="15879" max="15879" width="11.28515625" style="4" customWidth="1"/>
    <col min="15880" max="15880" width="19.85546875" style="4" customWidth="1"/>
    <col min="15881" max="15881" width="10.28515625" style="4" customWidth="1"/>
    <col min="15882" max="15882" width="18.28515625" style="4" customWidth="1"/>
    <col min="15883" max="15883" width="9.140625" style="4"/>
    <col min="15884" max="15884" width="6.28515625" style="4" customWidth="1"/>
    <col min="15885" max="16128" width="9.140625" style="4"/>
    <col min="16129" max="16129" width="4.85546875" style="4" customWidth="1"/>
    <col min="16130" max="16130" width="48.140625" style="4" customWidth="1"/>
    <col min="16131" max="16131" width="13.42578125" style="4" customWidth="1"/>
    <col min="16132" max="16132" width="6.28515625" style="4" customWidth="1"/>
    <col min="16133" max="16133" width="8" style="4" customWidth="1"/>
    <col min="16134" max="16134" width="9.28515625" style="4" customWidth="1"/>
    <col min="16135" max="16135" width="11.28515625" style="4" customWidth="1"/>
    <col min="16136" max="16136" width="19.85546875" style="4" customWidth="1"/>
    <col min="16137" max="16137" width="10.28515625" style="4" customWidth="1"/>
    <col min="16138" max="16138" width="18.28515625" style="4" customWidth="1"/>
    <col min="16139" max="16139" width="9.140625" style="4"/>
    <col min="16140" max="16140" width="6.28515625" style="4" customWidth="1"/>
    <col min="16141" max="16384" width="9.140625" style="4"/>
  </cols>
  <sheetData>
    <row r="1" spans="1:14" ht="20.25" customHeight="1">
      <c r="B1" s="3074" t="s">
        <v>1555</v>
      </c>
      <c r="C1" s="3074"/>
      <c r="D1" s="472"/>
      <c r="E1" s="472"/>
      <c r="F1" s="472"/>
      <c r="G1" s="473"/>
      <c r="H1" s="474"/>
      <c r="I1" s="474"/>
      <c r="J1" s="474"/>
      <c r="K1" s="474"/>
      <c r="L1" s="474"/>
    </row>
    <row r="2" spans="1:14" ht="15.75" customHeight="1">
      <c r="A2" s="475"/>
      <c r="B2" s="476"/>
      <c r="C2" s="476"/>
      <c r="D2" s="476"/>
      <c r="E2" s="476"/>
      <c r="F2" s="3082" t="s">
        <v>89</v>
      </c>
      <c r="G2" s="3082"/>
      <c r="H2" s="474"/>
      <c r="I2" s="474"/>
      <c r="J2" s="474"/>
      <c r="K2" s="474"/>
      <c r="L2" s="474"/>
    </row>
    <row r="3" spans="1:14" ht="35.25" customHeight="1">
      <c r="B3" s="3083" t="s">
        <v>1556</v>
      </c>
      <c r="C3" s="3083"/>
      <c r="D3" s="3083"/>
      <c r="E3" s="3083"/>
      <c r="F3" s="3083"/>
      <c r="G3" s="3083"/>
      <c r="H3" s="474"/>
      <c r="I3" s="474"/>
      <c r="J3" s="474"/>
      <c r="K3" s="474"/>
      <c r="L3" s="474"/>
    </row>
    <row r="4" spans="1:14" ht="9.75" customHeight="1">
      <c r="A4" s="477"/>
      <c r="B4" s="477"/>
      <c r="C4" s="477"/>
      <c r="D4" s="477"/>
      <c r="E4" s="477"/>
      <c r="F4" s="477"/>
      <c r="G4" s="477"/>
      <c r="H4" s="474"/>
      <c r="I4" s="474"/>
      <c r="J4" s="474"/>
      <c r="K4" s="474"/>
      <c r="L4" s="474"/>
    </row>
    <row r="5" spans="1:14" ht="33" customHeight="1">
      <c r="A5" s="3084" t="s">
        <v>2</v>
      </c>
      <c r="B5" s="3084" t="s">
        <v>3</v>
      </c>
      <c r="C5" s="3085" t="s">
        <v>1421</v>
      </c>
      <c r="D5" s="3084" t="s">
        <v>5</v>
      </c>
      <c r="E5" s="3087" t="s">
        <v>1557</v>
      </c>
      <c r="F5" s="3087"/>
      <c r="G5" s="3087"/>
      <c r="H5" s="478"/>
      <c r="I5" s="478"/>
      <c r="J5" s="474"/>
      <c r="K5" s="474"/>
      <c r="L5" s="474"/>
    </row>
    <row r="6" spans="1:14" ht="17.25" customHeight="1">
      <c r="A6" s="3084"/>
      <c r="B6" s="3084"/>
      <c r="C6" s="3086"/>
      <c r="D6" s="3084"/>
      <c r="E6" s="479" t="s">
        <v>8</v>
      </c>
      <c r="F6" s="479" t="s">
        <v>9</v>
      </c>
      <c r="G6" s="479" t="s">
        <v>10</v>
      </c>
      <c r="H6" s="480"/>
      <c r="I6" s="480"/>
      <c r="J6" s="480"/>
      <c r="K6" s="480"/>
      <c r="L6" s="480"/>
    </row>
    <row r="7" spans="1:14" ht="15">
      <c r="A7" s="481">
        <v>1</v>
      </c>
      <c r="B7" s="481">
        <v>2</v>
      </c>
      <c r="C7" s="482">
        <v>3</v>
      </c>
      <c r="D7" s="481">
        <v>4</v>
      </c>
      <c r="E7" s="483">
        <v>5</v>
      </c>
      <c r="F7" s="483">
        <v>6</v>
      </c>
      <c r="G7" s="483">
        <v>7</v>
      </c>
      <c r="H7" s="480"/>
      <c r="I7" s="115"/>
      <c r="J7" s="4" t="s">
        <v>181</v>
      </c>
    </row>
    <row r="8" spans="1:14" ht="32.25" customHeight="1">
      <c r="A8" s="1223">
        <v>1</v>
      </c>
      <c r="B8" s="1185" t="s">
        <v>1558</v>
      </c>
      <c r="C8" s="1186">
        <v>7130601958</v>
      </c>
      <c r="D8" s="1187" t="s">
        <v>26</v>
      </c>
      <c r="E8" s="1224">
        <v>482.3</v>
      </c>
      <c r="F8" s="1225">
        <f>VLOOKUP(C8,'SOR RATE'!A:D,4,0)/1000</f>
        <v>64.326520000000002</v>
      </c>
      <c r="G8" s="1225">
        <f>F8*E8</f>
        <v>31024.680596000002</v>
      </c>
      <c r="H8" s="174"/>
      <c r="I8" s="174"/>
      <c r="J8" s="174"/>
      <c r="K8" s="174"/>
      <c r="L8" s="174"/>
      <c r="M8" s="174"/>
      <c r="N8" s="174"/>
    </row>
    <row r="9" spans="1:14" ht="17.25" customHeight="1">
      <c r="A9" s="1226">
        <v>2</v>
      </c>
      <c r="B9" s="1227" t="s">
        <v>1427</v>
      </c>
      <c r="C9" s="1223">
        <v>7130810595</v>
      </c>
      <c r="D9" s="1228" t="s">
        <v>12</v>
      </c>
      <c r="E9" s="1229">
        <v>1</v>
      </c>
      <c r="F9" s="1225">
        <f>VLOOKUP(C9,'SOR RATE'!A:D,4,0)</f>
        <v>3070.95</v>
      </c>
      <c r="G9" s="1225">
        <f>F9*E9</f>
        <v>3070.95</v>
      </c>
      <c r="I9" s="480"/>
      <c r="J9" s="480"/>
      <c r="K9" s="480"/>
    </row>
    <row r="10" spans="1:14" ht="17.25" customHeight="1">
      <c r="A10" s="3078">
        <v>3</v>
      </c>
      <c r="B10" s="1227" t="s">
        <v>1559</v>
      </c>
      <c r="C10" s="1230"/>
      <c r="D10" s="1231"/>
      <c r="E10" s="1231"/>
      <c r="F10" s="1231"/>
      <c r="G10" s="1232"/>
      <c r="H10" s="474"/>
      <c r="J10" s="484"/>
    </row>
    <row r="11" spans="1:14" ht="17.25" customHeight="1">
      <c r="A11" s="3079"/>
      <c r="B11" s="1185" t="s">
        <v>100</v>
      </c>
      <c r="C11" s="1186">
        <v>7130810692</v>
      </c>
      <c r="D11" s="1098" t="s">
        <v>15</v>
      </c>
      <c r="E11" s="1229">
        <v>1</v>
      </c>
      <c r="F11" s="1225">
        <f>VLOOKUP(C11,'SOR RATE'!A:D,4,0)</f>
        <v>410.25</v>
      </c>
      <c r="G11" s="1225">
        <f t="shared" ref="G11" si="0">F11*E11</f>
        <v>410.25</v>
      </c>
      <c r="H11" s="474"/>
      <c r="J11" s="115"/>
      <c r="K11" s="115"/>
    </row>
    <row r="12" spans="1:14" ht="17.25" customHeight="1">
      <c r="A12" s="1229">
        <v>4</v>
      </c>
      <c r="B12" s="1227" t="s">
        <v>1560</v>
      </c>
      <c r="C12" s="1223">
        <v>7130810676</v>
      </c>
      <c r="D12" s="1228" t="s">
        <v>12</v>
      </c>
      <c r="E12" s="1229">
        <v>1</v>
      </c>
      <c r="F12" s="1225">
        <f>VLOOKUP(C12,'SOR RATE'!A:D,4,0)</f>
        <v>510.95</v>
      </c>
      <c r="G12" s="1225">
        <f>F12*E12</f>
        <v>510.95</v>
      </c>
      <c r="H12" s="474"/>
      <c r="I12" s="124"/>
      <c r="J12" s="124"/>
      <c r="K12" s="124"/>
    </row>
    <row r="13" spans="1:14" ht="17.25" customHeight="1">
      <c r="A13" s="1223">
        <v>5</v>
      </c>
      <c r="B13" s="1227" t="s">
        <v>1431</v>
      </c>
      <c r="C13" s="1223">
        <v>7130870013</v>
      </c>
      <c r="D13" s="1228" t="s">
        <v>33</v>
      </c>
      <c r="E13" s="1229">
        <v>1</v>
      </c>
      <c r="F13" s="1225">
        <f>VLOOKUP(C13,'SOR RATE'!A:D,4,0)</f>
        <v>152.88999999999999</v>
      </c>
      <c r="G13" s="1225">
        <f>F13*E13</f>
        <v>152.88999999999999</v>
      </c>
      <c r="H13" s="485"/>
      <c r="I13" s="5"/>
      <c r="J13" s="5"/>
      <c r="K13" s="115"/>
      <c r="L13" s="115"/>
    </row>
    <row r="14" spans="1:14" ht="17.25" customHeight="1">
      <c r="A14" s="1226">
        <v>6</v>
      </c>
      <c r="B14" s="1233" t="s">
        <v>1432</v>
      </c>
      <c r="C14" s="1186">
        <v>7130820009</v>
      </c>
      <c r="D14" s="1234" t="s">
        <v>12</v>
      </c>
      <c r="E14" s="1235">
        <v>3</v>
      </c>
      <c r="F14" s="1225">
        <f>VLOOKUP(C14,'SOR RATE'!A:D,4,0)</f>
        <v>288.23</v>
      </c>
      <c r="G14" s="1236">
        <f>F14*E14</f>
        <v>864.69</v>
      </c>
      <c r="H14" s="474"/>
      <c r="J14" s="174"/>
      <c r="K14" s="174"/>
    </row>
    <row r="15" spans="1:14" ht="46.5" customHeight="1">
      <c r="A15" s="1223">
        <v>7</v>
      </c>
      <c r="B15" s="1237" t="s">
        <v>1561</v>
      </c>
      <c r="C15" s="1223">
        <v>7130200202</v>
      </c>
      <c r="D15" s="1228" t="s">
        <v>76</v>
      </c>
      <c r="E15" s="1225">
        <v>0.65</v>
      </c>
      <c r="F15" s="1225">
        <f>VLOOKUP(C15,'SOR RATE'!A:D,4,0)</f>
        <v>2970</v>
      </c>
      <c r="G15" s="1225">
        <f>E15*F15</f>
        <v>1930.5</v>
      </c>
      <c r="H15" s="486" t="s">
        <v>47</v>
      </c>
      <c r="I15" s="487"/>
      <c r="J15" s="487"/>
      <c r="K15" s="115"/>
    </row>
    <row r="16" spans="1:14" ht="17.25" customHeight="1">
      <c r="A16" s="1226">
        <v>8</v>
      </c>
      <c r="B16" s="1227" t="s">
        <v>28</v>
      </c>
      <c r="C16" s="1223">
        <v>7130211158</v>
      </c>
      <c r="D16" s="1228" t="s">
        <v>29</v>
      </c>
      <c r="E16" s="1229">
        <v>1</v>
      </c>
      <c r="F16" s="1225">
        <f>VLOOKUP(C16,'SOR RATE'!A:D,4,0)</f>
        <v>193.62</v>
      </c>
      <c r="G16" s="1225">
        <f>F16*E16</f>
        <v>193.62</v>
      </c>
      <c r="H16" s="474"/>
      <c r="I16" s="488"/>
      <c r="J16" s="115"/>
      <c r="K16" s="115"/>
    </row>
    <row r="17" spans="1:12" ht="17.25" customHeight="1">
      <c r="A17" s="1226">
        <v>9</v>
      </c>
      <c r="B17" s="1227" t="s">
        <v>30</v>
      </c>
      <c r="C17" s="1223">
        <v>7130210809</v>
      </c>
      <c r="D17" s="1228" t="s">
        <v>29</v>
      </c>
      <c r="E17" s="1229">
        <v>1</v>
      </c>
      <c r="F17" s="1225">
        <f>VLOOKUP(C17,'SOR RATE'!A:D,4,0)</f>
        <v>432.63</v>
      </c>
      <c r="G17" s="1225">
        <f>F17*E17</f>
        <v>432.63</v>
      </c>
    </row>
    <row r="18" spans="1:12" ht="17.25" customHeight="1">
      <c r="A18" s="1226">
        <v>10</v>
      </c>
      <c r="B18" s="1185" t="s">
        <v>1441</v>
      </c>
      <c r="C18" s="1186">
        <v>7130610206</v>
      </c>
      <c r="D18" s="1228" t="s">
        <v>26</v>
      </c>
      <c r="E18" s="1229">
        <v>2</v>
      </c>
      <c r="F18" s="1225">
        <f>VLOOKUP(C18,'SOR RATE'!A:D,4,0)/1000</f>
        <v>97.233429999999998</v>
      </c>
      <c r="G18" s="1225">
        <f>F18*E18</f>
        <v>194.46686</v>
      </c>
      <c r="H18" s="60"/>
      <c r="I18" s="239"/>
      <c r="J18" s="239"/>
      <c r="K18" s="17"/>
      <c r="L18" s="474"/>
    </row>
    <row r="19" spans="1:12" ht="17.25" customHeight="1">
      <c r="A19" s="1226">
        <v>11</v>
      </c>
      <c r="B19" s="1227" t="s">
        <v>1525</v>
      </c>
      <c r="C19" s="1223">
        <v>7130880041</v>
      </c>
      <c r="D19" s="1228" t="s">
        <v>12</v>
      </c>
      <c r="E19" s="1229">
        <v>1</v>
      </c>
      <c r="F19" s="1225">
        <f>VLOOKUP(C19,'SOR RATE'!A:D,4,0)</f>
        <v>113.77</v>
      </c>
      <c r="G19" s="1225">
        <f>F19*E19</f>
        <v>113.77</v>
      </c>
      <c r="H19" s="474"/>
      <c r="I19" s="474"/>
      <c r="J19" s="474"/>
      <c r="K19" s="474"/>
      <c r="L19" s="474"/>
    </row>
    <row r="20" spans="1:12" ht="17.25" customHeight="1">
      <c r="A20" s="1223">
        <v>12</v>
      </c>
      <c r="B20" s="1227" t="s">
        <v>1562</v>
      </c>
      <c r="C20" s="1223">
        <v>7130830006</v>
      </c>
      <c r="D20" s="1228" t="s">
        <v>26</v>
      </c>
      <c r="E20" s="1225">
        <v>0.5</v>
      </c>
      <c r="F20" s="1225">
        <f>VLOOKUP(C20,'SOR RATE'!A:D,4,0)</f>
        <v>201.5</v>
      </c>
      <c r="G20" s="1225">
        <f>F20*E20</f>
        <v>100.75</v>
      </c>
      <c r="H20" s="474"/>
      <c r="I20" s="474"/>
      <c r="J20" s="474"/>
      <c r="K20" s="474"/>
      <c r="L20" s="474"/>
    </row>
    <row r="21" spans="1:12" ht="18" customHeight="1">
      <c r="A21" s="3078">
        <v>13</v>
      </c>
      <c r="B21" s="1237" t="s">
        <v>1443</v>
      </c>
      <c r="C21" s="1238"/>
      <c r="D21" s="1228" t="s">
        <v>26</v>
      </c>
      <c r="E21" s="1224">
        <v>2.5</v>
      </c>
      <c r="F21" s="1225"/>
      <c r="G21" s="1225"/>
    </row>
    <row r="22" spans="1:12" ht="18" customHeight="1">
      <c r="A22" s="3080"/>
      <c r="B22" s="1227" t="s">
        <v>79</v>
      </c>
      <c r="C22" s="1223">
        <v>7130620609</v>
      </c>
      <c r="D22" s="1234" t="s">
        <v>26</v>
      </c>
      <c r="E22" s="1225">
        <v>0.5</v>
      </c>
      <c r="F22" s="1225">
        <f>VLOOKUP(C22,'SOR RATE'!A:D,4,0)</f>
        <v>87.23</v>
      </c>
      <c r="G22" s="1225">
        <f>F22*E22</f>
        <v>43.615000000000002</v>
      </c>
      <c r="H22" s="474"/>
      <c r="I22" s="474"/>
      <c r="J22" s="474"/>
      <c r="K22" s="474"/>
      <c r="L22" s="474"/>
    </row>
    <row r="23" spans="1:12" ht="18" customHeight="1">
      <c r="A23" s="3080"/>
      <c r="B23" s="1227" t="s">
        <v>111</v>
      </c>
      <c r="C23" s="1223">
        <v>7130620614</v>
      </c>
      <c r="D23" s="1234" t="s">
        <v>26</v>
      </c>
      <c r="E23" s="1229">
        <v>1</v>
      </c>
      <c r="F23" s="1225">
        <f>VLOOKUP(C23,'SOR RATE'!A:D,4,0)</f>
        <v>85.77</v>
      </c>
      <c r="G23" s="1225">
        <f>F23*E23</f>
        <v>85.77</v>
      </c>
      <c r="H23" s="474"/>
      <c r="I23" s="474"/>
      <c r="J23" s="474"/>
      <c r="K23" s="474"/>
      <c r="L23" s="474"/>
    </row>
    <row r="24" spans="1:12" ht="18" customHeight="1">
      <c r="A24" s="3080"/>
      <c r="B24" s="1227" t="s">
        <v>36</v>
      </c>
      <c r="C24" s="1223">
        <v>7130620619</v>
      </c>
      <c r="D24" s="1234" t="s">
        <v>26</v>
      </c>
      <c r="E24" s="1225"/>
      <c r="F24" s="1225">
        <f>VLOOKUP(C24,'SOR RATE'!A:D,4,0)</f>
        <v>85.77</v>
      </c>
      <c r="G24" s="1225"/>
      <c r="H24" s="474"/>
      <c r="I24" s="474"/>
      <c r="K24" s="474"/>
      <c r="L24" s="474"/>
    </row>
    <row r="25" spans="1:12" ht="18" customHeight="1">
      <c r="A25" s="3080"/>
      <c r="B25" s="1227" t="s">
        <v>112</v>
      </c>
      <c r="C25" s="1223">
        <v>7130620625</v>
      </c>
      <c r="D25" s="1234" t="s">
        <v>26</v>
      </c>
      <c r="E25" s="1229">
        <f>10/10</f>
        <v>1</v>
      </c>
      <c r="F25" s="1225">
        <f>VLOOKUP(C25,'SOR RATE'!A:D,4,0)</f>
        <v>84.32</v>
      </c>
      <c r="G25" s="1225">
        <f>F25*E25</f>
        <v>84.32</v>
      </c>
      <c r="H25" s="474"/>
      <c r="I25" s="474"/>
      <c r="J25" s="474"/>
      <c r="K25" s="474"/>
      <c r="L25" s="474"/>
    </row>
    <row r="26" spans="1:12" ht="18" customHeight="1">
      <c r="A26" s="3081"/>
      <c r="B26" s="1227" t="s">
        <v>37</v>
      </c>
      <c r="C26" s="1223">
        <v>7130620627</v>
      </c>
      <c r="D26" s="1234" t="s">
        <v>26</v>
      </c>
      <c r="E26" s="1225"/>
      <c r="F26" s="1225">
        <f>VLOOKUP(C26,'SOR RATE'!A:D,4,0)</f>
        <v>84.32</v>
      </c>
      <c r="G26" s="1225"/>
      <c r="H26" s="474"/>
      <c r="I26" s="474"/>
      <c r="J26" s="474"/>
      <c r="K26" s="474"/>
      <c r="L26" s="474"/>
    </row>
    <row r="27" spans="1:12" ht="18" customHeight="1">
      <c r="A27" s="1239">
        <v>14</v>
      </c>
      <c r="B27" s="1191" t="s">
        <v>48</v>
      </c>
      <c r="C27" s="1240"/>
      <c r="D27" s="1241"/>
      <c r="E27" s="926"/>
      <c r="F27" s="926"/>
      <c r="G27" s="926">
        <f>SUM(G8:G26)</f>
        <v>39213.852455999993</v>
      </c>
      <c r="H27" s="175"/>
      <c r="I27" s="489"/>
      <c r="J27" s="489"/>
      <c r="K27" s="489"/>
      <c r="L27" s="489"/>
    </row>
    <row r="28" spans="1:12" ht="17.25" customHeight="1">
      <c r="A28" s="1239">
        <v>15</v>
      </c>
      <c r="B28" s="1191" t="s">
        <v>49</v>
      </c>
      <c r="C28" s="1240"/>
      <c r="D28" s="1241"/>
      <c r="E28" s="926"/>
      <c r="F28" s="926"/>
      <c r="G28" s="926">
        <f>G27/1.18</f>
        <v>33232.078352542369</v>
      </c>
      <c r="H28" s="174"/>
      <c r="I28" s="489"/>
      <c r="J28" s="489"/>
      <c r="K28" s="489"/>
      <c r="L28" s="489"/>
    </row>
    <row r="29" spans="1:12" ht="17.25" customHeight="1">
      <c r="A29" s="1223">
        <v>16</v>
      </c>
      <c r="B29" s="1185" t="s">
        <v>50</v>
      </c>
      <c r="C29" s="1242"/>
      <c r="D29" s="1242"/>
      <c r="E29" s="1242"/>
      <c r="F29" s="1223">
        <v>7.4999999999999997E-2</v>
      </c>
      <c r="G29" s="1225">
        <f>G27*F29</f>
        <v>2941.0389341999994</v>
      </c>
      <c r="H29" s="16"/>
      <c r="I29" s="174"/>
      <c r="J29" s="474"/>
      <c r="K29" s="474"/>
      <c r="L29" s="474"/>
    </row>
    <row r="30" spans="1:12" ht="17.25" customHeight="1">
      <c r="A30" s="1223">
        <v>17</v>
      </c>
      <c r="B30" s="1200" t="s">
        <v>82</v>
      </c>
      <c r="C30" s="1242"/>
      <c r="D30" s="1228" t="s">
        <v>76</v>
      </c>
      <c r="E30" s="1225">
        <v>0.65</v>
      </c>
      <c r="F30" s="1202">
        <f>665.173187113158*1.043</f>
        <v>693.77563415902364</v>
      </c>
      <c r="G30" s="1225">
        <f>F30*E30</f>
        <v>450.9541622033654</v>
      </c>
      <c r="H30" s="200"/>
      <c r="I30" s="467"/>
      <c r="J30" s="474"/>
      <c r="K30" s="474"/>
      <c r="L30" s="474"/>
    </row>
    <row r="31" spans="1:12" ht="18" customHeight="1">
      <c r="A31" s="1223">
        <v>18</v>
      </c>
      <c r="B31" s="1227" t="s">
        <v>1662</v>
      </c>
      <c r="C31" s="1242"/>
      <c r="D31" s="1243"/>
      <c r="E31" s="1225"/>
      <c r="F31" s="1225"/>
      <c r="G31" s="1225">
        <v>3544.01</v>
      </c>
      <c r="H31" s="490"/>
      <c r="I31" s="491"/>
      <c r="J31" s="474"/>
      <c r="K31" s="474"/>
      <c r="L31" s="474"/>
    </row>
    <row r="32" spans="1:12" ht="18" customHeight="1">
      <c r="A32" s="1223">
        <v>19</v>
      </c>
      <c r="B32" s="1227" t="s">
        <v>1663</v>
      </c>
      <c r="C32" s="1242"/>
      <c r="D32" s="1234"/>
      <c r="E32" s="1225"/>
      <c r="F32" s="1225"/>
      <c r="G32" s="734">
        <f>G28*0.04</f>
        <v>1329.2831341016947</v>
      </c>
      <c r="H32" s="737" t="s">
        <v>1827</v>
      </c>
      <c r="I32" s="474"/>
      <c r="J32" s="402"/>
      <c r="K32" s="474"/>
      <c r="L32" s="474"/>
    </row>
    <row r="33" spans="1:12" ht="45.75" customHeight="1">
      <c r="A33" s="1226">
        <v>20</v>
      </c>
      <c r="B33" s="1233" t="s">
        <v>1563</v>
      </c>
      <c r="C33" s="1242"/>
      <c r="D33" s="1234"/>
      <c r="E33" s="1225"/>
      <c r="F33" s="1225"/>
      <c r="G33" s="734">
        <f>(G27+G29+G30+G31+G32)*0.125</f>
        <v>5934.8923358131315</v>
      </c>
      <c r="H33" s="492"/>
      <c r="I33" s="474"/>
      <c r="J33" s="402"/>
      <c r="K33" s="474"/>
      <c r="L33" s="474"/>
    </row>
    <row r="34" spans="1:12" ht="31.5" customHeight="1">
      <c r="A34" s="1241">
        <v>21</v>
      </c>
      <c r="B34" s="1214" t="s">
        <v>1564</v>
      </c>
      <c r="C34" s="1242"/>
      <c r="D34" s="1234"/>
      <c r="E34" s="1225"/>
      <c r="F34" s="1225"/>
      <c r="G34" s="926">
        <f>G28+G29+G30+G31+G32+G33</f>
        <v>47432.256918860556</v>
      </c>
      <c r="H34" s="180"/>
      <c r="I34" s="474"/>
      <c r="J34" s="474"/>
      <c r="K34" s="474"/>
      <c r="L34" s="474"/>
    </row>
    <row r="35" spans="1:12" ht="18.75" customHeight="1">
      <c r="A35" s="1223">
        <v>22</v>
      </c>
      <c r="B35" s="1185" t="s">
        <v>1565</v>
      </c>
      <c r="C35" s="1242"/>
      <c r="D35" s="1234"/>
      <c r="E35" s="1225"/>
      <c r="F35" s="1225">
        <v>0.09</v>
      </c>
      <c r="G35" s="1225">
        <f>G34*F35</f>
        <v>4268.9031226974503</v>
      </c>
      <c r="H35" s="180"/>
      <c r="I35" s="474"/>
      <c r="J35" s="474"/>
      <c r="K35" s="474"/>
      <c r="L35" s="474"/>
    </row>
    <row r="36" spans="1:12" ht="18.75" customHeight="1">
      <c r="A36" s="1223">
        <v>23</v>
      </c>
      <c r="B36" s="1185" t="s">
        <v>1566</v>
      </c>
      <c r="C36" s="1242"/>
      <c r="D36" s="1234"/>
      <c r="E36" s="1225"/>
      <c r="F36" s="1225">
        <v>0.09</v>
      </c>
      <c r="G36" s="1225">
        <f>G34*F36</f>
        <v>4268.9031226974503</v>
      </c>
      <c r="H36" s="398"/>
      <c r="I36" s="474"/>
      <c r="J36" s="474"/>
      <c r="K36" s="474"/>
      <c r="L36" s="474"/>
    </row>
    <row r="37" spans="1:12" ht="21.75" customHeight="1">
      <c r="A37" s="1223">
        <v>24</v>
      </c>
      <c r="B37" s="1185" t="s">
        <v>1567</v>
      </c>
      <c r="C37" s="1242"/>
      <c r="D37" s="1234"/>
      <c r="E37" s="1225"/>
      <c r="F37" s="1225"/>
      <c r="G37" s="926">
        <f>G34+G35+G36</f>
        <v>55970.063164255451</v>
      </c>
      <c r="H37" s="474"/>
      <c r="I37" s="474"/>
      <c r="J37" s="474"/>
      <c r="K37" s="474"/>
      <c r="L37" s="474"/>
    </row>
    <row r="38" spans="1:12" ht="33.75" customHeight="1">
      <c r="A38" s="1241">
        <v>25</v>
      </c>
      <c r="B38" s="1214" t="s">
        <v>59</v>
      </c>
      <c r="C38" s="1244"/>
      <c r="D38" s="1245"/>
      <c r="E38" s="1246"/>
      <c r="F38" s="1246"/>
      <c r="G38" s="926">
        <f>ROUND(G37,0)</f>
        <v>55970</v>
      </c>
      <c r="H38" s="474"/>
      <c r="I38" s="474"/>
      <c r="J38" s="474"/>
      <c r="K38" s="493"/>
      <c r="L38" s="474"/>
    </row>
    <row r="39" spans="1:12">
      <c r="A39" s="494"/>
      <c r="B39" s="474"/>
      <c r="C39" s="489"/>
      <c r="D39" s="494"/>
      <c r="E39" s="495"/>
      <c r="F39" s="495"/>
      <c r="G39" s="495"/>
      <c r="H39" s="474"/>
      <c r="I39" s="474"/>
      <c r="J39" s="474"/>
      <c r="K39" s="493"/>
      <c r="L39" s="474"/>
    </row>
  </sheetData>
  <mergeCells count="10">
    <mergeCell ref="A10:A11"/>
    <mergeCell ref="A21:A26"/>
    <mergeCell ref="B1:C1"/>
    <mergeCell ref="F2:G2"/>
    <mergeCell ref="B3:G3"/>
    <mergeCell ref="A5:A6"/>
    <mergeCell ref="B5:B6"/>
    <mergeCell ref="C5:C6"/>
    <mergeCell ref="D5:D6"/>
    <mergeCell ref="E5:G5"/>
  </mergeCells>
  <conditionalFormatting sqref="B27">
    <cfRule type="cellIs" dxfId="142" priority="2" stopIfTrue="1" operator="equal">
      <formula>"?"</formula>
    </cfRule>
  </conditionalFormatting>
  <conditionalFormatting sqref="B28">
    <cfRule type="cellIs" dxfId="141" priority="1" stopIfTrue="1" operator="equal">
      <formula>"?"</formula>
    </cfRule>
  </conditionalFormatting>
  <pageMargins left="0.94488188976377963" right="0.15748031496062992" top="0.51181102362204722" bottom="0.35433070866141736" header="0.31496062992125984" footer="0.15748031496062992"/>
  <pageSetup scale="12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6"/>
  <sheetViews>
    <sheetView zoomScaleNormal="100" workbookViewId="0">
      <pane xSplit="2" ySplit="6" topLeftCell="C35" activePane="bottomRight" state="frozen"/>
      <selection pane="topRight" activeCell="C1" sqref="C1"/>
      <selection pane="bottomLeft" activeCell="A7" sqref="A7"/>
      <selection pane="bottomRight" activeCell="H45" sqref="H45"/>
    </sheetView>
  </sheetViews>
  <sheetFormatPr defaultRowHeight="12.75"/>
  <cols>
    <col min="1" max="1" width="6.28515625" style="2877" customWidth="1"/>
    <col min="2" max="2" width="64.140625" style="4" customWidth="1"/>
    <col min="3" max="3" width="12.7109375" style="4" customWidth="1"/>
    <col min="4" max="4" width="6" style="4" customWidth="1"/>
    <col min="5" max="5" width="5.28515625" style="4" customWidth="1"/>
    <col min="6" max="6" width="9.140625" style="4"/>
    <col min="7" max="7" width="12.140625" style="4" customWidth="1"/>
    <col min="8" max="8" width="21.7109375" style="4" customWidth="1"/>
    <col min="9" max="9" width="20.5703125" style="4" customWidth="1"/>
    <col min="10" max="10" width="12.5703125" style="4" customWidth="1"/>
    <col min="11" max="11" width="3.28515625" style="4" bestFit="1" customWidth="1"/>
    <col min="12" max="12" width="3.42578125" style="4" customWidth="1"/>
    <col min="13" max="13" width="4" style="4" bestFit="1" customWidth="1"/>
    <col min="14" max="256" width="9.140625" style="4"/>
    <col min="257" max="257" width="6.28515625" style="4" customWidth="1"/>
    <col min="258" max="258" width="64.140625" style="4" customWidth="1"/>
    <col min="259" max="259" width="12.7109375" style="4" customWidth="1"/>
    <col min="260" max="260" width="6" style="4" customWidth="1"/>
    <col min="261" max="261" width="5.28515625" style="4" customWidth="1"/>
    <col min="262" max="262" width="9.140625" style="4"/>
    <col min="263" max="263" width="12.140625" style="4" customWidth="1"/>
    <col min="264" max="264" width="21.7109375" style="4" customWidth="1"/>
    <col min="265" max="265" width="20.5703125" style="4" customWidth="1"/>
    <col min="266" max="266" width="12.5703125" style="4" customWidth="1"/>
    <col min="267" max="267" width="3.28515625" style="4" bestFit="1" customWidth="1"/>
    <col min="268" max="268" width="3.42578125" style="4" customWidth="1"/>
    <col min="269" max="269" width="4" style="4" bestFit="1" customWidth="1"/>
    <col min="270" max="512" width="9.140625" style="4"/>
    <col min="513" max="513" width="6.28515625" style="4" customWidth="1"/>
    <col min="514" max="514" width="64.140625" style="4" customWidth="1"/>
    <col min="515" max="515" width="12.7109375" style="4" customWidth="1"/>
    <col min="516" max="516" width="6" style="4" customWidth="1"/>
    <col min="517" max="517" width="5.28515625" style="4" customWidth="1"/>
    <col min="518" max="518" width="9.140625" style="4"/>
    <col min="519" max="519" width="12.140625" style="4" customWidth="1"/>
    <col min="520" max="520" width="21.7109375" style="4" customWidth="1"/>
    <col min="521" max="521" width="20.5703125" style="4" customWidth="1"/>
    <col min="522" max="522" width="12.5703125" style="4" customWidth="1"/>
    <col min="523" max="523" width="3.28515625" style="4" bestFit="1" customWidth="1"/>
    <col min="524" max="524" width="3.42578125" style="4" customWidth="1"/>
    <col min="525" max="525" width="4" style="4" bestFit="1" customWidth="1"/>
    <col min="526" max="768" width="9.140625" style="4"/>
    <col min="769" max="769" width="6.28515625" style="4" customWidth="1"/>
    <col min="770" max="770" width="64.140625" style="4" customWidth="1"/>
    <col min="771" max="771" width="12.7109375" style="4" customWidth="1"/>
    <col min="772" max="772" width="6" style="4" customWidth="1"/>
    <col min="773" max="773" width="5.28515625" style="4" customWidth="1"/>
    <col min="774" max="774" width="9.140625" style="4"/>
    <col min="775" max="775" width="12.140625" style="4" customWidth="1"/>
    <col min="776" max="776" width="21.7109375" style="4" customWidth="1"/>
    <col min="777" max="777" width="20.5703125" style="4" customWidth="1"/>
    <col min="778" max="778" width="12.5703125" style="4" customWidth="1"/>
    <col min="779" max="779" width="3.28515625" style="4" bestFit="1" customWidth="1"/>
    <col min="780" max="780" width="3.42578125" style="4" customWidth="1"/>
    <col min="781" max="781" width="4" style="4" bestFit="1" customWidth="1"/>
    <col min="782" max="1024" width="9.140625" style="4"/>
    <col min="1025" max="1025" width="6.28515625" style="4" customWidth="1"/>
    <col min="1026" max="1026" width="64.140625" style="4" customWidth="1"/>
    <col min="1027" max="1027" width="12.7109375" style="4" customWidth="1"/>
    <col min="1028" max="1028" width="6" style="4" customWidth="1"/>
    <col min="1029" max="1029" width="5.28515625" style="4" customWidth="1"/>
    <col min="1030" max="1030" width="9.140625" style="4"/>
    <col min="1031" max="1031" width="12.140625" style="4" customWidth="1"/>
    <col min="1032" max="1032" width="21.7109375" style="4" customWidth="1"/>
    <col min="1033" max="1033" width="20.5703125" style="4" customWidth="1"/>
    <col min="1034" max="1034" width="12.5703125" style="4" customWidth="1"/>
    <col min="1035" max="1035" width="3.28515625" style="4" bestFit="1" customWidth="1"/>
    <col min="1036" max="1036" width="3.42578125" style="4" customWidth="1"/>
    <col min="1037" max="1037" width="4" style="4" bestFit="1" customWidth="1"/>
    <col min="1038" max="1280" width="9.140625" style="4"/>
    <col min="1281" max="1281" width="6.28515625" style="4" customWidth="1"/>
    <col min="1282" max="1282" width="64.140625" style="4" customWidth="1"/>
    <col min="1283" max="1283" width="12.7109375" style="4" customWidth="1"/>
    <col min="1284" max="1284" width="6" style="4" customWidth="1"/>
    <col min="1285" max="1285" width="5.28515625" style="4" customWidth="1"/>
    <col min="1286" max="1286" width="9.140625" style="4"/>
    <col min="1287" max="1287" width="12.140625" style="4" customWidth="1"/>
    <col min="1288" max="1288" width="21.7109375" style="4" customWidth="1"/>
    <col min="1289" max="1289" width="20.5703125" style="4" customWidth="1"/>
    <col min="1290" max="1290" width="12.5703125" style="4" customWidth="1"/>
    <col min="1291" max="1291" width="3.28515625" style="4" bestFit="1" customWidth="1"/>
    <col min="1292" max="1292" width="3.42578125" style="4" customWidth="1"/>
    <col min="1293" max="1293" width="4" style="4" bestFit="1" customWidth="1"/>
    <col min="1294" max="1536" width="9.140625" style="4"/>
    <col min="1537" max="1537" width="6.28515625" style="4" customWidth="1"/>
    <col min="1538" max="1538" width="64.140625" style="4" customWidth="1"/>
    <col min="1539" max="1539" width="12.7109375" style="4" customWidth="1"/>
    <col min="1540" max="1540" width="6" style="4" customWidth="1"/>
    <col min="1541" max="1541" width="5.28515625" style="4" customWidth="1"/>
    <col min="1542" max="1542" width="9.140625" style="4"/>
    <col min="1543" max="1543" width="12.140625" style="4" customWidth="1"/>
    <col min="1544" max="1544" width="21.7109375" style="4" customWidth="1"/>
    <col min="1545" max="1545" width="20.5703125" style="4" customWidth="1"/>
    <col min="1546" max="1546" width="12.5703125" style="4" customWidth="1"/>
    <col min="1547" max="1547" width="3.28515625" style="4" bestFit="1" customWidth="1"/>
    <col min="1548" max="1548" width="3.42578125" style="4" customWidth="1"/>
    <col min="1549" max="1549" width="4" style="4" bestFit="1" customWidth="1"/>
    <col min="1550" max="1792" width="9.140625" style="4"/>
    <col min="1793" max="1793" width="6.28515625" style="4" customWidth="1"/>
    <col min="1794" max="1794" width="64.140625" style="4" customWidth="1"/>
    <col min="1795" max="1795" width="12.7109375" style="4" customWidth="1"/>
    <col min="1796" max="1796" width="6" style="4" customWidth="1"/>
    <col min="1797" max="1797" width="5.28515625" style="4" customWidth="1"/>
    <col min="1798" max="1798" width="9.140625" style="4"/>
    <col min="1799" max="1799" width="12.140625" style="4" customWidth="1"/>
    <col min="1800" max="1800" width="21.7109375" style="4" customWidth="1"/>
    <col min="1801" max="1801" width="20.5703125" style="4" customWidth="1"/>
    <col min="1802" max="1802" width="12.5703125" style="4" customWidth="1"/>
    <col min="1803" max="1803" width="3.28515625" style="4" bestFit="1" customWidth="1"/>
    <col min="1804" max="1804" width="3.42578125" style="4" customWidth="1"/>
    <col min="1805" max="1805" width="4" style="4" bestFit="1" customWidth="1"/>
    <col min="1806" max="2048" width="9.140625" style="4"/>
    <col min="2049" max="2049" width="6.28515625" style="4" customWidth="1"/>
    <col min="2050" max="2050" width="64.140625" style="4" customWidth="1"/>
    <col min="2051" max="2051" width="12.7109375" style="4" customWidth="1"/>
    <col min="2052" max="2052" width="6" style="4" customWidth="1"/>
    <col min="2053" max="2053" width="5.28515625" style="4" customWidth="1"/>
    <col min="2054" max="2054" width="9.140625" style="4"/>
    <col min="2055" max="2055" width="12.140625" style="4" customWidth="1"/>
    <col min="2056" max="2056" width="21.7109375" style="4" customWidth="1"/>
    <col min="2057" max="2057" width="20.5703125" style="4" customWidth="1"/>
    <col min="2058" max="2058" width="12.5703125" style="4" customWidth="1"/>
    <col min="2059" max="2059" width="3.28515625" style="4" bestFit="1" customWidth="1"/>
    <col min="2060" max="2060" width="3.42578125" style="4" customWidth="1"/>
    <col min="2061" max="2061" width="4" style="4" bestFit="1" customWidth="1"/>
    <col min="2062" max="2304" width="9.140625" style="4"/>
    <col min="2305" max="2305" width="6.28515625" style="4" customWidth="1"/>
    <col min="2306" max="2306" width="64.140625" style="4" customWidth="1"/>
    <col min="2307" max="2307" width="12.7109375" style="4" customWidth="1"/>
    <col min="2308" max="2308" width="6" style="4" customWidth="1"/>
    <col min="2309" max="2309" width="5.28515625" style="4" customWidth="1"/>
    <col min="2310" max="2310" width="9.140625" style="4"/>
    <col min="2311" max="2311" width="12.140625" style="4" customWidth="1"/>
    <col min="2312" max="2312" width="21.7109375" style="4" customWidth="1"/>
    <col min="2313" max="2313" width="20.5703125" style="4" customWidth="1"/>
    <col min="2314" max="2314" width="12.5703125" style="4" customWidth="1"/>
    <col min="2315" max="2315" width="3.28515625" style="4" bestFit="1" customWidth="1"/>
    <col min="2316" max="2316" width="3.42578125" style="4" customWidth="1"/>
    <col min="2317" max="2317" width="4" style="4" bestFit="1" customWidth="1"/>
    <col min="2318" max="2560" width="9.140625" style="4"/>
    <col min="2561" max="2561" width="6.28515625" style="4" customWidth="1"/>
    <col min="2562" max="2562" width="64.140625" style="4" customWidth="1"/>
    <col min="2563" max="2563" width="12.7109375" style="4" customWidth="1"/>
    <col min="2564" max="2564" width="6" style="4" customWidth="1"/>
    <col min="2565" max="2565" width="5.28515625" style="4" customWidth="1"/>
    <col min="2566" max="2566" width="9.140625" style="4"/>
    <col min="2567" max="2567" width="12.140625" style="4" customWidth="1"/>
    <col min="2568" max="2568" width="21.7109375" style="4" customWidth="1"/>
    <col min="2569" max="2569" width="20.5703125" style="4" customWidth="1"/>
    <col min="2570" max="2570" width="12.5703125" style="4" customWidth="1"/>
    <col min="2571" max="2571" width="3.28515625" style="4" bestFit="1" customWidth="1"/>
    <col min="2572" max="2572" width="3.42578125" style="4" customWidth="1"/>
    <col min="2573" max="2573" width="4" style="4" bestFit="1" customWidth="1"/>
    <col min="2574" max="2816" width="9.140625" style="4"/>
    <col min="2817" max="2817" width="6.28515625" style="4" customWidth="1"/>
    <col min="2818" max="2818" width="64.140625" style="4" customWidth="1"/>
    <col min="2819" max="2819" width="12.7109375" style="4" customWidth="1"/>
    <col min="2820" max="2820" width="6" style="4" customWidth="1"/>
    <col min="2821" max="2821" width="5.28515625" style="4" customWidth="1"/>
    <col min="2822" max="2822" width="9.140625" style="4"/>
    <col min="2823" max="2823" width="12.140625" style="4" customWidth="1"/>
    <col min="2824" max="2824" width="21.7109375" style="4" customWidth="1"/>
    <col min="2825" max="2825" width="20.5703125" style="4" customWidth="1"/>
    <col min="2826" max="2826" width="12.5703125" style="4" customWidth="1"/>
    <col min="2827" max="2827" width="3.28515625" style="4" bestFit="1" customWidth="1"/>
    <col min="2828" max="2828" width="3.42578125" style="4" customWidth="1"/>
    <col min="2829" max="2829" width="4" style="4" bestFit="1" customWidth="1"/>
    <col min="2830" max="3072" width="9.140625" style="4"/>
    <col min="3073" max="3073" width="6.28515625" style="4" customWidth="1"/>
    <col min="3074" max="3074" width="64.140625" style="4" customWidth="1"/>
    <col min="3075" max="3075" width="12.7109375" style="4" customWidth="1"/>
    <col min="3076" max="3076" width="6" style="4" customWidth="1"/>
    <col min="3077" max="3077" width="5.28515625" style="4" customWidth="1"/>
    <col min="3078" max="3078" width="9.140625" style="4"/>
    <col min="3079" max="3079" width="12.140625" style="4" customWidth="1"/>
    <col min="3080" max="3080" width="21.7109375" style="4" customWidth="1"/>
    <col min="3081" max="3081" width="20.5703125" style="4" customWidth="1"/>
    <col min="3082" max="3082" width="12.5703125" style="4" customWidth="1"/>
    <col min="3083" max="3083" width="3.28515625" style="4" bestFit="1" customWidth="1"/>
    <col min="3084" max="3084" width="3.42578125" style="4" customWidth="1"/>
    <col min="3085" max="3085" width="4" style="4" bestFit="1" customWidth="1"/>
    <col min="3086" max="3328" width="9.140625" style="4"/>
    <col min="3329" max="3329" width="6.28515625" style="4" customWidth="1"/>
    <col min="3330" max="3330" width="64.140625" style="4" customWidth="1"/>
    <col min="3331" max="3331" width="12.7109375" style="4" customWidth="1"/>
    <col min="3332" max="3332" width="6" style="4" customWidth="1"/>
    <col min="3333" max="3333" width="5.28515625" style="4" customWidth="1"/>
    <col min="3334" max="3334" width="9.140625" style="4"/>
    <col min="3335" max="3335" width="12.140625" style="4" customWidth="1"/>
    <col min="3336" max="3336" width="21.7109375" style="4" customWidth="1"/>
    <col min="3337" max="3337" width="20.5703125" style="4" customWidth="1"/>
    <col min="3338" max="3338" width="12.5703125" style="4" customWidth="1"/>
    <col min="3339" max="3339" width="3.28515625" style="4" bestFit="1" customWidth="1"/>
    <col min="3340" max="3340" width="3.42578125" style="4" customWidth="1"/>
    <col min="3341" max="3341" width="4" style="4" bestFit="1" customWidth="1"/>
    <col min="3342" max="3584" width="9.140625" style="4"/>
    <col min="3585" max="3585" width="6.28515625" style="4" customWidth="1"/>
    <col min="3586" max="3586" width="64.140625" style="4" customWidth="1"/>
    <col min="3587" max="3587" width="12.7109375" style="4" customWidth="1"/>
    <col min="3588" max="3588" width="6" style="4" customWidth="1"/>
    <col min="3589" max="3589" width="5.28515625" style="4" customWidth="1"/>
    <col min="3590" max="3590" width="9.140625" style="4"/>
    <col min="3591" max="3591" width="12.140625" style="4" customWidth="1"/>
    <col min="3592" max="3592" width="21.7109375" style="4" customWidth="1"/>
    <col min="3593" max="3593" width="20.5703125" style="4" customWidth="1"/>
    <col min="3594" max="3594" width="12.5703125" style="4" customWidth="1"/>
    <col min="3595" max="3595" width="3.28515625" style="4" bestFit="1" customWidth="1"/>
    <col min="3596" max="3596" width="3.42578125" style="4" customWidth="1"/>
    <col min="3597" max="3597" width="4" style="4" bestFit="1" customWidth="1"/>
    <col min="3598" max="3840" width="9.140625" style="4"/>
    <col min="3841" max="3841" width="6.28515625" style="4" customWidth="1"/>
    <col min="3842" max="3842" width="64.140625" style="4" customWidth="1"/>
    <col min="3843" max="3843" width="12.7109375" style="4" customWidth="1"/>
    <col min="3844" max="3844" width="6" style="4" customWidth="1"/>
    <col min="3845" max="3845" width="5.28515625" style="4" customWidth="1"/>
    <col min="3846" max="3846" width="9.140625" style="4"/>
    <col min="3847" max="3847" width="12.140625" style="4" customWidth="1"/>
    <col min="3848" max="3848" width="21.7109375" style="4" customWidth="1"/>
    <col min="3849" max="3849" width="20.5703125" style="4" customWidth="1"/>
    <col min="3850" max="3850" width="12.5703125" style="4" customWidth="1"/>
    <col min="3851" max="3851" width="3.28515625" style="4" bestFit="1" customWidth="1"/>
    <col min="3852" max="3852" width="3.42578125" style="4" customWidth="1"/>
    <col min="3853" max="3853" width="4" style="4" bestFit="1" customWidth="1"/>
    <col min="3854" max="4096" width="9.140625" style="4"/>
    <col min="4097" max="4097" width="6.28515625" style="4" customWidth="1"/>
    <col min="4098" max="4098" width="64.140625" style="4" customWidth="1"/>
    <col min="4099" max="4099" width="12.7109375" style="4" customWidth="1"/>
    <col min="4100" max="4100" width="6" style="4" customWidth="1"/>
    <col min="4101" max="4101" width="5.28515625" style="4" customWidth="1"/>
    <col min="4102" max="4102" width="9.140625" style="4"/>
    <col min="4103" max="4103" width="12.140625" style="4" customWidth="1"/>
    <col min="4104" max="4104" width="21.7109375" style="4" customWidth="1"/>
    <col min="4105" max="4105" width="20.5703125" style="4" customWidth="1"/>
    <col min="4106" max="4106" width="12.5703125" style="4" customWidth="1"/>
    <col min="4107" max="4107" width="3.28515625" style="4" bestFit="1" customWidth="1"/>
    <col min="4108" max="4108" width="3.42578125" style="4" customWidth="1"/>
    <col min="4109" max="4109" width="4" style="4" bestFit="1" customWidth="1"/>
    <col min="4110" max="4352" width="9.140625" style="4"/>
    <col min="4353" max="4353" width="6.28515625" style="4" customWidth="1"/>
    <col min="4354" max="4354" width="64.140625" style="4" customWidth="1"/>
    <col min="4355" max="4355" width="12.7109375" style="4" customWidth="1"/>
    <col min="4356" max="4356" width="6" style="4" customWidth="1"/>
    <col min="4357" max="4357" width="5.28515625" style="4" customWidth="1"/>
    <col min="4358" max="4358" width="9.140625" style="4"/>
    <col min="4359" max="4359" width="12.140625" style="4" customWidth="1"/>
    <col min="4360" max="4360" width="21.7109375" style="4" customWidth="1"/>
    <col min="4361" max="4361" width="20.5703125" style="4" customWidth="1"/>
    <col min="4362" max="4362" width="12.5703125" style="4" customWidth="1"/>
    <col min="4363" max="4363" width="3.28515625" style="4" bestFit="1" customWidth="1"/>
    <col min="4364" max="4364" width="3.42578125" style="4" customWidth="1"/>
    <col min="4365" max="4365" width="4" style="4" bestFit="1" customWidth="1"/>
    <col min="4366" max="4608" width="9.140625" style="4"/>
    <col min="4609" max="4609" width="6.28515625" style="4" customWidth="1"/>
    <col min="4610" max="4610" width="64.140625" style="4" customWidth="1"/>
    <col min="4611" max="4611" width="12.7109375" style="4" customWidth="1"/>
    <col min="4612" max="4612" width="6" style="4" customWidth="1"/>
    <col min="4613" max="4613" width="5.28515625" style="4" customWidth="1"/>
    <col min="4614" max="4614" width="9.140625" style="4"/>
    <col min="4615" max="4615" width="12.140625" style="4" customWidth="1"/>
    <col min="4616" max="4616" width="21.7109375" style="4" customWidth="1"/>
    <col min="4617" max="4617" width="20.5703125" style="4" customWidth="1"/>
    <col min="4618" max="4618" width="12.5703125" style="4" customWidth="1"/>
    <col min="4619" max="4619" width="3.28515625" style="4" bestFit="1" customWidth="1"/>
    <col min="4620" max="4620" width="3.42578125" style="4" customWidth="1"/>
    <col min="4621" max="4621" width="4" style="4" bestFit="1" customWidth="1"/>
    <col min="4622" max="4864" width="9.140625" style="4"/>
    <col min="4865" max="4865" width="6.28515625" style="4" customWidth="1"/>
    <col min="4866" max="4866" width="64.140625" style="4" customWidth="1"/>
    <col min="4867" max="4867" width="12.7109375" style="4" customWidth="1"/>
    <col min="4868" max="4868" width="6" style="4" customWidth="1"/>
    <col min="4869" max="4869" width="5.28515625" style="4" customWidth="1"/>
    <col min="4870" max="4870" width="9.140625" style="4"/>
    <col min="4871" max="4871" width="12.140625" style="4" customWidth="1"/>
    <col min="4872" max="4872" width="21.7109375" style="4" customWidth="1"/>
    <col min="4873" max="4873" width="20.5703125" style="4" customWidth="1"/>
    <col min="4874" max="4874" width="12.5703125" style="4" customWidth="1"/>
    <col min="4875" max="4875" width="3.28515625" style="4" bestFit="1" customWidth="1"/>
    <col min="4876" max="4876" width="3.42578125" style="4" customWidth="1"/>
    <col min="4877" max="4877" width="4" style="4" bestFit="1" customWidth="1"/>
    <col min="4878" max="5120" width="9.140625" style="4"/>
    <col min="5121" max="5121" width="6.28515625" style="4" customWidth="1"/>
    <col min="5122" max="5122" width="64.140625" style="4" customWidth="1"/>
    <col min="5123" max="5123" width="12.7109375" style="4" customWidth="1"/>
    <col min="5124" max="5124" width="6" style="4" customWidth="1"/>
    <col min="5125" max="5125" width="5.28515625" style="4" customWidth="1"/>
    <col min="5126" max="5126" width="9.140625" style="4"/>
    <col min="5127" max="5127" width="12.140625" style="4" customWidth="1"/>
    <col min="5128" max="5128" width="21.7109375" style="4" customWidth="1"/>
    <col min="5129" max="5129" width="20.5703125" style="4" customWidth="1"/>
    <col min="5130" max="5130" width="12.5703125" style="4" customWidth="1"/>
    <col min="5131" max="5131" width="3.28515625" style="4" bestFit="1" customWidth="1"/>
    <col min="5132" max="5132" width="3.42578125" style="4" customWidth="1"/>
    <col min="5133" max="5133" width="4" style="4" bestFit="1" customWidth="1"/>
    <col min="5134" max="5376" width="9.140625" style="4"/>
    <col min="5377" max="5377" width="6.28515625" style="4" customWidth="1"/>
    <col min="5378" max="5378" width="64.140625" style="4" customWidth="1"/>
    <col min="5379" max="5379" width="12.7109375" style="4" customWidth="1"/>
    <col min="5380" max="5380" width="6" style="4" customWidth="1"/>
    <col min="5381" max="5381" width="5.28515625" style="4" customWidth="1"/>
    <col min="5382" max="5382" width="9.140625" style="4"/>
    <col min="5383" max="5383" width="12.140625" style="4" customWidth="1"/>
    <col min="5384" max="5384" width="21.7109375" style="4" customWidth="1"/>
    <col min="5385" max="5385" width="20.5703125" style="4" customWidth="1"/>
    <col min="5386" max="5386" width="12.5703125" style="4" customWidth="1"/>
    <col min="5387" max="5387" width="3.28515625" style="4" bestFit="1" customWidth="1"/>
    <col min="5388" max="5388" width="3.42578125" style="4" customWidth="1"/>
    <col min="5389" max="5389" width="4" style="4" bestFit="1" customWidth="1"/>
    <col min="5390" max="5632" width="9.140625" style="4"/>
    <col min="5633" max="5633" width="6.28515625" style="4" customWidth="1"/>
    <col min="5634" max="5634" width="64.140625" style="4" customWidth="1"/>
    <col min="5635" max="5635" width="12.7109375" style="4" customWidth="1"/>
    <col min="5636" max="5636" width="6" style="4" customWidth="1"/>
    <col min="5637" max="5637" width="5.28515625" style="4" customWidth="1"/>
    <col min="5638" max="5638" width="9.140625" style="4"/>
    <col min="5639" max="5639" width="12.140625" style="4" customWidth="1"/>
    <col min="5640" max="5640" width="21.7109375" style="4" customWidth="1"/>
    <col min="5641" max="5641" width="20.5703125" style="4" customWidth="1"/>
    <col min="5642" max="5642" width="12.5703125" style="4" customWidth="1"/>
    <col min="5643" max="5643" width="3.28515625" style="4" bestFit="1" customWidth="1"/>
    <col min="5644" max="5644" width="3.42578125" style="4" customWidth="1"/>
    <col min="5645" max="5645" width="4" style="4" bestFit="1" customWidth="1"/>
    <col min="5646" max="5888" width="9.140625" style="4"/>
    <col min="5889" max="5889" width="6.28515625" style="4" customWidth="1"/>
    <col min="5890" max="5890" width="64.140625" style="4" customWidth="1"/>
    <col min="5891" max="5891" width="12.7109375" style="4" customWidth="1"/>
    <col min="5892" max="5892" width="6" style="4" customWidth="1"/>
    <col min="5893" max="5893" width="5.28515625" style="4" customWidth="1"/>
    <col min="5894" max="5894" width="9.140625" style="4"/>
    <col min="5895" max="5895" width="12.140625" style="4" customWidth="1"/>
    <col min="5896" max="5896" width="21.7109375" style="4" customWidth="1"/>
    <col min="5897" max="5897" width="20.5703125" style="4" customWidth="1"/>
    <col min="5898" max="5898" width="12.5703125" style="4" customWidth="1"/>
    <col min="5899" max="5899" width="3.28515625" style="4" bestFit="1" customWidth="1"/>
    <col min="5900" max="5900" width="3.42578125" style="4" customWidth="1"/>
    <col min="5901" max="5901" width="4" style="4" bestFit="1" customWidth="1"/>
    <col min="5902" max="6144" width="9.140625" style="4"/>
    <col min="6145" max="6145" width="6.28515625" style="4" customWidth="1"/>
    <col min="6146" max="6146" width="64.140625" style="4" customWidth="1"/>
    <col min="6147" max="6147" width="12.7109375" style="4" customWidth="1"/>
    <col min="6148" max="6148" width="6" style="4" customWidth="1"/>
    <col min="6149" max="6149" width="5.28515625" style="4" customWidth="1"/>
    <col min="6150" max="6150" width="9.140625" style="4"/>
    <col min="6151" max="6151" width="12.140625" style="4" customWidth="1"/>
    <col min="6152" max="6152" width="21.7109375" style="4" customWidth="1"/>
    <col min="6153" max="6153" width="20.5703125" style="4" customWidth="1"/>
    <col min="6154" max="6154" width="12.5703125" style="4" customWidth="1"/>
    <col min="6155" max="6155" width="3.28515625" style="4" bestFit="1" customWidth="1"/>
    <col min="6156" max="6156" width="3.42578125" style="4" customWidth="1"/>
    <col min="6157" max="6157" width="4" style="4" bestFit="1" customWidth="1"/>
    <col min="6158" max="6400" width="9.140625" style="4"/>
    <col min="6401" max="6401" width="6.28515625" style="4" customWidth="1"/>
    <col min="6402" max="6402" width="64.140625" style="4" customWidth="1"/>
    <col min="6403" max="6403" width="12.7109375" style="4" customWidth="1"/>
    <col min="6404" max="6404" width="6" style="4" customWidth="1"/>
    <col min="6405" max="6405" width="5.28515625" style="4" customWidth="1"/>
    <col min="6406" max="6406" width="9.140625" style="4"/>
    <col min="6407" max="6407" width="12.140625" style="4" customWidth="1"/>
    <col min="6408" max="6408" width="21.7109375" style="4" customWidth="1"/>
    <col min="6409" max="6409" width="20.5703125" style="4" customWidth="1"/>
    <col min="6410" max="6410" width="12.5703125" style="4" customWidth="1"/>
    <col min="6411" max="6411" width="3.28515625" style="4" bestFit="1" customWidth="1"/>
    <col min="6412" max="6412" width="3.42578125" style="4" customWidth="1"/>
    <col min="6413" max="6413" width="4" style="4" bestFit="1" customWidth="1"/>
    <col min="6414" max="6656" width="9.140625" style="4"/>
    <col min="6657" max="6657" width="6.28515625" style="4" customWidth="1"/>
    <col min="6658" max="6658" width="64.140625" style="4" customWidth="1"/>
    <col min="6659" max="6659" width="12.7109375" style="4" customWidth="1"/>
    <col min="6660" max="6660" width="6" style="4" customWidth="1"/>
    <col min="6661" max="6661" width="5.28515625" style="4" customWidth="1"/>
    <col min="6662" max="6662" width="9.140625" style="4"/>
    <col min="6663" max="6663" width="12.140625" style="4" customWidth="1"/>
    <col min="6664" max="6664" width="21.7109375" style="4" customWidth="1"/>
    <col min="6665" max="6665" width="20.5703125" style="4" customWidth="1"/>
    <col min="6666" max="6666" width="12.5703125" style="4" customWidth="1"/>
    <col min="6667" max="6667" width="3.28515625" style="4" bestFit="1" customWidth="1"/>
    <col min="6668" max="6668" width="3.42578125" style="4" customWidth="1"/>
    <col min="6669" max="6669" width="4" style="4" bestFit="1" customWidth="1"/>
    <col min="6670" max="6912" width="9.140625" style="4"/>
    <col min="6913" max="6913" width="6.28515625" style="4" customWidth="1"/>
    <col min="6914" max="6914" width="64.140625" style="4" customWidth="1"/>
    <col min="6915" max="6915" width="12.7109375" style="4" customWidth="1"/>
    <col min="6916" max="6916" width="6" style="4" customWidth="1"/>
    <col min="6917" max="6917" width="5.28515625" style="4" customWidth="1"/>
    <col min="6918" max="6918" width="9.140625" style="4"/>
    <col min="6919" max="6919" width="12.140625" style="4" customWidth="1"/>
    <col min="6920" max="6920" width="21.7109375" style="4" customWidth="1"/>
    <col min="6921" max="6921" width="20.5703125" style="4" customWidth="1"/>
    <col min="6922" max="6922" width="12.5703125" style="4" customWidth="1"/>
    <col min="6923" max="6923" width="3.28515625" style="4" bestFit="1" customWidth="1"/>
    <col min="6924" max="6924" width="3.42578125" style="4" customWidth="1"/>
    <col min="6925" max="6925" width="4" style="4" bestFit="1" customWidth="1"/>
    <col min="6926" max="7168" width="9.140625" style="4"/>
    <col min="7169" max="7169" width="6.28515625" style="4" customWidth="1"/>
    <col min="7170" max="7170" width="64.140625" style="4" customWidth="1"/>
    <col min="7171" max="7171" width="12.7109375" style="4" customWidth="1"/>
    <col min="7172" max="7172" width="6" style="4" customWidth="1"/>
    <col min="7173" max="7173" width="5.28515625" style="4" customWidth="1"/>
    <col min="7174" max="7174" width="9.140625" style="4"/>
    <col min="7175" max="7175" width="12.140625" style="4" customWidth="1"/>
    <col min="7176" max="7176" width="21.7109375" style="4" customWidth="1"/>
    <col min="7177" max="7177" width="20.5703125" style="4" customWidth="1"/>
    <col min="7178" max="7178" width="12.5703125" style="4" customWidth="1"/>
    <col min="7179" max="7179" width="3.28515625" style="4" bestFit="1" customWidth="1"/>
    <col min="7180" max="7180" width="3.42578125" style="4" customWidth="1"/>
    <col min="7181" max="7181" width="4" style="4" bestFit="1" customWidth="1"/>
    <col min="7182" max="7424" width="9.140625" style="4"/>
    <col min="7425" max="7425" width="6.28515625" style="4" customWidth="1"/>
    <col min="7426" max="7426" width="64.140625" style="4" customWidth="1"/>
    <col min="7427" max="7427" width="12.7109375" style="4" customWidth="1"/>
    <col min="7428" max="7428" width="6" style="4" customWidth="1"/>
    <col min="7429" max="7429" width="5.28515625" style="4" customWidth="1"/>
    <col min="7430" max="7430" width="9.140625" style="4"/>
    <col min="7431" max="7431" width="12.140625" style="4" customWidth="1"/>
    <col min="7432" max="7432" width="21.7109375" style="4" customWidth="1"/>
    <col min="7433" max="7433" width="20.5703125" style="4" customWidth="1"/>
    <col min="7434" max="7434" width="12.5703125" style="4" customWidth="1"/>
    <col min="7435" max="7435" width="3.28515625" style="4" bestFit="1" customWidth="1"/>
    <col min="7436" max="7436" width="3.42578125" style="4" customWidth="1"/>
    <col min="7437" max="7437" width="4" style="4" bestFit="1" customWidth="1"/>
    <col min="7438" max="7680" width="9.140625" style="4"/>
    <col min="7681" max="7681" width="6.28515625" style="4" customWidth="1"/>
    <col min="7682" max="7682" width="64.140625" style="4" customWidth="1"/>
    <col min="7683" max="7683" width="12.7109375" style="4" customWidth="1"/>
    <col min="7684" max="7684" width="6" style="4" customWidth="1"/>
    <col min="7685" max="7685" width="5.28515625" style="4" customWidth="1"/>
    <col min="7686" max="7686" width="9.140625" style="4"/>
    <col min="7687" max="7687" width="12.140625" style="4" customWidth="1"/>
    <col min="7688" max="7688" width="21.7109375" style="4" customWidth="1"/>
    <col min="7689" max="7689" width="20.5703125" style="4" customWidth="1"/>
    <col min="7690" max="7690" width="12.5703125" style="4" customWidth="1"/>
    <col min="7691" max="7691" width="3.28515625" style="4" bestFit="1" customWidth="1"/>
    <col min="7692" max="7692" width="3.42578125" style="4" customWidth="1"/>
    <col min="7693" max="7693" width="4" style="4" bestFit="1" customWidth="1"/>
    <col min="7694" max="7936" width="9.140625" style="4"/>
    <col min="7937" max="7937" width="6.28515625" style="4" customWidth="1"/>
    <col min="7938" max="7938" width="64.140625" style="4" customWidth="1"/>
    <col min="7939" max="7939" width="12.7109375" style="4" customWidth="1"/>
    <col min="7940" max="7940" width="6" style="4" customWidth="1"/>
    <col min="7941" max="7941" width="5.28515625" style="4" customWidth="1"/>
    <col min="7942" max="7942" width="9.140625" style="4"/>
    <col min="7943" max="7943" width="12.140625" style="4" customWidth="1"/>
    <col min="7944" max="7944" width="21.7109375" style="4" customWidth="1"/>
    <col min="7945" max="7945" width="20.5703125" style="4" customWidth="1"/>
    <col min="7946" max="7946" width="12.5703125" style="4" customWidth="1"/>
    <col min="7947" max="7947" width="3.28515625" style="4" bestFit="1" customWidth="1"/>
    <col min="7948" max="7948" width="3.42578125" style="4" customWidth="1"/>
    <col min="7949" max="7949" width="4" style="4" bestFit="1" customWidth="1"/>
    <col min="7950" max="8192" width="9.140625" style="4"/>
    <col min="8193" max="8193" width="6.28515625" style="4" customWidth="1"/>
    <col min="8194" max="8194" width="64.140625" style="4" customWidth="1"/>
    <col min="8195" max="8195" width="12.7109375" style="4" customWidth="1"/>
    <col min="8196" max="8196" width="6" style="4" customWidth="1"/>
    <col min="8197" max="8197" width="5.28515625" style="4" customWidth="1"/>
    <col min="8198" max="8198" width="9.140625" style="4"/>
    <col min="8199" max="8199" width="12.140625" style="4" customWidth="1"/>
    <col min="8200" max="8200" width="21.7109375" style="4" customWidth="1"/>
    <col min="8201" max="8201" width="20.5703125" style="4" customWidth="1"/>
    <col min="8202" max="8202" width="12.5703125" style="4" customWidth="1"/>
    <col min="8203" max="8203" width="3.28515625" style="4" bestFit="1" customWidth="1"/>
    <col min="8204" max="8204" width="3.42578125" style="4" customWidth="1"/>
    <col min="8205" max="8205" width="4" style="4" bestFit="1" customWidth="1"/>
    <col min="8206" max="8448" width="9.140625" style="4"/>
    <col min="8449" max="8449" width="6.28515625" style="4" customWidth="1"/>
    <col min="8450" max="8450" width="64.140625" style="4" customWidth="1"/>
    <col min="8451" max="8451" width="12.7109375" style="4" customWidth="1"/>
    <col min="8452" max="8452" width="6" style="4" customWidth="1"/>
    <col min="8453" max="8453" width="5.28515625" style="4" customWidth="1"/>
    <col min="8454" max="8454" width="9.140625" style="4"/>
    <col min="8455" max="8455" width="12.140625" style="4" customWidth="1"/>
    <col min="8456" max="8456" width="21.7109375" style="4" customWidth="1"/>
    <col min="8457" max="8457" width="20.5703125" style="4" customWidth="1"/>
    <col min="8458" max="8458" width="12.5703125" style="4" customWidth="1"/>
    <col min="8459" max="8459" width="3.28515625" style="4" bestFit="1" customWidth="1"/>
    <col min="8460" max="8460" width="3.42578125" style="4" customWidth="1"/>
    <col min="8461" max="8461" width="4" style="4" bestFit="1" customWidth="1"/>
    <col min="8462" max="8704" width="9.140625" style="4"/>
    <col min="8705" max="8705" width="6.28515625" style="4" customWidth="1"/>
    <col min="8706" max="8706" width="64.140625" style="4" customWidth="1"/>
    <col min="8707" max="8707" width="12.7109375" style="4" customWidth="1"/>
    <col min="8708" max="8708" width="6" style="4" customWidth="1"/>
    <col min="8709" max="8709" width="5.28515625" style="4" customWidth="1"/>
    <col min="8710" max="8710" width="9.140625" style="4"/>
    <col min="8711" max="8711" width="12.140625" style="4" customWidth="1"/>
    <col min="8712" max="8712" width="21.7109375" style="4" customWidth="1"/>
    <col min="8713" max="8713" width="20.5703125" style="4" customWidth="1"/>
    <col min="8714" max="8714" width="12.5703125" style="4" customWidth="1"/>
    <col min="8715" max="8715" width="3.28515625" style="4" bestFit="1" customWidth="1"/>
    <col min="8716" max="8716" width="3.42578125" style="4" customWidth="1"/>
    <col min="8717" max="8717" width="4" style="4" bestFit="1" customWidth="1"/>
    <col min="8718" max="8960" width="9.140625" style="4"/>
    <col min="8961" max="8961" width="6.28515625" style="4" customWidth="1"/>
    <col min="8962" max="8962" width="64.140625" style="4" customWidth="1"/>
    <col min="8963" max="8963" width="12.7109375" style="4" customWidth="1"/>
    <col min="8964" max="8964" width="6" style="4" customWidth="1"/>
    <col min="8965" max="8965" width="5.28515625" style="4" customWidth="1"/>
    <col min="8966" max="8966" width="9.140625" style="4"/>
    <col min="8967" max="8967" width="12.140625" style="4" customWidth="1"/>
    <col min="8968" max="8968" width="21.7109375" style="4" customWidth="1"/>
    <col min="8969" max="8969" width="20.5703125" style="4" customWidth="1"/>
    <col min="8970" max="8970" width="12.5703125" style="4" customWidth="1"/>
    <col min="8971" max="8971" width="3.28515625" style="4" bestFit="1" customWidth="1"/>
    <col min="8972" max="8972" width="3.42578125" style="4" customWidth="1"/>
    <col min="8973" max="8973" width="4" style="4" bestFit="1" customWidth="1"/>
    <col min="8974" max="9216" width="9.140625" style="4"/>
    <col min="9217" max="9217" width="6.28515625" style="4" customWidth="1"/>
    <col min="9218" max="9218" width="64.140625" style="4" customWidth="1"/>
    <col min="9219" max="9219" width="12.7109375" style="4" customWidth="1"/>
    <col min="9220" max="9220" width="6" style="4" customWidth="1"/>
    <col min="9221" max="9221" width="5.28515625" style="4" customWidth="1"/>
    <col min="9222" max="9222" width="9.140625" style="4"/>
    <col min="9223" max="9223" width="12.140625" style="4" customWidth="1"/>
    <col min="9224" max="9224" width="21.7109375" style="4" customWidth="1"/>
    <col min="9225" max="9225" width="20.5703125" style="4" customWidth="1"/>
    <col min="9226" max="9226" width="12.5703125" style="4" customWidth="1"/>
    <col min="9227" max="9227" width="3.28515625" style="4" bestFit="1" customWidth="1"/>
    <col min="9228" max="9228" width="3.42578125" style="4" customWidth="1"/>
    <col min="9229" max="9229" width="4" style="4" bestFit="1" customWidth="1"/>
    <col min="9230" max="9472" width="9.140625" style="4"/>
    <col min="9473" max="9473" width="6.28515625" style="4" customWidth="1"/>
    <col min="9474" max="9474" width="64.140625" style="4" customWidth="1"/>
    <col min="9475" max="9475" width="12.7109375" style="4" customWidth="1"/>
    <col min="9476" max="9476" width="6" style="4" customWidth="1"/>
    <col min="9477" max="9477" width="5.28515625" style="4" customWidth="1"/>
    <col min="9478" max="9478" width="9.140625" style="4"/>
    <col min="9479" max="9479" width="12.140625" style="4" customWidth="1"/>
    <col min="9480" max="9480" width="21.7109375" style="4" customWidth="1"/>
    <col min="9481" max="9481" width="20.5703125" style="4" customWidth="1"/>
    <col min="9482" max="9482" width="12.5703125" style="4" customWidth="1"/>
    <col min="9483" max="9483" width="3.28515625" style="4" bestFit="1" customWidth="1"/>
    <col min="9484" max="9484" width="3.42578125" style="4" customWidth="1"/>
    <col min="9485" max="9485" width="4" style="4" bestFit="1" customWidth="1"/>
    <col min="9486" max="9728" width="9.140625" style="4"/>
    <col min="9729" max="9729" width="6.28515625" style="4" customWidth="1"/>
    <col min="9730" max="9730" width="64.140625" style="4" customWidth="1"/>
    <col min="9731" max="9731" width="12.7109375" style="4" customWidth="1"/>
    <col min="9732" max="9732" width="6" style="4" customWidth="1"/>
    <col min="9733" max="9733" width="5.28515625" style="4" customWidth="1"/>
    <col min="9734" max="9734" width="9.140625" style="4"/>
    <col min="9735" max="9735" width="12.140625" style="4" customWidth="1"/>
    <col min="9736" max="9736" width="21.7109375" style="4" customWidth="1"/>
    <col min="9737" max="9737" width="20.5703125" style="4" customWidth="1"/>
    <col min="9738" max="9738" width="12.5703125" style="4" customWidth="1"/>
    <col min="9739" max="9739" width="3.28515625" style="4" bestFit="1" customWidth="1"/>
    <col min="9740" max="9740" width="3.42578125" style="4" customWidth="1"/>
    <col min="9741" max="9741" width="4" style="4" bestFit="1" customWidth="1"/>
    <col min="9742" max="9984" width="9.140625" style="4"/>
    <col min="9985" max="9985" width="6.28515625" style="4" customWidth="1"/>
    <col min="9986" max="9986" width="64.140625" style="4" customWidth="1"/>
    <col min="9987" max="9987" width="12.7109375" style="4" customWidth="1"/>
    <col min="9988" max="9988" width="6" style="4" customWidth="1"/>
    <col min="9989" max="9989" width="5.28515625" style="4" customWidth="1"/>
    <col min="9990" max="9990" width="9.140625" style="4"/>
    <col min="9991" max="9991" width="12.140625" style="4" customWidth="1"/>
    <col min="9992" max="9992" width="21.7109375" style="4" customWidth="1"/>
    <col min="9993" max="9993" width="20.5703125" style="4" customWidth="1"/>
    <col min="9994" max="9994" width="12.5703125" style="4" customWidth="1"/>
    <col min="9995" max="9995" width="3.28515625" style="4" bestFit="1" customWidth="1"/>
    <col min="9996" max="9996" width="3.42578125" style="4" customWidth="1"/>
    <col min="9997" max="9997" width="4" style="4" bestFit="1" customWidth="1"/>
    <col min="9998" max="10240" width="9.140625" style="4"/>
    <col min="10241" max="10241" width="6.28515625" style="4" customWidth="1"/>
    <col min="10242" max="10242" width="64.140625" style="4" customWidth="1"/>
    <col min="10243" max="10243" width="12.7109375" style="4" customWidth="1"/>
    <col min="10244" max="10244" width="6" style="4" customWidth="1"/>
    <col min="10245" max="10245" width="5.28515625" style="4" customWidth="1"/>
    <col min="10246" max="10246" width="9.140625" style="4"/>
    <col min="10247" max="10247" width="12.140625" style="4" customWidth="1"/>
    <col min="10248" max="10248" width="21.7109375" style="4" customWidth="1"/>
    <col min="10249" max="10249" width="20.5703125" style="4" customWidth="1"/>
    <col min="10250" max="10250" width="12.5703125" style="4" customWidth="1"/>
    <col min="10251" max="10251" width="3.28515625" style="4" bestFit="1" customWidth="1"/>
    <col min="10252" max="10252" width="3.42578125" style="4" customWidth="1"/>
    <col min="10253" max="10253" width="4" style="4" bestFit="1" customWidth="1"/>
    <col min="10254" max="10496" width="9.140625" style="4"/>
    <col min="10497" max="10497" width="6.28515625" style="4" customWidth="1"/>
    <col min="10498" max="10498" width="64.140625" style="4" customWidth="1"/>
    <col min="10499" max="10499" width="12.7109375" style="4" customWidth="1"/>
    <col min="10500" max="10500" width="6" style="4" customWidth="1"/>
    <col min="10501" max="10501" width="5.28515625" style="4" customWidth="1"/>
    <col min="10502" max="10502" width="9.140625" style="4"/>
    <col min="10503" max="10503" width="12.140625" style="4" customWidth="1"/>
    <col min="10504" max="10504" width="21.7109375" style="4" customWidth="1"/>
    <col min="10505" max="10505" width="20.5703125" style="4" customWidth="1"/>
    <col min="10506" max="10506" width="12.5703125" style="4" customWidth="1"/>
    <col min="10507" max="10507" width="3.28515625" style="4" bestFit="1" customWidth="1"/>
    <col min="10508" max="10508" width="3.42578125" style="4" customWidth="1"/>
    <col min="10509" max="10509" width="4" style="4" bestFit="1" customWidth="1"/>
    <col min="10510" max="10752" width="9.140625" style="4"/>
    <col min="10753" max="10753" width="6.28515625" style="4" customWidth="1"/>
    <col min="10754" max="10754" width="64.140625" style="4" customWidth="1"/>
    <col min="10755" max="10755" width="12.7109375" style="4" customWidth="1"/>
    <col min="10756" max="10756" width="6" style="4" customWidth="1"/>
    <col min="10757" max="10757" width="5.28515625" style="4" customWidth="1"/>
    <col min="10758" max="10758" width="9.140625" style="4"/>
    <col min="10759" max="10759" width="12.140625" style="4" customWidth="1"/>
    <col min="10760" max="10760" width="21.7109375" style="4" customWidth="1"/>
    <col min="10761" max="10761" width="20.5703125" style="4" customWidth="1"/>
    <col min="10762" max="10762" width="12.5703125" style="4" customWidth="1"/>
    <col min="10763" max="10763" width="3.28515625" style="4" bestFit="1" customWidth="1"/>
    <col min="10764" max="10764" width="3.42578125" style="4" customWidth="1"/>
    <col min="10765" max="10765" width="4" style="4" bestFit="1" customWidth="1"/>
    <col min="10766" max="11008" width="9.140625" style="4"/>
    <col min="11009" max="11009" width="6.28515625" style="4" customWidth="1"/>
    <col min="11010" max="11010" width="64.140625" style="4" customWidth="1"/>
    <col min="11011" max="11011" width="12.7109375" style="4" customWidth="1"/>
    <col min="11012" max="11012" width="6" style="4" customWidth="1"/>
    <col min="11013" max="11013" width="5.28515625" style="4" customWidth="1"/>
    <col min="11014" max="11014" width="9.140625" style="4"/>
    <col min="11015" max="11015" width="12.140625" style="4" customWidth="1"/>
    <col min="11016" max="11016" width="21.7109375" style="4" customWidth="1"/>
    <col min="11017" max="11017" width="20.5703125" style="4" customWidth="1"/>
    <col min="11018" max="11018" width="12.5703125" style="4" customWidth="1"/>
    <col min="11019" max="11019" width="3.28515625" style="4" bestFit="1" customWidth="1"/>
    <col min="11020" max="11020" width="3.42578125" style="4" customWidth="1"/>
    <col min="11021" max="11021" width="4" style="4" bestFit="1" customWidth="1"/>
    <col min="11022" max="11264" width="9.140625" style="4"/>
    <col min="11265" max="11265" width="6.28515625" style="4" customWidth="1"/>
    <col min="11266" max="11266" width="64.140625" style="4" customWidth="1"/>
    <col min="11267" max="11267" width="12.7109375" style="4" customWidth="1"/>
    <col min="11268" max="11268" width="6" style="4" customWidth="1"/>
    <col min="11269" max="11269" width="5.28515625" style="4" customWidth="1"/>
    <col min="11270" max="11270" width="9.140625" style="4"/>
    <col min="11271" max="11271" width="12.140625" style="4" customWidth="1"/>
    <col min="11272" max="11272" width="21.7109375" style="4" customWidth="1"/>
    <col min="11273" max="11273" width="20.5703125" style="4" customWidth="1"/>
    <col min="11274" max="11274" width="12.5703125" style="4" customWidth="1"/>
    <col min="11275" max="11275" width="3.28515625" style="4" bestFit="1" customWidth="1"/>
    <col min="11276" max="11276" width="3.42578125" style="4" customWidth="1"/>
    <col min="11277" max="11277" width="4" style="4" bestFit="1" customWidth="1"/>
    <col min="11278" max="11520" width="9.140625" style="4"/>
    <col min="11521" max="11521" width="6.28515625" style="4" customWidth="1"/>
    <col min="11522" max="11522" width="64.140625" style="4" customWidth="1"/>
    <col min="11523" max="11523" width="12.7109375" style="4" customWidth="1"/>
    <col min="11524" max="11524" width="6" style="4" customWidth="1"/>
    <col min="11525" max="11525" width="5.28515625" style="4" customWidth="1"/>
    <col min="11526" max="11526" width="9.140625" style="4"/>
    <col min="11527" max="11527" width="12.140625" style="4" customWidth="1"/>
    <col min="11528" max="11528" width="21.7109375" style="4" customWidth="1"/>
    <col min="11529" max="11529" width="20.5703125" style="4" customWidth="1"/>
    <col min="11530" max="11530" width="12.5703125" style="4" customWidth="1"/>
    <col min="11531" max="11531" width="3.28515625" style="4" bestFit="1" customWidth="1"/>
    <col min="11532" max="11532" width="3.42578125" style="4" customWidth="1"/>
    <col min="11533" max="11533" width="4" style="4" bestFit="1" customWidth="1"/>
    <col min="11534" max="11776" width="9.140625" style="4"/>
    <col min="11777" max="11777" width="6.28515625" style="4" customWidth="1"/>
    <col min="11778" max="11778" width="64.140625" style="4" customWidth="1"/>
    <col min="11779" max="11779" width="12.7109375" style="4" customWidth="1"/>
    <col min="11780" max="11780" width="6" style="4" customWidth="1"/>
    <col min="11781" max="11781" width="5.28515625" style="4" customWidth="1"/>
    <col min="11782" max="11782" width="9.140625" style="4"/>
    <col min="11783" max="11783" width="12.140625" style="4" customWidth="1"/>
    <col min="11784" max="11784" width="21.7109375" style="4" customWidth="1"/>
    <col min="11785" max="11785" width="20.5703125" style="4" customWidth="1"/>
    <col min="11786" max="11786" width="12.5703125" style="4" customWidth="1"/>
    <col min="11787" max="11787" width="3.28515625" style="4" bestFit="1" customWidth="1"/>
    <col min="11788" max="11788" width="3.42578125" style="4" customWidth="1"/>
    <col min="11789" max="11789" width="4" style="4" bestFit="1" customWidth="1"/>
    <col min="11790" max="12032" width="9.140625" style="4"/>
    <col min="12033" max="12033" width="6.28515625" style="4" customWidth="1"/>
    <col min="12034" max="12034" width="64.140625" style="4" customWidth="1"/>
    <col min="12035" max="12035" width="12.7109375" style="4" customWidth="1"/>
    <col min="12036" max="12036" width="6" style="4" customWidth="1"/>
    <col min="12037" max="12037" width="5.28515625" style="4" customWidth="1"/>
    <col min="12038" max="12038" width="9.140625" style="4"/>
    <col min="12039" max="12039" width="12.140625" style="4" customWidth="1"/>
    <col min="12040" max="12040" width="21.7109375" style="4" customWidth="1"/>
    <col min="12041" max="12041" width="20.5703125" style="4" customWidth="1"/>
    <col min="12042" max="12042" width="12.5703125" style="4" customWidth="1"/>
    <col min="12043" max="12043" width="3.28515625" style="4" bestFit="1" customWidth="1"/>
    <col min="12044" max="12044" width="3.42578125" style="4" customWidth="1"/>
    <col min="12045" max="12045" width="4" style="4" bestFit="1" customWidth="1"/>
    <col min="12046" max="12288" width="9.140625" style="4"/>
    <col min="12289" max="12289" width="6.28515625" style="4" customWidth="1"/>
    <col min="12290" max="12290" width="64.140625" style="4" customWidth="1"/>
    <col min="12291" max="12291" width="12.7109375" style="4" customWidth="1"/>
    <col min="12292" max="12292" width="6" style="4" customWidth="1"/>
    <col min="12293" max="12293" width="5.28515625" style="4" customWidth="1"/>
    <col min="12294" max="12294" width="9.140625" style="4"/>
    <col min="12295" max="12295" width="12.140625" style="4" customWidth="1"/>
    <col min="12296" max="12296" width="21.7109375" style="4" customWidth="1"/>
    <col min="12297" max="12297" width="20.5703125" style="4" customWidth="1"/>
    <col min="12298" max="12298" width="12.5703125" style="4" customWidth="1"/>
    <col min="12299" max="12299" width="3.28515625" style="4" bestFit="1" customWidth="1"/>
    <col min="12300" max="12300" width="3.42578125" style="4" customWidth="1"/>
    <col min="12301" max="12301" width="4" style="4" bestFit="1" customWidth="1"/>
    <col min="12302" max="12544" width="9.140625" style="4"/>
    <col min="12545" max="12545" width="6.28515625" style="4" customWidth="1"/>
    <col min="12546" max="12546" width="64.140625" style="4" customWidth="1"/>
    <col min="12547" max="12547" width="12.7109375" style="4" customWidth="1"/>
    <col min="12548" max="12548" width="6" style="4" customWidth="1"/>
    <col min="12549" max="12549" width="5.28515625" style="4" customWidth="1"/>
    <col min="12550" max="12550" width="9.140625" style="4"/>
    <col min="12551" max="12551" width="12.140625" style="4" customWidth="1"/>
    <col min="12552" max="12552" width="21.7109375" style="4" customWidth="1"/>
    <col min="12553" max="12553" width="20.5703125" style="4" customWidth="1"/>
    <col min="12554" max="12554" width="12.5703125" style="4" customWidth="1"/>
    <col min="12555" max="12555" width="3.28515625" style="4" bestFit="1" customWidth="1"/>
    <col min="12556" max="12556" width="3.42578125" style="4" customWidth="1"/>
    <col min="12557" max="12557" width="4" style="4" bestFit="1" customWidth="1"/>
    <col min="12558" max="12800" width="9.140625" style="4"/>
    <col min="12801" max="12801" width="6.28515625" style="4" customWidth="1"/>
    <col min="12802" max="12802" width="64.140625" style="4" customWidth="1"/>
    <col min="12803" max="12803" width="12.7109375" style="4" customWidth="1"/>
    <col min="12804" max="12804" width="6" style="4" customWidth="1"/>
    <col min="12805" max="12805" width="5.28515625" style="4" customWidth="1"/>
    <col min="12806" max="12806" width="9.140625" style="4"/>
    <col min="12807" max="12807" width="12.140625" style="4" customWidth="1"/>
    <col min="12808" max="12808" width="21.7109375" style="4" customWidth="1"/>
    <col min="12809" max="12809" width="20.5703125" style="4" customWidth="1"/>
    <col min="12810" max="12810" width="12.5703125" style="4" customWidth="1"/>
    <col min="12811" max="12811" width="3.28515625" style="4" bestFit="1" customWidth="1"/>
    <col min="12812" max="12812" width="3.42578125" style="4" customWidth="1"/>
    <col min="12813" max="12813" width="4" style="4" bestFit="1" customWidth="1"/>
    <col min="12814" max="13056" width="9.140625" style="4"/>
    <col min="13057" max="13057" width="6.28515625" style="4" customWidth="1"/>
    <col min="13058" max="13058" width="64.140625" style="4" customWidth="1"/>
    <col min="13059" max="13059" width="12.7109375" style="4" customWidth="1"/>
    <col min="13060" max="13060" width="6" style="4" customWidth="1"/>
    <col min="13061" max="13061" width="5.28515625" style="4" customWidth="1"/>
    <col min="13062" max="13062" width="9.140625" style="4"/>
    <col min="13063" max="13063" width="12.140625" style="4" customWidth="1"/>
    <col min="13064" max="13064" width="21.7109375" style="4" customWidth="1"/>
    <col min="13065" max="13065" width="20.5703125" style="4" customWidth="1"/>
    <col min="13066" max="13066" width="12.5703125" style="4" customWidth="1"/>
    <col min="13067" max="13067" width="3.28515625" style="4" bestFit="1" customWidth="1"/>
    <col min="13068" max="13068" width="3.42578125" style="4" customWidth="1"/>
    <col min="13069" max="13069" width="4" style="4" bestFit="1" customWidth="1"/>
    <col min="13070" max="13312" width="9.140625" style="4"/>
    <col min="13313" max="13313" width="6.28515625" style="4" customWidth="1"/>
    <col min="13314" max="13314" width="64.140625" style="4" customWidth="1"/>
    <col min="13315" max="13315" width="12.7109375" style="4" customWidth="1"/>
    <col min="13316" max="13316" width="6" style="4" customWidth="1"/>
    <col min="13317" max="13317" width="5.28515625" style="4" customWidth="1"/>
    <col min="13318" max="13318" width="9.140625" style="4"/>
    <col min="13319" max="13319" width="12.140625" style="4" customWidth="1"/>
    <col min="13320" max="13320" width="21.7109375" style="4" customWidth="1"/>
    <col min="13321" max="13321" width="20.5703125" style="4" customWidth="1"/>
    <col min="13322" max="13322" width="12.5703125" style="4" customWidth="1"/>
    <col min="13323" max="13323" width="3.28515625" style="4" bestFit="1" customWidth="1"/>
    <col min="13324" max="13324" width="3.42578125" style="4" customWidth="1"/>
    <col min="13325" max="13325" width="4" style="4" bestFit="1" customWidth="1"/>
    <col min="13326" max="13568" width="9.140625" style="4"/>
    <col min="13569" max="13569" width="6.28515625" style="4" customWidth="1"/>
    <col min="13570" max="13570" width="64.140625" style="4" customWidth="1"/>
    <col min="13571" max="13571" width="12.7109375" style="4" customWidth="1"/>
    <col min="13572" max="13572" width="6" style="4" customWidth="1"/>
    <col min="13573" max="13573" width="5.28515625" style="4" customWidth="1"/>
    <col min="13574" max="13574" width="9.140625" style="4"/>
    <col min="13575" max="13575" width="12.140625" style="4" customWidth="1"/>
    <col min="13576" max="13576" width="21.7109375" style="4" customWidth="1"/>
    <col min="13577" max="13577" width="20.5703125" style="4" customWidth="1"/>
    <col min="13578" max="13578" width="12.5703125" style="4" customWidth="1"/>
    <col min="13579" max="13579" width="3.28515625" style="4" bestFit="1" customWidth="1"/>
    <col min="13580" max="13580" width="3.42578125" style="4" customWidth="1"/>
    <col min="13581" max="13581" width="4" style="4" bestFit="1" customWidth="1"/>
    <col min="13582" max="13824" width="9.140625" style="4"/>
    <col min="13825" max="13825" width="6.28515625" style="4" customWidth="1"/>
    <col min="13826" max="13826" width="64.140625" style="4" customWidth="1"/>
    <col min="13827" max="13827" width="12.7109375" style="4" customWidth="1"/>
    <col min="13828" max="13828" width="6" style="4" customWidth="1"/>
    <col min="13829" max="13829" width="5.28515625" style="4" customWidth="1"/>
    <col min="13830" max="13830" width="9.140625" style="4"/>
    <col min="13831" max="13831" width="12.140625" style="4" customWidth="1"/>
    <col min="13832" max="13832" width="21.7109375" style="4" customWidth="1"/>
    <col min="13833" max="13833" width="20.5703125" style="4" customWidth="1"/>
    <col min="13834" max="13834" width="12.5703125" style="4" customWidth="1"/>
    <col min="13835" max="13835" width="3.28515625" style="4" bestFit="1" customWidth="1"/>
    <col min="13836" max="13836" width="3.42578125" style="4" customWidth="1"/>
    <col min="13837" max="13837" width="4" style="4" bestFit="1" customWidth="1"/>
    <col min="13838" max="14080" width="9.140625" style="4"/>
    <col min="14081" max="14081" width="6.28515625" style="4" customWidth="1"/>
    <col min="14082" max="14082" width="64.140625" style="4" customWidth="1"/>
    <col min="14083" max="14083" width="12.7109375" style="4" customWidth="1"/>
    <col min="14084" max="14084" width="6" style="4" customWidth="1"/>
    <col min="14085" max="14085" width="5.28515625" style="4" customWidth="1"/>
    <col min="14086" max="14086" width="9.140625" style="4"/>
    <col min="14087" max="14087" width="12.140625" style="4" customWidth="1"/>
    <col min="14088" max="14088" width="21.7109375" style="4" customWidth="1"/>
    <col min="14089" max="14089" width="20.5703125" style="4" customWidth="1"/>
    <col min="14090" max="14090" width="12.5703125" style="4" customWidth="1"/>
    <col min="14091" max="14091" width="3.28515625" style="4" bestFit="1" customWidth="1"/>
    <col min="14092" max="14092" width="3.42578125" style="4" customWidth="1"/>
    <col min="14093" max="14093" width="4" style="4" bestFit="1" customWidth="1"/>
    <col min="14094" max="14336" width="9.140625" style="4"/>
    <col min="14337" max="14337" width="6.28515625" style="4" customWidth="1"/>
    <col min="14338" max="14338" width="64.140625" style="4" customWidth="1"/>
    <col min="14339" max="14339" width="12.7109375" style="4" customWidth="1"/>
    <col min="14340" max="14340" width="6" style="4" customWidth="1"/>
    <col min="14341" max="14341" width="5.28515625" style="4" customWidth="1"/>
    <col min="14342" max="14342" width="9.140625" style="4"/>
    <col min="14343" max="14343" width="12.140625" style="4" customWidth="1"/>
    <col min="14344" max="14344" width="21.7109375" style="4" customWidth="1"/>
    <col min="14345" max="14345" width="20.5703125" style="4" customWidth="1"/>
    <col min="14346" max="14346" width="12.5703125" style="4" customWidth="1"/>
    <col min="14347" max="14347" width="3.28515625" style="4" bestFit="1" customWidth="1"/>
    <col min="14348" max="14348" width="3.42578125" style="4" customWidth="1"/>
    <col min="14349" max="14349" width="4" style="4" bestFit="1" customWidth="1"/>
    <col min="14350" max="14592" width="9.140625" style="4"/>
    <col min="14593" max="14593" width="6.28515625" style="4" customWidth="1"/>
    <col min="14594" max="14594" width="64.140625" style="4" customWidth="1"/>
    <col min="14595" max="14595" width="12.7109375" style="4" customWidth="1"/>
    <col min="14596" max="14596" width="6" style="4" customWidth="1"/>
    <col min="14597" max="14597" width="5.28515625" style="4" customWidth="1"/>
    <col min="14598" max="14598" width="9.140625" style="4"/>
    <col min="14599" max="14599" width="12.140625" style="4" customWidth="1"/>
    <col min="14600" max="14600" width="21.7109375" style="4" customWidth="1"/>
    <col min="14601" max="14601" width="20.5703125" style="4" customWidth="1"/>
    <col min="14602" max="14602" width="12.5703125" style="4" customWidth="1"/>
    <col min="14603" max="14603" width="3.28515625" style="4" bestFit="1" customWidth="1"/>
    <col min="14604" max="14604" width="3.42578125" style="4" customWidth="1"/>
    <col min="14605" max="14605" width="4" style="4" bestFit="1" customWidth="1"/>
    <col min="14606" max="14848" width="9.140625" style="4"/>
    <col min="14849" max="14849" width="6.28515625" style="4" customWidth="1"/>
    <col min="14850" max="14850" width="64.140625" style="4" customWidth="1"/>
    <col min="14851" max="14851" width="12.7109375" style="4" customWidth="1"/>
    <col min="14852" max="14852" width="6" style="4" customWidth="1"/>
    <col min="14853" max="14853" width="5.28515625" style="4" customWidth="1"/>
    <col min="14854" max="14854" width="9.140625" style="4"/>
    <col min="14855" max="14855" width="12.140625" style="4" customWidth="1"/>
    <col min="14856" max="14856" width="21.7109375" style="4" customWidth="1"/>
    <col min="14857" max="14857" width="20.5703125" style="4" customWidth="1"/>
    <col min="14858" max="14858" width="12.5703125" style="4" customWidth="1"/>
    <col min="14859" max="14859" width="3.28515625" style="4" bestFit="1" customWidth="1"/>
    <col min="14860" max="14860" width="3.42578125" style="4" customWidth="1"/>
    <col min="14861" max="14861" width="4" style="4" bestFit="1" customWidth="1"/>
    <col min="14862" max="15104" width="9.140625" style="4"/>
    <col min="15105" max="15105" width="6.28515625" style="4" customWidth="1"/>
    <col min="15106" max="15106" width="64.140625" style="4" customWidth="1"/>
    <col min="15107" max="15107" width="12.7109375" style="4" customWidth="1"/>
    <col min="15108" max="15108" width="6" style="4" customWidth="1"/>
    <col min="15109" max="15109" width="5.28515625" style="4" customWidth="1"/>
    <col min="15110" max="15110" width="9.140625" style="4"/>
    <col min="15111" max="15111" width="12.140625" style="4" customWidth="1"/>
    <col min="15112" max="15112" width="21.7109375" style="4" customWidth="1"/>
    <col min="15113" max="15113" width="20.5703125" style="4" customWidth="1"/>
    <col min="15114" max="15114" width="12.5703125" style="4" customWidth="1"/>
    <col min="15115" max="15115" width="3.28515625" style="4" bestFit="1" customWidth="1"/>
    <col min="15116" max="15116" width="3.42578125" style="4" customWidth="1"/>
    <col min="15117" max="15117" width="4" style="4" bestFit="1" customWidth="1"/>
    <col min="15118" max="15360" width="9.140625" style="4"/>
    <col min="15361" max="15361" width="6.28515625" style="4" customWidth="1"/>
    <col min="15362" max="15362" width="64.140625" style="4" customWidth="1"/>
    <col min="15363" max="15363" width="12.7109375" style="4" customWidth="1"/>
    <col min="15364" max="15364" width="6" style="4" customWidth="1"/>
    <col min="15365" max="15365" width="5.28515625" style="4" customWidth="1"/>
    <col min="15366" max="15366" width="9.140625" style="4"/>
    <col min="15367" max="15367" width="12.140625" style="4" customWidth="1"/>
    <col min="15368" max="15368" width="21.7109375" style="4" customWidth="1"/>
    <col min="15369" max="15369" width="20.5703125" style="4" customWidth="1"/>
    <col min="15370" max="15370" width="12.5703125" style="4" customWidth="1"/>
    <col min="15371" max="15371" width="3.28515625" style="4" bestFit="1" customWidth="1"/>
    <col min="15372" max="15372" width="3.42578125" style="4" customWidth="1"/>
    <col min="15373" max="15373" width="4" style="4" bestFit="1" customWidth="1"/>
    <col min="15374" max="15616" width="9.140625" style="4"/>
    <col min="15617" max="15617" width="6.28515625" style="4" customWidth="1"/>
    <col min="15618" max="15618" width="64.140625" style="4" customWidth="1"/>
    <col min="15619" max="15619" width="12.7109375" style="4" customWidth="1"/>
    <col min="15620" max="15620" width="6" style="4" customWidth="1"/>
    <col min="15621" max="15621" width="5.28515625" style="4" customWidth="1"/>
    <col min="15622" max="15622" width="9.140625" style="4"/>
    <col min="15623" max="15623" width="12.140625" style="4" customWidth="1"/>
    <col min="15624" max="15624" width="21.7109375" style="4" customWidth="1"/>
    <col min="15625" max="15625" width="20.5703125" style="4" customWidth="1"/>
    <col min="15626" max="15626" width="12.5703125" style="4" customWidth="1"/>
    <col min="15627" max="15627" width="3.28515625" style="4" bestFit="1" customWidth="1"/>
    <col min="15628" max="15628" width="3.42578125" style="4" customWidth="1"/>
    <col min="15629" max="15629" width="4" style="4" bestFit="1" customWidth="1"/>
    <col min="15630" max="15872" width="9.140625" style="4"/>
    <col min="15873" max="15873" width="6.28515625" style="4" customWidth="1"/>
    <col min="15874" max="15874" width="64.140625" style="4" customWidth="1"/>
    <col min="15875" max="15875" width="12.7109375" style="4" customWidth="1"/>
    <col min="15876" max="15876" width="6" style="4" customWidth="1"/>
    <col min="15877" max="15877" width="5.28515625" style="4" customWidth="1"/>
    <col min="15878" max="15878" width="9.140625" style="4"/>
    <col min="15879" max="15879" width="12.140625" style="4" customWidth="1"/>
    <col min="15880" max="15880" width="21.7109375" style="4" customWidth="1"/>
    <col min="15881" max="15881" width="20.5703125" style="4" customWidth="1"/>
    <col min="15882" max="15882" width="12.5703125" style="4" customWidth="1"/>
    <col min="15883" max="15883" width="3.28515625" style="4" bestFit="1" customWidth="1"/>
    <col min="15884" max="15884" width="3.42578125" style="4" customWidth="1"/>
    <col min="15885" max="15885" width="4" style="4" bestFit="1" customWidth="1"/>
    <col min="15886" max="16128" width="9.140625" style="4"/>
    <col min="16129" max="16129" width="6.28515625" style="4" customWidth="1"/>
    <col min="16130" max="16130" width="64.140625" style="4" customWidth="1"/>
    <col min="16131" max="16131" width="12.7109375" style="4" customWidth="1"/>
    <col min="16132" max="16132" width="6" style="4" customWidth="1"/>
    <col min="16133" max="16133" width="5.28515625" style="4" customWidth="1"/>
    <col min="16134" max="16134" width="9.140625" style="4"/>
    <col min="16135" max="16135" width="12.140625" style="4" customWidth="1"/>
    <col min="16136" max="16136" width="21.7109375" style="4" customWidth="1"/>
    <col min="16137" max="16137" width="20.5703125" style="4" customWidth="1"/>
    <col min="16138" max="16138" width="12.5703125" style="4" customWidth="1"/>
    <col min="16139" max="16139" width="3.28515625" style="4" bestFit="1" customWidth="1"/>
    <col min="16140" max="16140" width="3.42578125" style="4" customWidth="1"/>
    <col min="16141" max="16141" width="4" style="4" bestFit="1" customWidth="1"/>
    <col min="16142" max="16384" width="9.140625" style="4"/>
  </cols>
  <sheetData>
    <row r="1" spans="1:10" ht="18" customHeight="1">
      <c r="B1" s="3356" t="s">
        <v>2993</v>
      </c>
      <c r="C1" s="3356"/>
      <c r="D1" s="751"/>
      <c r="E1" s="751"/>
      <c r="F1" s="751"/>
      <c r="G1" s="751"/>
      <c r="H1" s="12"/>
      <c r="I1" s="12"/>
    </row>
    <row r="2" spans="1:10" ht="17.25" customHeight="1">
      <c r="A2" s="176"/>
      <c r="B2" s="751"/>
      <c r="C2" s="751"/>
      <c r="D2" s="751"/>
      <c r="E2" s="751"/>
      <c r="F2" s="3075" t="s">
        <v>89</v>
      </c>
      <c r="G2" s="3075"/>
      <c r="H2" s="12"/>
      <c r="I2" s="12"/>
    </row>
    <row r="3" spans="1:10" ht="15" customHeight="1">
      <c r="A3" s="2878"/>
      <c r="B3" s="3061" t="s">
        <v>2994</v>
      </c>
      <c r="C3" s="3061"/>
      <c r="D3" s="3061"/>
      <c r="E3" s="405"/>
      <c r="F3" s="405"/>
      <c r="G3" s="405"/>
    </row>
    <row r="4" spans="1:10" ht="11.25" customHeight="1">
      <c r="A4" s="2899"/>
      <c r="B4" s="405"/>
      <c r="C4" s="405"/>
      <c r="D4" s="405"/>
      <c r="E4" s="405"/>
      <c r="F4" s="405"/>
      <c r="G4" s="405"/>
    </row>
    <row r="5" spans="1:10" ht="30">
      <c r="A5" s="190" t="s">
        <v>2</v>
      </c>
      <c r="B5" s="190" t="s">
        <v>3</v>
      </c>
      <c r="C5" s="2872" t="s">
        <v>1720</v>
      </c>
      <c r="D5" s="190" t="s">
        <v>5</v>
      </c>
      <c r="E5" s="190" t="s">
        <v>143</v>
      </c>
      <c r="F5" s="190" t="s">
        <v>1816</v>
      </c>
      <c r="G5" s="190" t="s">
        <v>1668</v>
      </c>
    </row>
    <row r="6" spans="1:10" ht="15">
      <c r="A6" s="190">
        <v>1</v>
      </c>
      <c r="B6" s="190">
        <v>2</v>
      </c>
      <c r="C6" s="2872">
        <v>3</v>
      </c>
      <c r="D6" s="2885">
        <v>4</v>
      </c>
      <c r="E6" s="190">
        <v>5</v>
      </c>
      <c r="F6" s="190">
        <v>6</v>
      </c>
      <c r="G6" s="190">
        <v>7</v>
      </c>
      <c r="H6" s="2900"/>
      <c r="I6" s="12"/>
    </row>
    <row r="7" spans="1:10" ht="16.5" customHeight="1">
      <c r="A7" s="2889">
        <v>1</v>
      </c>
      <c r="B7" s="1182" t="s">
        <v>2995</v>
      </c>
      <c r="C7" s="1258">
        <v>7130800012</v>
      </c>
      <c r="D7" s="2859" t="s">
        <v>12</v>
      </c>
      <c r="E7" s="2889">
        <v>1</v>
      </c>
      <c r="F7" s="734">
        <f>VLOOKUP(C7,'[25]SOR RATE'!A:D,4,0)</f>
        <v>2298.46</v>
      </c>
      <c r="G7" s="735">
        <f t="shared" ref="G7:G17" si="0">F7*E7</f>
        <v>2298.46</v>
      </c>
      <c r="I7" s="394"/>
    </row>
    <row r="8" spans="1:10" ht="16.5" customHeight="1">
      <c r="A8" s="2889">
        <f>A7+1</f>
        <v>2</v>
      </c>
      <c r="B8" s="1182" t="s">
        <v>2996</v>
      </c>
      <c r="C8" s="1258">
        <v>7130810495</v>
      </c>
      <c r="D8" s="1181" t="s">
        <v>12</v>
      </c>
      <c r="E8" s="2889">
        <v>18</v>
      </c>
      <c r="F8" s="734">
        <f>VLOOKUP(C8,'[25]SOR RATE'!A:D,4,0)</f>
        <v>1380.08</v>
      </c>
      <c r="G8" s="735">
        <f>F8*E8</f>
        <v>24841.439999999999</v>
      </c>
    </row>
    <row r="9" spans="1:10" ht="16.5" customHeight="1">
      <c r="A9" s="2889">
        <f>A8+1</f>
        <v>3</v>
      </c>
      <c r="B9" s="1182" t="s">
        <v>126</v>
      </c>
      <c r="C9" s="1258">
        <v>7130810679</v>
      </c>
      <c r="D9" s="1181" t="s">
        <v>12</v>
      </c>
      <c r="E9" s="2889">
        <v>18</v>
      </c>
      <c r="F9" s="734">
        <f>VLOOKUP(C9,'[25]SOR RATE'!A:D,4,0)</f>
        <v>387.16</v>
      </c>
      <c r="G9" s="735">
        <f>F9*E9</f>
        <v>6968.88</v>
      </c>
    </row>
    <row r="10" spans="1:10" ht="16.5" customHeight="1">
      <c r="A10" s="2889">
        <f>A9+1</f>
        <v>4</v>
      </c>
      <c r="B10" s="1182" t="s">
        <v>2997</v>
      </c>
      <c r="C10" s="1258">
        <v>7130870013</v>
      </c>
      <c r="D10" s="2843" t="s">
        <v>12</v>
      </c>
      <c r="E10" s="2889">
        <v>1</v>
      </c>
      <c r="F10" s="734">
        <f>VLOOKUP(C10,'[25]SOR RATE'!A:D,4,0)</f>
        <v>152.88999999999999</v>
      </c>
      <c r="G10" s="735">
        <f t="shared" si="0"/>
        <v>152.88999999999999</v>
      </c>
    </row>
    <row r="11" spans="1:10" ht="16.5" customHeight="1">
      <c r="A11" s="2889">
        <f>A10+1</f>
        <v>5</v>
      </c>
      <c r="B11" s="1182" t="s">
        <v>19</v>
      </c>
      <c r="C11" s="1258">
        <v>7130820008</v>
      </c>
      <c r="D11" s="1181" t="s">
        <v>12</v>
      </c>
      <c r="E11" s="2889">
        <v>54</v>
      </c>
      <c r="F11" s="734">
        <f>VLOOKUP(C11,'[25]SOR RATE'!A:D,4,0)</f>
        <v>157.08000000000001</v>
      </c>
      <c r="G11" s="735">
        <f>F11*E11</f>
        <v>8482.3200000000015</v>
      </c>
      <c r="I11" s="239"/>
      <c r="J11" s="239"/>
    </row>
    <row r="12" spans="1:10" ht="16.5" customHeight="1">
      <c r="A12" s="2889">
        <v>6</v>
      </c>
      <c r="B12" s="2911" t="s">
        <v>2998</v>
      </c>
      <c r="C12" s="2846">
        <v>7130830854</v>
      </c>
      <c r="D12" s="2876" t="s">
        <v>12</v>
      </c>
      <c r="E12" s="2889">
        <v>6</v>
      </c>
      <c r="F12" s="734">
        <f>VLOOKUP(C12,'[25]SOR RATE'!A:D,4,0)</f>
        <v>37.78</v>
      </c>
      <c r="G12" s="735">
        <f t="shared" si="0"/>
        <v>226.68</v>
      </c>
    </row>
    <row r="13" spans="1:10" ht="16.5" customHeight="1">
      <c r="A13" s="2889">
        <v>7</v>
      </c>
      <c r="B13" s="1182" t="s">
        <v>161</v>
      </c>
      <c r="C13" s="1258">
        <v>7130211158</v>
      </c>
      <c r="D13" s="2859" t="s">
        <v>29</v>
      </c>
      <c r="E13" s="2889">
        <v>3</v>
      </c>
      <c r="F13" s="734">
        <f>VLOOKUP(C13,'[25]SOR RATE'!A:D,4,0)</f>
        <v>193.62</v>
      </c>
      <c r="G13" s="735">
        <f t="shared" si="0"/>
        <v>580.86</v>
      </c>
    </row>
    <row r="14" spans="1:10" ht="16.5" customHeight="1">
      <c r="A14" s="2889">
        <v>8</v>
      </c>
      <c r="B14" s="1182" t="s">
        <v>162</v>
      </c>
      <c r="C14" s="1258">
        <v>7130210809</v>
      </c>
      <c r="D14" s="2859" t="s">
        <v>29</v>
      </c>
      <c r="E14" s="2889">
        <v>3</v>
      </c>
      <c r="F14" s="734">
        <f>VLOOKUP(C14,'[25]SOR RATE'!A:D,4,0)</f>
        <v>432.63</v>
      </c>
      <c r="G14" s="735">
        <f t="shared" si="0"/>
        <v>1297.8899999999999</v>
      </c>
    </row>
    <row r="15" spans="1:10" ht="16.5" customHeight="1">
      <c r="A15" s="2889">
        <v>9</v>
      </c>
      <c r="B15" s="1185" t="s">
        <v>31</v>
      </c>
      <c r="C15" s="1186">
        <v>7130610206</v>
      </c>
      <c r="D15" s="1181" t="s">
        <v>26</v>
      </c>
      <c r="E15" s="2889">
        <v>18</v>
      </c>
      <c r="F15" s="734">
        <f>VLOOKUP(C15,'[25]SOR RATE'!A:D,4,0)/1000</f>
        <v>97.233429999999998</v>
      </c>
      <c r="G15" s="735">
        <f>F15*E15</f>
        <v>1750.20174</v>
      </c>
      <c r="H15" s="20"/>
      <c r="I15" s="17"/>
    </row>
    <row r="16" spans="1:10" ht="16.5" customHeight="1">
      <c r="A16" s="2889">
        <v>10</v>
      </c>
      <c r="B16" s="1182" t="s">
        <v>128</v>
      </c>
      <c r="C16" s="1258">
        <v>7130880041</v>
      </c>
      <c r="D16" s="1181" t="s">
        <v>12</v>
      </c>
      <c r="E16" s="2889">
        <v>18</v>
      </c>
      <c r="F16" s="734">
        <f>VLOOKUP(C16,'[25]SOR RATE'!A:D,4,0)</f>
        <v>113.77</v>
      </c>
      <c r="G16" s="735">
        <f t="shared" si="0"/>
        <v>2047.86</v>
      </c>
    </row>
    <row r="17" spans="1:13" ht="16.5" customHeight="1">
      <c r="A17" s="2889">
        <v>11</v>
      </c>
      <c r="B17" s="1182" t="s">
        <v>2999</v>
      </c>
      <c r="C17" s="1258">
        <v>7130830006</v>
      </c>
      <c r="D17" s="1181" t="s">
        <v>26</v>
      </c>
      <c r="E17" s="2889">
        <v>5</v>
      </c>
      <c r="F17" s="734">
        <f>VLOOKUP(C17,'[25]SOR RATE'!A:D,4,0)</f>
        <v>201.5</v>
      </c>
      <c r="G17" s="735">
        <f t="shared" si="0"/>
        <v>1007.5</v>
      </c>
    </row>
    <row r="18" spans="1:13" ht="16.5" customHeight="1">
      <c r="A18" s="3225">
        <v>12</v>
      </c>
      <c r="B18" s="1182" t="s">
        <v>3000</v>
      </c>
      <c r="C18" s="1188"/>
      <c r="D18" s="1189"/>
      <c r="E18" s="1189"/>
      <c r="F18" s="1189"/>
      <c r="G18" s="1190"/>
    </row>
    <row r="19" spans="1:13" ht="16.5" customHeight="1">
      <c r="A19" s="3226"/>
      <c r="B19" s="1182" t="s">
        <v>36</v>
      </c>
      <c r="C19" s="1258">
        <v>7130620619</v>
      </c>
      <c r="D19" s="1187" t="s">
        <v>26</v>
      </c>
      <c r="E19" s="2889">
        <v>2</v>
      </c>
      <c r="F19" s="734">
        <f>VLOOKUP(C19,'[25]SOR RATE'!A:D,4,0)</f>
        <v>85.77</v>
      </c>
      <c r="G19" s="735">
        <f>F19*E19</f>
        <v>171.54</v>
      </c>
    </row>
    <row r="20" spans="1:13" ht="16.5" customHeight="1">
      <c r="A20" s="3220"/>
      <c r="B20" s="1182" t="s">
        <v>37</v>
      </c>
      <c r="C20" s="1258">
        <v>7130620627</v>
      </c>
      <c r="D20" s="1187" t="s">
        <v>26</v>
      </c>
      <c r="E20" s="2889">
        <v>17</v>
      </c>
      <c r="F20" s="734">
        <f>VLOOKUP(C20,'[25]SOR RATE'!A:D,4,0)</f>
        <v>84.32</v>
      </c>
      <c r="G20" s="735">
        <f>F20*E20</f>
        <v>1433.4399999999998</v>
      </c>
    </row>
    <row r="21" spans="1:13" ht="16.5" customHeight="1">
      <c r="A21" s="3225">
        <v>13</v>
      </c>
      <c r="B21" s="1182" t="s">
        <v>1543</v>
      </c>
      <c r="C21" s="1188"/>
      <c r="D21" s="1189"/>
      <c r="E21" s="1189"/>
      <c r="F21" s="1189"/>
      <c r="G21" s="1190"/>
    </row>
    <row r="22" spans="1:13" ht="16.5" customHeight="1">
      <c r="A22" s="3226"/>
      <c r="B22" s="1182" t="s">
        <v>3001</v>
      </c>
      <c r="C22" s="1258">
        <v>7130810511</v>
      </c>
      <c r="D22" s="1181" t="s">
        <v>40</v>
      </c>
      <c r="E22" s="2889">
        <v>1</v>
      </c>
      <c r="F22" s="734">
        <f>VLOOKUP(C22,'[25]SOR RATE'!A:D,4,0)</f>
        <v>3272.43</v>
      </c>
      <c r="G22" s="735">
        <f t="shared" ref="G22:G28" si="1">F22*E22</f>
        <v>3272.43</v>
      </c>
      <c r="I22" s="394"/>
    </row>
    <row r="23" spans="1:13" ht="16.5" customHeight="1">
      <c r="A23" s="3226"/>
      <c r="B23" s="1182" t="s">
        <v>41</v>
      </c>
      <c r="C23" s="1258">
        <v>7130870043</v>
      </c>
      <c r="D23" s="1181" t="s">
        <v>26</v>
      </c>
      <c r="E23" s="2889">
        <v>35</v>
      </c>
      <c r="F23" s="734">
        <f>VLOOKUP(C23,'[25]SOR RATE'!A:D,4,0)/1000</f>
        <v>80.521839999999997</v>
      </c>
      <c r="G23" s="735">
        <f t="shared" si="1"/>
        <v>2818.2644</v>
      </c>
    </row>
    <row r="24" spans="1:13" ht="16.5" customHeight="1">
      <c r="A24" s="3226"/>
      <c r="B24" s="1182" t="s">
        <v>3002</v>
      </c>
      <c r="C24" s="2912">
        <v>7130810026</v>
      </c>
      <c r="D24" s="1181" t="s">
        <v>12</v>
      </c>
      <c r="E24" s="2889">
        <v>2</v>
      </c>
      <c r="F24" s="734">
        <f>VLOOKUP(C24,'[25]SOR RATE'!A202:D202,4,0)</f>
        <v>369.79</v>
      </c>
      <c r="G24" s="735">
        <f t="shared" si="1"/>
        <v>739.58</v>
      </c>
      <c r="I24" s="416"/>
      <c r="J24" s="2901"/>
      <c r="K24" s="1329"/>
      <c r="L24" s="1329"/>
      <c r="M24" s="224"/>
    </row>
    <row r="25" spans="1:13" ht="16.5" customHeight="1">
      <c r="A25" s="3226"/>
      <c r="B25" s="1182" t="s">
        <v>3003</v>
      </c>
      <c r="C25" s="1258">
        <v>7130860077</v>
      </c>
      <c r="D25" s="2867" t="s">
        <v>26</v>
      </c>
      <c r="E25" s="2889">
        <v>11</v>
      </c>
      <c r="F25" s="734">
        <f>VLOOKUP(C25,'[25]SOR RATE'!A:D,4,0)/1000</f>
        <v>93.76643</v>
      </c>
      <c r="G25" s="735">
        <f t="shared" si="1"/>
        <v>1031.43073</v>
      </c>
    </row>
    <row r="26" spans="1:13" ht="16.5" customHeight="1">
      <c r="A26" s="3226"/>
      <c r="B26" s="1182" t="s">
        <v>3004</v>
      </c>
      <c r="C26" s="1258">
        <v>7130860032</v>
      </c>
      <c r="D26" s="1181" t="s">
        <v>12</v>
      </c>
      <c r="E26" s="2889">
        <v>2</v>
      </c>
      <c r="F26" s="734">
        <f>VLOOKUP(C26,'[25]SOR RATE'!A:D,4,0)</f>
        <v>566.19000000000005</v>
      </c>
      <c r="G26" s="735">
        <f t="shared" si="1"/>
        <v>1132.3800000000001</v>
      </c>
    </row>
    <row r="27" spans="1:13" ht="16.5" customHeight="1">
      <c r="A27" s="3226"/>
      <c r="B27" s="1182" t="s">
        <v>3005</v>
      </c>
      <c r="C27" s="2842">
        <v>7130820117</v>
      </c>
      <c r="D27" s="2843" t="s">
        <v>68</v>
      </c>
      <c r="E27" s="2889">
        <v>2</v>
      </c>
      <c r="F27" s="734">
        <f>VLOOKUP(C27,'[25]SOR RATE'!A:D,4,0)</f>
        <v>12.42</v>
      </c>
      <c r="G27" s="735">
        <f t="shared" si="1"/>
        <v>24.84</v>
      </c>
      <c r="H27" s="739" t="s">
        <v>119</v>
      </c>
    </row>
    <row r="28" spans="1:13" ht="16.5" customHeight="1">
      <c r="A28" s="3220"/>
      <c r="B28" s="1182" t="s">
        <v>3006</v>
      </c>
      <c r="C28" s="1258">
        <v>7130620013</v>
      </c>
      <c r="D28" s="1496" t="s">
        <v>12</v>
      </c>
      <c r="E28" s="2889">
        <v>4</v>
      </c>
      <c r="F28" s="734">
        <f>VLOOKUP(C28,'[25]SOR RATE'!A:D,4,0)</f>
        <v>156.05000000000001</v>
      </c>
      <c r="G28" s="735">
        <f t="shared" si="1"/>
        <v>624.20000000000005</v>
      </c>
    </row>
    <row r="29" spans="1:13" ht="31.5" customHeight="1">
      <c r="A29" s="3225">
        <v>14</v>
      </c>
      <c r="B29" s="1506" t="s">
        <v>45</v>
      </c>
      <c r="C29" s="2889"/>
      <c r="D29" s="2889"/>
      <c r="E29" s="2889">
        <f>1+2</f>
        <v>3</v>
      </c>
      <c r="F29" s="735"/>
      <c r="G29" s="735"/>
    </row>
    <row r="30" spans="1:13" ht="16.5" customHeight="1">
      <c r="A30" s="3220"/>
      <c r="B30" s="1470" t="s">
        <v>1738</v>
      </c>
      <c r="C30" s="1258">
        <v>7130640008</v>
      </c>
      <c r="D30" s="1181" t="s">
        <v>33</v>
      </c>
      <c r="E30" s="2889">
        <f>1+(2*2)</f>
        <v>5</v>
      </c>
      <c r="F30" s="734">
        <f>VLOOKUP(C30,'[25]SOR RATE'!A:D,4,0)</f>
        <v>158</v>
      </c>
      <c r="G30" s="735">
        <f>E30*F30</f>
        <v>790</v>
      </c>
      <c r="H30" s="3460" t="s">
        <v>47</v>
      </c>
      <c r="I30" s="3484"/>
    </row>
    <row r="31" spans="1:13" ht="16.5" customHeight="1">
      <c r="A31" s="190">
        <v>15</v>
      </c>
      <c r="B31" s="1191" t="s">
        <v>48</v>
      </c>
      <c r="C31" s="190"/>
      <c r="D31" s="2889"/>
      <c r="E31" s="2889"/>
      <c r="F31" s="2889"/>
      <c r="G31" s="2884">
        <f>SUM(G7:G30)</f>
        <v>61693.086869999992</v>
      </c>
      <c r="H31" s="20"/>
      <c r="I31" s="21"/>
    </row>
    <row r="32" spans="1:13" ht="16.5" customHeight="1">
      <c r="A32" s="2872">
        <v>16</v>
      </c>
      <c r="B32" s="1191" t="s">
        <v>49</v>
      </c>
      <c r="C32" s="190"/>
      <c r="D32" s="2889"/>
      <c r="E32" s="2889"/>
      <c r="F32" s="2889"/>
      <c r="G32" s="2884">
        <f>G31/1.18</f>
        <v>52282.277008474572</v>
      </c>
      <c r="H32" s="174"/>
      <c r="I32" s="21"/>
    </row>
    <row r="33" spans="1:9" ht="16.5" customHeight="1">
      <c r="A33" s="2876">
        <v>17</v>
      </c>
      <c r="B33" s="1185" t="s">
        <v>50</v>
      </c>
      <c r="C33" s="1182"/>
      <c r="D33" s="1182"/>
      <c r="E33" s="1182"/>
      <c r="F33" s="2889">
        <v>7.4999999999999997E-2</v>
      </c>
      <c r="G33" s="735">
        <f>G31*F33</f>
        <v>4626.9815152499996</v>
      </c>
      <c r="H33" s="732"/>
      <c r="I33" s="21"/>
    </row>
    <row r="34" spans="1:9" ht="16.5" customHeight="1">
      <c r="A34" s="2889">
        <v>18</v>
      </c>
      <c r="B34" s="1182" t="s">
        <v>3007</v>
      </c>
      <c r="C34" s="2889"/>
      <c r="D34" s="2889" t="s">
        <v>12</v>
      </c>
      <c r="E34" s="2889">
        <v>1</v>
      </c>
      <c r="F34" s="1202">
        <f>229.365334460327*1.043</f>
        <v>239.22804384212105</v>
      </c>
      <c r="G34" s="735">
        <f>F34*E34</f>
        <v>239.22804384212105</v>
      </c>
    </row>
    <row r="35" spans="1:9" ht="16.5" customHeight="1">
      <c r="A35" s="2889">
        <v>19</v>
      </c>
      <c r="B35" s="1182" t="s">
        <v>3008</v>
      </c>
      <c r="C35" s="2889"/>
      <c r="D35" s="2889"/>
      <c r="E35" s="2889"/>
      <c r="F35" s="2889"/>
      <c r="G35" s="735">
        <v>38711.71</v>
      </c>
      <c r="H35" s="639"/>
    </row>
    <row r="36" spans="1:9" ht="15.75" customHeight="1">
      <c r="A36" s="2889">
        <v>20</v>
      </c>
      <c r="B36" s="1182" t="s">
        <v>3009</v>
      </c>
      <c r="C36" s="2889"/>
      <c r="D36" s="2889"/>
      <c r="E36" s="2889"/>
      <c r="F36" s="2889">
        <v>0.04</v>
      </c>
      <c r="G36" s="734">
        <f>G32*F36</f>
        <v>2091.2910803389827</v>
      </c>
      <c r="H36" s="2902" t="s">
        <v>1827</v>
      </c>
      <c r="I36" s="177"/>
    </row>
    <row r="37" spans="1:9" ht="31.5" customHeight="1">
      <c r="A37" s="2889">
        <v>21</v>
      </c>
      <c r="B37" s="1185" t="s">
        <v>3010</v>
      </c>
      <c r="C37" s="2889"/>
      <c r="D37" s="2889"/>
      <c r="E37" s="2889"/>
      <c r="F37" s="2889"/>
      <c r="G37" s="1210">
        <f>(G31+G33+G34+G35+G36)*0.125</f>
        <v>13420.287188678887</v>
      </c>
      <c r="H37" s="252"/>
      <c r="I37" s="177"/>
    </row>
    <row r="38" spans="1:9" ht="18" customHeight="1">
      <c r="A38" s="190">
        <v>22</v>
      </c>
      <c r="B38" s="1214" t="s">
        <v>242</v>
      </c>
      <c r="C38" s="2889"/>
      <c r="D38" s="2889"/>
      <c r="E38" s="2889"/>
      <c r="F38" s="2889"/>
      <c r="G38" s="2884">
        <f>SUM(G32:G37)</f>
        <v>111371.77483658456</v>
      </c>
      <c r="H38" s="27"/>
    </row>
    <row r="39" spans="1:9" ht="16.5" customHeight="1">
      <c r="A39" s="2889">
        <v>23</v>
      </c>
      <c r="B39" s="1185" t="s">
        <v>243</v>
      </c>
      <c r="C39" s="2889"/>
      <c r="D39" s="2889"/>
      <c r="E39" s="2889"/>
      <c r="F39" s="2889">
        <v>0.09</v>
      </c>
      <c r="G39" s="735">
        <f>G38*F39</f>
        <v>10023.45973529261</v>
      </c>
      <c r="H39" s="27"/>
    </row>
    <row r="40" spans="1:9" ht="16.5" customHeight="1">
      <c r="A40" s="2889">
        <v>24</v>
      </c>
      <c r="B40" s="1185" t="s">
        <v>244</v>
      </c>
      <c r="C40" s="2889"/>
      <c r="D40" s="2889"/>
      <c r="E40" s="2889"/>
      <c r="F40" s="2889">
        <v>0.09</v>
      </c>
      <c r="G40" s="735">
        <f>G38*F40</f>
        <v>10023.45973529261</v>
      </c>
      <c r="H40" s="60"/>
    </row>
    <row r="41" spans="1:9" s="22" customFormat="1" ht="16.5" customHeight="1">
      <c r="A41" s="2889">
        <v>25</v>
      </c>
      <c r="B41" s="1185" t="s">
        <v>245</v>
      </c>
      <c r="C41" s="2889"/>
      <c r="D41" s="2889"/>
      <c r="E41" s="2889"/>
      <c r="F41" s="2889"/>
      <c r="G41" s="735">
        <f>G38+G39+G40</f>
        <v>131418.69430716979</v>
      </c>
      <c r="I41" s="823"/>
    </row>
    <row r="42" spans="1:9" ht="16.5" customHeight="1">
      <c r="A42" s="190">
        <v>26</v>
      </c>
      <c r="B42" s="1214" t="s">
        <v>59</v>
      </c>
      <c r="C42" s="2889"/>
      <c r="D42" s="2889"/>
      <c r="E42" s="2889"/>
      <c r="F42" s="2889"/>
      <c r="G42" s="2884">
        <f>ROUND(G41,0)</f>
        <v>131419</v>
      </c>
    </row>
    <row r="43" spans="1:9">
      <c r="A43" s="33"/>
      <c r="B43" s="31"/>
      <c r="C43" s="1329"/>
      <c r="D43" s="2903"/>
      <c r="E43" s="2903"/>
      <c r="F43" s="2903"/>
      <c r="G43" s="34"/>
    </row>
    <row r="44" spans="1:9" ht="15.75" customHeight="1">
      <c r="A44" s="179" t="s">
        <v>1463</v>
      </c>
      <c r="B44" s="3485" t="s">
        <v>3011</v>
      </c>
      <c r="C44" s="3485"/>
      <c r="D44" s="3485"/>
      <c r="E44" s="3485"/>
      <c r="F44" s="646"/>
      <c r="G44" s="646"/>
    </row>
    <row r="45" spans="1:9" ht="30" customHeight="1">
      <c r="A45" s="724"/>
      <c r="B45" s="3485" t="s">
        <v>3012</v>
      </c>
      <c r="C45" s="3485"/>
      <c r="D45" s="3485"/>
      <c r="E45" s="3485"/>
    </row>
    <row r="46" spans="1:9" ht="16.5" customHeight="1">
      <c r="A46" s="185" t="s">
        <v>62</v>
      </c>
      <c r="B46" s="180" t="s">
        <v>63</v>
      </c>
      <c r="C46" s="186"/>
      <c r="D46" s="186"/>
      <c r="E46" s="186"/>
    </row>
  </sheetData>
  <mergeCells count="9">
    <mergeCell ref="H30:I30"/>
    <mergeCell ref="B44:E44"/>
    <mergeCell ref="B45:E45"/>
    <mergeCell ref="B1:C1"/>
    <mergeCell ref="F2:G2"/>
    <mergeCell ref="B3:D3"/>
    <mergeCell ref="A18:A20"/>
    <mergeCell ref="A21:A28"/>
    <mergeCell ref="A29:A30"/>
  </mergeCells>
  <conditionalFormatting sqref="B31">
    <cfRule type="cellIs" dxfId="22" priority="2" stopIfTrue="1" operator="equal">
      <formula>"?"</formula>
    </cfRule>
  </conditionalFormatting>
  <conditionalFormatting sqref="B32">
    <cfRule type="cellIs" dxfId="21" priority="1" stopIfTrue="1" operator="equal">
      <formula>"?"</formula>
    </cfRule>
  </conditionalFormatting>
  <printOptions horizontalCentered="1"/>
  <pageMargins left="0.55118110236220474" right="0.15748031496062992" top="0.51181102362204722" bottom="0.47244094488188981" header="0.47244094488188981" footer="0.15748031496062992"/>
  <pageSetup paperSize="9" scale="110"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2"/>
  <sheetViews>
    <sheetView zoomScaleNormal="100" zoomScaleSheetLayoutView="70" workbookViewId="0">
      <pane xSplit="2" ySplit="7" topLeftCell="C30" activePane="bottomRight" state="frozen"/>
      <selection pane="topRight" activeCell="C1" sqref="C1"/>
      <selection pane="bottomLeft" activeCell="A8" sqref="A8"/>
      <selection pane="bottomRight" activeCell="K37" sqref="K37"/>
    </sheetView>
  </sheetViews>
  <sheetFormatPr defaultRowHeight="12.75"/>
  <cols>
    <col min="1" max="1" width="4.140625" style="2877" customWidth="1"/>
    <col min="2" max="2" width="35.5703125" style="4" customWidth="1"/>
    <col min="3" max="3" width="13.5703125" style="4" customWidth="1"/>
    <col min="4" max="4" width="4.5703125" style="4" bestFit="1" customWidth="1"/>
    <col min="5" max="5" width="8.42578125" style="4" bestFit="1" customWidth="1"/>
    <col min="6" max="6" width="5.5703125" style="4" bestFit="1" customWidth="1"/>
    <col min="7" max="7" width="10.7109375" style="4" customWidth="1"/>
    <col min="8" max="8" width="5.5703125" style="4" bestFit="1" customWidth="1"/>
    <col min="9" max="9" width="10.85546875" style="4" bestFit="1" customWidth="1"/>
    <col min="10" max="10" width="5.5703125" style="4" bestFit="1" customWidth="1"/>
    <col min="11" max="11" width="10.85546875" style="4" customWidth="1"/>
    <col min="12" max="12" width="5.5703125" style="4" bestFit="1" customWidth="1"/>
    <col min="13" max="13" width="10.85546875" style="4" bestFit="1" customWidth="1"/>
    <col min="14" max="14" width="22.7109375" style="4" customWidth="1"/>
    <col min="15" max="15" width="25.140625" style="4" customWidth="1"/>
    <col min="16" max="16" width="11" style="4" bestFit="1" customWidth="1"/>
    <col min="17" max="17" width="3.28515625" style="4" bestFit="1" customWidth="1"/>
    <col min="18" max="18" width="4" style="4" bestFit="1" customWidth="1"/>
    <col min="19" max="256" width="9.140625" style="4"/>
    <col min="257" max="257" width="4.140625" style="4" customWidth="1"/>
    <col min="258" max="258" width="38.7109375" style="4" customWidth="1"/>
    <col min="259" max="259" width="12.140625" style="4" customWidth="1"/>
    <col min="260" max="260" width="4.5703125" style="4" bestFit="1" customWidth="1"/>
    <col min="261" max="261" width="7.28515625" style="4" bestFit="1" customWidth="1"/>
    <col min="262" max="262" width="5" style="4" bestFit="1" customWidth="1"/>
    <col min="263" max="263" width="9.5703125" style="4" bestFit="1" customWidth="1"/>
    <col min="264" max="264" width="5" style="4" bestFit="1" customWidth="1"/>
    <col min="265" max="265" width="10.7109375" style="4" bestFit="1" customWidth="1"/>
    <col min="266" max="266" width="5" style="4" bestFit="1" customWidth="1"/>
    <col min="267" max="267" width="10.85546875" style="4" customWidth="1"/>
    <col min="268" max="268" width="5" style="4" bestFit="1" customWidth="1"/>
    <col min="269" max="269" width="10.7109375" style="4" bestFit="1" customWidth="1"/>
    <col min="270" max="270" width="22.7109375" style="4" customWidth="1"/>
    <col min="271" max="271" width="25.140625" style="4" customWidth="1"/>
    <col min="272" max="272" width="11" style="4" bestFit="1" customWidth="1"/>
    <col min="273" max="273" width="3.28515625" style="4" bestFit="1" customWidth="1"/>
    <col min="274" max="274" width="4" style="4" bestFit="1" customWidth="1"/>
    <col min="275" max="512" width="9.140625" style="4"/>
    <col min="513" max="513" width="4.140625" style="4" customWidth="1"/>
    <col min="514" max="514" width="38.7109375" style="4" customWidth="1"/>
    <col min="515" max="515" width="12.140625" style="4" customWidth="1"/>
    <col min="516" max="516" width="4.5703125" style="4" bestFit="1" customWidth="1"/>
    <col min="517" max="517" width="7.28515625" style="4" bestFit="1" customWidth="1"/>
    <col min="518" max="518" width="5" style="4" bestFit="1" customWidth="1"/>
    <col min="519" max="519" width="9.5703125" style="4" bestFit="1" customWidth="1"/>
    <col min="520" max="520" width="5" style="4" bestFit="1" customWidth="1"/>
    <col min="521" max="521" width="10.7109375" style="4" bestFit="1" customWidth="1"/>
    <col min="522" max="522" width="5" style="4" bestFit="1" customWidth="1"/>
    <col min="523" max="523" width="10.85546875" style="4" customWidth="1"/>
    <col min="524" max="524" width="5" style="4" bestFit="1" customWidth="1"/>
    <col min="525" max="525" width="10.7109375" style="4" bestFit="1" customWidth="1"/>
    <col min="526" max="526" width="22.7109375" style="4" customWidth="1"/>
    <col min="527" max="527" width="25.140625" style="4" customWidth="1"/>
    <col min="528" max="528" width="11" style="4" bestFit="1" customWidth="1"/>
    <col min="529" max="529" width="3.28515625" style="4" bestFit="1" customWidth="1"/>
    <col min="530" max="530" width="4" style="4" bestFit="1" customWidth="1"/>
    <col min="531" max="768" width="9.140625" style="4"/>
    <col min="769" max="769" width="4.140625" style="4" customWidth="1"/>
    <col min="770" max="770" width="38.7109375" style="4" customWidth="1"/>
    <col min="771" max="771" width="12.140625" style="4" customWidth="1"/>
    <col min="772" max="772" width="4.5703125" style="4" bestFit="1" customWidth="1"/>
    <col min="773" max="773" width="7.28515625" style="4" bestFit="1" customWidth="1"/>
    <col min="774" max="774" width="5" style="4" bestFit="1" customWidth="1"/>
    <col min="775" max="775" width="9.5703125" style="4" bestFit="1" customWidth="1"/>
    <col min="776" max="776" width="5" style="4" bestFit="1" customWidth="1"/>
    <col min="777" max="777" width="10.7109375" style="4" bestFit="1" customWidth="1"/>
    <col min="778" max="778" width="5" style="4" bestFit="1" customWidth="1"/>
    <col min="779" max="779" width="10.85546875" style="4" customWidth="1"/>
    <col min="780" max="780" width="5" style="4" bestFit="1" customWidth="1"/>
    <col min="781" max="781" width="10.7109375" style="4" bestFit="1" customWidth="1"/>
    <col min="782" max="782" width="22.7109375" style="4" customWidth="1"/>
    <col min="783" max="783" width="25.140625" style="4" customWidth="1"/>
    <col min="784" max="784" width="11" style="4" bestFit="1" customWidth="1"/>
    <col min="785" max="785" width="3.28515625" style="4" bestFit="1" customWidth="1"/>
    <col min="786" max="786" width="4" style="4" bestFit="1" customWidth="1"/>
    <col min="787" max="1024" width="9.140625" style="4"/>
    <col min="1025" max="1025" width="4.140625" style="4" customWidth="1"/>
    <col min="1026" max="1026" width="38.7109375" style="4" customWidth="1"/>
    <col min="1027" max="1027" width="12.140625" style="4" customWidth="1"/>
    <col min="1028" max="1028" width="4.5703125" style="4" bestFit="1" customWidth="1"/>
    <col min="1029" max="1029" width="7.28515625" style="4" bestFit="1" customWidth="1"/>
    <col min="1030" max="1030" width="5" style="4" bestFit="1" customWidth="1"/>
    <col min="1031" max="1031" width="9.5703125" style="4" bestFit="1" customWidth="1"/>
    <col min="1032" max="1032" width="5" style="4" bestFit="1" customWidth="1"/>
    <col min="1033" max="1033" width="10.7109375" style="4" bestFit="1" customWidth="1"/>
    <col min="1034" max="1034" width="5" style="4" bestFit="1" customWidth="1"/>
    <col min="1035" max="1035" width="10.85546875" style="4" customWidth="1"/>
    <col min="1036" max="1036" width="5" style="4" bestFit="1" customWidth="1"/>
    <col min="1037" max="1037" width="10.7109375" style="4" bestFit="1" customWidth="1"/>
    <col min="1038" max="1038" width="22.7109375" style="4" customWidth="1"/>
    <col min="1039" max="1039" width="25.140625" style="4" customWidth="1"/>
    <col min="1040" max="1040" width="11" style="4" bestFit="1" customWidth="1"/>
    <col min="1041" max="1041" width="3.28515625" style="4" bestFit="1" customWidth="1"/>
    <col min="1042" max="1042" width="4" style="4" bestFit="1" customWidth="1"/>
    <col min="1043" max="1280" width="9.140625" style="4"/>
    <col min="1281" max="1281" width="4.140625" style="4" customWidth="1"/>
    <col min="1282" max="1282" width="38.7109375" style="4" customWidth="1"/>
    <col min="1283" max="1283" width="12.140625" style="4" customWidth="1"/>
    <col min="1284" max="1284" width="4.5703125" style="4" bestFit="1" customWidth="1"/>
    <col min="1285" max="1285" width="7.28515625" style="4" bestFit="1" customWidth="1"/>
    <col min="1286" max="1286" width="5" style="4" bestFit="1" customWidth="1"/>
    <col min="1287" max="1287" width="9.5703125" style="4" bestFit="1" customWidth="1"/>
    <col min="1288" max="1288" width="5" style="4" bestFit="1" customWidth="1"/>
    <col min="1289" max="1289" width="10.7109375" style="4" bestFit="1" customWidth="1"/>
    <col min="1290" max="1290" width="5" style="4" bestFit="1" customWidth="1"/>
    <col min="1291" max="1291" width="10.85546875" style="4" customWidth="1"/>
    <col min="1292" max="1292" width="5" style="4" bestFit="1" customWidth="1"/>
    <col min="1293" max="1293" width="10.7109375" style="4" bestFit="1" customWidth="1"/>
    <col min="1294" max="1294" width="22.7109375" style="4" customWidth="1"/>
    <col min="1295" max="1295" width="25.140625" style="4" customWidth="1"/>
    <col min="1296" max="1296" width="11" style="4" bestFit="1" customWidth="1"/>
    <col min="1297" max="1297" width="3.28515625" style="4" bestFit="1" customWidth="1"/>
    <col min="1298" max="1298" width="4" style="4" bestFit="1" customWidth="1"/>
    <col min="1299" max="1536" width="9.140625" style="4"/>
    <col min="1537" max="1537" width="4.140625" style="4" customWidth="1"/>
    <col min="1538" max="1538" width="38.7109375" style="4" customWidth="1"/>
    <col min="1539" max="1539" width="12.140625" style="4" customWidth="1"/>
    <col min="1540" max="1540" width="4.5703125" style="4" bestFit="1" customWidth="1"/>
    <col min="1541" max="1541" width="7.28515625" style="4" bestFit="1" customWidth="1"/>
    <col min="1542" max="1542" width="5" style="4" bestFit="1" customWidth="1"/>
    <col min="1543" max="1543" width="9.5703125" style="4" bestFit="1" customWidth="1"/>
    <col min="1544" max="1544" width="5" style="4" bestFit="1" customWidth="1"/>
    <col min="1545" max="1545" width="10.7109375" style="4" bestFit="1" customWidth="1"/>
    <col min="1546" max="1546" width="5" style="4" bestFit="1" customWidth="1"/>
    <col min="1547" max="1547" width="10.85546875" style="4" customWidth="1"/>
    <col min="1548" max="1548" width="5" style="4" bestFit="1" customWidth="1"/>
    <col min="1549" max="1549" width="10.7109375" style="4" bestFit="1" customWidth="1"/>
    <col min="1550" max="1550" width="22.7109375" style="4" customWidth="1"/>
    <col min="1551" max="1551" width="25.140625" style="4" customWidth="1"/>
    <col min="1552" max="1552" width="11" style="4" bestFit="1" customWidth="1"/>
    <col min="1553" max="1553" width="3.28515625" style="4" bestFit="1" customWidth="1"/>
    <col min="1554" max="1554" width="4" style="4" bestFit="1" customWidth="1"/>
    <col min="1555" max="1792" width="9.140625" style="4"/>
    <col min="1793" max="1793" width="4.140625" style="4" customWidth="1"/>
    <col min="1794" max="1794" width="38.7109375" style="4" customWidth="1"/>
    <col min="1795" max="1795" width="12.140625" style="4" customWidth="1"/>
    <col min="1796" max="1796" width="4.5703125" style="4" bestFit="1" customWidth="1"/>
    <col min="1797" max="1797" width="7.28515625" style="4" bestFit="1" customWidth="1"/>
    <col min="1798" max="1798" width="5" style="4" bestFit="1" customWidth="1"/>
    <col min="1799" max="1799" width="9.5703125" style="4" bestFit="1" customWidth="1"/>
    <col min="1800" max="1800" width="5" style="4" bestFit="1" customWidth="1"/>
    <col min="1801" max="1801" width="10.7109375" style="4" bestFit="1" customWidth="1"/>
    <col min="1802" max="1802" width="5" style="4" bestFit="1" customWidth="1"/>
    <col min="1803" max="1803" width="10.85546875" style="4" customWidth="1"/>
    <col min="1804" max="1804" width="5" style="4" bestFit="1" customWidth="1"/>
    <col min="1805" max="1805" width="10.7109375" style="4" bestFit="1" customWidth="1"/>
    <col min="1806" max="1806" width="22.7109375" style="4" customWidth="1"/>
    <col min="1807" max="1807" width="25.140625" style="4" customWidth="1"/>
    <col min="1808" max="1808" width="11" style="4" bestFit="1" customWidth="1"/>
    <col min="1809" max="1809" width="3.28515625" style="4" bestFit="1" customWidth="1"/>
    <col min="1810" max="1810" width="4" style="4" bestFit="1" customWidth="1"/>
    <col min="1811" max="2048" width="9.140625" style="4"/>
    <col min="2049" max="2049" width="4.140625" style="4" customWidth="1"/>
    <col min="2050" max="2050" width="38.7109375" style="4" customWidth="1"/>
    <col min="2051" max="2051" width="12.140625" style="4" customWidth="1"/>
    <col min="2052" max="2052" width="4.5703125" style="4" bestFit="1" customWidth="1"/>
    <col min="2053" max="2053" width="7.28515625" style="4" bestFit="1" customWidth="1"/>
    <col min="2054" max="2054" width="5" style="4" bestFit="1" customWidth="1"/>
    <col min="2055" max="2055" width="9.5703125" style="4" bestFit="1" customWidth="1"/>
    <col min="2056" max="2056" width="5" style="4" bestFit="1" customWidth="1"/>
    <col min="2057" max="2057" width="10.7109375" style="4" bestFit="1" customWidth="1"/>
    <col min="2058" max="2058" width="5" style="4" bestFit="1" customWidth="1"/>
    <col min="2059" max="2059" width="10.85546875" style="4" customWidth="1"/>
    <col min="2060" max="2060" width="5" style="4" bestFit="1" customWidth="1"/>
    <col min="2061" max="2061" width="10.7109375" style="4" bestFit="1" customWidth="1"/>
    <col min="2062" max="2062" width="22.7109375" style="4" customWidth="1"/>
    <col min="2063" max="2063" width="25.140625" style="4" customWidth="1"/>
    <col min="2064" max="2064" width="11" style="4" bestFit="1" customWidth="1"/>
    <col min="2065" max="2065" width="3.28515625" style="4" bestFit="1" customWidth="1"/>
    <col min="2066" max="2066" width="4" style="4" bestFit="1" customWidth="1"/>
    <col min="2067" max="2304" width="9.140625" style="4"/>
    <col min="2305" max="2305" width="4.140625" style="4" customWidth="1"/>
    <col min="2306" max="2306" width="38.7109375" style="4" customWidth="1"/>
    <col min="2307" max="2307" width="12.140625" style="4" customWidth="1"/>
    <col min="2308" max="2308" width="4.5703125" style="4" bestFit="1" customWidth="1"/>
    <col min="2309" max="2309" width="7.28515625" style="4" bestFit="1" customWidth="1"/>
    <col min="2310" max="2310" width="5" style="4" bestFit="1" customWidth="1"/>
    <col min="2311" max="2311" width="9.5703125" style="4" bestFit="1" customWidth="1"/>
    <col min="2312" max="2312" width="5" style="4" bestFit="1" customWidth="1"/>
    <col min="2313" max="2313" width="10.7109375" style="4" bestFit="1" customWidth="1"/>
    <col min="2314" max="2314" width="5" style="4" bestFit="1" customWidth="1"/>
    <col min="2315" max="2315" width="10.85546875" style="4" customWidth="1"/>
    <col min="2316" max="2316" width="5" style="4" bestFit="1" customWidth="1"/>
    <col min="2317" max="2317" width="10.7109375" style="4" bestFit="1" customWidth="1"/>
    <col min="2318" max="2318" width="22.7109375" style="4" customWidth="1"/>
    <col min="2319" max="2319" width="25.140625" style="4" customWidth="1"/>
    <col min="2320" max="2320" width="11" style="4" bestFit="1" customWidth="1"/>
    <col min="2321" max="2321" width="3.28515625" style="4" bestFit="1" customWidth="1"/>
    <col min="2322" max="2322" width="4" style="4" bestFit="1" customWidth="1"/>
    <col min="2323" max="2560" width="9.140625" style="4"/>
    <col min="2561" max="2561" width="4.140625" style="4" customWidth="1"/>
    <col min="2562" max="2562" width="38.7109375" style="4" customWidth="1"/>
    <col min="2563" max="2563" width="12.140625" style="4" customWidth="1"/>
    <col min="2564" max="2564" width="4.5703125" style="4" bestFit="1" customWidth="1"/>
    <col min="2565" max="2565" width="7.28515625" style="4" bestFit="1" customWidth="1"/>
    <col min="2566" max="2566" width="5" style="4" bestFit="1" customWidth="1"/>
    <col min="2567" max="2567" width="9.5703125" style="4" bestFit="1" customWidth="1"/>
    <col min="2568" max="2568" width="5" style="4" bestFit="1" customWidth="1"/>
    <col min="2569" max="2569" width="10.7109375" style="4" bestFit="1" customWidth="1"/>
    <col min="2570" max="2570" width="5" style="4" bestFit="1" customWidth="1"/>
    <col min="2571" max="2571" width="10.85546875" style="4" customWidth="1"/>
    <col min="2572" max="2572" width="5" style="4" bestFit="1" customWidth="1"/>
    <col min="2573" max="2573" width="10.7109375" style="4" bestFit="1" customWidth="1"/>
    <col min="2574" max="2574" width="22.7109375" style="4" customWidth="1"/>
    <col min="2575" max="2575" width="25.140625" style="4" customWidth="1"/>
    <col min="2576" max="2576" width="11" style="4" bestFit="1" customWidth="1"/>
    <col min="2577" max="2577" width="3.28515625" style="4" bestFit="1" customWidth="1"/>
    <col min="2578" max="2578" width="4" style="4" bestFit="1" customWidth="1"/>
    <col min="2579" max="2816" width="9.140625" style="4"/>
    <col min="2817" max="2817" width="4.140625" style="4" customWidth="1"/>
    <col min="2818" max="2818" width="38.7109375" style="4" customWidth="1"/>
    <col min="2819" max="2819" width="12.140625" style="4" customWidth="1"/>
    <col min="2820" max="2820" width="4.5703125" style="4" bestFit="1" customWidth="1"/>
    <col min="2821" max="2821" width="7.28515625" style="4" bestFit="1" customWidth="1"/>
    <col min="2822" max="2822" width="5" style="4" bestFit="1" customWidth="1"/>
    <col min="2823" max="2823" width="9.5703125" style="4" bestFit="1" customWidth="1"/>
    <col min="2824" max="2824" width="5" style="4" bestFit="1" customWidth="1"/>
    <col min="2825" max="2825" width="10.7109375" style="4" bestFit="1" customWidth="1"/>
    <col min="2826" max="2826" width="5" style="4" bestFit="1" customWidth="1"/>
    <col min="2827" max="2827" width="10.85546875" style="4" customWidth="1"/>
    <col min="2828" max="2828" width="5" style="4" bestFit="1" customWidth="1"/>
    <col min="2829" max="2829" width="10.7109375" style="4" bestFit="1" customWidth="1"/>
    <col min="2830" max="2830" width="22.7109375" style="4" customWidth="1"/>
    <col min="2831" max="2831" width="25.140625" style="4" customWidth="1"/>
    <col min="2832" max="2832" width="11" style="4" bestFit="1" customWidth="1"/>
    <col min="2833" max="2833" width="3.28515625" style="4" bestFit="1" customWidth="1"/>
    <col min="2834" max="2834" width="4" style="4" bestFit="1" customWidth="1"/>
    <col min="2835" max="3072" width="9.140625" style="4"/>
    <col min="3073" max="3073" width="4.140625" style="4" customWidth="1"/>
    <col min="3074" max="3074" width="38.7109375" style="4" customWidth="1"/>
    <col min="3075" max="3075" width="12.140625" style="4" customWidth="1"/>
    <col min="3076" max="3076" width="4.5703125" style="4" bestFit="1" customWidth="1"/>
    <col min="3077" max="3077" width="7.28515625" style="4" bestFit="1" customWidth="1"/>
    <col min="3078" max="3078" width="5" style="4" bestFit="1" customWidth="1"/>
    <col min="3079" max="3079" width="9.5703125" style="4" bestFit="1" customWidth="1"/>
    <col min="3080" max="3080" width="5" style="4" bestFit="1" customWidth="1"/>
    <col min="3081" max="3081" width="10.7109375" style="4" bestFit="1" customWidth="1"/>
    <col min="3082" max="3082" width="5" style="4" bestFit="1" customWidth="1"/>
    <col min="3083" max="3083" width="10.85546875" style="4" customWidth="1"/>
    <col min="3084" max="3084" width="5" style="4" bestFit="1" customWidth="1"/>
    <col min="3085" max="3085" width="10.7109375" style="4" bestFit="1" customWidth="1"/>
    <col min="3086" max="3086" width="22.7109375" style="4" customWidth="1"/>
    <col min="3087" max="3087" width="25.140625" style="4" customWidth="1"/>
    <col min="3088" max="3088" width="11" style="4" bestFit="1" customWidth="1"/>
    <col min="3089" max="3089" width="3.28515625" style="4" bestFit="1" customWidth="1"/>
    <col min="3090" max="3090" width="4" style="4" bestFit="1" customWidth="1"/>
    <col min="3091" max="3328" width="9.140625" style="4"/>
    <col min="3329" max="3329" width="4.140625" style="4" customWidth="1"/>
    <col min="3330" max="3330" width="38.7109375" style="4" customWidth="1"/>
    <col min="3331" max="3331" width="12.140625" style="4" customWidth="1"/>
    <col min="3332" max="3332" width="4.5703125" style="4" bestFit="1" customWidth="1"/>
    <col min="3333" max="3333" width="7.28515625" style="4" bestFit="1" customWidth="1"/>
    <col min="3334" max="3334" width="5" style="4" bestFit="1" customWidth="1"/>
    <col min="3335" max="3335" width="9.5703125" style="4" bestFit="1" customWidth="1"/>
    <col min="3336" max="3336" width="5" style="4" bestFit="1" customWidth="1"/>
    <col min="3337" max="3337" width="10.7109375" style="4" bestFit="1" customWidth="1"/>
    <col min="3338" max="3338" width="5" style="4" bestFit="1" customWidth="1"/>
    <col min="3339" max="3339" width="10.85546875" style="4" customWidth="1"/>
    <col min="3340" max="3340" width="5" style="4" bestFit="1" customWidth="1"/>
    <col min="3341" max="3341" width="10.7109375" style="4" bestFit="1" customWidth="1"/>
    <col min="3342" max="3342" width="22.7109375" style="4" customWidth="1"/>
    <col min="3343" max="3343" width="25.140625" style="4" customWidth="1"/>
    <col min="3344" max="3344" width="11" style="4" bestFit="1" customWidth="1"/>
    <col min="3345" max="3345" width="3.28515625" style="4" bestFit="1" customWidth="1"/>
    <col min="3346" max="3346" width="4" style="4" bestFit="1" customWidth="1"/>
    <col min="3347" max="3584" width="9.140625" style="4"/>
    <col min="3585" max="3585" width="4.140625" style="4" customWidth="1"/>
    <col min="3586" max="3586" width="38.7109375" style="4" customWidth="1"/>
    <col min="3587" max="3587" width="12.140625" style="4" customWidth="1"/>
    <col min="3588" max="3588" width="4.5703125" style="4" bestFit="1" customWidth="1"/>
    <col min="3589" max="3589" width="7.28515625" style="4" bestFit="1" customWidth="1"/>
    <col min="3590" max="3590" width="5" style="4" bestFit="1" customWidth="1"/>
    <col min="3591" max="3591" width="9.5703125" style="4" bestFit="1" customWidth="1"/>
    <col min="3592" max="3592" width="5" style="4" bestFit="1" customWidth="1"/>
    <col min="3593" max="3593" width="10.7109375" style="4" bestFit="1" customWidth="1"/>
    <col min="3594" max="3594" width="5" style="4" bestFit="1" customWidth="1"/>
    <col min="3595" max="3595" width="10.85546875" style="4" customWidth="1"/>
    <col min="3596" max="3596" width="5" style="4" bestFit="1" customWidth="1"/>
    <col min="3597" max="3597" width="10.7109375" style="4" bestFit="1" customWidth="1"/>
    <col min="3598" max="3598" width="22.7109375" style="4" customWidth="1"/>
    <col min="3599" max="3599" width="25.140625" style="4" customWidth="1"/>
    <col min="3600" max="3600" width="11" style="4" bestFit="1" customWidth="1"/>
    <col min="3601" max="3601" width="3.28515625" style="4" bestFit="1" customWidth="1"/>
    <col min="3602" max="3602" width="4" style="4" bestFit="1" customWidth="1"/>
    <col min="3603" max="3840" width="9.140625" style="4"/>
    <col min="3841" max="3841" width="4.140625" style="4" customWidth="1"/>
    <col min="3842" max="3842" width="38.7109375" style="4" customWidth="1"/>
    <col min="3843" max="3843" width="12.140625" style="4" customWidth="1"/>
    <col min="3844" max="3844" width="4.5703125" style="4" bestFit="1" customWidth="1"/>
    <col min="3845" max="3845" width="7.28515625" style="4" bestFit="1" customWidth="1"/>
    <col min="3846" max="3846" width="5" style="4" bestFit="1" customWidth="1"/>
    <col min="3847" max="3847" width="9.5703125" style="4" bestFit="1" customWidth="1"/>
    <col min="3848" max="3848" width="5" style="4" bestFit="1" customWidth="1"/>
    <col min="3849" max="3849" width="10.7109375" style="4" bestFit="1" customWidth="1"/>
    <col min="3850" max="3850" width="5" style="4" bestFit="1" customWidth="1"/>
    <col min="3851" max="3851" width="10.85546875" style="4" customWidth="1"/>
    <col min="3852" max="3852" width="5" style="4" bestFit="1" customWidth="1"/>
    <col min="3853" max="3853" width="10.7109375" style="4" bestFit="1" customWidth="1"/>
    <col min="3854" max="3854" width="22.7109375" style="4" customWidth="1"/>
    <col min="3855" max="3855" width="25.140625" style="4" customWidth="1"/>
    <col min="3856" max="3856" width="11" style="4" bestFit="1" customWidth="1"/>
    <col min="3857" max="3857" width="3.28515625" style="4" bestFit="1" customWidth="1"/>
    <col min="3858" max="3858" width="4" style="4" bestFit="1" customWidth="1"/>
    <col min="3859" max="4096" width="9.140625" style="4"/>
    <col min="4097" max="4097" width="4.140625" style="4" customWidth="1"/>
    <col min="4098" max="4098" width="38.7109375" style="4" customWidth="1"/>
    <col min="4099" max="4099" width="12.140625" style="4" customWidth="1"/>
    <col min="4100" max="4100" width="4.5703125" style="4" bestFit="1" customWidth="1"/>
    <col min="4101" max="4101" width="7.28515625" style="4" bestFit="1" customWidth="1"/>
    <col min="4102" max="4102" width="5" style="4" bestFit="1" customWidth="1"/>
    <col min="4103" max="4103" width="9.5703125" style="4" bestFit="1" customWidth="1"/>
    <col min="4104" max="4104" width="5" style="4" bestFit="1" customWidth="1"/>
    <col min="4105" max="4105" width="10.7109375" style="4" bestFit="1" customWidth="1"/>
    <col min="4106" max="4106" width="5" style="4" bestFit="1" customWidth="1"/>
    <col min="4107" max="4107" width="10.85546875" style="4" customWidth="1"/>
    <col min="4108" max="4108" width="5" style="4" bestFit="1" customWidth="1"/>
    <col min="4109" max="4109" width="10.7109375" style="4" bestFit="1" customWidth="1"/>
    <col min="4110" max="4110" width="22.7109375" style="4" customWidth="1"/>
    <col min="4111" max="4111" width="25.140625" style="4" customWidth="1"/>
    <col min="4112" max="4112" width="11" style="4" bestFit="1" customWidth="1"/>
    <col min="4113" max="4113" width="3.28515625" style="4" bestFit="1" customWidth="1"/>
    <col min="4114" max="4114" width="4" style="4" bestFit="1" customWidth="1"/>
    <col min="4115" max="4352" width="9.140625" style="4"/>
    <col min="4353" max="4353" width="4.140625" style="4" customWidth="1"/>
    <col min="4354" max="4354" width="38.7109375" style="4" customWidth="1"/>
    <col min="4355" max="4355" width="12.140625" style="4" customWidth="1"/>
    <col min="4356" max="4356" width="4.5703125" style="4" bestFit="1" customWidth="1"/>
    <col min="4357" max="4357" width="7.28515625" style="4" bestFit="1" customWidth="1"/>
    <col min="4358" max="4358" width="5" style="4" bestFit="1" customWidth="1"/>
    <col min="4359" max="4359" width="9.5703125" style="4" bestFit="1" customWidth="1"/>
    <col min="4360" max="4360" width="5" style="4" bestFit="1" customWidth="1"/>
    <col min="4361" max="4361" width="10.7109375" style="4" bestFit="1" customWidth="1"/>
    <col min="4362" max="4362" width="5" style="4" bestFit="1" customWidth="1"/>
    <col min="4363" max="4363" width="10.85546875" style="4" customWidth="1"/>
    <col min="4364" max="4364" width="5" style="4" bestFit="1" customWidth="1"/>
    <col min="4365" max="4365" width="10.7109375" style="4" bestFit="1" customWidth="1"/>
    <col min="4366" max="4366" width="22.7109375" style="4" customWidth="1"/>
    <col min="4367" max="4367" width="25.140625" style="4" customWidth="1"/>
    <col min="4368" max="4368" width="11" style="4" bestFit="1" customWidth="1"/>
    <col min="4369" max="4369" width="3.28515625" style="4" bestFit="1" customWidth="1"/>
    <col min="4370" max="4370" width="4" style="4" bestFit="1" customWidth="1"/>
    <col min="4371" max="4608" width="9.140625" style="4"/>
    <col min="4609" max="4609" width="4.140625" style="4" customWidth="1"/>
    <col min="4610" max="4610" width="38.7109375" style="4" customWidth="1"/>
    <col min="4611" max="4611" width="12.140625" style="4" customWidth="1"/>
    <col min="4612" max="4612" width="4.5703125" style="4" bestFit="1" customWidth="1"/>
    <col min="4613" max="4613" width="7.28515625" style="4" bestFit="1" customWidth="1"/>
    <col min="4614" max="4614" width="5" style="4" bestFit="1" customWidth="1"/>
    <col min="4615" max="4615" width="9.5703125" style="4" bestFit="1" customWidth="1"/>
    <col min="4616" max="4616" width="5" style="4" bestFit="1" customWidth="1"/>
    <col min="4617" max="4617" width="10.7109375" style="4" bestFit="1" customWidth="1"/>
    <col min="4618" max="4618" width="5" style="4" bestFit="1" customWidth="1"/>
    <col min="4619" max="4619" width="10.85546875" style="4" customWidth="1"/>
    <col min="4620" max="4620" width="5" style="4" bestFit="1" customWidth="1"/>
    <col min="4621" max="4621" width="10.7109375" style="4" bestFit="1" customWidth="1"/>
    <col min="4622" max="4622" width="22.7109375" style="4" customWidth="1"/>
    <col min="4623" max="4623" width="25.140625" style="4" customWidth="1"/>
    <col min="4624" max="4624" width="11" style="4" bestFit="1" customWidth="1"/>
    <col min="4625" max="4625" width="3.28515625" style="4" bestFit="1" customWidth="1"/>
    <col min="4626" max="4626" width="4" style="4" bestFit="1" customWidth="1"/>
    <col min="4627" max="4864" width="9.140625" style="4"/>
    <col min="4865" max="4865" width="4.140625" style="4" customWidth="1"/>
    <col min="4866" max="4866" width="38.7109375" style="4" customWidth="1"/>
    <col min="4867" max="4867" width="12.140625" style="4" customWidth="1"/>
    <col min="4868" max="4868" width="4.5703125" style="4" bestFit="1" customWidth="1"/>
    <col min="4869" max="4869" width="7.28515625" style="4" bestFit="1" customWidth="1"/>
    <col min="4870" max="4870" width="5" style="4" bestFit="1" customWidth="1"/>
    <col min="4871" max="4871" width="9.5703125" style="4" bestFit="1" customWidth="1"/>
    <col min="4872" max="4872" width="5" style="4" bestFit="1" customWidth="1"/>
    <col min="4873" max="4873" width="10.7109375" style="4" bestFit="1" customWidth="1"/>
    <col min="4874" max="4874" width="5" style="4" bestFit="1" customWidth="1"/>
    <col min="4875" max="4875" width="10.85546875" style="4" customWidth="1"/>
    <col min="4876" max="4876" width="5" style="4" bestFit="1" customWidth="1"/>
    <col min="4877" max="4877" width="10.7109375" style="4" bestFit="1" customWidth="1"/>
    <col min="4878" max="4878" width="22.7109375" style="4" customWidth="1"/>
    <col min="4879" max="4879" width="25.140625" style="4" customWidth="1"/>
    <col min="4880" max="4880" width="11" style="4" bestFit="1" customWidth="1"/>
    <col min="4881" max="4881" width="3.28515625" style="4" bestFit="1" customWidth="1"/>
    <col min="4882" max="4882" width="4" style="4" bestFit="1" customWidth="1"/>
    <col min="4883" max="5120" width="9.140625" style="4"/>
    <col min="5121" max="5121" width="4.140625" style="4" customWidth="1"/>
    <col min="5122" max="5122" width="38.7109375" style="4" customWidth="1"/>
    <col min="5123" max="5123" width="12.140625" style="4" customWidth="1"/>
    <col min="5124" max="5124" width="4.5703125" style="4" bestFit="1" customWidth="1"/>
    <col min="5125" max="5125" width="7.28515625" style="4" bestFit="1" customWidth="1"/>
    <col min="5126" max="5126" width="5" style="4" bestFit="1" customWidth="1"/>
    <col min="5127" max="5127" width="9.5703125" style="4" bestFit="1" customWidth="1"/>
    <col min="5128" max="5128" width="5" style="4" bestFit="1" customWidth="1"/>
    <col min="5129" max="5129" width="10.7109375" style="4" bestFit="1" customWidth="1"/>
    <col min="5130" max="5130" width="5" style="4" bestFit="1" customWidth="1"/>
    <col min="5131" max="5131" width="10.85546875" style="4" customWidth="1"/>
    <col min="5132" max="5132" width="5" style="4" bestFit="1" customWidth="1"/>
    <col min="5133" max="5133" width="10.7109375" style="4" bestFit="1" customWidth="1"/>
    <col min="5134" max="5134" width="22.7109375" style="4" customWidth="1"/>
    <col min="5135" max="5135" width="25.140625" style="4" customWidth="1"/>
    <col min="5136" max="5136" width="11" style="4" bestFit="1" customWidth="1"/>
    <col min="5137" max="5137" width="3.28515625" style="4" bestFit="1" customWidth="1"/>
    <col min="5138" max="5138" width="4" style="4" bestFit="1" customWidth="1"/>
    <col min="5139" max="5376" width="9.140625" style="4"/>
    <col min="5377" max="5377" width="4.140625" style="4" customWidth="1"/>
    <col min="5378" max="5378" width="38.7109375" style="4" customWidth="1"/>
    <col min="5379" max="5379" width="12.140625" style="4" customWidth="1"/>
    <col min="5380" max="5380" width="4.5703125" style="4" bestFit="1" customWidth="1"/>
    <col min="5381" max="5381" width="7.28515625" style="4" bestFit="1" customWidth="1"/>
    <col min="5382" max="5382" width="5" style="4" bestFit="1" customWidth="1"/>
    <col min="5383" max="5383" width="9.5703125" style="4" bestFit="1" customWidth="1"/>
    <col min="5384" max="5384" width="5" style="4" bestFit="1" customWidth="1"/>
    <col min="5385" max="5385" width="10.7109375" style="4" bestFit="1" customWidth="1"/>
    <col min="5386" max="5386" width="5" style="4" bestFit="1" customWidth="1"/>
    <col min="5387" max="5387" width="10.85546875" style="4" customWidth="1"/>
    <col min="5388" max="5388" width="5" style="4" bestFit="1" customWidth="1"/>
    <col min="5389" max="5389" width="10.7109375" style="4" bestFit="1" customWidth="1"/>
    <col min="5390" max="5390" width="22.7109375" style="4" customWidth="1"/>
    <col min="5391" max="5391" width="25.140625" style="4" customWidth="1"/>
    <col min="5392" max="5392" width="11" style="4" bestFit="1" customWidth="1"/>
    <col min="5393" max="5393" width="3.28515625" style="4" bestFit="1" customWidth="1"/>
    <col min="5394" max="5394" width="4" style="4" bestFit="1" customWidth="1"/>
    <col min="5395" max="5632" width="9.140625" style="4"/>
    <col min="5633" max="5633" width="4.140625" style="4" customWidth="1"/>
    <col min="5634" max="5634" width="38.7109375" style="4" customWidth="1"/>
    <col min="5635" max="5635" width="12.140625" style="4" customWidth="1"/>
    <col min="5636" max="5636" width="4.5703125" style="4" bestFit="1" customWidth="1"/>
    <col min="5637" max="5637" width="7.28515625" style="4" bestFit="1" customWidth="1"/>
    <col min="5638" max="5638" width="5" style="4" bestFit="1" customWidth="1"/>
    <col min="5639" max="5639" width="9.5703125" style="4" bestFit="1" customWidth="1"/>
    <col min="5640" max="5640" width="5" style="4" bestFit="1" customWidth="1"/>
    <col min="5641" max="5641" width="10.7109375" style="4" bestFit="1" customWidth="1"/>
    <col min="5642" max="5642" width="5" style="4" bestFit="1" customWidth="1"/>
    <col min="5643" max="5643" width="10.85546875" style="4" customWidth="1"/>
    <col min="5644" max="5644" width="5" style="4" bestFit="1" customWidth="1"/>
    <col min="5645" max="5645" width="10.7109375" style="4" bestFit="1" customWidth="1"/>
    <col min="5646" max="5646" width="22.7109375" style="4" customWidth="1"/>
    <col min="5647" max="5647" width="25.140625" style="4" customWidth="1"/>
    <col min="5648" max="5648" width="11" style="4" bestFit="1" customWidth="1"/>
    <col min="5649" max="5649" width="3.28515625" style="4" bestFit="1" customWidth="1"/>
    <col min="5650" max="5650" width="4" style="4" bestFit="1" customWidth="1"/>
    <col min="5651" max="5888" width="9.140625" style="4"/>
    <col min="5889" max="5889" width="4.140625" style="4" customWidth="1"/>
    <col min="5890" max="5890" width="38.7109375" style="4" customWidth="1"/>
    <col min="5891" max="5891" width="12.140625" style="4" customWidth="1"/>
    <col min="5892" max="5892" width="4.5703125" style="4" bestFit="1" customWidth="1"/>
    <col min="5893" max="5893" width="7.28515625" style="4" bestFit="1" customWidth="1"/>
    <col min="5894" max="5894" width="5" style="4" bestFit="1" customWidth="1"/>
    <col min="5895" max="5895" width="9.5703125" style="4" bestFit="1" customWidth="1"/>
    <col min="5896" max="5896" width="5" style="4" bestFit="1" customWidth="1"/>
    <col min="5897" max="5897" width="10.7109375" style="4" bestFit="1" customWidth="1"/>
    <col min="5898" max="5898" width="5" style="4" bestFit="1" customWidth="1"/>
    <col min="5899" max="5899" width="10.85546875" style="4" customWidth="1"/>
    <col min="5900" max="5900" width="5" style="4" bestFit="1" customWidth="1"/>
    <col min="5901" max="5901" width="10.7109375" style="4" bestFit="1" customWidth="1"/>
    <col min="5902" max="5902" width="22.7109375" style="4" customWidth="1"/>
    <col min="5903" max="5903" width="25.140625" style="4" customWidth="1"/>
    <col min="5904" max="5904" width="11" style="4" bestFit="1" customWidth="1"/>
    <col min="5905" max="5905" width="3.28515625" style="4" bestFit="1" customWidth="1"/>
    <col min="5906" max="5906" width="4" style="4" bestFit="1" customWidth="1"/>
    <col min="5907" max="6144" width="9.140625" style="4"/>
    <col min="6145" max="6145" width="4.140625" style="4" customWidth="1"/>
    <col min="6146" max="6146" width="38.7109375" style="4" customWidth="1"/>
    <col min="6147" max="6147" width="12.140625" style="4" customWidth="1"/>
    <col min="6148" max="6148" width="4.5703125" style="4" bestFit="1" customWidth="1"/>
    <col min="6149" max="6149" width="7.28515625" style="4" bestFit="1" customWidth="1"/>
    <col min="6150" max="6150" width="5" style="4" bestFit="1" customWidth="1"/>
    <col min="6151" max="6151" width="9.5703125" style="4" bestFit="1" customWidth="1"/>
    <col min="6152" max="6152" width="5" style="4" bestFit="1" customWidth="1"/>
    <col min="6153" max="6153" width="10.7109375" style="4" bestFit="1" customWidth="1"/>
    <col min="6154" max="6154" width="5" style="4" bestFit="1" customWidth="1"/>
    <col min="6155" max="6155" width="10.85546875" style="4" customWidth="1"/>
    <col min="6156" max="6156" width="5" style="4" bestFit="1" customWidth="1"/>
    <col min="6157" max="6157" width="10.7109375" style="4" bestFit="1" customWidth="1"/>
    <col min="6158" max="6158" width="22.7109375" style="4" customWidth="1"/>
    <col min="6159" max="6159" width="25.140625" style="4" customWidth="1"/>
    <col min="6160" max="6160" width="11" style="4" bestFit="1" customWidth="1"/>
    <col min="6161" max="6161" width="3.28515625" style="4" bestFit="1" customWidth="1"/>
    <col min="6162" max="6162" width="4" style="4" bestFit="1" customWidth="1"/>
    <col min="6163" max="6400" width="9.140625" style="4"/>
    <col min="6401" max="6401" width="4.140625" style="4" customWidth="1"/>
    <col min="6402" max="6402" width="38.7109375" style="4" customWidth="1"/>
    <col min="6403" max="6403" width="12.140625" style="4" customWidth="1"/>
    <col min="6404" max="6404" width="4.5703125" style="4" bestFit="1" customWidth="1"/>
    <col min="6405" max="6405" width="7.28515625" style="4" bestFit="1" customWidth="1"/>
    <col min="6406" max="6406" width="5" style="4" bestFit="1" customWidth="1"/>
    <col min="6407" max="6407" width="9.5703125" style="4" bestFit="1" customWidth="1"/>
    <col min="6408" max="6408" width="5" style="4" bestFit="1" customWidth="1"/>
    <col min="6409" max="6409" width="10.7109375" style="4" bestFit="1" customWidth="1"/>
    <col min="6410" max="6410" width="5" style="4" bestFit="1" customWidth="1"/>
    <col min="6411" max="6411" width="10.85546875" style="4" customWidth="1"/>
    <col min="6412" max="6412" width="5" style="4" bestFit="1" customWidth="1"/>
    <col min="6413" max="6413" width="10.7109375" style="4" bestFit="1" customWidth="1"/>
    <col min="6414" max="6414" width="22.7109375" style="4" customWidth="1"/>
    <col min="6415" max="6415" width="25.140625" style="4" customWidth="1"/>
    <col min="6416" max="6416" width="11" style="4" bestFit="1" customWidth="1"/>
    <col min="6417" max="6417" width="3.28515625" style="4" bestFit="1" customWidth="1"/>
    <col min="6418" max="6418" width="4" style="4" bestFit="1" customWidth="1"/>
    <col min="6419" max="6656" width="9.140625" style="4"/>
    <col min="6657" max="6657" width="4.140625" style="4" customWidth="1"/>
    <col min="6658" max="6658" width="38.7109375" style="4" customWidth="1"/>
    <col min="6659" max="6659" width="12.140625" style="4" customWidth="1"/>
    <col min="6660" max="6660" width="4.5703125" style="4" bestFit="1" customWidth="1"/>
    <col min="6661" max="6661" width="7.28515625" style="4" bestFit="1" customWidth="1"/>
    <col min="6662" max="6662" width="5" style="4" bestFit="1" customWidth="1"/>
    <col min="6663" max="6663" width="9.5703125" style="4" bestFit="1" customWidth="1"/>
    <col min="6664" max="6664" width="5" style="4" bestFit="1" customWidth="1"/>
    <col min="6665" max="6665" width="10.7109375" style="4" bestFit="1" customWidth="1"/>
    <col min="6666" max="6666" width="5" style="4" bestFit="1" customWidth="1"/>
    <col min="6667" max="6667" width="10.85546875" style="4" customWidth="1"/>
    <col min="6668" max="6668" width="5" style="4" bestFit="1" customWidth="1"/>
    <col min="6669" max="6669" width="10.7109375" style="4" bestFit="1" customWidth="1"/>
    <col min="6670" max="6670" width="22.7109375" style="4" customWidth="1"/>
    <col min="6671" max="6671" width="25.140625" style="4" customWidth="1"/>
    <col min="6672" max="6672" width="11" style="4" bestFit="1" customWidth="1"/>
    <col min="6673" max="6673" width="3.28515625" style="4" bestFit="1" customWidth="1"/>
    <col min="6674" max="6674" width="4" style="4" bestFit="1" customWidth="1"/>
    <col min="6675" max="6912" width="9.140625" style="4"/>
    <col min="6913" max="6913" width="4.140625" style="4" customWidth="1"/>
    <col min="6914" max="6914" width="38.7109375" style="4" customWidth="1"/>
    <col min="6915" max="6915" width="12.140625" style="4" customWidth="1"/>
    <col min="6916" max="6916" width="4.5703125" style="4" bestFit="1" customWidth="1"/>
    <col min="6917" max="6917" width="7.28515625" style="4" bestFit="1" customWidth="1"/>
    <col min="6918" max="6918" width="5" style="4" bestFit="1" customWidth="1"/>
    <col min="6919" max="6919" width="9.5703125" style="4" bestFit="1" customWidth="1"/>
    <col min="6920" max="6920" width="5" style="4" bestFit="1" customWidth="1"/>
    <col min="6921" max="6921" width="10.7109375" style="4" bestFit="1" customWidth="1"/>
    <col min="6922" max="6922" width="5" style="4" bestFit="1" customWidth="1"/>
    <col min="6923" max="6923" width="10.85546875" style="4" customWidth="1"/>
    <col min="6924" max="6924" width="5" style="4" bestFit="1" customWidth="1"/>
    <col min="6925" max="6925" width="10.7109375" style="4" bestFit="1" customWidth="1"/>
    <col min="6926" max="6926" width="22.7109375" style="4" customWidth="1"/>
    <col min="6927" max="6927" width="25.140625" style="4" customWidth="1"/>
    <col min="6928" max="6928" width="11" style="4" bestFit="1" customWidth="1"/>
    <col min="6929" max="6929" width="3.28515625" style="4" bestFit="1" customWidth="1"/>
    <col min="6930" max="6930" width="4" style="4" bestFit="1" customWidth="1"/>
    <col min="6931" max="7168" width="9.140625" style="4"/>
    <col min="7169" max="7169" width="4.140625" style="4" customWidth="1"/>
    <col min="7170" max="7170" width="38.7109375" style="4" customWidth="1"/>
    <col min="7171" max="7171" width="12.140625" style="4" customWidth="1"/>
    <col min="7172" max="7172" width="4.5703125" style="4" bestFit="1" customWidth="1"/>
    <col min="7173" max="7173" width="7.28515625" style="4" bestFit="1" customWidth="1"/>
    <col min="7174" max="7174" width="5" style="4" bestFit="1" customWidth="1"/>
    <col min="7175" max="7175" width="9.5703125" style="4" bestFit="1" customWidth="1"/>
    <col min="7176" max="7176" width="5" style="4" bestFit="1" customWidth="1"/>
    <col min="7177" max="7177" width="10.7109375" style="4" bestFit="1" customWidth="1"/>
    <col min="7178" max="7178" width="5" style="4" bestFit="1" customWidth="1"/>
    <col min="7179" max="7179" width="10.85546875" style="4" customWidth="1"/>
    <col min="7180" max="7180" width="5" style="4" bestFit="1" customWidth="1"/>
    <col min="7181" max="7181" width="10.7109375" style="4" bestFit="1" customWidth="1"/>
    <col min="7182" max="7182" width="22.7109375" style="4" customWidth="1"/>
    <col min="7183" max="7183" width="25.140625" style="4" customWidth="1"/>
    <col min="7184" max="7184" width="11" style="4" bestFit="1" customWidth="1"/>
    <col min="7185" max="7185" width="3.28515625" style="4" bestFit="1" customWidth="1"/>
    <col min="7186" max="7186" width="4" style="4" bestFit="1" customWidth="1"/>
    <col min="7187" max="7424" width="9.140625" style="4"/>
    <col min="7425" max="7425" width="4.140625" style="4" customWidth="1"/>
    <col min="7426" max="7426" width="38.7109375" style="4" customWidth="1"/>
    <col min="7427" max="7427" width="12.140625" style="4" customWidth="1"/>
    <col min="7428" max="7428" width="4.5703125" style="4" bestFit="1" customWidth="1"/>
    <col min="7429" max="7429" width="7.28515625" style="4" bestFit="1" customWidth="1"/>
    <col min="7430" max="7430" width="5" style="4" bestFit="1" customWidth="1"/>
    <col min="7431" max="7431" width="9.5703125" style="4" bestFit="1" customWidth="1"/>
    <col min="7432" max="7432" width="5" style="4" bestFit="1" customWidth="1"/>
    <col min="7433" max="7433" width="10.7109375" style="4" bestFit="1" customWidth="1"/>
    <col min="7434" max="7434" width="5" style="4" bestFit="1" customWidth="1"/>
    <col min="7435" max="7435" width="10.85546875" style="4" customWidth="1"/>
    <col min="7436" max="7436" width="5" style="4" bestFit="1" customWidth="1"/>
    <col min="7437" max="7437" width="10.7109375" style="4" bestFit="1" customWidth="1"/>
    <col min="7438" max="7438" width="22.7109375" style="4" customWidth="1"/>
    <col min="7439" max="7439" width="25.140625" style="4" customWidth="1"/>
    <col min="7440" max="7440" width="11" style="4" bestFit="1" customWidth="1"/>
    <col min="7441" max="7441" width="3.28515625" style="4" bestFit="1" customWidth="1"/>
    <col min="7442" max="7442" width="4" style="4" bestFit="1" customWidth="1"/>
    <col min="7443" max="7680" width="9.140625" style="4"/>
    <col min="7681" max="7681" width="4.140625" style="4" customWidth="1"/>
    <col min="7682" max="7682" width="38.7109375" style="4" customWidth="1"/>
    <col min="7683" max="7683" width="12.140625" style="4" customWidth="1"/>
    <col min="7684" max="7684" width="4.5703125" style="4" bestFit="1" customWidth="1"/>
    <col min="7685" max="7685" width="7.28515625" style="4" bestFit="1" customWidth="1"/>
    <col min="7686" max="7686" width="5" style="4" bestFit="1" customWidth="1"/>
    <col min="7687" max="7687" width="9.5703125" style="4" bestFit="1" customWidth="1"/>
    <col min="7688" max="7688" width="5" style="4" bestFit="1" customWidth="1"/>
    <col min="7689" max="7689" width="10.7109375" style="4" bestFit="1" customWidth="1"/>
    <col min="7690" max="7690" width="5" style="4" bestFit="1" customWidth="1"/>
    <col min="7691" max="7691" width="10.85546875" style="4" customWidth="1"/>
    <col min="7692" max="7692" width="5" style="4" bestFit="1" customWidth="1"/>
    <col min="7693" max="7693" width="10.7109375" style="4" bestFit="1" customWidth="1"/>
    <col min="7694" max="7694" width="22.7109375" style="4" customWidth="1"/>
    <col min="7695" max="7695" width="25.140625" style="4" customWidth="1"/>
    <col min="7696" max="7696" width="11" style="4" bestFit="1" customWidth="1"/>
    <col min="7697" max="7697" width="3.28515625" style="4" bestFit="1" customWidth="1"/>
    <col min="7698" max="7698" width="4" style="4" bestFit="1" customWidth="1"/>
    <col min="7699" max="7936" width="9.140625" style="4"/>
    <col min="7937" max="7937" width="4.140625" style="4" customWidth="1"/>
    <col min="7938" max="7938" width="38.7109375" style="4" customWidth="1"/>
    <col min="7939" max="7939" width="12.140625" style="4" customWidth="1"/>
    <col min="7940" max="7940" width="4.5703125" style="4" bestFit="1" customWidth="1"/>
    <col min="7941" max="7941" width="7.28515625" style="4" bestFit="1" customWidth="1"/>
    <col min="7942" max="7942" width="5" style="4" bestFit="1" customWidth="1"/>
    <col min="7943" max="7943" width="9.5703125" style="4" bestFit="1" customWidth="1"/>
    <col min="7944" max="7944" width="5" style="4" bestFit="1" customWidth="1"/>
    <col min="7945" max="7945" width="10.7109375" style="4" bestFit="1" customWidth="1"/>
    <col min="7946" max="7946" width="5" style="4" bestFit="1" customWidth="1"/>
    <col min="7947" max="7947" width="10.85546875" style="4" customWidth="1"/>
    <col min="7948" max="7948" width="5" style="4" bestFit="1" customWidth="1"/>
    <col min="7949" max="7949" width="10.7109375" style="4" bestFit="1" customWidth="1"/>
    <col min="7950" max="7950" width="22.7109375" style="4" customWidth="1"/>
    <col min="7951" max="7951" width="25.140625" style="4" customWidth="1"/>
    <col min="7952" max="7952" width="11" style="4" bestFit="1" customWidth="1"/>
    <col min="7953" max="7953" width="3.28515625" style="4" bestFit="1" customWidth="1"/>
    <col min="7954" max="7954" width="4" style="4" bestFit="1" customWidth="1"/>
    <col min="7955" max="8192" width="9.140625" style="4"/>
    <col min="8193" max="8193" width="4.140625" style="4" customWidth="1"/>
    <col min="8194" max="8194" width="38.7109375" style="4" customWidth="1"/>
    <col min="8195" max="8195" width="12.140625" style="4" customWidth="1"/>
    <col min="8196" max="8196" width="4.5703125" style="4" bestFit="1" customWidth="1"/>
    <col min="8197" max="8197" width="7.28515625" style="4" bestFit="1" customWidth="1"/>
    <col min="8198" max="8198" width="5" style="4" bestFit="1" customWidth="1"/>
    <col min="8199" max="8199" width="9.5703125" style="4" bestFit="1" customWidth="1"/>
    <col min="8200" max="8200" width="5" style="4" bestFit="1" customWidth="1"/>
    <col min="8201" max="8201" width="10.7109375" style="4" bestFit="1" customWidth="1"/>
    <col min="8202" max="8202" width="5" style="4" bestFit="1" customWidth="1"/>
    <col min="8203" max="8203" width="10.85546875" style="4" customWidth="1"/>
    <col min="8204" max="8204" width="5" style="4" bestFit="1" customWidth="1"/>
    <col min="8205" max="8205" width="10.7109375" style="4" bestFit="1" customWidth="1"/>
    <col min="8206" max="8206" width="22.7109375" style="4" customWidth="1"/>
    <col min="8207" max="8207" width="25.140625" style="4" customWidth="1"/>
    <col min="8208" max="8208" width="11" style="4" bestFit="1" customWidth="1"/>
    <col min="8209" max="8209" width="3.28515625" style="4" bestFit="1" customWidth="1"/>
    <col min="8210" max="8210" width="4" style="4" bestFit="1" customWidth="1"/>
    <col min="8211" max="8448" width="9.140625" style="4"/>
    <col min="8449" max="8449" width="4.140625" style="4" customWidth="1"/>
    <col min="8450" max="8450" width="38.7109375" style="4" customWidth="1"/>
    <col min="8451" max="8451" width="12.140625" style="4" customWidth="1"/>
    <col min="8452" max="8452" width="4.5703125" style="4" bestFit="1" customWidth="1"/>
    <col min="8453" max="8453" width="7.28515625" style="4" bestFit="1" customWidth="1"/>
    <col min="8454" max="8454" width="5" style="4" bestFit="1" customWidth="1"/>
    <col min="8455" max="8455" width="9.5703125" style="4" bestFit="1" customWidth="1"/>
    <col min="8456" max="8456" width="5" style="4" bestFit="1" customWidth="1"/>
    <col min="8457" max="8457" width="10.7109375" style="4" bestFit="1" customWidth="1"/>
    <col min="8458" max="8458" width="5" style="4" bestFit="1" customWidth="1"/>
    <col min="8459" max="8459" width="10.85546875" style="4" customWidth="1"/>
    <col min="8460" max="8460" width="5" style="4" bestFit="1" customWidth="1"/>
    <col min="8461" max="8461" width="10.7109375" style="4" bestFit="1" customWidth="1"/>
    <col min="8462" max="8462" width="22.7109375" style="4" customWidth="1"/>
    <col min="8463" max="8463" width="25.140625" style="4" customWidth="1"/>
    <col min="8464" max="8464" width="11" style="4" bestFit="1" customWidth="1"/>
    <col min="8465" max="8465" width="3.28515625" style="4" bestFit="1" customWidth="1"/>
    <col min="8466" max="8466" width="4" style="4" bestFit="1" customWidth="1"/>
    <col min="8467" max="8704" width="9.140625" style="4"/>
    <col min="8705" max="8705" width="4.140625" style="4" customWidth="1"/>
    <col min="8706" max="8706" width="38.7109375" style="4" customWidth="1"/>
    <col min="8707" max="8707" width="12.140625" style="4" customWidth="1"/>
    <col min="8708" max="8708" width="4.5703125" style="4" bestFit="1" customWidth="1"/>
    <col min="8709" max="8709" width="7.28515625" style="4" bestFit="1" customWidth="1"/>
    <col min="8710" max="8710" width="5" style="4" bestFit="1" customWidth="1"/>
    <col min="8711" max="8711" width="9.5703125" style="4" bestFit="1" customWidth="1"/>
    <col min="8712" max="8712" width="5" style="4" bestFit="1" customWidth="1"/>
    <col min="8713" max="8713" width="10.7109375" style="4" bestFit="1" customWidth="1"/>
    <col min="8714" max="8714" width="5" style="4" bestFit="1" customWidth="1"/>
    <col min="8715" max="8715" width="10.85546875" style="4" customWidth="1"/>
    <col min="8716" max="8716" width="5" style="4" bestFit="1" customWidth="1"/>
    <col min="8717" max="8717" width="10.7109375" style="4" bestFit="1" customWidth="1"/>
    <col min="8718" max="8718" width="22.7109375" style="4" customWidth="1"/>
    <col min="8719" max="8719" width="25.140625" style="4" customWidth="1"/>
    <col min="8720" max="8720" width="11" style="4" bestFit="1" customWidth="1"/>
    <col min="8721" max="8721" width="3.28515625" style="4" bestFit="1" customWidth="1"/>
    <col min="8722" max="8722" width="4" style="4" bestFit="1" customWidth="1"/>
    <col min="8723" max="8960" width="9.140625" style="4"/>
    <col min="8961" max="8961" width="4.140625" style="4" customWidth="1"/>
    <col min="8962" max="8962" width="38.7109375" style="4" customWidth="1"/>
    <col min="8963" max="8963" width="12.140625" style="4" customWidth="1"/>
    <col min="8964" max="8964" width="4.5703125" style="4" bestFit="1" customWidth="1"/>
    <col min="8965" max="8965" width="7.28515625" style="4" bestFit="1" customWidth="1"/>
    <col min="8966" max="8966" width="5" style="4" bestFit="1" customWidth="1"/>
    <col min="8967" max="8967" width="9.5703125" style="4" bestFit="1" customWidth="1"/>
    <col min="8968" max="8968" width="5" style="4" bestFit="1" customWidth="1"/>
    <col min="8969" max="8969" width="10.7109375" style="4" bestFit="1" customWidth="1"/>
    <col min="8970" max="8970" width="5" style="4" bestFit="1" customWidth="1"/>
    <col min="8971" max="8971" width="10.85546875" style="4" customWidth="1"/>
    <col min="8972" max="8972" width="5" style="4" bestFit="1" customWidth="1"/>
    <col min="8973" max="8973" width="10.7109375" style="4" bestFit="1" customWidth="1"/>
    <col min="8974" max="8974" width="22.7109375" style="4" customWidth="1"/>
    <col min="8975" max="8975" width="25.140625" style="4" customWidth="1"/>
    <col min="8976" max="8976" width="11" style="4" bestFit="1" customWidth="1"/>
    <col min="8977" max="8977" width="3.28515625" style="4" bestFit="1" customWidth="1"/>
    <col min="8978" max="8978" width="4" style="4" bestFit="1" customWidth="1"/>
    <col min="8979" max="9216" width="9.140625" style="4"/>
    <col min="9217" max="9217" width="4.140625" style="4" customWidth="1"/>
    <col min="9218" max="9218" width="38.7109375" style="4" customWidth="1"/>
    <col min="9219" max="9219" width="12.140625" style="4" customWidth="1"/>
    <col min="9220" max="9220" width="4.5703125" style="4" bestFit="1" customWidth="1"/>
    <col min="9221" max="9221" width="7.28515625" style="4" bestFit="1" customWidth="1"/>
    <col min="9222" max="9222" width="5" style="4" bestFit="1" customWidth="1"/>
    <col min="9223" max="9223" width="9.5703125" style="4" bestFit="1" customWidth="1"/>
    <col min="9224" max="9224" width="5" style="4" bestFit="1" customWidth="1"/>
    <col min="9225" max="9225" width="10.7109375" style="4" bestFit="1" customWidth="1"/>
    <col min="9226" max="9226" width="5" style="4" bestFit="1" customWidth="1"/>
    <col min="9227" max="9227" width="10.85546875" style="4" customWidth="1"/>
    <col min="9228" max="9228" width="5" style="4" bestFit="1" customWidth="1"/>
    <col min="9229" max="9229" width="10.7109375" style="4" bestFit="1" customWidth="1"/>
    <col min="9230" max="9230" width="22.7109375" style="4" customWidth="1"/>
    <col min="9231" max="9231" width="25.140625" style="4" customWidth="1"/>
    <col min="9232" max="9232" width="11" style="4" bestFit="1" customWidth="1"/>
    <col min="9233" max="9233" width="3.28515625" style="4" bestFit="1" customWidth="1"/>
    <col min="9234" max="9234" width="4" style="4" bestFit="1" customWidth="1"/>
    <col min="9235" max="9472" width="9.140625" style="4"/>
    <col min="9473" max="9473" width="4.140625" style="4" customWidth="1"/>
    <col min="9474" max="9474" width="38.7109375" style="4" customWidth="1"/>
    <col min="9475" max="9475" width="12.140625" style="4" customWidth="1"/>
    <col min="9476" max="9476" width="4.5703125" style="4" bestFit="1" customWidth="1"/>
    <col min="9477" max="9477" width="7.28515625" style="4" bestFit="1" customWidth="1"/>
    <col min="9478" max="9478" width="5" style="4" bestFit="1" customWidth="1"/>
    <col min="9479" max="9479" width="9.5703125" style="4" bestFit="1" customWidth="1"/>
    <col min="9480" max="9480" width="5" style="4" bestFit="1" customWidth="1"/>
    <col min="9481" max="9481" width="10.7109375" style="4" bestFit="1" customWidth="1"/>
    <col min="9482" max="9482" width="5" style="4" bestFit="1" customWidth="1"/>
    <col min="9483" max="9483" width="10.85546875" style="4" customWidth="1"/>
    <col min="9484" max="9484" width="5" style="4" bestFit="1" customWidth="1"/>
    <col min="9485" max="9485" width="10.7109375" style="4" bestFit="1" customWidth="1"/>
    <col min="9486" max="9486" width="22.7109375" style="4" customWidth="1"/>
    <col min="9487" max="9487" width="25.140625" style="4" customWidth="1"/>
    <col min="9488" max="9488" width="11" style="4" bestFit="1" customWidth="1"/>
    <col min="9489" max="9489" width="3.28515625" style="4" bestFit="1" customWidth="1"/>
    <col min="9490" max="9490" width="4" style="4" bestFit="1" customWidth="1"/>
    <col min="9491" max="9728" width="9.140625" style="4"/>
    <col min="9729" max="9729" width="4.140625" style="4" customWidth="1"/>
    <col min="9730" max="9730" width="38.7109375" style="4" customWidth="1"/>
    <col min="9731" max="9731" width="12.140625" style="4" customWidth="1"/>
    <col min="9732" max="9732" width="4.5703125" style="4" bestFit="1" customWidth="1"/>
    <col min="9733" max="9733" width="7.28515625" style="4" bestFit="1" customWidth="1"/>
    <col min="9734" max="9734" width="5" style="4" bestFit="1" customWidth="1"/>
    <col min="9735" max="9735" width="9.5703125" style="4" bestFit="1" customWidth="1"/>
    <col min="9736" max="9736" width="5" style="4" bestFit="1" customWidth="1"/>
    <col min="9737" max="9737" width="10.7109375" style="4" bestFit="1" customWidth="1"/>
    <col min="9738" max="9738" width="5" style="4" bestFit="1" customWidth="1"/>
    <col min="9739" max="9739" width="10.85546875" style="4" customWidth="1"/>
    <col min="9740" max="9740" width="5" style="4" bestFit="1" customWidth="1"/>
    <col min="9741" max="9741" width="10.7109375" style="4" bestFit="1" customWidth="1"/>
    <col min="9742" max="9742" width="22.7109375" style="4" customWidth="1"/>
    <col min="9743" max="9743" width="25.140625" style="4" customWidth="1"/>
    <col min="9744" max="9744" width="11" style="4" bestFit="1" customWidth="1"/>
    <col min="9745" max="9745" width="3.28515625" style="4" bestFit="1" customWidth="1"/>
    <col min="9746" max="9746" width="4" style="4" bestFit="1" customWidth="1"/>
    <col min="9747" max="9984" width="9.140625" style="4"/>
    <col min="9985" max="9985" width="4.140625" style="4" customWidth="1"/>
    <col min="9986" max="9986" width="38.7109375" style="4" customWidth="1"/>
    <col min="9987" max="9987" width="12.140625" style="4" customWidth="1"/>
    <col min="9988" max="9988" width="4.5703125" style="4" bestFit="1" customWidth="1"/>
    <col min="9989" max="9989" width="7.28515625" style="4" bestFit="1" customWidth="1"/>
    <col min="9990" max="9990" width="5" style="4" bestFit="1" customWidth="1"/>
    <col min="9991" max="9991" width="9.5703125" style="4" bestFit="1" customWidth="1"/>
    <col min="9992" max="9992" width="5" style="4" bestFit="1" customWidth="1"/>
    <col min="9993" max="9993" width="10.7109375" style="4" bestFit="1" customWidth="1"/>
    <col min="9994" max="9994" width="5" style="4" bestFit="1" customWidth="1"/>
    <col min="9995" max="9995" width="10.85546875" style="4" customWidth="1"/>
    <col min="9996" max="9996" width="5" style="4" bestFit="1" customWidth="1"/>
    <col min="9997" max="9997" width="10.7109375" style="4" bestFit="1" customWidth="1"/>
    <col min="9998" max="9998" width="22.7109375" style="4" customWidth="1"/>
    <col min="9999" max="9999" width="25.140625" style="4" customWidth="1"/>
    <col min="10000" max="10000" width="11" style="4" bestFit="1" customWidth="1"/>
    <col min="10001" max="10001" width="3.28515625" style="4" bestFit="1" customWidth="1"/>
    <col min="10002" max="10002" width="4" style="4" bestFit="1" customWidth="1"/>
    <col min="10003" max="10240" width="9.140625" style="4"/>
    <col min="10241" max="10241" width="4.140625" style="4" customWidth="1"/>
    <col min="10242" max="10242" width="38.7109375" style="4" customWidth="1"/>
    <col min="10243" max="10243" width="12.140625" style="4" customWidth="1"/>
    <col min="10244" max="10244" width="4.5703125" style="4" bestFit="1" customWidth="1"/>
    <col min="10245" max="10245" width="7.28515625" style="4" bestFit="1" customWidth="1"/>
    <col min="10246" max="10246" width="5" style="4" bestFit="1" customWidth="1"/>
    <col min="10247" max="10247" width="9.5703125" style="4" bestFit="1" customWidth="1"/>
    <col min="10248" max="10248" width="5" style="4" bestFit="1" customWidth="1"/>
    <col min="10249" max="10249" width="10.7109375" style="4" bestFit="1" customWidth="1"/>
    <col min="10250" max="10250" width="5" style="4" bestFit="1" customWidth="1"/>
    <col min="10251" max="10251" width="10.85546875" style="4" customWidth="1"/>
    <col min="10252" max="10252" width="5" style="4" bestFit="1" customWidth="1"/>
    <col min="10253" max="10253" width="10.7109375" style="4" bestFit="1" customWidth="1"/>
    <col min="10254" max="10254" width="22.7109375" style="4" customWidth="1"/>
    <col min="10255" max="10255" width="25.140625" style="4" customWidth="1"/>
    <col min="10256" max="10256" width="11" style="4" bestFit="1" customWidth="1"/>
    <col min="10257" max="10257" width="3.28515625" style="4" bestFit="1" customWidth="1"/>
    <col min="10258" max="10258" width="4" style="4" bestFit="1" customWidth="1"/>
    <col min="10259" max="10496" width="9.140625" style="4"/>
    <col min="10497" max="10497" width="4.140625" style="4" customWidth="1"/>
    <col min="10498" max="10498" width="38.7109375" style="4" customWidth="1"/>
    <col min="10499" max="10499" width="12.140625" style="4" customWidth="1"/>
    <col min="10500" max="10500" width="4.5703125" style="4" bestFit="1" customWidth="1"/>
    <col min="10501" max="10501" width="7.28515625" style="4" bestFit="1" customWidth="1"/>
    <col min="10502" max="10502" width="5" style="4" bestFit="1" customWidth="1"/>
    <col min="10503" max="10503" width="9.5703125" style="4" bestFit="1" customWidth="1"/>
    <col min="10504" max="10504" width="5" style="4" bestFit="1" customWidth="1"/>
    <col min="10505" max="10505" width="10.7109375" style="4" bestFit="1" customWidth="1"/>
    <col min="10506" max="10506" width="5" style="4" bestFit="1" customWidth="1"/>
    <col min="10507" max="10507" width="10.85546875" style="4" customWidth="1"/>
    <col min="10508" max="10508" width="5" style="4" bestFit="1" customWidth="1"/>
    <col min="10509" max="10509" width="10.7109375" style="4" bestFit="1" customWidth="1"/>
    <col min="10510" max="10510" width="22.7109375" style="4" customWidth="1"/>
    <col min="10511" max="10511" width="25.140625" style="4" customWidth="1"/>
    <col min="10512" max="10512" width="11" style="4" bestFit="1" customWidth="1"/>
    <col min="10513" max="10513" width="3.28515625" style="4" bestFit="1" customWidth="1"/>
    <col min="10514" max="10514" width="4" style="4" bestFit="1" customWidth="1"/>
    <col min="10515" max="10752" width="9.140625" style="4"/>
    <col min="10753" max="10753" width="4.140625" style="4" customWidth="1"/>
    <col min="10754" max="10754" width="38.7109375" style="4" customWidth="1"/>
    <col min="10755" max="10755" width="12.140625" style="4" customWidth="1"/>
    <col min="10756" max="10756" width="4.5703125" style="4" bestFit="1" customWidth="1"/>
    <col min="10757" max="10757" width="7.28515625" style="4" bestFit="1" customWidth="1"/>
    <col min="10758" max="10758" width="5" style="4" bestFit="1" customWidth="1"/>
    <col min="10759" max="10759" width="9.5703125" style="4" bestFit="1" customWidth="1"/>
    <col min="10760" max="10760" width="5" style="4" bestFit="1" customWidth="1"/>
    <col min="10761" max="10761" width="10.7109375" style="4" bestFit="1" customWidth="1"/>
    <col min="10762" max="10762" width="5" style="4" bestFit="1" customWidth="1"/>
    <col min="10763" max="10763" width="10.85546875" style="4" customWidth="1"/>
    <col min="10764" max="10764" width="5" style="4" bestFit="1" customWidth="1"/>
    <col min="10765" max="10765" width="10.7109375" style="4" bestFit="1" customWidth="1"/>
    <col min="10766" max="10766" width="22.7109375" style="4" customWidth="1"/>
    <col min="10767" max="10767" width="25.140625" style="4" customWidth="1"/>
    <col min="10768" max="10768" width="11" style="4" bestFit="1" customWidth="1"/>
    <col min="10769" max="10769" width="3.28515625" style="4" bestFit="1" customWidth="1"/>
    <col min="10770" max="10770" width="4" style="4" bestFit="1" customWidth="1"/>
    <col min="10771" max="11008" width="9.140625" style="4"/>
    <col min="11009" max="11009" width="4.140625" style="4" customWidth="1"/>
    <col min="11010" max="11010" width="38.7109375" style="4" customWidth="1"/>
    <col min="11011" max="11011" width="12.140625" style="4" customWidth="1"/>
    <col min="11012" max="11012" width="4.5703125" style="4" bestFit="1" customWidth="1"/>
    <col min="11013" max="11013" width="7.28515625" style="4" bestFit="1" customWidth="1"/>
    <col min="11014" max="11014" width="5" style="4" bestFit="1" customWidth="1"/>
    <col min="11015" max="11015" width="9.5703125" style="4" bestFit="1" customWidth="1"/>
    <col min="11016" max="11016" width="5" style="4" bestFit="1" customWidth="1"/>
    <col min="11017" max="11017" width="10.7109375" style="4" bestFit="1" customWidth="1"/>
    <col min="11018" max="11018" width="5" style="4" bestFit="1" customWidth="1"/>
    <col min="11019" max="11019" width="10.85546875" style="4" customWidth="1"/>
    <col min="11020" max="11020" width="5" style="4" bestFit="1" customWidth="1"/>
    <col min="11021" max="11021" width="10.7109375" style="4" bestFit="1" customWidth="1"/>
    <col min="11022" max="11022" width="22.7109375" style="4" customWidth="1"/>
    <col min="11023" max="11023" width="25.140625" style="4" customWidth="1"/>
    <col min="11024" max="11024" width="11" style="4" bestFit="1" customWidth="1"/>
    <col min="11025" max="11025" width="3.28515625" style="4" bestFit="1" customWidth="1"/>
    <col min="11026" max="11026" width="4" style="4" bestFit="1" customWidth="1"/>
    <col min="11027" max="11264" width="9.140625" style="4"/>
    <col min="11265" max="11265" width="4.140625" style="4" customWidth="1"/>
    <col min="11266" max="11266" width="38.7109375" style="4" customWidth="1"/>
    <col min="11267" max="11267" width="12.140625" style="4" customWidth="1"/>
    <col min="11268" max="11268" width="4.5703125" style="4" bestFit="1" customWidth="1"/>
    <col min="11269" max="11269" width="7.28515625" style="4" bestFit="1" customWidth="1"/>
    <col min="11270" max="11270" width="5" style="4" bestFit="1" customWidth="1"/>
    <col min="11271" max="11271" width="9.5703125" style="4" bestFit="1" customWidth="1"/>
    <col min="11272" max="11272" width="5" style="4" bestFit="1" customWidth="1"/>
    <col min="11273" max="11273" width="10.7109375" style="4" bestFit="1" customWidth="1"/>
    <col min="11274" max="11274" width="5" style="4" bestFit="1" customWidth="1"/>
    <col min="11275" max="11275" width="10.85546875" style="4" customWidth="1"/>
    <col min="11276" max="11276" width="5" style="4" bestFit="1" customWidth="1"/>
    <col min="11277" max="11277" width="10.7109375" style="4" bestFit="1" customWidth="1"/>
    <col min="11278" max="11278" width="22.7109375" style="4" customWidth="1"/>
    <col min="11279" max="11279" width="25.140625" style="4" customWidth="1"/>
    <col min="11280" max="11280" width="11" style="4" bestFit="1" customWidth="1"/>
    <col min="11281" max="11281" width="3.28515625" style="4" bestFit="1" customWidth="1"/>
    <col min="11282" max="11282" width="4" style="4" bestFit="1" customWidth="1"/>
    <col min="11283" max="11520" width="9.140625" style="4"/>
    <col min="11521" max="11521" width="4.140625" style="4" customWidth="1"/>
    <col min="11522" max="11522" width="38.7109375" style="4" customWidth="1"/>
    <col min="11523" max="11523" width="12.140625" style="4" customWidth="1"/>
    <col min="11524" max="11524" width="4.5703125" style="4" bestFit="1" customWidth="1"/>
    <col min="11525" max="11525" width="7.28515625" style="4" bestFit="1" customWidth="1"/>
    <col min="11526" max="11526" width="5" style="4" bestFit="1" customWidth="1"/>
    <col min="11527" max="11527" width="9.5703125" style="4" bestFit="1" customWidth="1"/>
    <col min="11528" max="11528" width="5" style="4" bestFit="1" customWidth="1"/>
    <col min="11529" max="11529" width="10.7109375" style="4" bestFit="1" customWidth="1"/>
    <col min="11530" max="11530" width="5" style="4" bestFit="1" customWidth="1"/>
    <col min="11531" max="11531" width="10.85546875" style="4" customWidth="1"/>
    <col min="11532" max="11532" width="5" style="4" bestFit="1" customWidth="1"/>
    <col min="11533" max="11533" width="10.7109375" style="4" bestFit="1" customWidth="1"/>
    <col min="11534" max="11534" width="22.7109375" style="4" customWidth="1"/>
    <col min="11535" max="11535" width="25.140625" style="4" customWidth="1"/>
    <col min="11536" max="11536" width="11" style="4" bestFit="1" customWidth="1"/>
    <col min="11537" max="11537" width="3.28515625" style="4" bestFit="1" customWidth="1"/>
    <col min="11538" max="11538" width="4" style="4" bestFit="1" customWidth="1"/>
    <col min="11539" max="11776" width="9.140625" style="4"/>
    <col min="11777" max="11777" width="4.140625" style="4" customWidth="1"/>
    <col min="11778" max="11778" width="38.7109375" style="4" customWidth="1"/>
    <col min="11779" max="11779" width="12.140625" style="4" customWidth="1"/>
    <col min="11780" max="11780" width="4.5703125" style="4" bestFit="1" customWidth="1"/>
    <col min="11781" max="11781" width="7.28515625" style="4" bestFit="1" customWidth="1"/>
    <col min="11782" max="11782" width="5" style="4" bestFit="1" customWidth="1"/>
    <col min="11783" max="11783" width="9.5703125" style="4" bestFit="1" customWidth="1"/>
    <col min="11784" max="11784" width="5" style="4" bestFit="1" customWidth="1"/>
    <col min="11785" max="11785" width="10.7109375" style="4" bestFit="1" customWidth="1"/>
    <col min="11786" max="11786" width="5" style="4" bestFit="1" customWidth="1"/>
    <col min="11787" max="11787" width="10.85546875" style="4" customWidth="1"/>
    <col min="11788" max="11788" width="5" style="4" bestFit="1" customWidth="1"/>
    <col min="11789" max="11789" width="10.7109375" style="4" bestFit="1" customWidth="1"/>
    <col min="11790" max="11790" width="22.7109375" style="4" customWidth="1"/>
    <col min="11791" max="11791" width="25.140625" style="4" customWidth="1"/>
    <col min="11792" max="11792" width="11" style="4" bestFit="1" customWidth="1"/>
    <col min="11793" max="11793" width="3.28515625" style="4" bestFit="1" customWidth="1"/>
    <col min="11794" max="11794" width="4" style="4" bestFit="1" customWidth="1"/>
    <col min="11795" max="12032" width="9.140625" style="4"/>
    <col min="12033" max="12033" width="4.140625" style="4" customWidth="1"/>
    <col min="12034" max="12034" width="38.7109375" style="4" customWidth="1"/>
    <col min="12035" max="12035" width="12.140625" style="4" customWidth="1"/>
    <col min="12036" max="12036" width="4.5703125" style="4" bestFit="1" customWidth="1"/>
    <col min="12037" max="12037" width="7.28515625" style="4" bestFit="1" customWidth="1"/>
    <col min="12038" max="12038" width="5" style="4" bestFit="1" customWidth="1"/>
    <col min="12039" max="12039" width="9.5703125" style="4" bestFit="1" customWidth="1"/>
    <col min="12040" max="12040" width="5" style="4" bestFit="1" customWidth="1"/>
    <col min="12041" max="12041" width="10.7109375" style="4" bestFit="1" customWidth="1"/>
    <col min="12042" max="12042" width="5" style="4" bestFit="1" customWidth="1"/>
    <col min="12043" max="12043" width="10.85546875" style="4" customWidth="1"/>
    <col min="12044" max="12044" width="5" style="4" bestFit="1" customWidth="1"/>
    <col min="12045" max="12045" width="10.7109375" style="4" bestFit="1" customWidth="1"/>
    <col min="12046" max="12046" width="22.7109375" style="4" customWidth="1"/>
    <col min="12047" max="12047" width="25.140625" style="4" customWidth="1"/>
    <col min="12048" max="12048" width="11" style="4" bestFit="1" customWidth="1"/>
    <col min="12049" max="12049" width="3.28515625" style="4" bestFit="1" customWidth="1"/>
    <col min="12050" max="12050" width="4" style="4" bestFit="1" customWidth="1"/>
    <col min="12051" max="12288" width="9.140625" style="4"/>
    <col min="12289" max="12289" width="4.140625" style="4" customWidth="1"/>
    <col min="12290" max="12290" width="38.7109375" style="4" customWidth="1"/>
    <col min="12291" max="12291" width="12.140625" style="4" customWidth="1"/>
    <col min="12292" max="12292" width="4.5703125" style="4" bestFit="1" customWidth="1"/>
    <col min="12293" max="12293" width="7.28515625" style="4" bestFit="1" customWidth="1"/>
    <col min="12294" max="12294" width="5" style="4" bestFit="1" customWidth="1"/>
    <col min="12295" max="12295" width="9.5703125" style="4" bestFit="1" customWidth="1"/>
    <col min="12296" max="12296" width="5" style="4" bestFit="1" customWidth="1"/>
    <col min="12297" max="12297" width="10.7109375" style="4" bestFit="1" customWidth="1"/>
    <col min="12298" max="12298" width="5" style="4" bestFit="1" customWidth="1"/>
    <col min="12299" max="12299" width="10.85546875" style="4" customWidth="1"/>
    <col min="12300" max="12300" width="5" style="4" bestFit="1" customWidth="1"/>
    <col min="12301" max="12301" width="10.7109375" style="4" bestFit="1" customWidth="1"/>
    <col min="12302" max="12302" width="22.7109375" style="4" customWidth="1"/>
    <col min="12303" max="12303" width="25.140625" style="4" customWidth="1"/>
    <col min="12304" max="12304" width="11" style="4" bestFit="1" customWidth="1"/>
    <col min="12305" max="12305" width="3.28515625" style="4" bestFit="1" customWidth="1"/>
    <col min="12306" max="12306" width="4" style="4" bestFit="1" customWidth="1"/>
    <col min="12307" max="12544" width="9.140625" style="4"/>
    <col min="12545" max="12545" width="4.140625" style="4" customWidth="1"/>
    <col min="12546" max="12546" width="38.7109375" style="4" customWidth="1"/>
    <col min="12547" max="12547" width="12.140625" style="4" customWidth="1"/>
    <col min="12548" max="12548" width="4.5703125" style="4" bestFit="1" customWidth="1"/>
    <col min="12549" max="12549" width="7.28515625" style="4" bestFit="1" customWidth="1"/>
    <col min="12550" max="12550" width="5" style="4" bestFit="1" customWidth="1"/>
    <col min="12551" max="12551" width="9.5703125" style="4" bestFit="1" customWidth="1"/>
    <col min="12552" max="12552" width="5" style="4" bestFit="1" customWidth="1"/>
    <col min="12553" max="12553" width="10.7109375" style="4" bestFit="1" customWidth="1"/>
    <col min="12554" max="12554" width="5" style="4" bestFit="1" customWidth="1"/>
    <col min="12555" max="12555" width="10.85546875" style="4" customWidth="1"/>
    <col min="12556" max="12556" width="5" style="4" bestFit="1" customWidth="1"/>
    <col min="12557" max="12557" width="10.7109375" style="4" bestFit="1" customWidth="1"/>
    <col min="12558" max="12558" width="22.7109375" style="4" customWidth="1"/>
    <col min="12559" max="12559" width="25.140625" style="4" customWidth="1"/>
    <col min="12560" max="12560" width="11" style="4" bestFit="1" customWidth="1"/>
    <col min="12561" max="12561" width="3.28515625" style="4" bestFit="1" customWidth="1"/>
    <col min="12562" max="12562" width="4" style="4" bestFit="1" customWidth="1"/>
    <col min="12563" max="12800" width="9.140625" style="4"/>
    <col min="12801" max="12801" width="4.140625" style="4" customWidth="1"/>
    <col min="12802" max="12802" width="38.7109375" style="4" customWidth="1"/>
    <col min="12803" max="12803" width="12.140625" style="4" customWidth="1"/>
    <col min="12804" max="12804" width="4.5703125" style="4" bestFit="1" customWidth="1"/>
    <col min="12805" max="12805" width="7.28515625" style="4" bestFit="1" customWidth="1"/>
    <col min="12806" max="12806" width="5" style="4" bestFit="1" customWidth="1"/>
    <col min="12807" max="12807" width="9.5703125" style="4" bestFit="1" customWidth="1"/>
    <col min="12808" max="12808" width="5" style="4" bestFit="1" customWidth="1"/>
    <col min="12809" max="12809" width="10.7109375" style="4" bestFit="1" customWidth="1"/>
    <col min="12810" max="12810" width="5" style="4" bestFit="1" customWidth="1"/>
    <col min="12811" max="12811" width="10.85546875" style="4" customWidth="1"/>
    <col min="12812" max="12812" width="5" style="4" bestFit="1" customWidth="1"/>
    <col min="12813" max="12813" width="10.7109375" style="4" bestFit="1" customWidth="1"/>
    <col min="12814" max="12814" width="22.7109375" style="4" customWidth="1"/>
    <col min="12815" max="12815" width="25.140625" style="4" customWidth="1"/>
    <col min="12816" max="12816" width="11" style="4" bestFit="1" customWidth="1"/>
    <col min="12817" max="12817" width="3.28515625" style="4" bestFit="1" customWidth="1"/>
    <col min="12818" max="12818" width="4" style="4" bestFit="1" customWidth="1"/>
    <col min="12819" max="13056" width="9.140625" style="4"/>
    <col min="13057" max="13057" width="4.140625" style="4" customWidth="1"/>
    <col min="13058" max="13058" width="38.7109375" style="4" customWidth="1"/>
    <col min="13059" max="13059" width="12.140625" style="4" customWidth="1"/>
    <col min="13060" max="13060" width="4.5703125" style="4" bestFit="1" customWidth="1"/>
    <col min="13061" max="13061" width="7.28515625" style="4" bestFit="1" customWidth="1"/>
    <col min="13062" max="13062" width="5" style="4" bestFit="1" customWidth="1"/>
    <col min="13063" max="13063" width="9.5703125" style="4" bestFit="1" customWidth="1"/>
    <col min="13064" max="13064" width="5" style="4" bestFit="1" customWidth="1"/>
    <col min="13065" max="13065" width="10.7109375" style="4" bestFit="1" customWidth="1"/>
    <col min="13066" max="13066" width="5" style="4" bestFit="1" customWidth="1"/>
    <col min="13067" max="13067" width="10.85546875" style="4" customWidth="1"/>
    <col min="13068" max="13068" width="5" style="4" bestFit="1" customWidth="1"/>
    <col min="13069" max="13069" width="10.7109375" style="4" bestFit="1" customWidth="1"/>
    <col min="13070" max="13070" width="22.7109375" style="4" customWidth="1"/>
    <col min="13071" max="13071" width="25.140625" style="4" customWidth="1"/>
    <col min="13072" max="13072" width="11" style="4" bestFit="1" customWidth="1"/>
    <col min="13073" max="13073" width="3.28515625" style="4" bestFit="1" customWidth="1"/>
    <col min="13074" max="13074" width="4" style="4" bestFit="1" customWidth="1"/>
    <col min="13075" max="13312" width="9.140625" style="4"/>
    <col min="13313" max="13313" width="4.140625" style="4" customWidth="1"/>
    <col min="13314" max="13314" width="38.7109375" style="4" customWidth="1"/>
    <col min="13315" max="13315" width="12.140625" style="4" customWidth="1"/>
    <col min="13316" max="13316" width="4.5703125" style="4" bestFit="1" customWidth="1"/>
    <col min="13317" max="13317" width="7.28515625" style="4" bestFit="1" customWidth="1"/>
    <col min="13318" max="13318" width="5" style="4" bestFit="1" customWidth="1"/>
    <col min="13319" max="13319" width="9.5703125" style="4" bestFit="1" customWidth="1"/>
    <col min="13320" max="13320" width="5" style="4" bestFit="1" customWidth="1"/>
    <col min="13321" max="13321" width="10.7109375" style="4" bestFit="1" customWidth="1"/>
    <col min="13322" max="13322" width="5" style="4" bestFit="1" customWidth="1"/>
    <col min="13323" max="13323" width="10.85546875" style="4" customWidth="1"/>
    <col min="13324" max="13324" width="5" style="4" bestFit="1" customWidth="1"/>
    <col min="13325" max="13325" width="10.7109375" style="4" bestFit="1" customWidth="1"/>
    <col min="13326" max="13326" width="22.7109375" style="4" customWidth="1"/>
    <col min="13327" max="13327" width="25.140625" style="4" customWidth="1"/>
    <col min="13328" max="13328" width="11" style="4" bestFit="1" customWidth="1"/>
    <col min="13329" max="13329" width="3.28515625" style="4" bestFit="1" customWidth="1"/>
    <col min="13330" max="13330" width="4" style="4" bestFit="1" customWidth="1"/>
    <col min="13331" max="13568" width="9.140625" style="4"/>
    <col min="13569" max="13569" width="4.140625" style="4" customWidth="1"/>
    <col min="13570" max="13570" width="38.7109375" style="4" customWidth="1"/>
    <col min="13571" max="13571" width="12.140625" style="4" customWidth="1"/>
    <col min="13572" max="13572" width="4.5703125" style="4" bestFit="1" customWidth="1"/>
    <col min="13573" max="13573" width="7.28515625" style="4" bestFit="1" customWidth="1"/>
    <col min="13574" max="13574" width="5" style="4" bestFit="1" customWidth="1"/>
    <col min="13575" max="13575" width="9.5703125" style="4" bestFit="1" customWidth="1"/>
    <col min="13576" max="13576" width="5" style="4" bestFit="1" customWidth="1"/>
    <col min="13577" max="13577" width="10.7109375" style="4" bestFit="1" customWidth="1"/>
    <col min="13578" max="13578" width="5" style="4" bestFit="1" customWidth="1"/>
    <col min="13579" max="13579" width="10.85546875" style="4" customWidth="1"/>
    <col min="13580" max="13580" width="5" style="4" bestFit="1" customWidth="1"/>
    <col min="13581" max="13581" width="10.7109375" style="4" bestFit="1" customWidth="1"/>
    <col min="13582" max="13582" width="22.7109375" style="4" customWidth="1"/>
    <col min="13583" max="13583" width="25.140625" style="4" customWidth="1"/>
    <col min="13584" max="13584" width="11" style="4" bestFit="1" customWidth="1"/>
    <col min="13585" max="13585" width="3.28515625" style="4" bestFit="1" customWidth="1"/>
    <col min="13586" max="13586" width="4" style="4" bestFit="1" customWidth="1"/>
    <col min="13587" max="13824" width="9.140625" style="4"/>
    <col min="13825" max="13825" width="4.140625" style="4" customWidth="1"/>
    <col min="13826" max="13826" width="38.7109375" style="4" customWidth="1"/>
    <col min="13827" max="13827" width="12.140625" style="4" customWidth="1"/>
    <col min="13828" max="13828" width="4.5703125" style="4" bestFit="1" customWidth="1"/>
    <col min="13829" max="13829" width="7.28515625" style="4" bestFit="1" customWidth="1"/>
    <col min="13830" max="13830" width="5" style="4" bestFit="1" customWidth="1"/>
    <col min="13831" max="13831" width="9.5703125" style="4" bestFit="1" customWidth="1"/>
    <col min="13832" max="13832" width="5" style="4" bestFit="1" customWidth="1"/>
    <col min="13833" max="13833" width="10.7109375" style="4" bestFit="1" customWidth="1"/>
    <col min="13834" max="13834" width="5" style="4" bestFit="1" customWidth="1"/>
    <col min="13835" max="13835" width="10.85546875" style="4" customWidth="1"/>
    <col min="13836" max="13836" width="5" style="4" bestFit="1" customWidth="1"/>
    <col min="13837" max="13837" width="10.7109375" style="4" bestFit="1" customWidth="1"/>
    <col min="13838" max="13838" width="22.7109375" style="4" customWidth="1"/>
    <col min="13839" max="13839" width="25.140625" style="4" customWidth="1"/>
    <col min="13840" max="13840" width="11" style="4" bestFit="1" customWidth="1"/>
    <col min="13841" max="13841" width="3.28515625" style="4" bestFit="1" customWidth="1"/>
    <col min="13842" max="13842" width="4" style="4" bestFit="1" customWidth="1"/>
    <col min="13843" max="14080" width="9.140625" style="4"/>
    <col min="14081" max="14081" width="4.140625" style="4" customWidth="1"/>
    <col min="14082" max="14082" width="38.7109375" style="4" customWidth="1"/>
    <col min="14083" max="14083" width="12.140625" style="4" customWidth="1"/>
    <col min="14084" max="14084" width="4.5703125" style="4" bestFit="1" customWidth="1"/>
    <col min="14085" max="14085" width="7.28515625" style="4" bestFit="1" customWidth="1"/>
    <col min="14086" max="14086" width="5" style="4" bestFit="1" customWidth="1"/>
    <col min="14087" max="14087" width="9.5703125" style="4" bestFit="1" customWidth="1"/>
    <col min="14088" max="14088" width="5" style="4" bestFit="1" customWidth="1"/>
    <col min="14089" max="14089" width="10.7109375" style="4" bestFit="1" customWidth="1"/>
    <col min="14090" max="14090" width="5" style="4" bestFit="1" customWidth="1"/>
    <col min="14091" max="14091" width="10.85546875" style="4" customWidth="1"/>
    <col min="14092" max="14092" width="5" style="4" bestFit="1" customWidth="1"/>
    <col min="14093" max="14093" width="10.7109375" style="4" bestFit="1" customWidth="1"/>
    <col min="14094" max="14094" width="22.7109375" style="4" customWidth="1"/>
    <col min="14095" max="14095" width="25.140625" style="4" customWidth="1"/>
    <col min="14096" max="14096" width="11" style="4" bestFit="1" customWidth="1"/>
    <col min="14097" max="14097" width="3.28515625" style="4" bestFit="1" customWidth="1"/>
    <col min="14098" max="14098" width="4" style="4" bestFit="1" customWidth="1"/>
    <col min="14099" max="14336" width="9.140625" style="4"/>
    <col min="14337" max="14337" width="4.140625" style="4" customWidth="1"/>
    <col min="14338" max="14338" width="38.7109375" style="4" customWidth="1"/>
    <col min="14339" max="14339" width="12.140625" style="4" customWidth="1"/>
    <col min="14340" max="14340" width="4.5703125" style="4" bestFit="1" customWidth="1"/>
    <col min="14341" max="14341" width="7.28515625" style="4" bestFit="1" customWidth="1"/>
    <col min="14342" max="14342" width="5" style="4" bestFit="1" customWidth="1"/>
    <col min="14343" max="14343" width="9.5703125" style="4" bestFit="1" customWidth="1"/>
    <col min="14344" max="14344" width="5" style="4" bestFit="1" customWidth="1"/>
    <col min="14345" max="14345" width="10.7109375" style="4" bestFit="1" customWidth="1"/>
    <col min="14346" max="14346" width="5" style="4" bestFit="1" customWidth="1"/>
    <col min="14347" max="14347" width="10.85546875" style="4" customWidth="1"/>
    <col min="14348" max="14348" width="5" style="4" bestFit="1" customWidth="1"/>
    <col min="14349" max="14349" width="10.7109375" style="4" bestFit="1" customWidth="1"/>
    <col min="14350" max="14350" width="22.7109375" style="4" customWidth="1"/>
    <col min="14351" max="14351" width="25.140625" style="4" customWidth="1"/>
    <col min="14352" max="14352" width="11" style="4" bestFit="1" customWidth="1"/>
    <col min="14353" max="14353" width="3.28515625" style="4" bestFit="1" customWidth="1"/>
    <col min="14354" max="14354" width="4" style="4" bestFit="1" customWidth="1"/>
    <col min="14355" max="14592" width="9.140625" style="4"/>
    <col min="14593" max="14593" width="4.140625" style="4" customWidth="1"/>
    <col min="14594" max="14594" width="38.7109375" style="4" customWidth="1"/>
    <col min="14595" max="14595" width="12.140625" style="4" customWidth="1"/>
    <col min="14596" max="14596" width="4.5703125" style="4" bestFit="1" customWidth="1"/>
    <col min="14597" max="14597" width="7.28515625" style="4" bestFit="1" customWidth="1"/>
    <col min="14598" max="14598" width="5" style="4" bestFit="1" customWidth="1"/>
    <col min="14599" max="14599" width="9.5703125" style="4" bestFit="1" customWidth="1"/>
    <col min="14600" max="14600" width="5" style="4" bestFit="1" customWidth="1"/>
    <col min="14601" max="14601" width="10.7109375" style="4" bestFit="1" customWidth="1"/>
    <col min="14602" max="14602" width="5" style="4" bestFit="1" customWidth="1"/>
    <col min="14603" max="14603" width="10.85546875" style="4" customWidth="1"/>
    <col min="14604" max="14604" width="5" style="4" bestFit="1" customWidth="1"/>
    <col min="14605" max="14605" width="10.7109375" style="4" bestFit="1" customWidth="1"/>
    <col min="14606" max="14606" width="22.7109375" style="4" customWidth="1"/>
    <col min="14607" max="14607" width="25.140625" style="4" customWidth="1"/>
    <col min="14608" max="14608" width="11" style="4" bestFit="1" customWidth="1"/>
    <col min="14609" max="14609" width="3.28515625" style="4" bestFit="1" customWidth="1"/>
    <col min="14610" max="14610" width="4" style="4" bestFit="1" customWidth="1"/>
    <col min="14611" max="14848" width="9.140625" style="4"/>
    <col min="14849" max="14849" width="4.140625" style="4" customWidth="1"/>
    <col min="14850" max="14850" width="38.7109375" style="4" customWidth="1"/>
    <col min="14851" max="14851" width="12.140625" style="4" customWidth="1"/>
    <col min="14852" max="14852" width="4.5703125" style="4" bestFit="1" customWidth="1"/>
    <col min="14853" max="14853" width="7.28515625" style="4" bestFit="1" customWidth="1"/>
    <col min="14854" max="14854" width="5" style="4" bestFit="1" customWidth="1"/>
    <col min="14855" max="14855" width="9.5703125" style="4" bestFit="1" customWidth="1"/>
    <col min="14856" max="14856" width="5" style="4" bestFit="1" customWidth="1"/>
    <col min="14857" max="14857" width="10.7109375" style="4" bestFit="1" customWidth="1"/>
    <col min="14858" max="14858" width="5" style="4" bestFit="1" customWidth="1"/>
    <col min="14859" max="14859" width="10.85546875" style="4" customWidth="1"/>
    <col min="14860" max="14860" width="5" style="4" bestFit="1" customWidth="1"/>
    <col min="14861" max="14861" width="10.7109375" style="4" bestFit="1" customWidth="1"/>
    <col min="14862" max="14862" width="22.7109375" style="4" customWidth="1"/>
    <col min="14863" max="14863" width="25.140625" style="4" customWidth="1"/>
    <col min="14864" max="14864" width="11" style="4" bestFit="1" customWidth="1"/>
    <col min="14865" max="14865" width="3.28515625" style="4" bestFit="1" customWidth="1"/>
    <col min="14866" max="14866" width="4" style="4" bestFit="1" customWidth="1"/>
    <col min="14867" max="15104" width="9.140625" style="4"/>
    <col min="15105" max="15105" width="4.140625" style="4" customWidth="1"/>
    <col min="15106" max="15106" width="38.7109375" style="4" customWidth="1"/>
    <col min="15107" max="15107" width="12.140625" style="4" customWidth="1"/>
    <col min="15108" max="15108" width="4.5703125" style="4" bestFit="1" customWidth="1"/>
    <col min="15109" max="15109" width="7.28515625" style="4" bestFit="1" customWidth="1"/>
    <col min="15110" max="15110" width="5" style="4" bestFit="1" customWidth="1"/>
    <col min="15111" max="15111" width="9.5703125" style="4" bestFit="1" customWidth="1"/>
    <col min="15112" max="15112" width="5" style="4" bestFit="1" customWidth="1"/>
    <col min="15113" max="15113" width="10.7109375" style="4" bestFit="1" customWidth="1"/>
    <col min="15114" max="15114" width="5" style="4" bestFit="1" customWidth="1"/>
    <col min="15115" max="15115" width="10.85546875" style="4" customWidth="1"/>
    <col min="15116" max="15116" width="5" style="4" bestFit="1" customWidth="1"/>
    <col min="15117" max="15117" width="10.7109375" style="4" bestFit="1" customWidth="1"/>
    <col min="15118" max="15118" width="22.7109375" style="4" customWidth="1"/>
    <col min="15119" max="15119" width="25.140625" style="4" customWidth="1"/>
    <col min="15120" max="15120" width="11" style="4" bestFit="1" customWidth="1"/>
    <col min="15121" max="15121" width="3.28515625" style="4" bestFit="1" customWidth="1"/>
    <col min="15122" max="15122" width="4" style="4" bestFit="1" customWidth="1"/>
    <col min="15123" max="15360" width="9.140625" style="4"/>
    <col min="15361" max="15361" width="4.140625" style="4" customWidth="1"/>
    <col min="15362" max="15362" width="38.7109375" style="4" customWidth="1"/>
    <col min="15363" max="15363" width="12.140625" style="4" customWidth="1"/>
    <col min="15364" max="15364" width="4.5703125" style="4" bestFit="1" customWidth="1"/>
    <col min="15365" max="15365" width="7.28515625" style="4" bestFit="1" customWidth="1"/>
    <col min="15366" max="15366" width="5" style="4" bestFit="1" customWidth="1"/>
    <col min="15367" max="15367" width="9.5703125" style="4" bestFit="1" customWidth="1"/>
    <col min="15368" max="15368" width="5" style="4" bestFit="1" customWidth="1"/>
    <col min="15369" max="15369" width="10.7109375" style="4" bestFit="1" customWidth="1"/>
    <col min="15370" max="15370" width="5" style="4" bestFit="1" customWidth="1"/>
    <col min="15371" max="15371" width="10.85546875" style="4" customWidth="1"/>
    <col min="15372" max="15372" width="5" style="4" bestFit="1" customWidth="1"/>
    <col min="15373" max="15373" width="10.7109375" style="4" bestFit="1" customWidth="1"/>
    <col min="15374" max="15374" width="22.7109375" style="4" customWidth="1"/>
    <col min="15375" max="15375" width="25.140625" style="4" customWidth="1"/>
    <col min="15376" max="15376" width="11" style="4" bestFit="1" customWidth="1"/>
    <col min="15377" max="15377" width="3.28515625" style="4" bestFit="1" customWidth="1"/>
    <col min="15378" max="15378" width="4" style="4" bestFit="1" customWidth="1"/>
    <col min="15379" max="15616" width="9.140625" style="4"/>
    <col min="15617" max="15617" width="4.140625" style="4" customWidth="1"/>
    <col min="15618" max="15618" width="38.7109375" style="4" customWidth="1"/>
    <col min="15619" max="15619" width="12.140625" style="4" customWidth="1"/>
    <col min="15620" max="15620" width="4.5703125" style="4" bestFit="1" customWidth="1"/>
    <col min="15621" max="15621" width="7.28515625" style="4" bestFit="1" customWidth="1"/>
    <col min="15622" max="15622" width="5" style="4" bestFit="1" customWidth="1"/>
    <col min="15623" max="15623" width="9.5703125" style="4" bestFit="1" customWidth="1"/>
    <col min="15624" max="15624" width="5" style="4" bestFit="1" customWidth="1"/>
    <col min="15625" max="15625" width="10.7109375" style="4" bestFit="1" customWidth="1"/>
    <col min="15626" max="15626" width="5" style="4" bestFit="1" customWidth="1"/>
    <col min="15627" max="15627" width="10.85546875" style="4" customWidth="1"/>
    <col min="15628" max="15628" width="5" style="4" bestFit="1" customWidth="1"/>
    <col min="15629" max="15629" width="10.7109375" style="4" bestFit="1" customWidth="1"/>
    <col min="15630" max="15630" width="22.7109375" style="4" customWidth="1"/>
    <col min="15631" max="15631" width="25.140625" style="4" customWidth="1"/>
    <col min="15632" max="15632" width="11" style="4" bestFit="1" customWidth="1"/>
    <col min="15633" max="15633" width="3.28515625" style="4" bestFit="1" customWidth="1"/>
    <col min="15634" max="15634" width="4" style="4" bestFit="1" customWidth="1"/>
    <col min="15635" max="15872" width="9.140625" style="4"/>
    <col min="15873" max="15873" width="4.140625" style="4" customWidth="1"/>
    <col min="15874" max="15874" width="38.7109375" style="4" customWidth="1"/>
    <col min="15875" max="15875" width="12.140625" style="4" customWidth="1"/>
    <col min="15876" max="15876" width="4.5703125" style="4" bestFit="1" customWidth="1"/>
    <col min="15877" max="15877" width="7.28515625" style="4" bestFit="1" customWidth="1"/>
    <col min="15878" max="15878" width="5" style="4" bestFit="1" customWidth="1"/>
    <col min="15879" max="15879" width="9.5703125" style="4" bestFit="1" customWidth="1"/>
    <col min="15880" max="15880" width="5" style="4" bestFit="1" customWidth="1"/>
    <col min="15881" max="15881" width="10.7109375" style="4" bestFit="1" customWidth="1"/>
    <col min="15882" max="15882" width="5" style="4" bestFit="1" customWidth="1"/>
    <col min="15883" max="15883" width="10.85546875" style="4" customWidth="1"/>
    <col min="15884" max="15884" width="5" style="4" bestFit="1" customWidth="1"/>
    <col min="15885" max="15885" width="10.7109375" style="4" bestFit="1" customWidth="1"/>
    <col min="15886" max="15886" width="22.7109375" style="4" customWidth="1"/>
    <col min="15887" max="15887" width="25.140625" style="4" customWidth="1"/>
    <col min="15888" max="15888" width="11" style="4" bestFit="1" customWidth="1"/>
    <col min="15889" max="15889" width="3.28515625" style="4" bestFit="1" customWidth="1"/>
    <col min="15890" max="15890" width="4" style="4" bestFit="1" customWidth="1"/>
    <col min="15891" max="16128" width="9.140625" style="4"/>
    <col min="16129" max="16129" width="4.140625" style="4" customWidth="1"/>
    <col min="16130" max="16130" width="38.7109375" style="4" customWidth="1"/>
    <col min="16131" max="16131" width="12.140625" style="4" customWidth="1"/>
    <col min="16132" max="16132" width="4.5703125" style="4" bestFit="1" customWidth="1"/>
    <col min="16133" max="16133" width="7.28515625" style="4" bestFit="1" customWidth="1"/>
    <col min="16134" max="16134" width="5" style="4" bestFit="1" customWidth="1"/>
    <col min="16135" max="16135" width="9.5703125" style="4" bestFit="1" customWidth="1"/>
    <col min="16136" max="16136" width="5" style="4" bestFit="1" customWidth="1"/>
    <col min="16137" max="16137" width="10.7109375" style="4" bestFit="1" customWidth="1"/>
    <col min="16138" max="16138" width="5" style="4" bestFit="1" customWidth="1"/>
    <col min="16139" max="16139" width="10.85546875" style="4" customWidth="1"/>
    <col min="16140" max="16140" width="5" style="4" bestFit="1" customWidth="1"/>
    <col min="16141" max="16141" width="10.7109375" style="4" bestFit="1" customWidth="1"/>
    <col min="16142" max="16142" width="22.7109375" style="4" customWidth="1"/>
    <col min="16143" max="16143" width="25.140625" style="4" customWidth="1"/>
    <col min="16144" max="16144" width="11" style="4" bestFit="1" customWidth="1"/>
    <col min="16145" max="16145" width="3.28515625" style="4" bestFit="1" customWidth="1"/>
    <col min="16146" max="16146" width="4" style="4" bestFit="1" customWidth="1"/>
    <col min="16147" max="16384" width="9.140625" style="4"/>
  </cols>
  <sheetData>
    <row r="1" spans="1:13" ht="21" customHeight="1">
      <c r="B1" s="2715"/>
      <c r="C1" s="3356" t="s">
        <v>3013</v>
      </c>
      <c r="D1" s="3356"/>
      <c r="E1" s="3356"/>
      <c r="F1" s="3356"/>
      <c r="G1" s="3356"/>
      <c r="H1" s="3356"/>
      <c r="I1" s="2715"/>
      <c r="J1" s="2715"/>
      <c r="K1" s="2715"/>
      <c r="L1" s="2715"/>
      <c r="M1" s="2715"/>
    </row>
    <row r="2" spans="1:13" ht="16.5" customHeight="1">
      <c r="A2" s="2718"/>
      <c r="B2" s="2718"/>
      <c r="C2" s="2718"/>
      <c r="D2" s="2718"/>
      <c r="E2" s="2718"/>
      <c r="F2" s="2718"/>
      <c r="G2" s="2718"/>
      <c r="H2" s="2718"/>
      <c r="I2" s="2718"/>
      <c r="J2" s="2718"/>
      <c r="K2" s="2718"/>
      <c r="L2" s="3075" t="s">
        <v>89</v>
      </c>
      <c r="M2" s="3075"/>
    </row>
    <row r="3" spans="1:13" ht="17.25" customHeight="1">
      <c r="A3" s="3487" t="s">
        <v>3014</v>
      </c>
      <c r="B3" s="3487"/>
      <c r="C3" s="3487"/>
      <c r="D3" s="3487"/>
      <c r="E3" s="3487"/>
      <c r="F3" s="3487"/>
      <c r="G3" s="3487"/>
      <c r="H3" s="3487"/>
      <c r="I3" s="3487"/>
      <c r="J3" s="3487"/>
      <c r="K3" s="3487"/>
      <c r="L3" s="3487"/>
      <c r="M3" s="3487"/>
    </row>
    <row r="4" spans="1:13" ht="10.5" customHeight="1">
      <c r="A4" s="2904"/>
      <c r="B4" s="410"/>
      <c r="C4" s="410"/>
      <c r="D4" s="410"/>
      <c r="E4" s="410"/>
      <c r="F4" s="410"/>
      <c r="G4" s="410"/>
      <c r="H4" s="248"/>
      <c r="I4" s="248"/>
      <c r="J4" s="248"/>
      <c r="K4" s="248"/>
      <c r="L4" s="2899"/>
      <c r="M4" s="2899"/>
    </row>
    <row r="5" spans="1:13" ht="59.25" customHeight="1">
      <c r="A5" s="3490" t="s">
        <v>2</v>
      </c>
      <c r="B5" s="3490" t="s">
        <v>3</v>
      </c>
      <c r="C5" s="3490" t="s">
        <v>3015</v>
      </c>
      <c r="D5" s="3490" t="s">
        <v>5</v>
      </c>
      <c r="E5" s="3490" t="s">
        <v>96</v>
      </c>
      <c r="F5" s="3490" t="s">
        <v>3016</v>
      </c>
      <c r="G5" s="3490"/>
      <c r="H5" s="3490" t="s">
        <v>3017</v>
      </c>
      <c r="I5" s="3490"/>
      <c r="J5" s="3490" t="s">
        <v>3018</v>
      </c>
      <c r="K5" s="3490"/>
      <c r="L5" s="3490" t="s">
        <v>3019</v>
      </c>
      <c r="M5" s="3490"/>
    </row>
    <row r="6" spans="1:13" ht="18" customHeight="1">
      <c r="A6" s="3490"/>
      <c r="B6" s="3490"/>
      <c r="C6" s="3490"/>
      <c r="D6" s="3490"/>
      <c r="E6" s="3490"/>
      <c r="F6" s="209" t="s">
        <v>143</v>
      </c>
      <c r="G6" s="209" t="s">
        <v>1668</v>
      </c>
      <c r="H6" s="209" t="s">
        <v>143</v>
      </c>
      <c r="I6" s="209" t="s">
        <v>1668</v>
      </c>
      <c r="J6" s="209" t="s">
        <v>143</v>
      </c>
      <c r="K6" s="209" t="s">
        <v>1668</v>
      </c>
      <c r="L6" s="209" t="s">
        <v>143</v>
      </c>
      <c r="M6" s="209" t="s">
        <v>1668</v>
      </c>
    </row>
    <row r="7" spans="1:13" ht="14.25" customHeight="1">
      <c r="A7" s="209">
        <v>1</v>
      </c>
      <c r="B7" s="209">
        <v>2</v>
      </c>
      <c r="C7" s="209">
        <v>3</v>
      </c>
      <c r="D7" s="209">
        <v>4</v>
      </c>
      <c r="E7" s="209">
        <v>5</v>
      </c>
      <c r="F7" s="209">
        <v>6</v>
      </c>
      <c r="G7" s="209">
        <v>7</v>
      </c>
      <c r="H7" s="209">
        <v>8</v>
      </c>
      <c r="I7" s="209">
        <v>9</v>
      </c>
      <c r="J7" s="209">
        <v>10</v>
      </c>
      <c r="K7" s="209">
        <v>11</v>
      </c>
      <c r="L7" s="209">
        <v>12</v>
      </c>
      <c r="M7" s="209">
        <v>13</v>
      </c>
    </row>
    <row r="8" spans="1:13" ht="16.5" customHeight="1">
      <c r="A8" s="2913">
        <v>1</v>
      </c>
      <c r="B8" s="2914" t="s">
        <v>1769</v>
      </c>
      <c r="C8" s="1309">
        <v>7130810413</v>
      </c>
      <c r="D8" s="1310" t="s">
        <v>12</v>
      </c>
      <c r="E8" s="1311">
        <f>VLOOKUP(C8,'[25]SOR RATE'!A:D,4,0)</f>
        <v>813.82</v>
      </c>
      <c r="F8" s="2913">
        <v>24</v>
      </c>
      <c r="G8" s="2915">
        <f>E8*F8</f>
        <v>19531.68</v>
      </c>
      <c r="H8" s="2913"/>
      <c r="I8" s="2915"/>
      <c r="J8" s="2913"/>
      <c r="K8" s="2915"/>
      <c r="L8" s="2913"/>
      <c r="M8" s="2915"/>
    </row>
    <row r="9" spans="1:13" ht="16.5" customHeight="1">
      <c r="A9" s="2913">
        <v>2</v>
      </c>
      <c r="B9" s="2914" t="s">
        <v>1757</v>
      </c>
      <c r="C9" s="1309">
        <v>7130810441</v>
      </c>
      <c r="D9" s="1310" t="s">
        <v>12</v>
      </c>
      <c r="E9" s="1311">
        <f>VLOOKUP(C9,'[25]SOR RATE'!A:D,4,0)</f>
        <v>969.23</v>
      </c>
      <c r="F9" s="2913"/>
      <c r="G9" s="2915"/>
      <c r="H9" s="2913">
        <v>24</v>
      </c>
      <c r="I9" s="2915">
        <f>H9*E9</f>
        <v>23261.52</v>
      </c>
      <c r="J9" s="2913">
        <v>24</v>
      </c>
      <c r="K9" s="2915">
        <f>J9*E9</f>
        <v>23261.52</v>
      </c>
      <c r="L9" s="2913"/>
      <c r="M9" s="2915"/>
    </row>
    <row r="10" spans="1:13" ht="16.5" customHeight="1">
      <c r="A10" s="2913">
        <v>3</v>
      </c>
      <c r="B10" s="2914" t="s">
        <v>3020</v>
      </c>
      <c r="C10" s="1309">
        <v>7130810461</v>
      </c>
      <c r="D10" s="2916" t="s">
        <v>12</v>
      </c>
      <c r="E10" s="1311">
        <f>VLOOKUP(C10,'[25]SOR RATE'!A:D,4,0)</f>
        <v>1124.6099999999999</v>
      </c>
      <c r="F10" s="2913"/>
      <c r="G10" s="2915"/>
      <c r="H10" s="2913"/>
      <c r="I10" s="2915"/>
      <c r="J10" s="2913"/>
      <c r="K10" s="2915"/>
      <c r="L10" s="2913">
        <v>24</v>
      </c>
      <c r="M10" s="2915">
        <f>L10*E10</f>
        <v>26990.639999999999</v>
      </c>
    </row>
    <row r="11" spans="1:13" ht="16.5" customHeight="1">
      <c r="A11" s="2913">
        <v>4</v>
      </c>
      <c r="B11" s="2914" t="s">
        <v>1758</v>
      </c>
      <c r="C11" s="1309">
        <v>7130820106</v>
      </c>
      <c r="D11" s="2917" t="s">
        <v>12</v>
      </c>
      <c r="E11" s="1311">
        <f>VLOOKUP(C11,'[25]SOR RATE'!A:D,4,0)</f>
        <v>15.42</v>
      </c>
      <c r="F11" s="2913">
        <v>24</v>
      </c>
      <c r="G11" s="2915">
        <f>E11*F11</f>
        <v>370.08</v>
      </c>
      <c r="H11" s="2913">
        <v>48</v>
      </c>
      <c r="I11" s="2915">
        <f>H11*E11</f>
        <v>740.16</v>
      </c>
      <c r="J11" s="2913">
        <v>24</v>
      </c>
      <c r="K11" s="2915">
        <f>J11*E11</f>
        <v>370.08</v>
      </c>
      <c r="L11" s="2913">
        <v>48</v>
      </c>
      <c r="M11" s="2915">
        <f>L11*E11</f>
        <v>740.16</v>
      </c>
    </row>
    <row r="12" spans="1:13" ht="16.5" customHeight="1">
      <c r="A12" s="2913">
        <v>5</v>
      </c>
      <c r="B12" s="2914" t="s">
        <v>3021</v>
      </c>
      <c r="C12" s="1309">
        <v>7130820216</v>
      </c>
      <c r="D12" s="2916" t="s">
        <v>12</v>
      </c>
      <c r="E12" s="1311">
        <f>VLOOKUP(C12,'[25]SOR RATE'!A:D,4,0)</f>
        <v>52.15</v>
      </c>
      <c r="F12" s="2913">
        <v>8</v>
      </c>
      <c r="G12" s="2915">
        <f>E12*F12</f>
        <v>417.2</v>
      </c>
      <c r="H12" s="2913">
        <v>16</v>
      </c>
      <c r="I12" s="2915">
        <f>H12*E12</f>
        <v>834.4</v>
      </c>
      <c r="J12" s="2913">
        <v>8</v>
      </c>
      <c r="K12" s="2915">
        <f>J12*E12</f>
        <v>417.2</v>
      </c>
      <c r="L12" s="2913">
        <v>16</v>
      </c>
      <c r="M12" s="2915">
        <f>L12*E12</f>
        <v>834.4</v>
      </c>
    </row>
    <row r="13" spans="1:13" ht="30.75" customHeight="1">
      <c r="A13" s="2913">
        <v>6</v>
      </c>
      <c r="B13" s="2914" t="s">
        <v>3022</v>
      </c>
      <c r="C13" s="2918">
        <v>7130830057</v>
      </c>
      <c r="D13" s="2915" t="s">
        <v>21</v>
      </c>
      <c r="E13" s="1311">
        <f>VLOOKUP(C13,'[25]SOR RATE'!A:D,4,0)/1000</f>
        <v>46.676089999999995</v>
      </c>
      <c r="F13" s="2913">
        <v>1030</v>
      </c>
      <c r="G13" s="2915">
        <f>E13*F13</f>
        <v>48076.372699999993</v>
      </c>
      <c r="H13" s="2913">
        <v>2060</v>
      </c>
      <c r="I13" s="2915">
        <f>H13*E13</f>
        <v>96152.745399999985</v>
      </c>
      <c r="J13" s="2913">
        <v>1030</v>
      </c>
      <c r="K13" s="2915">
        <f>J13*E13</f>
        <v>48076.372699999993</v>
      </c>
      <c r="L13" s="2913">
        <v>2060</v>
      </c>
      <c r="M13" s="2915">
        <f>L13*E13</f>
        <v>96152.745399999985</v>
      </c>
    </row>
    <row r="14" spans="1:13" ht="16.5" customHeight="1">
      <c r="A14" s="2913">
        <v>7</v>
      </c>
      <c r="B14" s="2914" t="s">
        <v>1737</v>
      </c>
      <c r="C14" s="1309">
        <v>7130820018</v>
      </c>
      <c r="D14" s="2916" t="s">
        <v>15</v>
      </c>
      <c r="E14" s="1311">
        <f>VLOOKUP(C14,'[25]SOR RATE'!A:D,4,0)</f>
        <v>4.66</v>
      </c>
      <c r="F14" s="2913">
        <v>48</v>
      </c>
      <c r="G14" s="2915">
        <f>E14*F14</f>
        <v>223.68</v>
      </c>
      <c r="H14" s="2913">
        <v>48</v>
      </c>
      <c r="I14" s="2915">
        <f>H14*E14</f>
        <v>223.68</v>
      </c>
      <c r="J14" s="2913">
        <v>48</v>
      </c>
      <c r="K14" s="2915">
        <f>J14*E14</f>
        <v>223.68</v>
      </c>
      <c r="L14" s="2913">
        <v>48</v>
      </c>
      <c r="M14" s="2915">
        <f>L14*E14</f>
        <v>223.68</v>
      </c>
    </row>
    <row r="15" spans="1:13" ht="16.5" customHeight="1">
      <c r="A15" s="3491">
        <v>8</v>
      </c>
      <c r="B15" s="2914" t="s">
        <v>3023</v>
      </c>
      <c r="C15" s="2919"/>
      <c r="D15" s="2920"/>
      <c r="E15" s="2920"/>
      <c r="F15" s="2920"/>
      <c r="G15" s="2920"/>
      <c r="H15" s="2920"/>
      <c r="I15" s="2920"/>
      <c r="J15" s="2920"/>
      <c r="K15" s="2920"/>
      <c r="L15" s="2920"/>
      <c r="M15" s="1324"/>
    </row>
    <row r="16" spans="1:13" ht="16.5" customHeight="1">
      <c r="A16" s="3492"/>
      <c r="B16" s="2914" t="s">
        <v>505</v>
      </c>
      <c r="C16" s="1309">
        <v>7130620573</v>
      </c>
      <c r="D16" s="2921" t="s">
        <v>26</v>
      </c>
      <c r="E16" s="1311">
        <f>VLOOKUP(C16,'[25]SOR RATE'!A:D,4,0)</f>
        <v>87.23</v>
      </c>
      <c r="F16" s="2913">
        <v>4</v>
      </c>
      <c r="G16" s="2915">
        <f t="shared" ref="G16:G23" si="0">E16*F16</f>
        <v>348.92</v>
      </c>
      <c r="H16" s="2913">
        <v>8</v>
      </c>
      <c r="I16" s="2915">
        <f t="shared" ref="I16:I23" si="1">H16*E16</f>
        <v>697.84</v>
      </c>
      <c r="J16" s="2913">
        <v>4</v>
      </c>
      <c r="K16" s="2915">
        <f t="shared" ref="K16:K23" si="2">J16*E16</f>
        <v>348.92</v>
      </c>
      <c r="L16" s="2913">
        <v>8</v>
      </c>
      <c r="M16" s="2915">
        <f t="shared" ref="M16:M23" si="3">L16*E16</f>
        <v>697.84</v>
      </c>
    </row>
    <row r="17" spans="1:15" ht="16.5" customHeight="1">
      <c r="A17" s="3492"/>
      <c r="B17" s="2914" t="s">
        <v>79</v>
      </c>
      <c r="C17" s="1309">
        <v>7130620609</v>
      </c>
      <c r="D17" s="2921" t="s">
        <v>26</v>
      </c>
      <c r="E17" s="1311">
        <f>VLOOKUP(C17,'[25]SOR RATE'!A:D,4,0)</f>
        <v>87.23</v>
      </c>
      <c r="F17" s="2913">
        <v>4</v>
      </c>
      <c r="G17" s="2915">
        <f t="shared" si="0"/>
        <v>348.92</v>
      </c>
      <c r="H17" s="2913">
        <v>6</v>
      </c>
      <c r="I17" s="2915">
        <f t="shared" si="1"/>
        <v>523.38</v>
      </c>
      <c r="J17" s="2913">
        <v>4</v>
      </c>
      <c r="K17" s="2915">
        <f t="shared" si="2"/>
        <v>348.92</v>
      </c>
      <c r="L17" s="2913">
        <v>6</v>
      </c>
      <c r="M17" s="2915">
        <f t="shared" si="3"/>
        <v>523.38</v>
      </c>
    </row>
    <row r="18" spans="1:15" ht="16.5" customHeight="1">
      <c r="A18" s="3492"/>
      <c r="B18" s="2914" t="s">
        <v>112</v>
      </c>
      <c r="C18" s="1309">
        <v>7130620625</v>
      </c>
      <c r="D18" s="2921" t="s">
        <v>26</v>
      </c>
      <c r="E18" s="1311">
        <f>VLOOKUP(C18,'[25]SOR RATE'!A:D,4,0)</f>
        <v>84.32</v>
      </c>
      <c r="F18" s="2913">
        <v>10</v>
      </c>
      <c r="G18" s="2915">
        <f t="shared" si="0"/>
        <v>843.19999999999993</v>
      </c>
      <c r="H18" s="2913">
        <v>10</v>
      </c>
      <c r="I18" s="2915">
        <f t="shared" si="1"/>
        <v>843.19999999999993</v>
      </c>
      <c r="J18" s="2913">
        <v>10</v>
      </c>
      <c r="K18" s="2915">
        <f t="shared" si="2"/>
        <v>843.19999999999993</v>
      </c>
      <c r="L18" s="2913">
        <v>10</v>
      </c>
      <c r="M18" s="2915">
        <f t="shared" si="3"/>
        <v>843.19999999999993</v>
      </c>
    </row>
    <row r="19" spans="1:15" ht="16.5" customHeight="1">
      <c r="A19" s="3493"/>
      <c r="B19" s="2914" t="s">
        <v>111</v>
      </c>
      <c r="C19" s="2922">
        <v>7130620614</v>
      </c>
      <c r="D19" s="2921" t="s">
        <v>26</v>
      </c>
      <c r="E19" s="1311">
        <f>VLOOKUP(C19,'[25]SOR RATE'!A:D,4,0)</f>
        <v>85.77</v>
      </c>
      <c r="F19" s="2913">
        <v>6</v>
      </c>
      <c r="G19" s="2915">
        <f t="shared" si="0"/>
        <v>514.62</v>
      </c>
      <c r="H19" s="2913">
        <v>6</v>
      </c>
      <c r="I19" s="2915">
        <f t="shared" si="1"/>
        <v>514.62</v>
      </c>
      <c r="J19" s="2913">
        <v>6</v>
      </c>
      <c r="K19" s="2915">
        <f t="shared" si="2"/>
        <v>514.62</v>
      </c>
      <c r="L19" s="2913">
        <v>6</v>
      </c>
      <c r="M19" s="2915">
        <f t="shared" si="3"/>
        <v>514.62</v>
      </c>
    </row>
    <row r="20" spans="1:15" ht="16.5" customHeight="1">
      <c r="A20" s="2913">
        <v>9</v>
      </c>
      <c r="B20" s="2914" t="s">
        <v>161</v>
      </c>
      <c r="C20" s="1309">
        <v>7130211158</v>
      </c>
      <c r="D20" s="2916" t="s">
        <v>29</v>
      </c>
      <c r="E20" s="1311">
        <f>VLOOKUP(C20,'[25]SOR RATE'!A:D,4,0)</f>
        <v>193.62</v>
      </c>
      <c r="F20" s="2913">
        <v>1</v>
      </c>
      <c r="G20" s="2915">
        <f t="shared" si="0"/>
        <v>193.62</v>
      </c>
      <c r="H20" s="2913">
        <v>1</v>
      </c>
      <c r="I20" s="2915">
        <f t="shared" si="1"/>
        <v>193.62</v>
      </c>
      <c r="J20" s="2913">
        <v>1</v>
      </c>
      <c r="K20" s="2915">
        <f t="shared" si="2"/>
        <v>193.62</v>
      </c>
      <c r="L20" s="2913">
        <v>1</v>
      </c>
      <c r="M20" s="2915">
        <f t="shared" si="3"/>
        <v>193.62</v>
      </c>
    </row>
    <row r="21" spans="1:15" ht="16.5" customHeight="1">
      <c r="A21" s="2913">
        <v>10</v>
      </c>
      <c r="B21" s="2914" t="s">
        <v>162</v>
      </c>
      <c r="C21" s="1309">
        <v>7130210809</v>
      </c>
      <c r="D21" s="2916" t="s">
        <v>29</v>
      </c>
      <c r="E21" s="1311">
        <f>VLOOKUP(C21,'[25]SOR RATE'!A:D,4,0)</f>
        <v>432.63</v>
      </c>
      <c r="F21" s="2913">
        <v>1</v>
      </c>
      <c r="G21" s="2915">
        <f t="shared" si="0"/>
        <v>432.63</v>
      </c>
      <c r="H21" s="2913">
        <v>1</v>
      </c>
      <c r="I21" s="2915">
        <f t="shared" si="1"/>
        <v>432.63</v>
      </c>
      <c r="J21" s="2913">
        <v>1</v>
      </c>
      <c r="K21" s="2915">
        <f t="shared" si="2"/>
        <v>432.63</v>
      </c>
      <c r="L21" s="2913">
        <v>1</v>
      </c>
      <c r="M21" s="2915">
        <f t="shared" si="3"/>
        <v>432.63</v>
      </c>
    </row>
    <row r="22" spans="1:15" ht="16.5" customHeight="1">
      <c r="A22" s="2913">
        <v>11</v>
      </c>
      <c r="B22" s="2914" t="s">
        <v>1783</v>
      </c>
      <c r="C22" s="1309">
        <v>7130870043</v>
      </c>
      <c r="D22" s="2916" t="s">
        <v>26</v>
      </c>
      <c r="E22" s="1311">
        <f>VLOOKUP(C22,'[25]SOR RATE'!A:D,4,0)/1000</f>
        <v>80.521839999999997</v>
      </c>
      <c r="F22" s="2913">
        <v>6</v>
      </c>
      <c r="G22" s="2915">
        <f t="shared" si="0"/>
        <v>483.13103999999998</v>
      </c>
      <c r="H22" s="2913">
        <v>15</v>
      </c>
      <c r="I22" s="2915">
        <f t="shared" si="1"/>
        <v>1207.8276000000001</v>
      </c>
      <c r="J22" s="2913">
        <v>15</v>
      </c>
      <c r="K22" s="2915">
        <f t="shared" si="2"/>
        <v>1207.8276000000001</v>
      </c>
      <c r="L22" s="2913">
        <v>15</v>
      </c>
      <c r="M22" s="2915">
        <f t="shared" si="3"/>
        <v>1207.8276000000001</v>
      </c>
    </row>
    <row r="23" spans="1:15" ht="30" customHeight="1">
      <c r="A23" s="2913">
        <v>12</v>
      </c>
      <c r="B23" s="2914" t="s">
        <v>3024</v>
      </c>
      <c r="C23" s="2918">
        <v>7130810216</v>
      </c>
      <c r="D23" s="1310" t="s">
        <v>15</v>
      </c>
      <c r="E23" s="1311">
        <f>VLOOKUP(C23,'[25]SOR RATE'!A:D,4,0)</f>
        <v>393.51</v>
      </c>
      <c r="F23" s="2913">
        <v>20</v>
      </c>
      <c r="G23" s="2915">
        <f t="shared" si="0"/>
        <v>7870.2</v>
      </c>
      <c r="H23" s="2913">
        <v>20</v>
      </c>
      <c r="I23" s="2915">
        <f t="shared" si="1"/>
        <v>7870.2</v>
      </c>
      <c r="J23" s="2913">
        <v>20</v>
      </c>
      <c r="K23" s="2915">
        <f t="shared" si="2"/>
        <v>7870.2</v>
      </c>
      <c r="L23" s="2913">
        <v>20</v>
      </c>
      <c r="M23" s="2915">
        <f t="shared" si="3"/>
        <v>7870.2</v>
      </c>
    </row>
    <row r="24" spans="1:15" ht="31.5" customHeight="1">
      <c r="A24" s="209">
        <v>13</v>
      </c>
      <c r="B24" s="1313" t="s">
        <v>48</v>
      </c>
      <c r="C24" s="2923"/>
      <c r="D24" s="2913"/>
      <c r="E24" s="2915"/>
      <c r="F24" s="2913"/>
      <c r="G24" s="1599">
        <f>SUM(G8:G23)</f>
        <v>79654.253739999971</v>
      </c>
      <c r="H24" s="1599"/>
      <c r="I24" s="1599">
        <f>SUM(I8:I23)</f>
        <v>133495.82299999997</v>
      </c>
      <c r="J24" s="1599"/>
      <c r="K24" s="1599">
        <f>SUM(K8:K23)</f>
        <v>84108.790299999979</v>
      </c>
      <c r="L24" s="1599"/>
      <c r="M24" s="1599">
        <f>SUM(M8:M23)</f>
        <v>137224.94299999997</v>
      </c>
      <c r="N24" s="20"/>
      <c r="O24" s="21"/>
    </row>
    <row r="25" spans="1:15" ht="30" customHeight="1">
      <c r="A25" s="209">
        <v>14</v>
      </c>
      <c r="B25" s="1313" t="s">
        <v>49</v>
      </c>
      <c r="C25" s="209"/>
      <c r="D25" s="2913"/>
      <c r="E25" s="2915"/>
      <c r="F25" s="2913"/>
      <c r="G25" s="1599">
        <f>G24/1.18</f>
        <v>67503.604864406763</v>
      </c>
      <c r="H25" s="1599"/>
      <c r="I25" s="1599">
        <f>I24/1.18</f>
        <v>113132.0533898305</v>
      </c>
      <c r="J25" s="1599"/>
      <c r="K25" s="1599">
        <f>K24/1.18</f>
        <v>71278.635847457612</v>
      </c>
      <c r="L25" s="1599"/>
      <c r="M25" s="1599">
        <f>M24/1.18</f>
        <v>116292.32457627117</v>
      </c>
      <c r="N25" s="174"/>
      <c r="O25" s="21"/>
    </row>
    <row r="26" spans="1:15" ht="27.75" customHeight="1">
      <c r="A26" s="2913">
        <v>15</v>
      </c>
      <c r="B26" s="1316" t="s">
        <v>50</v>
      </c>
      <c r="C26" s="2924"/>
      <c r="D26" s="2924"/>
      <c r="E26" s="2913">
        <v>7.4999999999999997E-2</v>
      </c>
      <c r="F26" s="2913"/>
      <c r="G26" s="2915">
        <f>G24*E26</f>
        <v>5974.069030499998</v>
      </c>
      <c r="H26" s="2915"/>
      <c r="I26" s="2915">
        <f>I24*E26</f>
        <v>10012.186724999998</v>
      </c>
      <c r="J26" s="2915"/>
      <c r="K26" s="2915">
        <f>K24*E26</f>
        <v>6308.1592724999982</v>
      </c>
      <c r="L26" s="2915"/>
      <c r="M26" s="2915">
        <f>M24*E26</f>
        <v>10291.870724999997</v>
      </c>
      <c r="N26" s="732"/>
      <c r="O26" s="21"/>
    </row>
    <row r="27" spans="1:15" ht="17.25" customHeight="1">
      <c r="A27" s="2913">
        <v>16</v>
      </c>
      <c r="B27" s="2925" t="s">
        <v>3025</v>
      </c>
      <c r="C27" s="209"/>
      <c r="D27" s="2913"/>
      <c r="E27" s="2913"/>
      <c r="F27" s="2913"/>
      <c r="G27" s="2915">
        <v>15165.81</v>
      </c>
      <c r="H27" s="2915"/>
      <c r="I27" s="2915">
        <v>22228.2</v>
      </c>
      <c r="J27" s="2915"/>
      <c r="K27" s="2915">
        <v>15165.81</v>
      </c>
      <c r="L27" s="2915"/>
      <c r="M27" s="2915">
        <v>22228.2</v>
      </c>
      <c r="N27" s="19"/>
    </row>
    <row r="28" spans="1:15" ht="27.75" customHeight="1">
      <c r="A28" s="2913">
        <v>17</v>
      </c>
      <c r="B28" s="2925" t="s">
        <v>3026</v>
      </c>
      <c r="C28" s="209"/>
      <c r="D28" s="2913"/>
      <c r="E28" s="2913">
        <v>0.04</v>
      </c>
      <c r="F28" s="2913"/>
      <c r="G28" s="1311">
        <f>G25*E28</f>
        <v>2700.1441945762704</v>
      </c>
      <c r="H28" s="2915"/>
      <c r="I28" s="1311">
        <f>I25*E28</f>
        <v>4525.2821355932201</v>
      </c>
      <c r="J28" s="2915"/>
      <c r="K28" s="1311">
        <f>K25*E28</f>
        <v>2851.1454338983044</v>
      </c>
      <c r="L28" s="2915"/>
      <c r="M28" s="1311">
        <f>M25*E28</f>
        <v>4651.692983050847</v>
      </c>
      <c r="N28" s="2902" t="s">
        <v>1827</v>
      </c>
      <c r="O28" s="177"/>
    </row>
    <row r="29" spans="1:15" ht="45" customHeight="1">
      <c r="A29" s="2913">
        <v>18</v>
      </c>
      <c r="B29" s="1316" t="s">
        <v>3027</v>
      </c>
      <c r="C29" s="2923"/>
      <c r="D29" s="2913"/>
      <c r="E29" s="2913"/>
      <c r="F29" s="2913"/>
      <c r="G29" s="1311">
        <f>(G24+G26+G27+G28)*0.125</f>
        <v>12936.784620634529</v>
      </c>
      <c r="H29" s="1311"/>
      <c r="I29" s="1311">
        <f>(I24+I26+I27+I28)*0.125</f>
        <v>21282.68648257415</v>
      </c>
      <c r="J29" s="1311"/>
      <c r="K29" s="1311">
        <f>(K24+K26+K27+K28)*0.125</f>
        <v>13554.238125799784</v>
      </c>
      <c r="L29" s="1311"/>
      <c r="M29" s="1311">
        <f>(M24+M26+M27+M28)*0.125</f>
        <v>21799.588338506353</v>
      </c>
      <c r="N29" s="252"/>
      <c r="O29" s="177"/>
    </row>
    <row r="30" spans="1:15" ht="31.5" customHeight="1">
      <c r="A30" s="209">
        <v>19</v>
      </c>
      <c r="B30" s="1323" t="s">
        <v>3028</v>
      </c>
      <c r="C30" s="2923"/>
      <c r="D30" s="2913"/>
      <c r="E30" s="2913"/>
      <c r="F30" s="2913"/>
      <c r="G30" s="1599">
        <f>SUM(G25:G29)</f>
        <v>104280.41271011755</v>
      </c>
      <c r="H30" s="1599"/>
      <c r="I30" s="1599">
        <f>SUM(I25:I29)</f>
        <v>171180.40873299786</v>
      </c>
      <c r="J30" s="1599"/>
      <c r="K30" s="1599">
        <f>SUM(K25:K29)</f>
        <v>109157.98867965568</v>
      </c>
      <c r="L30" s="1599"/>
      <c r="M30" s="1599">
        <f>SUM(M25:M29)</f>
        <v>175263.67662282838</v>
      </c>
      <c r="N30" s="27"/>
    </row>
    <row r="31" spans="1:15" ht="17.25" customHeight="1">
      <c r="A31" s="2913">
        <v>20</v>
      </c>
      <c r="B31" s="1316" t="s">
        <v>3029</v>
      </c>
      <c r="C31" s="2923"/>
      <c r="D31" s="2913"/>
      <c r="E31" s="2913">
        <v>0.09</v>
      </c>
      <c r="F31" s="2913"/>
      <c r="G31" s="2915">
        <f>G30*E31</f>
        <v>9385.2371439105791</v>
      </c>
      <c r="H31" s="2915"/>
      <c r="I31" s="2915">
        <f>I30*E31</f>
        <v>15406.236785969808</v>
      </c>
      <c r="J31" s="2915"/>
      <c r="K31" s="2915">
        <f>K30*E31</f>
        <v>9824.2189811690114</v>
      </c>
      <c r="L31" s="2915"/>
      <c r="M31" s="2915">
        <f>M30*E31</f>
        <v>15773.730896054554</v>
      </c>
      <c r="N31" s="27"/>
    </row>
    <row r="32" spans="1:15" ht="17.25" customHeight="1">
      <c r="A32" s="2913">
        <v>21</v>
      </c>
      <c r="B32" s="1316" t="s">
        <v>3030</v>
      </c>
      <c r="C32" s="2923"/>
      <c r="D32" s="2913"/>
      <c r="E32" s="2913">
        <v>0.09</v>
      </c>
      <c r="F32" s="2913"/>
      <c r="G32" s="2915">
        <f>G30*E32</f>
        <v>9385.2371439105791</v>
      </c>
      <c r="H32" s="2915"/>
      <c r="I32" s="2915">
        <f>I30*E32</f>
        <v>15406.236785969808</v>
      </c>
      <c r="J32" s="2915"/>
      <c r="K32" s="2915">
        <f>K30*E32</f>
        <v>9824.2189811690114</v>
      </c>
      <c r="L32" s="2915"/>
      <c r="M32" s="2915">
        <f>M30*E32</f>
        <v>15773.730896054554</v>
      </c>
      <c r="N32" s="60"/>
    </row>
    <row r="33" spans="1:15" s="22" customFormat="1" ht="30" customHeight="1">
      <c r="A33" s="2913">
        <v>22</v>
      </c>
      <c r="B33" s="1316" t="s">
        <v>3031</v>
      </c>
      <c r="C33" s="2926"/>
      <c r="D33" s="2913"/>
      <c r="E33" s="2913"/>
      <c r="F33" s="2913"/>
      <c r="G33" s="2915">
        <f>G30+G31+G32</f>
        <v>123050.88699793871</v>
      </c>
      <c r="H33" s="2915"/>
      <c r="I33" s="2915">
        <f>I30+I31+I32</f>
        <v>201992.88230493749</v>
      </c>
      <c r="J33" s="2915"/>
      <c r="K33" s="2915">
        <f>K30+K31+K32</f>
        <v>128806.42664199372</v>
      </c>
      <c r="L33" s="2915"/>
      <c r="M33" s="2915">
        <f>M30+M31+M32</f>
        <v>206811.13841493751</v>
      </c>
      <c r="O33" s="823"/>
    </row>
    <row r="34" spans="1:15" ht="33.75" customHeight="1">
      <c r="A34" s="209">
        <v>23</v>
      </c>
      <c r="B34" s="1323" t="s">
        <v>59</v>
      </c>
      <c r="C34" s="2927"/>
      <c r="D34" s="2871"/>
      <c r="E34" s="2871"/>
      <c r="F34" s="2871"/>
      <c r="G34" s="1599">
        <f>ROUND(G33,0)</f>
        <v>123051</v>
      </c>
      <c r="H34" s="1599"/>
      <c r="I34" s="1599">
        <f>ROUND(I33,0)</f>
        <v>201993</v>
      </c>
      <c r="J34" s="1599"/>
      <c r="K34" s="1599">
        <f>ROUND(K33,0)</f>
        <v>128806</v>
      </c>
      <c r="L34" s="1599"/>
      <c r="M34" s="1599">
        <f>ROUND(M33,0)</f>
        <v>206811</v>
      </c>
    </row>
    <row r="35" spans="1:15">
      <c r="A35" s="2905"/>
      <c r="B35" s="410"/>
      <c r="C35" s="410"/>
      <c r="D35" s="410"/>
      <c r="E35" s="410"/>
      <c r="F35" s="410"/>
      <c r="G35" s="410"/>
      <c r="H35" s="410"/>
      <c r="I35" s="410"/>
      <c r="J35" s="410"/>
      <c r="K35" s="410"/>
      <c r="L35" s="410"/>
      <c r="M35" s="410"/>
    </row>
    <row r="36" spans="1:15">
      <c r="A36" s="2904"/>
      <c r="B36" s="410"/>
      <c r="C36" s="410"/>
      <c r="D36" s="410"/>
      <c r="E36" s="410"/>
      <c r="F36" s="410"/>
      <c r="G36" s="410"/>
      <c r="H36" s="410"/>
      <c r="I36" s="410"/>
      <c r="J36" s="410"/>
      <c r="K36" s="410"/>
      <c r="L36" s="410"/>
      <c r="M36" s="410"/>
    </row>
    <row r="37" spans="1:15">
      <c r="A37" s="2904"/>
      <c r="B37" s="410"/>
      <c r="C37" s="410"/>
      <c r="D37" s="410"/>
      <c r="E37" s="410"/>
      <c r="F37" s="410"/>
      <c r="G37" s="410"/>
      <c r="H37" s="410"/>
      <c r="I37" s="410"/>
      <c r="J37" s="410"/>
      <c r="K37" s="410"/>
      <c r="L37" s="410"/>
      <c r="M37" s="410"/>
    </row>
    <row r="38" spans="1:15">
      <c r="A38" s="2904"/>
      <c r="B38" s="410"/>
      <c r="C38" s="410"/>
      <c r="D38" s="410"/>
      <c r="E38" s="410"/>
      <c r="F38" s="410"/>
      <c r="G38" s="410"/>
      <c r="H38" s="410"/>
      <c r="I38" s="410"/>
      <c r="J38" s="410"/>
      <c r="K38" s="410"/>
      <c r="L38" s="410"/>
      <c r="M38" s="410"/>
    </row>
    <row r="39" spans="1:15">
      <c r="A39" s="2904"/>
      <c r="B39" s="410"/>
      <c r="C39" s="410"/>
      <c r="D39" s="410"/>
      <c r="E39" s="410"/>
      <c r="F39" s="410"/>
      <c r="G39" s="410"/>
      <c r="H39" s="410"/>
      <c r="I39" s="410"/>
      <c r="J39" s="410"/>
      <c r="K39" s="410"/>
      <c r="L39" s="410"/>
      <c r="M39" s="410"/>
    </row>
    <row r="40" spans="1:15">
      <c r="A40" s="2904"/>
      <c r="B40" s="410"/>
      <c r="C40" s="410"/>
      <c r="D40" s="410"/>
      <c r="E40" s="410"/>
      <c r="F40" s="410"/>
      <c r="G40" s="410"/>
      <c r="H40" s="410"/>
      <c r="I40" s="410"/>
      <c r="J40" s="410"/>
      <c r="K40" s="410"/>
      <c r="L40" s="410"/>
      <c r="M40" s="410"/>
      <c r="N40" s="410"/>
    </row>
    <row r="41" spans="1:15">
      <c r="M41" s="410"/>
      <c r="N41" s="410"/>
    </row>
    <row r="42" spans="1:15">
      <c r="M42" s="410"/>
      <c r="N42" s="410"/>
    </row>
  </sheetData>
  <mergeCells count="13">
    <mergeCell ref="J5:K5"/>
    <mergeCell ref="L5:M5"/>
    <mergeCell ref="A15:A19"/>
    <mergeCell ref="C1:H1"/>
    <mergeCell ref="L2:M2"/>
    <mergeCell ref="A3:M3"/>
    <mergeCell ref="A5:A6"/>
    <mergeCell ref="B5:B6"/>
    <mergeCell ref="C5:C6"/>
    <mergeCell ref="D5:D6"/>
    <mergeCell ref="E5:E6"/>
    <mergeCell ref="F5:G5"/>
    <mergeCell ref="H5:I5"/>
  </mergeCells>
  <conditionalFormatting sqref="B24">
    <cfRule type="cellIs" dxfId="20" priority="2" stopIfTrue="1" operator="equal">
      <formula>"?"</formula>
    </cfRule>
  </conditionalFormatting>
  <conditionalFormatting sqref="B25">
    <cfRule type="cellIs" dxfId="19" priority="1" stopIfTrue="1" operator="equal">
      <formula>"?"</formula>
    </cfRule>
  </conditionalFormatting>
  <printOptions horizontalCentered="1"/>
  <pageMargins left="0.62992125984251968" right="0.27559055118110237" top="0.55118110236220474" bottom="0.43307086614173229" header="0.39370078740157483" footer="0.15748031496062992"/>
  <pageSetup paperSize="9" orientation="landscape" verticalDpi="300" r:id="rId1"/>
  <headerFooter alignWithMargins="0"/>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9"/>
  <sheetViews>
    <sheetView workbookViewId="0">
      <pane xSplit="2" ySplit="6" topLeftCell="C35" activePane="bottomRight" state="frozen"/>
      <selection pane="topRight" activeCell="C1" sqref="C1"/>
      <selection pane="bottomLeft" activeCell="A7" sqref="A7"/>
      <selection pane="bottomRight" activeCell="H42" sqref="H42"/>
    </sheetView>
  </sheetViews>
  <sheetFormatPr defaultRowHeight="12.75"/>
  <cols>
    <col min="1" max="1" width="4.5703125" style="2877" customWidth="1"/>
    <col min="2" max="2" width="64.42578125" style="4" customWidth="1"/>
    <col min="3" max="3" width="13.42578125" style="4" customWidth="1"/>
    <col min="4" max="4" width="6.140625" style="4" customWidth="1"/>
    <col min="5" max="5" width="6.5703125" style="4" customWidth="1"/>
    <col min="6" max="6" width="9.7109375" style="4" customWidth="1"/>
    <col min="7" max="7" width="12.5703125" style="4" customWidth="1"/>
    <col min="8" max="8" width="21.140625" style="4" customWidth="1"/>
    <col min="9" max="9" width="20.7109375" style="4" bestFit="1" customWidth="1"/>
    <col min="10" max="10" width="11" style="4" bestFit="1" customWidth="1"/>
    <col min="11" max="11" width="3.28515625" style="4" bestFit="1" customWidth="1"/>
    <col min="12" max="12" width="3" style="4" bestFit="1" customWidth="1"/>
    <col min="13" max="13" width="4" style="4" bestFit="1" customWidth="1"/>
    <col min="14" max="256" width="9.140625" style="4"/>
    <col min="257" max="257" width="4.5703125" style="4" customWidth="1"/>
    <col min="258" max="258" width="74.140625" style="4" customWidth="1"/>
    <col min="259" max="259" width="13.42578125" style="4" customWidth="1"/>
    <col min="260" max="260" width="6.140625" style="4" customWidth="1"/>
    <col min="261" max="261" width="6.5703125" style="4" customWidth="1"/>
    <col min="262" max="262" width="9.7109375" style="4" customWidth="1"/>
    <col min="263" max="263" width="12.5703125" style="4" customWidth="1"/>
    <col min="264" max="264" width="21.140625" style="4" customWidth="1"/>
    <col min="265" max="265" width="20.7109375" style="4" bestFit="1" customWidth="1"/>
    <col min="266" max="266" width="11" style="4" bestFit="1" customWidth="1"/>
    <col min="267" max="267" width="3.28515625" style="4" bestFit="1" customWidth="1"/>
    <col min="268" max="268" width="3" style="4" bestFit="1" customWidth="1"/>
    <col min="269" max="269" width="4" style="4" bestFit="1" customWidth="1"/>
    <col min="270" max="512" width="9.140625" style="4"/>
    <col min="513" max="513" width="4.5703125" style="4" customWidth="1"/>
    <col min="514" max="514" width="74.140625" style="4" customWidth="1"/>
    <col min="515" max="515" width="13.42578125" style="4" customWidth="1"/>
    <col min="516" max="516" width="6.140625" style="4" customWidth="1"/>
    <col min="517" max="517" width="6.5703125" style="4" customWidth="1"/>
    <col min="518" max="518" width="9.7109375" style="4" customWidth="1"/>
    <col min="519" max="519" width="12.5703125" style="4" customWidth="1"/>
    <col min="520" max="520" width="21.140625" style="4" customWidth="1"/>
    <col min="521" max="521" width="20.7109375" style="4" bestFit="1" customWidth="1"/>
    <col min="522" max="522" width="11" style="4" bestFit="1" customWidth="1"/>
    <col min="523" max="523" width="3.28515625" style="4" bestFit="1" customWidth="1"/>
    <col min="524" max="524" width="3" style="4" bestFit="1" customWidth="1"/>
    <col min="525" max="525" width="4" style="4" bestFit="1" customWidth="1"/>
    <col min="526" max="768" width="9.140625" style="4"/>
    <col min="769" max="769" width="4.5703125" style="4" customWidth="1"/>
    <col min="770" max="770" width="74.140625" style="4" customWidth="1"/>
    <col min="771" max="771" width="13.42578125" style="4" customWidth="1"/>
    <col min="772" max="772" width="6.140625" style="4" customWidth="1"/>
    <col min="773" max="773" width="6.5703125" style="4" customWidth="1"/>
    <col min="774" max="774" width="9.7109375" style="4" customWidth="1"/>
    <col min="775" max="775" width="12.5703125" style="4" customWidth="1"/>
    <col min="776" max="776" width="21.140625" style="4" customWidth="1"/>
    <col min="777" max="777" width="20.7109375" style="4" bestFit="1" customWidth="1"/>
    <col min="778" max="778" width="11" style="4" bestFit="1" customWidth="1"/>
    <col min="779" max="779" width="3.28515625" style="4" bestFit="1" customWidth="1"/>
    <col min="780" max="780" width="3" style="4" bestFit="1" customWidth="1"/>
    <col min="781" max="781" width="4" style="4" bestFit="1" customWidth="1"/>
    <col min="782" max="1024" width="9.140625" style="4"/>
    <col min="1025" max="1025" width="4.5703125" style="4" customWidth="1"/>
    <col min="1026" max="1026" width="74.140625" style="4" customWidth="1"/>
    <col min="1027" max="1027" width="13.42578125" style="4" customWidth="1"/>
    <col min="1028" max="1028" width="6.140625" style="4" customWidth="1"/>
    <col min="1029" max="1029" width="6.5703125" style="4" customWidth="1"/>
    <col min="1030" max="1030" width="9.7109375" style="4" customWidth="1"/>
    <col min="1031" max="1031" width="12.5703125" style="4" customWidth="1"/>
    <col min="1032" max="1032" width="21.140625" style="4" customWidth="1"/>
    <col min="1033" max="1033" width="20.7109375" style="4" bestFit="1" customWidth="1"/>
    <col min="1034" max="1034" width="11" style="4" bestFit="1" customWidth="1"/>
    <col min="1035" max="1035" width="3.28515625" style="4" bestFit="1" customWidth="1"/>
    <col min="1036" max="1036" width="3" style="4" bestFit="1" customWidth="1"/>
    <col min="1037" max="1037" width="4" style="4" bestFit="1" customWidth="1"/>
    <col min="1038" max="1280" width="9.140625" style="4"/>
    <col min="1281" max="1281" width="4.5703125" style="4" customWidth="1"/>
    <col min="1282" max="1282" width="74.140625" style="4" customWidth="1"/>
    <col min="1283" max="1283" width="13.42578125" style="4" customWidth="1"/>
    <col min="1284" max="1284" width="6.140625" style="4" customWidth="1"/>
    <col min="1285" max="1285" width="6.5703125" style="4" customWidth="1"/>
    <col min="1286" max="1286" width="9.7109375" style="4" customWidth="1"/>
    <col min="1287" max="1287" width="12.5703125" style="4" customWidth="1"/>
    <col min="1288" max="1288" width="21.140625" style="4" customWidth="1"/>
    <col min="1289" max="1289" width="20.7109375" style="4" bestFit="1" customWidth="1"/>
    <col min="1290" max="1290" width="11" style="4" bestFit="1" customWidth="1"/>
    <col min="1291" max="1291" width="3.28515625" style="4" bestFit="1" customWidth="1"/>
    <col min="1292" max="1292" width="3" style="4" bestFit="1" customWidth="1"/>
    <col min="1293" max="1293" width="4" style="4" bestFit="1" customWidth="1"/>
    <col min="1294" max="1536" width="9.140625" style="4"/>
    <col min="1537" max="1537" width="4.5703125" style="4" customWidth="1"/>
    <col min="1538" max="1538" width="74.140625" style="4" customWidth="1"/>
    <col min="1539" max="1539" width="13.42578125" style="4" customWidth="1"/>
    <col min="1540" max="1540" width="6.140625" style="4" customWidth="1"/>
    <col min="1541" max="1541" width="6.5703125" style="4" customWidth="1"/>
    <col min="1542" max="1542" width="9.7109375" style="4" customWidth="1"/>
    <col min="1543" max="1543" width="12.5703125" style="4" customWidth="1"/>
    <col min="1544" max="1544" width="21.140625" style="4" customWidth="1"/>
    <col min="1545" max="1545" width="20.7109375" style="4" bestFit="1" customWidth="1"/>
    <col min="1546" max="1546" width="11" style="4" bestFit="1" customWidth="1"/>
    <col min="1547" max="1547" width="3.28515625" style="4" bestFit="1" customWidth="1"/>
    <col min="1548" max="1548" width="3" style="4" bestFit="1" customWidth="1"/>
    <col min="1549" max="1549" width="4" style="4" bestFit="1" customWidth="1"/>
    <col min="1550" max="1792" width="9.140625" style="4"/>
    <col min="1793" max="1793" width="4.5703125" style="4" customWidth="1"/>
    <col min="1794" max="1794" width="74.140625" style="4" customWidth="1"/>
    <col min="1795" max="1795" width="13.42578125" style="4" customWidth="1"/>
    <col min="1796" max="1796" width="6.140625" style="4" customWidth="1"/>
    <col min="1797" max="1797" width="6.5703125" style="4" customWidth="1"/>
    <col min="1798" max="1798" width="9.7109375" style="4" customWidth="1"/>
    <col min="1799" max="1799" width="12.5703125" style="4" customWidth="1"/>
    <col min="1800" max="1800" width="21.140625" style="4" customWidth="1"/>
    <col min="1801" max="1801" width="20.7109375" style="4" bestFit="1" customWidth="1"/>
    <col min="1802" max="1802" width="11" style="4" bestFit="1" customWidth="1"/>
    <col min="1803" max="1803" width="3.28515625" style="4" bestFit="1" customWidth="1"/>
    <col min="1804" max="1804" width="3" style="4" bestFit="1" customWidth="1"/>
    <col min="1805" max="1805" width="4" style="4" bestFit="1" customWidth="1"/>
    <col min="1806" max="2048" width="9.140625" style="4"/>
    <col min="2049" max="2049" width="4.5703125" style="4" customWidth="1"/>
    <col min="2050" max="2050" width="74.140625" style="4" customWidth="1"/>
    <col min="2051" max="2051" width="13.42578125" style="4" customWidth="1"/>
    <col min="2052" max="2052" width="6.140625" style="4" customWidth="1"/>
    <col min="2053" max="2053" width="6.5703125" style="4" customWidth="1"/>
    <col min="2054" max="2054" width="9.7109375" style="4" customWidth="1"/>
    <col min="2055" max="2055" width="12.5703125" style="4" customWidth="1"/>
    <col min="2056" max="2056" width="21.140625" style="4" customWidth="1"/>
    <col min="2057" max="2057" width="20.7109375" style="4" bestFit="1" customWidth="1"/>
    <col min="2058" max="2058" width="11" style="4" bestFit="1" customWidth="1"/>
    <col min="2059" max="2059" width="3.28515625" style="4" bestFit="1" customWidth="1"/>
    <col min="2060" max="2060" width="3" style="4" bestFit="1" customWidth="1"/>
    <col min="2061" max="2061" width="4" style="4" bestFit="1" customWidth="1"/>
    <col min="2062" max="2304" width="9.140625" style="4"/>
    <col min="2305" max="2305" width="4.5703125" style="4" customWidth="1"/>
    <col min="2306" max="2306" width="74.140625" style="4" customWidth="1"/>
    <col min="2307" max="2307" width="13.42578125" style="4" customWidth="1"/>
    <col min="2308" max="2308" width="6.140625" style="4" customWidth="1"/>
    <col min="2309" max="2309" width="6.5703125" style="4" customWidth="1"/>
    <col min="2310" max="2310" width="9.7109375" style="4" customWidth="1"/>
    <col min="2311" max="2311" width="12.5703125" style="4" customWidth="1"/>
    <col min="2312" max="2312" width="21.140625" style="4" customWidth="1"/>
    <col min="2313" max="2313" width="20.7109375" style="4" bestFit="1" customWidth="1"/>
    <col min="2314" max="2314" width="11" style="4" bestFit="1" customWidth="1"/>
    <col min="2315" max="2315" width="3.28515625" style="4" bestFit="1" customWidth="1"/>
    <col min="2316" max="2316" width="3" style="4" bestFit="1" customWidth="1"/>
    <col min="2317" max="2317" width="4" style="4" bestFit="1" customWidth="1"/>
    <col min="2318" max="2560" width="9.140625" style="4"/>
    <col min="2561" max="2561" width="4.5703125" style="4" customWidth="1"/>
    <col min="2562" max="2562" width="74.140625" style="4" customWidth="1"/>
    <col min="2563" max="2563" width="13.42578125" style="4" customWidth="1"/>
    <col min="2564" max="2564" width="6.140625" style="4" customWidth="1"/>
    <col min="2565" max="2565" width="6.5703125" style="4" customWidth="1"/>
    <col min="2566" max="2566" width="9.7109375" style="4" customWidth="1"/>
    <col min="2567" max="2567" width="12.5703125" style="4" customWidth="1"/>
    <col min="2568" max="2568" width="21.140625" style="4" customWidth="1"/>
    <col min="2569" max="2569" width="20.7109375" style="4" bestFit="1" customWidth="1"/>
    <col min="2570" max="2570" width="11" style="4" bestFit="1" customWidth="1"/>
    <col min="2571" max="2571" width="3.28515625" style="4" bestFit="1" customWidth="1"/>
    <col min="2572" max="2572" width="3" style="4" bestFit="1" customWidth="1"/>
    <col min="2573" max="2573" width="4" style="4" bestFit="1" customWidth="1"/>
    <col min="2574" max="2816" width="9.140625" style="4"/>
    <col min="2817" max="2817" width="4.5703125" style="4" customWidth="1"/>
    <col min="2818" max="2818" width="74.140625" style="4" customWidth="1"/>
    <col min="2819" max="2819" width="13.42578125" style="4" customWidth="1"/>
    <col min="2820" max="2820" width="6.140625" style="4" customWidth="1"/>
    <col min="2821" max="2821" width="6.5703125" style="4" customWidth="1"/>
    <col min="2822" max="2822" width="9.7109375" style="4" customWidth="1"/>
    <col min="2823" max="2823" width="12.5703125" style="4" customWidth="1"/>
    <col min="2824" max="2824" width="21.140625" style="4" customWidth="1"/>
    <col min="2825" max="2825" width="20.7109375" style="4" bestFit="1" customWidth="1"/>
    <col min="2826" max="2826" width="11" style="4" bestFit="1" customWidth="1"/>
    <col min="2827" max="2827" width="3.28515625" style="4" bestFit="1" customWidth="1"/>
    <col min="2828" max="2828" width="3" style="4" bestFit="1" customWidth="1"/>
    <col min="2829" max="2829" width="4" style="4" bestFit="1" customWidth="1"/>
    <col min="2830" max="3072" width="9.140625" style="4"/>
    <col min="3073" max="3073" width="4.5703125" style="4" customWidth="1"/>
    <col min="3074" max="3074" width="74.140625" style="4" customWidth="1"/>
    <col min="3075" max="3075" width="13.42578125" style="4" customWidth="1"/>
    <col min="3076" max="3076" width="6.140625" style="4" customWidth="1"/>
    <col min="3077" max="3077" width="6.5703125" style="4" customWidth="1"/>
    <col min="3078" max="3078" width="9.7109375" style="4" customWidth="1"/>
    <col min="3079" max="3079" width="12.5703125" style="4" customWidth="1"/>
    <col min="3080" max="3080" width="21.140625" style="4" customWidth="1"/>
    <col min="3081" max="3081" width="20.7109375" style="4" bestFit="1" customWidth="1"/>
    <col min="3082" max="3082" width="11" style="4" bestFit="1" customWidth="1"/>
    <col min="3083" max="3083" width="3.28515625" style="4" bestFit="1" customWidth="1"/>
    <col min="3084" max="3084" width="3" style="4" bestFit="1" customWidth="1"/>
    <col min="3085" max="3085" width="4" style="4" bestFit="1" customWidth="1"/>
    <col min="3086" max="3328" width="9.140625" style="4"/>
    <col min="3329" max="3329" width="4.5703125" style="4" customWidth="1"/>
    <col min="3330" max="3330" width="74.140625" style="4" customWidth="1"/>
    <col min="3331" max="3331" width="13.42578125" style="4" customWidth="1"/>
    <col min="3332" max="3332" width="6.140625" style="4" customWidth="1"/>
    <col min="3333" max="3333" width="6.5703125" style="4" customWidth="1"/>
    <col min="3334" max="3334" width="9.7109375" style="4" customWidth="1"/>
    <col min="3335" max="3335" width="12.5703125" style="4" customWidth="1"/>
    <col min="3336" max="3336" width="21.140625" style="4" customWidth="1"/>
    <col min="3337" max="3337" width="20.7109375" style="4" bestFit="1" customWidth="1"/>
    <col min="3338" max="3338" width="11" style="4" bestFit="1" customWidth="1"/>
    <col min="3339" max="3339" width="3.28515625" style="4" bestFit="1" customWidth="1"/>
    <col min="3340" max="3340" width="3" style="4" bestFit="1" customWidth="1"/>
    <col min="3341" max="3341" width="4" style="4" bestFit="1" customWidth="1"/>
    <col min="3342" max="3584" width="9.140625" style="4"/>
    <col min="3585" max="3585" width="4.5703125" style="4" customWidth="1"/>
    <col min="3586" max="3586" width="74.140625" style="4" customWidth="1"/>
    <col min="3587" max="3587" width="13.42578125" style="4" customWidth="1"/>
    <col min="3588" max="3588" width="6.140625" style="4" customWidth="1"/>
    <col min="3589" max="3589" width="6.5703125" style="4" customWidth="1"/>
    <col min="3590" max="3590" width="9.7109375" style="4" customWidth="1"/>
    <col min="3591" max="3591" width="12.5703125" style="4" customWidth="1"/>
    <col min="3592" max="3592" width="21.140625" style="4" customWidth="1"/>
    <col min="3593" max="3593" width="20.7109375" style="4" bestFit="1" customWidth="1"/>
    <col min="3594" max="3594" width="11" style="4" bestFit="1" customWidth="1"/>
    <col min="3595" max="3595" width="3.28515625" style="4" bestFit="1" customWidth="1"/>
    <col min="3596" max="3596" width="3" style="4" bestFit="1" customWidth="1"/>
    <col min="3597" max="3597" width="4" style="4" bestFit="1" customWidth="1"/>
    <col min="3598" max="3840" width="9.140625" style="4"/>
    <col min="3841" max="3841" width="4.5703125" style="4" customWidth="1"/>
    <col min="3842" max="3842" width="74.140625" style="4" customWidth="1"/>
    <col min="3843" max="3843" width="13.42578125" style="4" customWidth="1"/>
    <col min="3844" max="3844" width="6.140625" style="4" customWidth="1"/>
    <col min="3845" max="3845" width="6.5703125" style="4" customWidth="1"/>
    <col min="3846" max="3846" width="9.7109375" style="4" customWidth="1"/>
    <col min="3847" max="3847" width="12.5703125" style="4" customWidth="1"/>
    <col min="3848" max="3848" width="21.140625" style="4" customWidth="1"/>
    <col min="3849" max="3849" width="20.7109375" style="4" bestFit="1" customWidth="1"/>
    <col min="3850" max="3850" width="11" style="4" bestFit="1" customWidth="1"/>
    <col min="3851" max="3851" width="3.28515625" style="4" bestFit="1" customWidth="1"/>
    <col min="3852" max="3852" width="3" style="4" bestFit="1" customWidth="1"/>
    <col min="3853" max="3853" width="4" style="4" bestFit="1" customWidth="1"/>
    <col min="3854" max="4096" width="9.140625" style="4"/>
    <col min="4097" max="4097" width="4.5703125" style="4" customWidth="1"/>
    <col min="4098" max="4098" width="74.140625" style="4" customWidth="1"/>
    <col min="4099" max="4099" width="13.42578125" style="4" customWidth="1"/>
    <col min="4100" max="4100" width="6.140625" style="4" customWidth="1"/>
    <col min="4101" max="4101" width="6.5703125" style="4" customWidth="1"/>
    <col min="4102" max="4102" width="9.7109375" style="4" customWidth="1"/>
    <col min="4103" max="4103" width="12.5703125" style="4" customWidth="1"/>
    <col min="4104" max="4104" width="21.140625" style="4" customWidth="1"/>
    <col min="4105" max="4105" width="20.7109375" style="4" bestFit="1" customWidth="1"/>
    <col min="4106" max="4106" width="11" style="4" bestFit="1" customWidth="1"/>
    <col min="4107" max="4107" width="3.28515625" style="4" bestFit="1" customWidth="1"/>
    <col min="4108" max="4108" width="3" style="4" bestFit="1" customWidth="1"/>
    <col min="4109" max="4109" width="4" style="4" bestFit="1" customWidth="1"/>
    <col min="4110" max="4352" width="9.140625" style="4"/>
    <col min="4353" max="4353" width="4.5703125" style="4" customWidth="1"/>
    <col min="4354" max="4354" width="74.140625" style="4" customWidth="1"/>
    <col min="4355" max="4355" width="13.42578125" style="4" customWidth="1"/>
    <col min="4356" max="4356" width="6.140625" style="4" customWidth="1"/>
    <col min="4357" max="4357" width="6.5703125" style="4" customWidth="1"/>
    <col min="4358" max="4358" width="9.7109375" style="4" customWidth="1"/>
    <col min="4359" max="4359" width="12.5703125" style="4" customWidth="1"/>
    <col min="4360" max="4360" width="21.140625" style="4" customWidth="1"/>
    <col min="4361" max="4361" width="20.7109375" style="4" bestFit="1" customWidth="1"/>
    <col min="4362" max="4362" width="11" style="4" bestFit="1" customWidth="1"/>
    <col min="4363" max="4363" width="3.28515625" style="4" bestFit="1" customWidth="1"/>
    <col min="4364" max="4364" width="3" style="4" bestFit="1" customWidth="1"/>
    <col min="4365" max="4365" width="4" style="4" bestFit="1" customWidth="1"/>
    <col min="4366" max="4608" width="9.140625" style="4"/>
    <col min="4609" max="4609" width="4.5703125" style="4" customWidth="1"/>
    <col min="4610" max="4610" width="74.140625" style="4" customWidth="1"/>
    <col min="4611" max="4611" width="13.42578125" style="4" customWidth="1"/>
    <col min="4612" max="4612" width="6.140625" style="4" customWidth="1"/>
    <col min="4613" max="4613" width="6.5703125" style="4" customWidth="1"/>
    <col min="4614" max="4614" width="9.7109375" style="4" customWidth="1"/>
    <col min="4615" max="4615" width="12.5703125" style="4" customWidth="1"/>
    <col min="4616" max="4616" width="21.140625" style="4" customWidth="1"/>
    <col min="4617" max="4617" width="20.7109375" style="4" bestFit="1" customWidth="1"/>
    <col min="4618" max="4618" width="11" style="4" bestFit="1" customWidth="1"/>
    <col min="4619" max="4619" width="3.28515625" style="4" bestFit="1" customWidth="1"/>
    <col min="4620" max="4620" width="3" style="4" bestFit="1" customWidth="1"/>
    <col min="4621" max="4621" width="4" style="4" bestFit="1" customWidth="1"/>
    <col min="4622" max="4864" width="9.140625" style="4"/>
    <col min="4865" max="4865" width="4.5703125" style="4" customWidth="1"/>
    <col min="4866" max="4866" width="74.140625" style="4" customWidth="1"/>
    <col min="4867" max="4867" width="13.42578125" style="4" customWidth="1"/>
    <col min="4868" max="4868" width="6.140625" style="4" customWidth="1"/>
    <col min="4869" max="4869" width="6.5703125" style="4" customWidth="1"/>
    <col min="4870" max="4870" width="9.7109375" style="4" customWidth="1"/>
    <col min="4871" max="4871" width="12.5703125" style="4" customWidth="1"/>
    <col min="4872" max="4872" width="21.140625" style="4" customWidth="1"/>
    <col min="4873" max="4873" width="20.7109375" style="4" bestFit="1" customWidth="1"/>
    <col min="4874" max="4874" width="11" style="4" bestFit="1" customWidth="1"/>
    <col min="4875" max="4875" width="3.28515625" style="4" bestFit="1" customWidth="1"/>
    <col min="4876" max="4876" width="3" style="4" bestFit="1" customWidth="1"/>
    <col min="4877" max="4877" width="4" style="4" bestFit="1" customWidth="1"/>
    <col min="4878" max="5120" width="9.140625" style="4"/>
    <col min="5121" max="5121" width="4.5703125" style="4" customWidth="1"/>
    <col min="5122" max="5122" width="74.140625" style="4" customWidth="1"/>
    <col min="5123" max="5123" width="13.42578125" style="4" customWidth="1"/>
    <col min="5124" max="5124" width="6.140625" style="4" customWidth="1"/>
    <col min="5125" max="5125" width="6.5703125" style="4" customWidth="1"/>
    <col min="5126" max="5126" width="9.7109375" style="4" customWidth="1"/>
    <col min="5127" max="5127" width="12.5703125" style="4" customWidth="1"/>
    <col min="5128" max="5128" width="21.140625" style="4" customWidth="1"/>
    <col min="5129" max="5129" width="20.7109375" style="4" bestFit="1" customWidth="1"/>
    <col min="5130" max="5130" width="11" style="4" bestFit="1" customWidth="1"/>
    <col min="5131" max="5131" width="3.28515625" style="4" bestFit="1" customWidth="1"/>
    <col min="5132" max="5132" width="3" style="4" bestFit="1" customWidth="1"/>
    <col min="5133" max="5133" width="4" style="4" bestFit="1" customWidth="1"/>
    <col min="5134" max="5376" width="9.140625" style="4"/>
    <col min="5377" max="5377" width="4.5703125" style="4" customWidth="1"/>
    <col min="5378" max="5378" width="74.140625" style="4" customWidth="1"/>
    <col min="5379" max="5379" width="13.42578125" style="4" customWidth="1"/>
    <col min="5380" max="5380" width="6.140625" style="4" customWidth="1"/>
    <col min="5381" max="5381" width="6.5703125" style="4" customWidth="1"/>
    <col min="5382" max="5382" width="9.7109375" style="4" customWidth="1"/>
    <col min="5383" max="5383" width="12.5703125" style="4" customWidth="1"/>
    <col min="5384" max="5384" width="21.140625" style="4" customWidth="1"/>
    <col min="5385" max="5385" width="20.7109375" style="4" bestFit="1" customWidth="1"/>
    <col min="5386" max="5386" width="11" style="4" bestFit="1" customWidth="1"/>
    <col min="5387" max="5387" width="3.28515625" style="4" bestFit="1" customWidth="1"/>
    <col min="5388" max="5388" width="3" style="4" bestFit="1" customWidth="1"/>
    <col min="5389" max="5389" width="4" style="4" bestFit="1" customWidth="1"/>
    <col min="5390" max="5632" width="9.140625" style="4"/>
    <col min="5633" max="5633" width="4.5703125" style="4" customWidth="1"/>
    <col min="5634" max="5634" width="74.140625" style="4" customWidth="1"/>
    <col min="5635" max="5635" width="13.42578125" style="4" customWidth="1"/>
    <col min="5636" max="5636" width="6.140625" style="4" customWidth="1"/>
    <col min="5637" max="5637" width="6.5703125" style="4" customWidth="1"/>
    <col min="5638" max="5638" width="9.7109375" style="4" customWidth="1"/>
    <col min="5639" max="5639" width="12.5703125" style="4" customWidth="1"/>
    <col min="5640" max="5640" width="21.140625" style="4" customWidth="1"/>
    <col min="5641" max="5641" width="20.7109375" style="4" bestFit="1" customWidth="1"/>
    <col min="5642" max="5642" width="11" style="4" bestFit="1" customWidth="1"/>
    <col min="5643" max="5643" width="3.28515625" style="4" bestFit="1" customWidth="1"/>
    <col min="5644" max="5644" width="3" style="4" bestFit="1" customWidth="1"/>
    <col min="5645" max="5645" width="4" style="4" bestFit="1" customWidth="1"/>
    <col min="5646" max="5888" width="9.140625" style="4"/>
    <col min="5889" max="5889" width="4.5703125" style="4" customWidth="1"/>
    <col min="5890" max="5890" width="74.140625" style="4" customWidth="1"/>
    <col min="5891" max="5891" width="13.42578125" style="4" customWidth="1"/>
    <col min="5892" max="5892" width="6.140625" style="4" customWidth="1"/>
    <col min="5893" max="5893" width="6.5703125" style="4" customWidth="1"/>
    <col min="5894" max="5894" width="9.7109375" style="4" customWidth="1"/>
    <col min="5895" max="5895" width="12.5703125" style="4" customWidth="1"/>
    <col min="5896" max="5896" width="21.140625" style="4" customWidth="1"/>
    <col min="5897" max="5897" width="20.7109375" style="4" bestFit="1" customWidth="1"/>
    <col min="5898" max="5898" width="11" style="4" bestFit="1" customWidth="1"/>
    <col min="5899" max="5899" width="3.28515625" style="4" bestFit="1" customWidth="1"/>
    <col min="5900" max="5900" width="3" style="4" bestFit="1" customWidth="1"/>
    <col min="5901" max="5901" width="4" style="4" bestFit="1" customWidth="1"/>
    <col min="5902" max="6144" width="9.140625" style="4"/>
    <col min="6145" max="6145" width="4.5703125" style="4" customWidth="1"/>
    <col min="6146" max="6146" width="74.140625" style="4" customWidth="1"/>
    <col min="6147" max="6147" width="13.42578125" style="4" customWidth="1"/>
    <col min="6148" max="6148" width="6.140625" style="4" customWidth="1"/>
    <col min="6149" max="6149" width="6.5703125" style="4" customWidth="1"/>
    <col min="6150" max="6150" width="9.7109375" style="4" customWidth="1"/>
    <col min="6151" max="6151" width="12.5703125" style="4" customWidth="1"/>
    <col min="6152" max="6152" width="21.140625" style="4" customWidth="1"/>
    <col min="6153" max="6153" width="20.7109375" style="4" bestFit="1" customWidth="1"/>
    <col min="6154" max="6154" width="11" style="4" bestFit="1" customWidth="1"/>
    <col min="6155" max="6155" width="3.28515625" style="4" bestFit="1" customWidth="1"/>
    <col min="6156" max="6156" width="3" style="4" bestFit="1" customWidth="1"/>
    <col min="6157" max="6157" width="4" style="4" bestFit="1" customWidth="1"/>
    <col min="6158" max="6400" width="9.140625" style="4"/>
    <col min="6401" max="6401" width="4.5703125" style="4" customWidth="1"/>
    <col min="6402" max="6402" width="74.140625" style="4" customWidth="1"/>
    <col min="6403" max="6403" width="13.42578125" style="4" customWidth="1"/>
    <col min="6404" max="6404" width="6.140625" style="4" customWidth="1"/>
    <col min="6405" max="6405" width="6.5703125" style="4" customWidth="1"/>
    <col min="6406" max="6406" width="9.7109375" style="4" customWidth="1"/>
    <col min="6407" max="6407" width="12.5703125" style="4" customWidth="1"/>
    <col min="6408" max="6408" width="21.140625" style="4" customWidth="1"/>
    <col min="6409" max="6409" width="20.7109375" style="4" bestFit="1" customWidth="1"/>
    <col min="6410" max="6410" width="11" style="4" bestFit="1" customWidth="1"/>
    <col min="6411" max="6411" width="3.28515625" style="4" bestFit="1" customWidth="1"/>
    <col min="6412" max="6412" width="3" style="4" bestFit="1" customWidth="1"/>
    <col min="6413" max="6413" width="4" style="4" bestFit="1" customWidth="1"/>
    <col min="6414" max="6656" width="9.140625" style="4"/>
    <col min="6657" max="6657" width="4.5703125" style="4" customWidth="1"/>
    <col min="6658" max="6658" width="74.140625" style="4" customWidth="1"/>
    <col min="6659" max="6659" width="13.42578125" style="4" customWidth="1"/>
    <col min="6660" max="6660" width="6.140625" style="4" customWidth="1"/>
    <col min="6661" max="6661" width="6.5703125" style="4" customWidth="1"/>
    <col min="6662" max="6662" width="9.7109375" style="4" customWidth="1"/>
    <col min="6663" max="6663" width="12.5703125" style="4" customWidth="1"/>
    <col min="6664" max="6664" width="21.140625" style="4" customWidth="1"/>
    <col min="6665" max="6665" width="20.7109375" style="4" bestFit="1" customWidth="1"/>
    <col min="6666" max="6666" width="11" style="4" bestFit="1" customWidth="1"/>
    <col min="6667" max="6667" width="3.28515625" style="4" bestFit="1" customWidth="1"/>
    <col min="6668" max="6668" width="3" style="4" bestFit="1" customWidth="1"/>
    <col min="6669" max="6669" width="4" style="4" bestFit="1" customWidth="1"/>
    <col min="6670" max="6912" width="9.140625" style="4"/>
    <col min="6913" max="6913" width="4.5703125" style="4" customWidth="1"/>
    <col min="6914" max="6914" width="74.140625" style="4" customWidth="1"/>
    <col min="6915" max="6915" width="13.42578125" style="4" customWidth="1"/>
    <col min="6916" max="6916" width="6.140625" style="4" customWidth="1"/>
    <col min="6917" max="6917" width="6.5703125" style="4" customWidth="1"/>
    <col min="6918" max="6918" width="9.7109375" style="4" customWidth="1"/>
    <col min="6919" max="6919" width="12.5703125" style="4" customWidth="1"/>
    <col min="6920" max="6920" width="21.140625" style="4" customWidth="1"/>
    <col min="6921" max="6921" width="20.7109375" style="4" bestFit="1" customWidth="1"/>
    <col min="6922" max="6922" width="11" style="4" bestFit="1" customWidth="1"/>
    <col min="6923" max="6923" width="3.28515625" style="4" bestFit="1" customWidth="1"/>
    <col min="6924" max="6924" width="3" style="4" bestFit="1" customWidth="1"/>
    <col min="6925" max="6925" width="4" style="4" bestFit="1" customWidth="1"/>
    <col min="6926" max="7168" width="9.140625" style="4"/>
    <col min="7169" max="7169" width="4.5703125" style="4" customWidth="1"/>
    <col min="7170" max="7170" width="74.140625" style="4" customWidth="1"/>
    <col min="7171" max="7171" width="13.42578125" style="4" customWidth="1"/>
    <col min="7172" max="7172" width="6.140625" style="4" customWidth="1"/>
    <col min="7173" max="7173" width="6.5703125" style="4" customWidth="1"/>
    <col min="7174" max="7174" width="9.7109375" style="4" customWidth="1"/>
    <col min="7175" max="7175" width="12.5703125" style="4" customWidth="1"/>
    <col min="7176" max="7176" width="21.140625" style="4" customWidth="1"/>
    <col min="7177" max="7177" width="20.7109375" style="4" bestFit="1" customWidth="1"/>
    <col min="7178" max="7178" width="11" style="4" bestFit="1" customWidth="1"/>
    <col min="7179" max="7179" width="3.28515625" style="4" bestFit="1" customWidth="1"/>
    <col min="7180" max="7180" width="3" style="4" bestFit="1" customWidth="1"/>
    <col min="7181" max="7181" width="4" style="4" bestFit="1" customWidth="1"/>
    <col min="7182" max="7424" width="9.140625" style="4"/>
    <col min="7425" max="7425" width="4.5703125" style="4" customWidth="1"/>
    <col min="7426" max="7426" width="74.140625" style="4" customWidth="1"/>
    <col min="7427" max="7427" width="13.42578125" style="4" customWidth="1"/>
    <col min="7428" max="7428" width="6.140625" style="4" customWidth="1"/>
    <col min="7429" max="7429" width="6.5703125" style="4" customWidth="1"/>
    <col min="7430" max="7430" width="9.7109375" style="4" customWidth="1"/>
    <col min="7431" max="7431" width="12.5703125" style="4" customWidth="1"/>
    <col min="7432" max="7432" width="21.140625" style="4" customWidth="1"/>
    <col min="7433" max="7433" width="20.7109375" style="4" bestFit="1" customWidth="1"/>
    <col min="7434" max="7434" width="11" style="4" bestFit="1" customWidth="1"/>
    <col min="7435" max="7435" width="3.28515625" style="4" bestFit="1" customWidth="1"/>
    <col min="7436" max="7436" width="3" style="4" bestFit="1" customWidth="1"/>
    <col min="7437" max="7437" width="4" style="4" bestFit="1" customWidth="1"/>
    <col min="7438" max="7680" width="9.140625" style="4"/>
    <col min="7681" max="7681" width="4.5703125" style="4" customWidth="1"/>
    <col min="7682" max="7682" width="74.140625" style="4" customWidth="1"/>
    <col min="7683" max="7683" width="13.42578125" style="4" customWidth="1"/>
    <col min="7684" max="7684" width="6.140625" style="4" customWidth="1"/>
    <col min="7685" max="7685" width="6.5703125" style="4" customWidth="1"/>
    <col min="7686" max="7686" width="9.7109375" style="4" customWidth="1"/>
    <col min="7687" max="7687" width="12.5703125" style="4" customWidth="1"/>
    <col min="7688" max="7688" width="21.140625" style="4" customWidth="1"/>
    <col min="7689" max="7689" width="20.7109375" style="4" bestFit="1" customWidth="1"/>
    <col min="7690" max="7690" width="11" style="4" bestFit="1" customWidth="1"/>
    <col min="7691" max="7691" width="3.28515625" style="4" bestFit="1" customWidth="1"/>
    <col min="7692" max="7692" width="3" style="4" bestFit="1" customWidth="1"/>
    <col min="7693" max="7693" width="4" style="4" bestFit="1" customWidth="1"/>
    <col min="7694" max="7936" width="9.140625" style="4"/>
    <col min="7937" max="7937" width="4.5703125" style="4" customWidth="1"/>
    <col min="7938" max="7938" width="74.140625" style="4" customWidth="1"/>
    <col min="7939" max="7939" width="13.42578125" style="4" customWidth="1"/>
    <col min="7940" max="7940" width="6.140625" style="4" customWidth="1"/>
    <col min="7941" max="7941" width="6.5703125" style="4" customWidth="1"/>
    <col min="7942" max="7942" width="9.7109375" style="4" customWidth="1"/>
    <col min="7943" max="7943" width="12.5703125" style="4" customWidth="1"/>
    <col min="7944" max="7944" width="21.140625" style="4" customWidth="1"/>
    <col min="7945" max="7945" width="20.7109375" style="4" bestFit="1" customWidth="1"/>
    <col min="7946" max="7946" width="11" style="4" bestFit="1" customWidth="1"/>
    <col min="7947" max="7947" width="3.28515625" style="4" bestFit="1" customWidth="1"/>
    <col min="7948" max="7948" width="3" style="4" bestFit="1" customWidth="1"/>
    <col min="7949" max="7949" width="4" style="4" bestFit="1" customWidth="1"/>
    <col min="7950" max="8192" width="9.140625" style="4"/>
    <col min="8193" max="8193" width="4.5703125" style="4" customWidth="1"/>
    <col min="8194" max="8194" width="74.140625" style="4" customWidth="1"/>
    <col min="8195" max="8195" width="13.42578125" style="4" customWidth="1"/>
    <col min="8196" max="8196" width="6.140625" style="4" customWidth="1"/>
    <col min="8197" max="8197" width="6.5703125" style="4" customWidth="1"/>
    <col min="8198" max="8198" width="9.7109375" style="4" customWidth="1"/>
    <col min="8199" max="8199" width="12.5703125" style="4" customWidth="1"/>
    <col min="8200" max="8200" width="21.140625" style="4" customWidth="1"/>
    <col min="8201" max="8201" width="20.7109375" style="4" bestFit="1" customWidth="1"/>
    <col min="8202" max="8202" width="11" style="4" bestFit="1" customWidth="1"/>
    <col min="8203" max="8203" width="3.28515625" style="4" bestFit="1" customWidth="1"/>
    <col min="8204" max="8204" width="3" style="4" bestFit="1" customWidth="1"/>
    <col min="8205" max="8205" width="4" style="4" bestFit="1" customWidth="1"/>
    <col min="8206" max="8448" width="9.140625" style="4"/>
    <col min="8449" max="8449" width="4.5703125" style="4" customWidth="1"/>
    <col min="8450" max="8450" width="74.140625" style="4" customWidth="1"/>
    <col min="8451" max="8451" width="13.42578125" style="4" customWidth="1"/>
    <col min="8452" max="8452" width="6.140625" style="4" customWidth="1"/>
    <col min="8453" max="8453" width="6.5703125" style="4" customWidth="1"/>
    <col min="8454" max="8454" width="9.7109375" style="4" customWidth="1"/>
    <col min="8455" max="8455" width="12.5703125" style="4" customWidth="1"/>
    <col min="8456" max="8456" width="21.140625" style="4" customWidth="1"/>
    <col min="8457" max="8457" width="20.7109375" style="4" bestFit="1" customWidth="1"/>
    <col min="8458" max="8458" width="11" style="4" bestFit="1" customWidth="1"/>
    <col min="8459" max="8459" width="3.28515625" style="4" bestFit="1" customWidth="1"/>
    <col min="8460" max="8460" width="3" style="4" bestFit="1" customWidth="1"/>
    <col min="8461" max="8461" width="4" style="4" bestFit="1" customWidth="1"/>
    <col min="8462" max="8704" width="9.140625" style="4"/>
    <col min="8705" max="8705" width="4.5703125" style="4" customWidth="1"/>
    <col min="8706" max="8706" width="74.140625" style="4" customWidth="1"/>
    <col min="8707" max="8707" width="13.42578125" style="4" customWidth="1"/>
    <col min="8708" max="8708" width="6.140625" style="4" customWidth="1"/>
    <col min="8709" max="8709" width="6.5703125" style="4" customWidth="1"/>
    <col min="8710" max="8710" width="9.7109375" style="4" customWidth="1"/>
    <col min="8711" max="8711" width="12.5703125" style="4" customWidth="1"/>
    <col min="8712" max="8712" width="21.140625" style="4" customWidth="1"/>
    <col min="8713" max="8713" width="20.7109375" style="4" bestFit="1" customWidth="1"/>
    <col min="8714" max="8714" width="11" style="4" bestFit="1" customWidth="1"/>
    <col min="8715" max="8715" width="3.28515625" style="4" bestFit="1" customWidth="1"/>
    <col min="8716" max="8716" width="3" style="4" bestFit="1" customWidth="1"/>
    <col min="8717" max="8717" width="4" style="4" bestFit="1" customWidth="1"/>
    <col min="8718" max="8960" width="9.140625" style="4"/>
    <col min="8961" max="8961" width="4.5703125" style="4" customWidth="1"/>
    <col min="8962" max="8962" width="74.140625" style="4" customWidth="1"/>
    <col min="8963" max="8963" width="13.42578125" style="4" customWidth="1"/>
    <col min="8964" max="8964" width="6.140625" style="4" customWidth="1"/>
    <col min="8965" max="8965" width="6.5703125" style="4" customWidth="1"/>
    <col min="8966" max="8966" width="9.7109375" style="4" customWidth="1"/>
    <col min="8967" max="8967" width="12.5703125" style="4" customWidth="1"/>
    <col min="8968" max="8968" width="21.140625" style="4" customWidth="1"/>
    <col min="8969" max="8969" width="20.7109375" style="4" bestFit="1" customWidth="1"/>
    <col min="8970" max="8970" width="11" style="4" bestFit="1" customWidth="1"/>
    <col min="8971" max="8971" width="3.28515625" style="4" bestFit="1" customWidth="1"/>
    <col min="8972" max="8972" width="3" style="4" bestFit="1" customWidth="1"/>
    <col min="8973" max="8973" width="4" style="4" bestFit="1" customWidth="1"/>
    <col min="8974" max="9216" width="9.140625" style="4"/>
    <col min="9217" max="9217" width="4.5703125" style="4" customWidth="1"/>
    <col min="9218" max="9218" width="74.140625" style="4" customWidth="1"/>
    <col min="9219" max="9219" width="13.42578125" style="4" customWidth="1"/>
    <col min="9220" max="9220" width="6.140625" style="4" customWidth="1"/>
    <col min="9221" max="9221" width="6.5703125" style="4" customWidth="1"/>
    <col min="9222" max="9222" width="9.7109375" style="4" customWidth="1"/>
    <col min="9223" max="9223" width="12.5703125" style="4" customWidth="1"/>
    <col min="9224" max="9224" width="21.140625" style="4" customWidth="1"/>
    <col min="9225" max="9225" width="20.7109375" style="4" bestFit="1" customWidth="1"/>
    <col min="9226" max="9226" width="11" style="4" bestFit="1" customWidth="1"/>
    <col min="9227" max="9227" width="3.28515625" style="4" bestFit="1" customWidth="1"/>
    <col min="9228" max="9228" width="3" style="4" bestFit="1" customWidth="1"/>
    <col min="9229" max="9229" width="4" style="4" bestFit="1" customWidth="1"/>
    <col min="9230" max="9472" width="9.140625" style="4"/>
    <col min="9473" max="9473" width="4.5703125" style="4" customWidth="1"/>
    <col min="9474" max="9474" width="74.140625" style="4" customWidth="1"/>
    <col min="9475" max="9475" width="13.42578125" style="4" customWidth="1"/>
    <col min="9476" max="9476" width="6.140625" style="4" customWidth="1"/>
    <col min="9477" max="9477" width="6.5703125" style="4" customWidth="1"/>
    <col min="9478" max="9478" width="9.7109375" style="4" customWidth="1"/>
    <col min="9479" max="9479" width="12.5703125" style="4" customWidth="1"/>
    <col min="9480" max="9480" width="21.140625" style="4" customWidth="1"/>
    <col min="9481" max="9481" width="20.7109375" style="4" bestFit="1" customWidth="1"/>
    <col min="9482" max="9482" width="11" style="4" bestFit="1" customWidth="1"/>
    <col min="9483" max="9483" width="3.28515625" style="4" bestFit="1" customWidth="1"/>
    <col min="9484" max="9484" width="3" style="4" bestFit="1" customWidth="1"/>
    <col min="9485" max="9485" width="4" style="4" bestFit="1" customWidth="1"/>
    <col min="9486" max="9728" width="9.140625" style="4"/>
    <col min="9729" max="9729" width="4.5703125" style="4" customWidth="1"/>
    <col min="9730" max="9730" width="74.140625" style="4" customWidth="1"/>
    <col min="9731" max="9731" width="13.42578125" style="4" customWidth="1"/>
    <col min="9732" max="9732" width="6.140625" style="4" customWidth="1"/>
    <col min="9733" max="9733" width="6.5703125" style="4" customWidth="1"/>
    <col min="9734" max="9734" width="9.7109375" style="4" customWidth="1"/>
    <col min="9735" max="9735" width="12.5703125" style="4" customWidth="1"/>
    <col min="9736" max="9736" width="21.140625" style="4" customWidth="1"/>
    <col min="9737" max="9737" width="20.7109375" style="4" bestFit="1" customWidth="1"/>
    <col min="9738" max="9738" width="11" style="4" bestFit="1" customWidth="1"/>
    <col min="9739" max="9739" width="3.28515625" style="4" bestFit="1" customWidth="1"/>
    <col min="9740" max="9740" width="3" style="4" bestFit="1" customWidth="1"/>
    <col min="9741" max="9741" width="4" style="4" bestFit="1" customWidth="1"/>
    <col min="9742" max="9984" width="9.140625" style="4"/>
    <col min="9985" max="9985" width="4.5703125" style="4" customWidth="1"/>
    <col min="9986" max="9986" width="74.140625" style="4" customWidth="1"/>
    <col min="9987" max="9987" width="13.42578125" style="4" customWidth="1"/>
    <col min="9988" max="9988" width="6.140625" style="4" customWidth="1"/>
    <col min="9989" max="9989" width="6.5703125" style="4" customWidth="1"/>
    <col min="9990" max="9990" width="9.7109375" style="4" customWidth="1"/>
    <col min="9991" max="9991" width="12.5703125" style="4" customWidth="1"/>
    <col min="9992" max="9992" width="21.140625" style="4" customWidth="1"/>
    <col min="9993" max="9993" width="20.7109375" style="4" bestFit="1" customWidth="1"/>
    <col min="9994" max="9994" width="11" style="4" bestFit="1" customWidth="1"/>
    <col min="9995" max="9995" width="3.28515625" style="4" bestFit="1" customWidth="1"/>
    <col min="9996" max="9996" width="3" style="4" bestFit="1" customWidth="1"/>
    <col min="9997" max="9997" width="4" style="4" bestFit="1" customWidth="1"/>
    <col min="9998" max="10240" width="9.140625" style="4"/>
    <col min="10241" max="10241" width="4.5703125" style="4" customWidth="1"/>
    <col min="10242" max="10242" width="74.140625" style="4" customWidth="1"/>
    <col min="10243" max="10243" width="13.42578125" style="4" customWidth="1"/>
    <col min="10244" max="10244" width="6.140625" style="4" customWidth="1"/>
    <col min="10245" max="10245" width="6.5703125" style="4" customWidth="1"/>
    <col min="10246" max="10246" width="9.7109375" style="4" customWidth="1"/>
    <col min="10247" max="10247" width="12.5703125" style="4" customWidth="1"/>
    <col min="10248" max="10248" width="21.140625" style="4" customWidth="1"/>
    <col min="10249" max="10249" width="20.7109375" style="4" bestFit="1" customWidth="1"/>
    <col min="10250" max="10250" width="11" style="4" bestFit="1" customWidth="1"/>
    <col min="10251" max="10251" width="3.28515625" style="4" bestFit="1" customWidth="1"/>
    <col min="10252" max="10252" width="3" style="4" bestFit="1" customWidth="1"/>
    <col min="10253" max="10253" width="4" style="4" bestFit="1" customWidth="1"/>
    <col min="10254" max="10496" width="9.140625" style="4"/>
    <col min="10497" max="10497" width="4.5703125" style="4" customWidth="1"/>
    <col min="10498" max="10498" width="74.140625" style="4" customWidth="1"/>
    <col min="10499" max="10499" width="13.42578125" style="4" customWidth="1"/>
    <col min="10500" max="10500" width="6.140625" style="4" customWidth="1"/>
    <col min="10501" max="10501" width="6.5703125" style="4" customWidth="1"/>
    <col min="10502" max="10502" width="9.7109375" style="4" customWidth="1"/>
    <col min="10503" max="10503" width="12.5703125" style="4" customWidth="1"/>
    <col min="10504" max="10504" width="21.140625" style="4" customWidth="1"/>
    <col min="10505" max="10505" width="20.7109375" style="4" bestFit="1" customWidth="1"/>
    <col min="10506" max="10506" width="11" style="4" bestFit="1" customWidth="1"/>
    <col min="10507" max="10507" width="3.28515625" style="4" bestFit="1" customWidth="1"/>
    <col min="10508" max="10508" width="3" style="4" bestFit="1" customWidth="1"/>
    <col min="10509" max="10509" width="4" style="4" bestFit="1" customWidth="1"/>
    <col min="10510" max="10752" width="9.140625" style="4"/>
    <col min="10753" max="10753" width="4.5703125" style="4" customWidth="1"/>
    <col min="10754" max="10754" width="74.140625" style="4" customWidth="1"/>
    <col min="10755" max="10755" width="13.42578125" style="4" customWidth="1"/>
    <col min="10756" max="10756" width="6.140625" style="4" customWidth="1"/>
    <col min="10757" max="10757" width="6.5703125" style="4" customWidth="1"/>
    <col min="10758" max="10758" width="9.7109375" style="4" customWidth="1"/>
    <col min="10759" max="10759" width="12.5703125" style="4" customWidth="1"/>
    <col min="10760" max="10760" width="21.140625" style="4" customWidth="1"/>
    <col min="10761" max="10761" width="20.7109375" style="4" bestFit="1" customWidth="1"/>
    <col min="10762" max="10762" width="11" style="4" bestFit="1" customWidth="1"/>
    <col min="10763" max="10763" width="3.28515625" style="4" bestFit="1" customWidth="1"/>
    <col min="10764" max="10764" width="3" style="4" bestFit="1" customWidth="1"/>
    <col min="10765" max="10765" width="4" style="4" bestFit="1" customWidth="1"/>
    <col min="10766" max="11008" width="9.140625" style="4"/>
    <col min="11009" max="11009" width="4.5703125" style="4" customWidth="1"/>
    <col min="11010" max="11010" width="74.140625" style="4" customWidth="1"/>
    <col min="11011" max="11011" width="13.42578125" style="4" customWidth="1"/>
    <col min="11012" max="11012" width="6.140625" style="4" customWidth="1"/>
    <col min="11013" max="11013" width="6.5703125" style="4" customWidth="1"/>
    <col min="11014" max="11014" width="9.7109375" style="4" customWidth="1"/>
    <col min="11015" max="11015" width="12.5703125" style="4" customWidth="1"/>
    <col min="11016" max="11016" width="21.140625" style="4" customWidth="1"/>
    <col min="11017" max="11017" width="20.7109375" style="4" bestFit="1" customWidth="1"/>
    <col min="11018" max="11018" width="11" style="4" bestFit="1" customWidth="1"/>
    <col min="11019" max="11019" width="3.28515625" style="4" bestFit="1" customWidth="1"/>
    <col min="11020" max="11020" width="3" style="4" bestFit="1" customWidth="1"/>
    <col min="11021" max="11021" width="4" style="4" bestFit="1" customWidth="1"/>
    <col min="11022" max="11264" width="9.140625" style="4"/>
    <col min="11265" max="11265" width="4.5703125" style="4" customWidth="1"/>
    <col min="11266" max="11266" width="74.140625" style="4" customWidth="1"/>
    <col min="11267" max="11267" width="13.42578125" style="4" customWidth="1"/>
    <col min="11268" max="11268" width="6.140625" style="4" customWidth="1"/>
    <col min="11269" max="11269" width="6.5703125" style="4" customWidth="1"/>
    <col min="11270" max="11270" width="9.7109375" style="4" customWidth="1"/>
    <col min="11271" max="11271" width="12.5703125" style="4" customWidth="1"/>
    <col min="11272" max="11272" width="21.140625" style="4" customWidth="1"/>
    <col min="11273" max="11273" width="20.7109375" style="4" bestFit="1" customWidth="1"/>
    <col min="11274" max="11274" width="11" style="4" bestFit="1" customWidth="1"/>
    <col min="11275" max="11275" width="3.28515625" style="4" bestFit="1" customWidth="1"/>
    <col min="11276" max="11276" width="3" style="4" bestFit="1" customWidth="1"/>
    <col min="11277" max="11277" width="4" style="4" bestFit="1" customWidth="1"/>
    <col min="11278" max="11520" width="9.140625" style="4"/>
    <col min="11521" max="11521" width="4.5703125" style="4" customWidth="1"/>
    <col min="11522" max="11522" width="74.140625" style="4" customWidth="1"/>
    <col min="11523" max="11523" width="13.42578125" style="4" customWidth="1"/>
    <col min="11524" max="11524" width="6.140625" style="4" customWidth="1"/>
    <col min="11525" max="11525" width="6.5703125" style="4" customWidth="1"/>
    <col min="11526" max="11526" width="9.7109375" style="4" customWidth="1"/>
    <col min="11527" max="11527" width="12.5703125" style="4" customWidth="1"/>
    <col min="11528" max="11528" width="21.140625" style="4" customWidth="1"/>
    <col min="11529" max="11529" width="20.7109375" style="4" bestFit="1" customWidth="1"/>
    <col min="11530" max="11530" width="11" style="4" bestFit="1" customWidth="1"/>
    <col min="11531" max="11531" width="3.28515625" style="4" bestFit="1" customWidth="1"/>
    <col min="11532" max="11532" width="3" style="4" bestFit="1" customWidth="1"/>
    <col min="11533" max="11533" width="4" style="4" bestFit="1" customWidth="1"/>
    <col min="11534" max="11776" width="9.140625" style="4"/>
    <col min="11777" max="11777" width="4.5703125" style="4" customWidth="1"/>
    <col min="11778" max="11778" width="74.140625" style="4" customWidth="1"/>
    <col min="11779" max="11779" width="13.42578125" style="4" customWidth="1"/>
    <col min="11780" max="11780" width="6.140625" style="4" customWidth="1"/>
    <col min="11781" max="11781" width="6.5703125" style="4" customWidth="1"/>
    <col min="11782" max="11782" width="9.7109375" style="4" customWidth="1"/>
    <col min="11783" max="11783" width="12.5703125" style="4" customWidth="1"/>
    <col min="11784" max="11784" width="21.140625" style="4" customWidth="1"/>
    <col min="11785" max="11785" width="20.7109375" style="4" bestFit="1" customWidth="1"/>
    <col min="11786" max="11786" width="11" style="4" bestFit="1" customWidth="1"/>
    <col min="11787" max="11787" width="3.28515625" style="4" bestFit="1" customWidth="1"/>
    <col min="11788" max="11788" width="3" style="4" bestFit="1" customWidth="1"/>
    <col min="11789" max="11789" width="4" style="4" bestFit="1" customWidth="1"/>
    <col min="11790" max="12032" width="9.140625" style="4"/>
    <col min="12033" max="12033" width="4.5703125" style="4" customWidth="1"/>
    <col min="12034" max="12034" width="74.140625" style="4" customWidth="1"/>
    <col min="12035" max="12035" width="13.42578125" style="4" customWidth="1"/>
    <col min="12036" max="12036" width="6.140625" style="4" customWidth="1"/>
    <col min="12037" max="12037" width="6.5703125" style="4" customWidth="1"/>
    <col min="12038" max="12038" width="9.7109375" style="4" customWidth="1"/>
    <col min="12039" max="12039" width="12.5703125" style="4" customWidth="1"/>
    <col min="12040" max="12040" width="21.140625" style="4" customWidth="1"/>
    <col min="12041" max="12041" width="20.7109375" style="4" bestFit="1" customWidth="1"/>
    <col min="12042" max="12042" width="11" style="4" bestFit="1" customWidth="1"/>
    <col min="12043" max="12043" width="3.28515625" style="4" bestFit="1" customWidth="1"/>
    <col min="12044" max="12044" width="3" style="4" bestFit="1" customWidth="1"/>
    <col min="12045" max="12045" width="4" style="4" bestFit="1" customWidth="1"/>
    <col min="12046" max="12288" width="9.140625" style="4"/>
    <col min="12289" max="12289" width="4.5703125" style="4" customWidth="1"/>
    <col min="12290" max="12290" width="74.140625" style="4" customWidth="1"/>
    <col min="12291" max="12291" width="13.42578125" style="4" customWidth="1"/>
    <col min="12292" max="12292" width="6.140625" style="4" customWidth="1"/>
    <col min="12293" max="12293" width="6.5703125" style="4" customWidth="1"/>
    <col min="12294" max="12294" width="9.7109375" style="4" customWidth="1"/>
    <col min="12295" max="12295" width="12.5703125" style="4" customWidth="1"/>
    <col min="12296" max="12296" width="21.140625" style="4" customWidth="1"/>
    <col min="12297" max="12297" width="20.7109375" style="4" bestFit="1" customWidth="1"/>
    <col min="12298" max="12298" width="11" style="4" bestFit="1" customWidth="1"/>
    <col min="12299" max="12299" width="3.28515625" style="4" bestFit="1" customWidth="1"/>
    <col min="12300" max="12300" width="3" style="4" bestFit="1" customWidth="1"/>
    <col min="12301" max="12301" width="4" style="4" bestFit="1" customWidth="1"/>
    <col min="12302" max="12544" width="9.140625" style="4"/>
    <col min="12545" max="12545" width="4.5703125" style="4" customWidth="1"/>
    <col min="12546" max="12546" width="74.140625" style="4" customWidth="1"/>
    <col min="12547" max="12547" width="13.42578125" style="4" customWidth="1"/>
    <col min="12548" max="12548" width="6.140625" style="4" customWidth="1"/>
    <col min="12549" max="12549" width="6.5703125" style="4" customWidth="1"/>
    <col min="12550" max="12550" width="9.7109375" style="4" customWidth="1"/>
    <col min="12551" max="12551" width="12.5703125" style="4" customWidth="1"/>
    <col min="12552" max="12552" width="21.140625" style="4" customWidth="1"/>
    <col min="12553" max="12553" width="20.7109375" style="4" bestFit="1" customWidth="1"/>
    <col min="12554" max="12554" width="11" style="4" bestFit="1" customWidth="1"/>
    <col min="12555" max="12555" width="3.28515625" style="4" bestFit="1" customWidth="1"/>
    <col min="12556" max="12556" width="3" style="4" bestFit="1" customWidth="1"/>
    <col min="12557" max="12557" width="4" style="4" bestFit="1" customWidth="1"/>
    <col min="12558" max="12800" width="9.140625" style="4"/>
    <col min="12801" max="12801" width="4.5703125" style="4" customWidth="1"/>
    <col min="12802" max="12802" width="74.140625" style="4" customWidth="1"/>
    <col min="12803" max="12803" width="13.42578125" style="4" customWidth="1"/>
    <col min="12804" max="12804" width="6.140625" style="4" customWidth="1"/>
    <col min="12805" max="12805" width="6.5703125" style="4" customWidth="1"/>
    <col min="12806" max="12806" width="9.7109375" style="4" customWidth="1"/>
    <col min="12807" max="12807" width="12.5703125" style="4" customWidth="1"/>
    <col min="12808" max="12808" width="21.140625" style="4" customWidth="1"/>
    <col min="12809" max="12809" width="20.7109375" style="4" bestFit="1" customWidth="1"/>
    <col min="12810" max="12810" width="11" style="4" bestFit="1" customWidth="1"/>
    <col min="12811" max="12811" width="3.28515625" style="4" bestFit="1" customWidth="1"/>
    <col min="12812" max="12812" width="3" style="4" bestFit="1" customWidth="1"/>
    <col min="12813" max="12813" width="4" style="4" bestFit="1" customWidth="1"/>
    <col min="12814" max="13056" width="9.140625" style="4"/>
    <col min="13057" max="13057" width="4.5703125" style="4" customWidth="1"/>
    <col min="13058" max="13058" width="74.140625" style="4" customWidth="1"/>
    <col min="13059" max="13059" width="13.42578125" style="4" customWidth="1"/>
    <col min="13060" max="13060" width="6.140625" style="4" customWidth="1"/>
    <col min="13061" max="13061" width="6.5703125" style="4" customWidth="1"/>
    <col min="13062" max="13062" width="9.7109375" style="4" customWidth="1"/>
    <col min="13063" max="13063" width="12.5703125" style="4" customWidth="1"/>
    <col min="13064" max="13064" width="21.140625" style="4" customWidth="1"/>
    <col min="13065" max="13065" width="20.7109375" style="4" bestFit="1" customWidth="1"/>
    <col min="13066" max="13066" width="11" style="4" bestFit="1" customWidth="1"/>
    <col min="13067" max="13067" width="3.28515625" style="4" bestFit="1" customWidth="1"/>
    <col min="13068" max="13068" width="3" style="4" bestFit="1" customWidth="1"/>
    <col min="13069" max="13069" width="4" style="4" bestFit="1" customWidth="1"/>
    <col min="13070" max="13312" width="9.140625" style="4"/>
    <col min="13313" max="13313" width="4.5703125" style="4" customWidth="1"/>
    <col min="13314" max="13314" width="74.140625" style="4" customWidth="1"/>
    <col min="13315" max="13315" width="13.42578125" style="4" customWidth="1"/>
    <col min="13316" max="13316" width="6.140625" style="4" customWidth="1"/>
    <col min="13317" max="13317" width="6.5703125" style="4" customWidth="1"/>
    <col min="13318" max="13318" width="9.7109375" style="4" customWidth="1"/>
    <col min="13319" max="13319" width="12.5703125" style="4" customWidth="1"/>
    <col min="13320" max="13320" width="21.140625" style="4" customWidth="1"/>
    <col min="13321" max="13321" width="20.7109375" style="4" bestFit="1" customWidth="1"/>
    <col min="13322" max="13322" width="11" style="4" bestFit="1" customWidth="1"/>
    <col min="13323" max="13323" width="3.28515625" style="4" bestFit="1" customWidth="1"/>
    <col min="13324" max="13324" width="3" style="4" bestFit="1" customWidth="1"/>
    <col min="13325" max="13325" width="4" style="4" bestFit="1" customWidth="1"/>
    <col min="13326" max="13568" width="9.140625" style="4"/>
    <col min="13569" max="13569" width="4.5703125" style="4" customWidth="1"/>
    <col min="13570" max="13570" width="74.140625" style="4" customWidth="1"/>
    <col min="13571" max="13571" width="13.42578125" style="4" customWidth="1"/>
    <col min="13572" max="13572" width="6.140625" style="4" customWidth="1"/>
    <col min="13573" max="13573" width="6.5703125" style="4" customWidth="1"/>
    <col min="13574" max="13574" width="9.7109375" style="4" customWidth="1"/>
    <col min="13575" max="13575" width="12.5703125" style="4" customWidth="1"/>
    <col min="13576" max="13576" width="21.140625" style="4" customWidth="1"/>
    <col min="13577" max="13577" width="20.7109375" style="4" bestFit="1" customWidth="1"/>
    <col min="13578" max="13578" width="11" style="4" bestFit="1" customWidth="1"/>
    <col min="13579" max="13579" width="3.28515625" style="4" bestFit="1" customWidth="1"/>
    <col min="13580" max="13580" width="3" style="4" bestFit="1" customWidth="1"/>
    <col min="13581" max="13581" width="4" style="4" bestFit="1" customWidth="1"/>
    <col min="13582" max="13824" width="9.140625" style="4"/>
    <col min="13825" max="13825" width="4.5703125" style="4" customWidth="1"/>
    <col min="13826" max="13826" width="74.140625" style="4" customWidth="1"/>
    <col min="13827" max="13827" width="13.42578125" style="4" customWidth="1"/>
    <col min="13828" max="13828" width="6.140625" style="4" customWidth="1"/>
    <col min="13829" max="13829" width="6.5703125" style="4" customWidth="1"/>
    <col min="13830" max="13830" width="9.7109375" style="4" customWidth="1"/>
    <col min="13831" max="13831" width="12.5703125" style="4" customWidth="1"/>
    <col min="13832" max="13832" width="21.140625" style="4" customWidth="1"/>
    <col min="13833" max="13833" width="20.7109375" style="4" bestFit="1" customWidth="1"/>
    <col min="13834" max="13834" width="11" style="4" bestFit="1" customWidth="1"/>
    <col min="13835" max="13835" width="3.28515625" style="4" bestFit="1" customWidth="1"/>
    <col min="13836" max="13836" width="3" style="4" bestFit="1" customWidth="1"/>
    <col min="13837" max="13837" width="4" style="4" bestFit="1" customWidth="1"/>
    <col min="13838" max="14080" width="9.140625" style="4"/>
    <col min="14081" max="14081" width="4.5703125" style="4" customWidth="1"/>
    <col min="14082" max="14082" width="74.140625" style="4" customWidth="1"/>
    <col min="14083" max="14083" width="13.42578125" style="4" customWidth="1"/>
    <col min="14084" max="14084" width="6.140625" style="4" customWidth="1"/>
    <col min="14085" max="14085" width="6.5703125" style="4" customWidth="1"/>
    <col min="14086" max="14086" width="9.7109375" style="4" customWidth="1"/>
    <col min="14087" max="14087" width="12.5703125" style="4" customWidth="1"/>
    <col min="14088" max="14088" width="21.140625" style="4" customWidth="1"/>
    <col min="14089" max="14089" width="20.7109375" style="4" bestFit="1" customWidth="1"/>
    <col min="14090" max="14090" width="11" style="4" bestFit="1" customWidth="1"/>
    <col min="14091" max="14091" width="3.28515625" style="4" bestFit="1" customWidth="1"/>
    <col min="14092" max="14092" width="3" style="4" bestFit="1" customWidth="1"/>
    <col min="14093" max="14093" width="4" style="4" bestFit="1" customWidth="1"/>
    <col min="14094" max="14336" width="9.140625" style="4"/>
    <col min="14337" max="14337" width="4.5703125" style="4" customWidth="1"/>
    <col min="14338" max="14338" width="74.140625" style="4" customWidth="1"/>
    <col min="14339" max="14339" width="13.42578125" style="4" customWidth="1"/>
    <col min="14340" max="14340" width="6.140625" style="4" customWidth="1"/>
    <col min="14341" max="14341" width="6.5703125" style="4" customWidth="1"/>
    <col min="14342" max="14342" width="9.7109375" style="4" customWidth="1"/>
    <col min="14343" max="14343" width="12.5703125" style="4" customWidth="1"/>
    <col min="14344" max="14344" width="21.140625" style="4" customWidth="1"/>
    <col min="14345" max="14345" width="20.7109375" style="4" bestFit="1" customWidth="1"/>
    <col min="14346" max="14346" width="11" style="4" bestFit="1" customWidth="1"/>
    <col min="14347" max="14347" width="3.28515625" style="4" bestFit="1" customWidth="1"/>
    <col min="14348" max="14348" width="3" style="4" bestFit="1" customWidth="1"/>
    <col min="14349" max="14349" width="4" style="4" bestFit="1" customWidth="1"/>
    <col min="14350" max="14592" width="9.140625" style="4"/>
    <col min="14593" max="14593" width="4.5703125" style="4" customWidth="1"/>
    <col min="14594" max="14594" width="74.140625" style="4" customWidth="1"/>
    <col min="14595" max="14595" width="13.42578125" style="4" customWidth="1"/>
    <col min="14596" max="14596" width="6.140625" style="4" customWidth="1"/>
    <col min="14597" max="14597" width="6.5703125" style="4" customWidth="1"/>
    <col min="14598" max="14598" width="9.7109375" style="4" customWidth="1"/>
    <col min="14599" max="14599" width="12.5703125" style="4" customWidth="1"/>
    <col min="14600" max="14600" width="21.140625" style="4" customWidth="1"/>
    <col min="14601" max="14601" width="20.7109375" style="4" bestFit="1" customWidth="1"/>
    <col min="14602" max="14602" width="11" style="4" bestFit="1" customWidth="1"/>
    <col min="14603" max="14603" width="3.28515625" style="4" bestFit="1" customWidth="1"/>
    <col min="14604" max="14604" width="3" style="4" bestFit="1" customWidth="1"/>
    <col min="14605" max="14605" width="4" style="4" bestFit="1" customWidth="1"/>
    <col min="14606" max="14848" width="9.140625" style="4"/>
    <col min="14849" max="14849" width="4.5703125" style="4" customWidth="1"/>
    <col min="14850" max="14850" width="74.140625" style="4" customWidth="1"/>
    <col min="14851" max="14851" width="13.42578125" style="4" customWidth="1"/>
    <col min="14852" max="14852" width="6.140625" style="4" customWidth="1"/>
    <col min="14853" max="14853" width="6.5703125" style="4" customWidth="1"/>
    <col min="14854" max="14854" width="9.7109375" style="4" customWidth="1"/>
    <col min="14855" max="14855" width="12.5703125" style="4" customWidth="1"/>
    <col min="14856" max="14856" width="21.140625" style="4" customWidth="1"/>
    <col min="14857" max="14857" width="20.7109375" style="4" bestFit="1" customWidth="1"/>
    <col min="14858" max="14858" width="11" style="4" bestFit="1" customWidth="1"/>
    <col min="14859" max="14859" width="3.28515625" style="4" bestFit="1" customWidth="1"/>
    <col min="14860" max="14860" width="3" style="4" bestFit="1" customWidth="1"/>
    <col min="14861" max="14861" width="4" style="4" bestFit="1" customWidth="1"/>
    <col min="14862" max="15104" width="9.140625" style="4"/>
    <col min="15105" max="15105" width="4.5703125" style="4" customWidth="1"/>
    <col min="15106" max="15106" width="74.140625" style="4" customWidth="1"/>
    <col min="15107" max="15107" width="13.42578125" style="4" customWidth="1"/>
    <col min="15108" max="15108" width="6.140625" style="4" customWidth="1"/>
    <col min="15109" max="15109" width="6.5703125" style="4" customWidth="1"/>
    <col min="15110" max="15110" width="9.7109375" style="4" customWidth="1"/>
    <col min="15111" max="15111" width="12.5703125" style="4" customWidth="1"/>
    <col min="15112" max="15112" width="21.140625" style="4" customWidth="1"/>
    <col min="15113" max="15113" width="20.7109375" style="4" bestFit="1" customWidth="1"/>
    <col min="15114" max="15114" width="11" style="4" bestFit="1" customWidth="1"/>
    <col min="15115" max="15115" width="3.28515625" style="4" bestFit="1" customWidth="1"/>
    <col min="15116" max="15116" width="3" style="4" bestFit="1" customWidth="1"/>
    <col min="15117" max="15117" width="4" style="4" bestFit="1" customWidth="1"/>
    <col min="15118" max="15360" width="9.140625" style="4"/>
    <col min="15361" max="15361" width="4.5703125" style="4" customWidth="1"/>
    <col min="15362" max="15362" width="74.140625" style="4" customWidth="1"/>
    <col min="15363" max="15363" width="13.42578125" style="4" customWidth="1"/>
    <col min="15364" max="15364" width="6.140625" style="4" customWidth="1"/>
    <col min="15365" max="15365" width="6.5703125" style="4" customWidth="1"/>
    <col min="15366" max="15366" width="9.7109375" style="4" customWidth="1"/>
    <col min="15367" max="15367" width="12.5703125" style="4" customWidth="1"/>
    <col min="15368" max="15368" width="21.140625" style="4" customWidth="1"/>
    <col min="15369" max="15369" width="20.7109375" style="4" bestFit="1" customWidth="1"/>
    <col min="15370" max="15370" width="11" style="4" bestFit="1" customWidth="1"/>
    <col min="15371" max="15371" width="3.28515625" style="4" bestFit="1" customWidth="1"/>
    <col min="15372" max="15372" width="3" style="4" bestFit="1" customWidth="1"/>
    <col min="15373" max="15373" width="4" style="4" bestFit="1" customWidth="1"/>
    <col min="15374" max="15616" width="9.140625" style="4"/>
    <col min="15617" max="15617" width="4.5703125" style="4" customWidth="1"/>
    <col min="15618" max="15618" width="74.140625" style="4" customWidth="1"/>
    <col min="15619" max="15619" width="13.42578125" style="4" customWidth="1"/>
    <col min="15620" max="15620" width="6.140625" style="4" customWidth="1"/>
    <col min="15621" max="15621" width="6.5703125" style="4" customWidth="1"/>
    <col min="15622" max="15622" width="9.7109375" style="4" customWidth="1"/>
    <col min="15623" max="15623" width="12.5703125" style="4" customWidth="1"/>
    <col min="15624" max="15624" width="21.140625" style="4" customWidth="1"/>
    <col min="15625" max="15625" width="20.7109375" style="4" bestFit="1" customWidth="1"/>
    <col min="15626" max="15626" width="11" style="4" bestFit="1" customWidth="1"/>
    <col min="15627" max="15627" width="3.28515625" style="4" bestFit="1" customWidth="1"/>
    <col min="15628" max="15628" width="3" style="4" bestFit="1" customWidth="1"/>
    <col min="15629" max="15629" width="4" style="4" bestFit="1" customWidth="1"/>
    <col min="15630" max="15872" width="9.140625" style="4"/>
    <col min="15873" max="15873" width="4.5703125" style="4" customWidth="1"/>
    <col min="15874" max="15874" width="74.140625" style="4" customWidth="1"/>
    <col min="15875" max="15875" width="13.42578125" style="4" customWidth="1"/>
    <col min="15876" max="15876" width="6.140625" style="4" customWidth="1"/>
    <col min="15877" max="15877" width="6.5703125" style="4" customWidth="1"/>
    <col min="15878" max="15878" width="9.7109375" style="4" customWidth="1"/>
    <col min="15879" max="15879" width="12.5703125" style="4" customWidth="1"/>
    <col min="15880" max="15880" width="21.140625" style="4" customWidth="1"/>
    <col min="15881" max="15881" width="20.7109375" style="4" bestFit="1" customWidth="1"/>
    <col min="15882" max="15882" width="11" style="4" bestFit="1" customWidth="1"/>
    <col min="15883" max="15883" width="3.28515625" style="4" bestFit="1" customWidth="1"/>
    <col min="15884" max="15884" width="3" style="4" bestFit="1" customWidth="1"/>
    <col min="15885" max="15885" width="4" style="4" bestFit="1" customWidth="1"/>
    <col min="15886" max="16128" width="9.140625" style="4"/>
    <col min="16129" max="16129" width="4.5703125" style="4" customWidth="1"/>
    <col min="16130" max="16130" width="74.140625" style="4" customWidth="1"/>
    <col min="16131" max="16131" width="13.42578125" style="4" customWidth="1"/>
    <col min="16132" max="16132" width="6.140625" style="4" customWidth="1"/>
    <col min="16133" max="16133" width="6.5703125" style="4" customWidth="1"/>
    <col min="16134" max="16134" width="9.7109375" style="4" customWidth="1"/>
    <col min="16135" max="16135" width="12.5703125" style="4" customWidth="1"/>
    <col min="16136" max="16136" width="21.140625" style="4" customWidth="1"/>
    <col min="16137" max="16137" width="20.7109375" style="4" bestFit="1" customWidth="1"/>
    <col min="16138" max="16138" width="11" style="4" bestFit="1" customWidth="1"/>
    <col min="16139" max="16139" width="3.28515625" style="4" bestFit="1" customWidth="1"/>
    <col min="16140" max="16140" width="3" style="4" bestFit="1" customWidth="1"/>
    <col min="16141" max="16141" width="4" style="4" bestFit="1" customWidth="1"/>
    <col min="16142" max="16384" width="9.140625" style="4"/>
  </cols>
  <sheetData>
    <row r="1" spans="1:10" ht="18" customHeight="1">
      <c r="A1" s="2878"/>
      <c r="B1" s="3356" t="s">
        <v>3032</v>
      </c>
      <c r="C1" s="3356"/>
      <c r="D1" s="2906"/>
      <c r="E1" s="2906"/>
      <c r="F1" s="2906"/>
      <c r="G1" s="2906"/>
    </row>
    <row r="2" spans="1:10" ht="15.75" customHeight="1">
      <c r="A2" s="176"/>
      <c r="B2" s="2906"/>
      <c r="C2" s="2906"/>
      <c r="D2" s="2906"/>
      <c r="E2" s="2906"/>
      <c r="F2" s="3489" t="s">
        <v>89</v>
      </c>
      <c r="G2" s="3489"/>
    </row>
    <row r="3" spans="1:10" ht="16.5" customHeight="1">
      <c r="B3" s="3075" t="s">
        <v>3033</v>
      </c>
      <c r="C3" s="3075"/>
      <c r="D3" s="3075"/>
      <c r="E3" s="3075"/>
      <c r="F3" s="3075"/>
      <c r="G3" s="646"/>
    </row>
    <row r="4" spans="1:10" ht="9.75" customHeight="1">
      <c r="A4" s="188"/>
      <c r="B4" s="646"/>
      <c r="C4" s="646"/>
      <c r="D4" s="646"/>
      <c r="E4" s="646"/>
    </row>
    <row r="5" spans="1:10" ht="30">
      <c r="A5" s="190" t="s">
        <v>2</v>
      </c>
      <c r="B5" s="2886" t="s">
        <v>3</v>
      </c>
      <c r="C5" s="190" t="s">
        <v>1795</v>
      </c>
      <c r="D5" s="190" t="s">
        <v>5</v>
      </c>
      <c r="E5" s="190" t="s">
        <v>143</v>
      </c>
      <c r="F5" s="190" t="s">
        <v>3034</v>
      </c>
      <c r="G5" s="190" t="s">
        <v>1668</v>
      </c>
    </row>
    <row r="6" spans="1:10" ht="15">
      <c r="A6" s="2873">
        <v>1</v>
      </c>
      <c r="B6" s="190">
        <v>2</v>
      </c>
      <c r="C6" s="190">
        <v>3</v>
      </c>
      <c r="D6" s="2885">
        <v>4</v>
      </c>
      <c r="E6" s="190">
        <v>5</v>
      </c>
      <c r="F6" s="190">
        <v>6</v>
      </c>
      <c r="G6" s="190">
        <v>7</v>
      </c>
    </row>
    <row r="7" spans="1:10" ht="15" customHeight="1">
      <c r="A7" s="2889">
        <v>1</v>
      </c>
      <c r="B7" s="1182" t="s">
        <v>3035</v>
      </c>
      <c r="C7" s="1258">
        <v>7130800012</v>
      </c>
      <c r="D7" s="2859" t="s">
        <v>12</v>
      </c>
      <c r="E7" s="1477">
        <v>1</v>
      </c>
      <c r="F7" s="734">
        <f>VLOOKUP(C7,'[25]SOR RATE'!A:D,4,0)</f>
        <v>2298.46</v>
      </c>
      <c r="G7" s="735">
        <f t="shared" ref="G7:G17" si="0">F7*E7</f>
        <v>2298.46</v>
      </c>
    </row>
    <row r="8" spans="1:10" ht="14.25">
      <c r="A8" s="2889">
        <f>A7+1</f>
        <v>2</v>
      </c>
      <c r="B8" s="1182" t="s">
        <v>2996</v>
      </c>
      <c r="C8" s="1258">
        <v>7130810495</v>
      </c>
      <c r="D8" s="1181" t="s">
        <v>12</v>
      </c>
      <c r="E8" s="1477">
        <v>23</v>
      </c>
      <c r="F8" s="734">
        <f>VLOOKUP(C8,'[25]SOR RATE'!A:D,4,0)</f>
        <v>1380.08</v>
      </c>
      <c r="G8" s="735">
        <f t="shared" si="0"/>
        <v>31741.839999999997</v>
      </c>
    </row>
    <row r="9" spans="1:10" ht="14.25">
      <c r="A9" s="2889">
        <f>A8+1</f>
        <v>3</v>
      </c>
      <c r="B9" s="1182" t="s">
        <v>3036</v>
      </c>
      <c r="C9" s="1258">
        <v>7130810679</v>
      </c>
      <c r="D9" s="1181" t="s">
        <v>12</v>
      </c>
      <c r="E9" s="1477">
        <v>23</v>
      </c>
      <c r="F9" s="734">
        <f>VLOOKUP(C9,'[25]SOR RATE'!A:D,4,0)</f>
        <v>387.16</v>
      </c>
      <c r="G9" s="735">
        <f t="shared" si="0"/>
        <v>8904.68</v>
      </c>
    </row>
    <row r="10" spans="1:10" ht="15.75" customHeight="1">
      <c r="A10" s="2889">
        <f>A9+1</f>
        <v>4</v>
      </c>
      <c r="B10" s="1182" t="s">
        <v>2997</v>
      </c>
      <c r="C10" s="1258">
        <v>7130870013</v>
      </c>
      <c r="D10" s="2910" t="s">
        <v>12</v>
      </c>
      <c r="E10" s="1477">
        <v>1</v>
      </c>
      <c r="F10" s="734">
        <f>VLOOKUP(C10,'[25]SOR RATE'!A:D,4,0)</f>
        <v>152.88999999999999</v>
      </c>
      <c r="G10" s="735">
        <f>F10*E10</f>
        <v>152.88999999999999</v>
      </c>
    </row>
    <row r="11" spans="1:10" ht="14.25">
      <c r="A11" s="2889">
        <f>A10+1</f>
        <v>5</v>
      </c>
      <c r="B11" s="1182" t="s">
        <v>19</v>
      </c>
      <c r="C11" s="1258">
        <v>7130820008</v>
      </c>
      <c r="D11" s="1181" t="s">
        <v>12</v>
      </c>
      <c r="E11" s="1477">
        <v>69</v>
      </c>
      <c r="F11" s="734">
        <f>VLOOKUP(C11,'[25]SOR RATE'!A:D,4,0)</f>
        <v>157.08000000000001</v>
      </c>
      <c r="G11" s="735">
        <f>F11*E11</f>
        <v>10838.52</v>
      </c>
      <c r="I11" s="239"/>
      <c r="J11" s="239"/>
    </row>
    <row r="12" spans="1:10" ht="17.25" customHeight="1">
      <c r="A12" s="2889">
        <v>6</v>
      </c>
      <c r="B12" s="2911" t="s">
        <v>3037</v>
      </c>
      <c r="C12" s="2846">
        <v>7130830854</v>
      </c>
      <c r="D12" s="2876" t="s">
        <v>12</v>
      </c>
      <c r="E12" s="2889">
        <v>6</v>
      </c>
      <c r="F12" s="734">
        <f>VLOOKUP(C12,'[25]SOR RATE'!A:D,4,0)</f>
        <v>37.78</v>
      </c>
      <c r="G12" s="735">
        <f t="shared" si="0"/>
        <v>226.68</v>
      </c>
    </row>
    <row r="13" spans="1:10" ht="14.25">
      <c r="A13" s="2889">
        <v>7</v>
      </c>
      <c r="B13" s="1182" t="s">
        <v>161</v>
      </c>
      <c r="C13" s="1258">
        <v>7130211158</v>
      </c>
      <c r="D13" s="1181" t="s">
        <v>29</v>
      </c>
      <c r="E13" s="2889">
        <v>3</v>
      </c>
      <c r="F13" s="734">
        <f>VLOOKUP(C13,'[25]SOR RATE'!A:D,4,0)</f>
        <v>193.62</v>
      </c>
      <c r="G13" s="735">
        <f t="shared" si="0"/>
        <v>580.86</v>
      </c>
    </row>
    <row r="14" spans="1:10" ht="14.25">
      <c r="A14" s="2889">
        <v>8</v>
      </c>
      <c r="B14" s="1182" t="s">
        <v>162</v>
      </c>
      <c r="C14" s="1258">
        <v>7130210809</v>
      </c>
      <c r="D14" s="1181" t="s">
        <v>29</v>
      </c>
      <c r="E14" s="2889">
        <v>3</v>
      </c>
      <c r="F14" s="734">
        <f>VLOOKUP(C14,'[25]SOR RATE'!A:D,4,0)</f>
        <v>432.63</v>
      </c>
      <c r="G14" s="735">
        <f t="shared" si="0"/>
        <v>1297.8899999999999</v>
      </c>
    </row>
    <row r="15" spans="1:10" ht="16.5" customHeight="1">
      <c r="A15" s="2889">
        <v>9</v>
      </c>
      <c r="B15" s="1185" t="s">
        <v>31</v>
      </c>
      <c r="C15" s="1186">
        <v>7130610206</v>
      </c>
      <c r="D15" s="1181" t="s">
        <v>26</v>
      </c>
      <c r="E15" s="2889">
        <v>23</v>
      </c>
      <c r="F15" s="734">
        <f>VLOOKUP(C15,'[25]SOR RATE'!A:D,4,0)/1000</f>
        <v>97.233429999999998</v>
      </c>
      <c r="G15" s="735">
        <f>F15*E15</f>
        <v>2236.3688899999997</v>
      </c>
      <c r="H15" s="20"/>
      <c r="I15" s="17"/>
    </row>
    <row r="16" spans="1:10" ht="14.25">
      <c r="A16" s="2889">
        <v>10</v>
      </c>
      <c r="B16" s="1182" t="s">
        <v>128</v>
      </c>
      <c r="C16" s="1258">
        <v>7130880041</v>
      </c>
      <c r="D16" s="1181" t="s">
        <v>12</v>
      </c>
      <c r="E16" s="2889">
        <v>23</v>
      </c>
      <c r="F16" s="734">
        <f>VLOOKUP(C16,'[25]SOR RATE'!A:D,4,0)</f>
        <v>113.77</v>
      </c>
      <c r="G16" s="735">
        <f>F16*E16</f>
        <v>2616.71</v>
      </c>
    </row>
    <row r="17" spans="1:9" ht="14.25">
      <c r="A17" s="2889">
        <v>11</v>
      </c>
      <c r="B17" s="1182" t="s">
        <v>3038</v>
      </c>
      <c r="C17" s="1258">
        <v>7130830006</v>
      </c>
      <c r="D17" s="1181" t="s">
        <v>26</v>
      </c>
      <c r="E17" s="2889">
        <v>5</v>
      </c>
      <c r="F17" s="734">
        <f>VLOOKUP(C17,'[25]SOR RATE'!A:D,4,0)</f>
        <v>201.5</v>
      </c>
      <c r="G17" s="735">
        <f t="shared" si="0"/>
        <v>1007.5</v>
      </c>
    </row>
    <row r="18" spans="1:9" ht="14.25">
      <c r="A18" s="3225">
        <v>12</v>
      </c>
      <c r="B18" s="1182" t="s">
        <v>3039</v>
      </c>
      <c r="C18" s="1188"/>
      <c r="D18" s="1189"/>
      <c r="E18" s="1189"/>
      <c r="F18" s="1189"/>
      <c r="G18" s="1190"/>
    </row>
    <row r="19" spans="1:9" ht="14.25">
      <c r="A19" s="3226"/>
      <c r="B19" s="1182" t="s">
        <v>36</v>
      </c>
      <c r="C19" s="1258">
        <v>7130620619</v>
      </c>
      <c r="D19" s="1187" t="s">
        <v>26</v>
      </c>
      <c r="E19" s="2889">
        <v>2</v>
      </c>
      <c r="F19" s="734">
        <f>VLOOKUP(C19,'[25]SOR RATE'!A:D,4,0)</f>
        <v>85.77</v>
      </c>
      <c r="G19" s="735">
        <f>F19*E19</f>
        <v>171.54</v>
      </c>
    </row>
    <row r="20" spans="1:9" ht="14.25">
      <c r="A20" s="3220"/>
      <c r="B20" s="1182" t="s">
        <v>37</v>
      </c>
      <c r="C20" s="1258">
        <v>7130620627</v>
      </c>
      <c r="D20" s="1187" t="s">
        <v>26</v>
      </c>
      <c r="E20" s="2889">
        <v>17</v>
      </c>
      <c r="F20" s="734">
        <f>VLOOKUP(C20,'[25]SOR RATE'!A:D,4,0)</f>
        <v>84.32</v>
      </c>
      <c r="G20" s="735">
        <f>F20*E20</f>
        <v>1433.4399999999998</v>
      </c>
    </row>
    <row r="21" spans="1:9" ht="14.25">
      <c r="A21" s="3225">
        <v>13</v>
      </c>
      <c r="B21" s="1182" t="s">
        <v>1543</v>
      </c>
      <c r="C21" s="1188"/>
      <c r="D21" s="1189"/>
      <c r="E21" s="1189"/>
      <c r="F21" s="1189"/>
      <c r="G21" s="1190"/>
    </row>
    <row r="22" spans="1:9" ht="14.25">
      <c r="A22" s="3226"/>
      <c r="B22" s="1182" t="s">
        <v>3001</v>
      </c>
      <c r="C22" s="1258">
        <v>7130810511</v>
      </c>
      <c r="D22" s="1181" t="s">
        <v>40</v>
      </c>
      <c r="E22" s="2889">
        <v>1</v>
      </c>
      <c r="F22" s="734">
        <f>VLOOKUP(C22,'[25]SOR RATE'!A:D,4,0)</f>
        <v>3272.43</v>
      </c>
      <c r="G22" s="735">
        <f>F22*E22</f>
        <v>3272.43</v>
      </c>
      <c r="I22" s="394"/>
    </row>
    <row r="23" spans="1:9" ht="14.25">
      <c r="A23" s="3226"/>
      <c r="B23" s="1182" t="s">
        <v>41</v>
      </c>
      <c r="C23" s="1258">
        <v>7130870043</v>
      </c>
      <c r="D23" s="1181" t="s">
        <v>26</v>
      </c>
      <c r="E23" s="2889">
        <v>35</v>
      </c>
      <c r="F23" s="734">
        <f>VLOOKUP(C23,'[25]SOR RATE'!A:D,4,0)/1000</f>
        <v>80.521839999999997</v>
      </c>
      <c r="G23" s="735">
        <f>F23*E23</f>
        <v>2818.2644</v>
      </c>
    </row>
    <row r="24" spans="1:9" ht="14.25">
      <c r="A24" s="3226"/>
      <c r="B24" s="1182" t="s">
        <v>3040</v>
      </c>
      <c r="C24" s="2912">
        <v>7130810026</v>
      </c>
      <c r="D24" s="1181" t="s">
        <v>12</v>
      </c>
      <c r="E24" s="2889">
        <v>2</v>
      </c>
      <c r="F24" s="734">
        <f>VLOOKUP(C24,'[25]SOR RATE'!A202:D202,4,0)</f>
        <v>369.79</v>
      </c>
      <c r="G24" s="735">
        <f t="shared" ref="G24:G28" si="1">F24*E24</f>
        <v>739.58</v>
      </c>
    </row>
    <row r="25" spans="1:9" ht="14.25">
      <c r="A25" s="3226"/>
      <c r="B25" s="1182" t="s">
        <v>3041</v>
      </c>
      <c r="C25" s="1258">
        <v>7130860077</v>
      </c>
      <c r="D25" s="2867" t="s">
        <v>26</v>
      </c>
      <c r="E25" s="2889">
        <v>11</v>
      </c>
      <c r="F25" s="734">
        <f>VLOOKUP(C25,'[25]SOR RATE'!A:D,4,0)/1000</f>
        <v>93.76643</v>
      </c>
      <c r="G25" s="735">
        <f t="shared" si="1"/>
        <v>1031.43073</v>
      </c>
    </row>
    <row r="26" spans="1:9" ht="14.25">
      <c r="A26" s="3226"/>
      <c r="B26" s="1182" t="s">
        <v>3004</v>
      </c>
      <c r="C26" s="1258">
        <v>7130860032</v>
      </c>
      <c r="D26" s="1181" t="s">
        <v>12</v>
      </c>
      <c r="E26" s="2889">
        <v>2</v>
      </c>
      <c r="F26" s="734">
        <f>VLOOKUP(C26,'[25]SOR RATE'!A:D,4,0)</f>
        <v>566.19000000000005</v>
      </c>
      <c r="G26" s="735">
        <f t="shared" si="1"/>
        <v>1132.3800000000001</v>
      </c>
    </row>
    <row r="27" spans="1:9" ht="15">
      <c r="A27" s="3226"/>
      <c r="B27" s="1182" t="s">
        <v>3005</v>
      </c>
      <c r="C27" s="2842">
        <v>7130820117</v>
      </c>
      <c r="D27" s="2843" t="s">
        <v>68</v>
      </c>
      <c r="E27" s="2889">
        <v>2</v>
      </c>
      <c r="F27" s="734">
        <f>VLOOKUP(C27,'[25]SOR RATE'!A:D,4,0)</f>
        <v>12.42</v>
      </c>
      <c r="G27" s="735">
        <f t="shared" si="1"/>
        <v>24.84</v>
      </c>
      <c r="H27" s="739" t="s">
        <v>119</v>
      </c>
    </row>
    <row r="28" spans="1:9" ht="14.25">
      <c r="A28" s="3220"/>
      <c r="B28" s="1182" t="s">
        <v>3042</v>
      </c>
      <c r="C28" s="1258">
        <v>7130620013</v>
      </c>
      <c r="D28" s="1496" t="s">
        <v>68</v>
      </c>
      <c r="E28" s="2889">
        <v>4</v>
      </c>
      <c r="F28" s="734">
        <f>VLOOKUP(C28,'[25]SOR RATE'!A:D,4,0)</f>
        <v>156.05000000000001</v>
      </c>
      <c r="G28" s="735">
        <f t="shared" si="1"/>
        <v>624.20000000000005</v>
      </c>
    </row>
    <row r="29" spans="1:9" ht="30.75" customHeight="1">
      <c r="A29" s="3225">
        <v>14</v>
      </c>
      <c r="B29" s="1506" t="s">
        <v>45</v>
      </c>
      <c r="C29" s="2889"/>
      <c r="D29" s="2889"/>
      <c r="E29" s="2889">
        <f>1+2</f>
        <v>3</v>
      </c>
      <c r="F29" s="735"/>
      <c r="G29" s="735"/>
    </row>
    <row r="30" spans="1:9" ht="16.5" customHeight="1">
      <c r="A30" s="3220"/>
      <c r="B30" s="1470" t="s">
        <v>1738</v>
      </c>
      <c r="C30" s="1258">
        <v>7130640008</v>
      </c>
      <c r="D30" s="1181" t="s">
        <v>33</v>
      </c>
      <c r="E30" s="2889">
        <f>1+(2*2)</f>
        <v>5</v>
      </c>
      <c r="F30" s="734">
        <f>VLOOKUP(C30,'[25]SOR RATE'!A:D,4,0)</f>
        <v>158</v>
      </c>
      <c r="G30" s="735">
        <f>F30*E30</f>
        <v>790</v>
      </c>
      <c r="H30" s="3460" t="s">
        <v>47</v>
      </c>
      <c r="I30" s="3484"/>
    </row>
    <row r="31" spans="1:9" ht="15.75" customHeight="1">
      <c r="A31" s="2889">
        <v>15</v>
      </c>
      <c r="B31" s="1182" t="s">
        <v>3043</v>
      </c>
      <c r="C31" s="2889">
        <v>7130311008</v>
      </c>
      <c r="D31" s="2889" t="s">
        <v>190</v>
      </c>
      <c r="E31" s="2889">
        <v>600</v>
      </c>
      <c r="F31" s="734">
        <f>VLOOKUP(C31,'[25]SOR RATE'!A:D,4,0)/1000</f>
        <v>24.908200000000001</v>
      </c>
      <c r="G31" s="735">
        <f>F31*E31</f>
        <v>14944.92</v>
      </c>
    </row>
    <row r="32" spans="1:9" ht="15.75" customHeight="1">
      <c r="A32" s="2889">
        <v>16</v>
      </c>
      <c r="B32" s="1506" t="s">
        <v>2921</v>
      </c>
      <c r="C32" s="2839">
        <v>7132476007</v>
      </c>
      <c r="D32" s="1181" t="s">
        <v>1193</v>
      </c>
      <c r="E32" s="2889">
        <v>30</v>
      </c>
      <c r="F32" s="734">
        <f>VLOOKUP(C32,'[25]SOR RATE'!A:D,4,0)</f>
        <v>17.59</v>
      </c>
      <c r="G32" s="735">
        <f>F32*E32</f>
        <v>527.70000000000005</v>
      </c>
      <c r="H32" s="739" t="s">
        <v>119</v>
      </c>
    </row>
    <row r="33" spans="1:9" ht="15.75" customHeight="1">
      <c r="A33" s="2889">
        <v>17</v>
      </c>
      <c r="B33" s="1182" t="s">
        <v>3044</v>
      </c>
      <c r="C33" s="1258">
        <v>7130830053</v>
      </c>
      <c r="D33" s="2859" t="s">
        <v>21</v>
      </c>
      <c r="E33" s="2889">
        <v>500</v>
      </c>
      <c r="F33" s="734">
        <f>VLOOKUP(C33,'[25]SOR RATE'!A:D,4,0)/1000</f>
        <v>19.941980000000001</v>
      </c>
      <c r="G33" s="735">
        <f>F33*E33</f>
        <v>9970.99</v>
      </c>
    </row>
    <row r="34" spans="1:9" ht="15">
      <c r="A34" s="190">
        <v>18</v>
      </c>
      <c r="B34" s="1191" t="s">
        <v>48</v>
      </c>
      <c r="C34" s="190"/>
      <c r="D34" s="2889"/>
      <c r="E34" s="2889"/>
      <c r="F34" s="2889"/>
      <c r="G34" s="2884">
        <f>SUM(G7:G33)</f>
        <v>99384.114020000008</v>
      </c>
      <c r="H34" s="226"/>
    </row>
    <row r="35" spans="1:9" ht="15">
      <c r="A35" s="2872">
        <v>19</v>
      </c>
      <c r="B35" s="1191" t="s">
        <v>49</v>
      </c>
      <c r="C35" s="190"/>
      <c r="D35" s="2889"/>
      <c r="E35" s="2889"/>
      <c r="F35" s="2889"/>
      <c r="G35" s="2884">
        <f>G34/1.18</f>
        <v>84223.825440677974</v>
      </c>
      <c r="H35" s="174"/>
    </row>
    <row r="36" spans="1:9" ht="16.5" customHeight="1">
      <c r="A36" s="2876">
        <v>20</v>
      </c>
      <c r="B36" s="1185" t="s">
        <v>50</v>
      </c>
      <c r="C36" s="1295"/>
      <c r="D36" s="1295"/>
      <c r="E36" s="1295"/>
      <c r="F36" s="2889">
        <v>7.4999999999999997E-2</v>
      </c>
      <c r="G36" s="735">
        <f>G34*F36</f>
        <v>7453.8085515000002</v>
      </c>
      <c r="H36" s="732"/>
      <c r="I36" s="174"/>
    </row>
    <row r="37" spans="1:9" ht="17.25" customHeight="1">
      <c r="A37" s="2889">
        <v>21</v>
      </c>
      <c r="B37" s="1182" t="s">
        <v>3045</v>
      </c>
      <c r="C37" s="2889"/>
      <c r="D37" s="2889" t="s">
        <v>68</v>
      </c>
      <c r="E37" s="2889">
        <v>1</v>
      </c>
      <c r="F37" s="1202">
        <f>229.365334460327*1.043</f>
        <v>239.22804384212105</v>
      </c>
      <c r="G37" s="735">
        <f>F37*E37</f>
        <v>239.22804384212105</v>
      </c>
    </row>
    <row r="38" spans="1:9" ht="16.5" customHeight="1">
      <c r="A38" s="2889">
        <v>22</v>
      </c>
      <c r="B38" s="1182" t="s">
        <v>3046</v>
      </c>
      <c r="C38" s="2889"/>
      <c r="D38" s="2889"/>
      <c r="E38" s="2889"/>
      <c r="F38" s="2889"/>
      <c r="G38" s="735">
        <v>54917.33</v>
      </c>
      <c r="H38" s="19"/>
      <c r="I38" s="227"/>
    </row>
    <row r="39" spans="1:9" ht="15.75" customHeight="1">
      <c r="A39" s="2889">
        <v>23</v>
      </c>
      <c r="B39" s="1182" t="s">
        <v>3047</v>
      </c>
      <c r="C39" s="2889"/>
      <c r="D39" s="2889"/>
      <c r="E39" s="2889"/>
      <c r="F39" s="2889">
        <v>0.04</v>
      </c>
      <c r="G39" s="734">
        <f>G35*F39</f>
        <v>3368.9530176271192</v>
      </c>
      <c r="H39" s="2533" t="s">
        <v>1827</v>
      </c>
      <c r="I39" s="177"/>
    </row>
    <row r="40" spans="1:9" ht="31.5" customHeight="1">
      <c r="A40" s="2889">
        <v>24</v>
      </c>
      <c r="B40" s="1185" t="s">
        <v>1599</v>
      </c>
      <c r="C40" s="2889"/>
      <c r="D40" s="2889"/>
      <c r="E40" s="2889"/>
      <c r="F40" s="2889"/>
      <c r="G40" s="734">
        <f>(G34+G36+G37+G38+G39)*0.125</f>
        <v>20670.429204121156</v>
      </c>
      <c r="I40" s="177"/>
    </row>
    <row r="41" spans="1:9" ht="15" customHeight="1">
      <c r="A41" s="190">
        <v>25</v>
      </c>
      <c r="B41" s="1214" t="s">
        <v>1600</v>
      </c>
      <c r="C41" s="2889"/>
      <c r="D41" s="2889"/>
      <c r="E41" s="2889"/>
      <c r="F41" s="2889"/>
      <c r="G41" s="2884">
        <f>SUM(G35:G40)</f>
        <v>170873.57425776837</v>
      </c>
      <c r="H41" s="202"/>
    </row>
    <row r="42" spans="1:9" ht="15.75" customHeight="1">
      <c r="A42" s="2889">
        <v>26</v>
      </c>
      <c r="B42" s="1185" t="s">
        <v>1601</v>
      </c>
      <c r="C42" s="2889"/>
      <c r="D42" s="2889"/>
      <c r="E42" s="2889"/>
      <c r="F42" s="2889">
        <v>0.09</v>
      </c>
      <c r="G42" s="735">
        <f>G41*F42</f>
        <v>15378.621683199153</v>
      </c>
      <c r="H42" s="202"/>
    </row>
    <row r="43" spans="1:9" ht="15.75" customHeight="1">
      <c r="A43" s="2889">
        <v>27</v>
      </c>
      <c r="B43" s="1185" t="s">
        <v>1602</v>
      </c>
      <c r="C43" s="2889"/>
      <c r="D43" s="2889"/>
      <c r="E43" s="2889"/>
      <c r="F43" s="2889">
        <v>0.09</v>
      </c>
      <c r="G43" s="735">
        <f>G41*F43</f>
        <v>15378.621683199153</v>
      </c>
      <c r="H43" s="398"/>
    </row>
    <row r="44" spans="1:9" ht="15.75" customHeight="1">
      <c r="A44" s="2889">
        <v>28</v>
      </c>
      <c r="B44" s="1185" t="s">
        <v>1603</v>
      </c>
      <c r="C44" s="2889"/>
      <c r="D44" s="2889"/>
      <c r="E44" s="2889"/>
      <c r="F44" s="2889"/>
      <c r="G44" s="735">
        <f>G41+G42+G43</f>
        <v>201630.8176241667</v>
      </c>
      <c r="I44" s="227"/>
    </row>
    <row r="45" spans="1:9" ht="15.75" customHeight="1">
      <c r="A45" s="190">
        <v>29</v>
      </c>
      <c r="B45" s="1214" t="s">
        <v>59</v>
      </c>
      <c r="C45" s="2889"/>
      <c r="D45" s="2889"/>
      <c r="E45" s="2889"/>
      <c r="F45" s="2889"/>
      <c r="G45" s="2884">
        <f>ROUND(G44,0)</f>
        <v>201631</v>
      </c>
    </row>
    <row r="46" spans="1:9" ht="15">
      <c r="A46" s="724"/>
      <c r="B46" s="212"/>
      <c r="C46" s="238"/>
      <c r="D46" s="2864"/>
      <c r="E46" s="2864"/>
      <c r="F46" s="2864"/>
      <c r="G46" s="2907"/>
    </row>
    <row r="47" spans="1:9" ht="15.75" customHeight="1">
      <c r="A47" s="3042" t="s">
        <v>1463</v>
      </c>
      <c r="B47" s="3485" t="s">
        <v>3048</v>
      </c>
      <c r="C47" s="3485"/>
      <c r="D47" s="3485"/>
      <c r="E47" s="3485"/>
      <c r="F47" s="3485"/>
      <c r="G47" s="3485"/>
    </row>
    <row r="48" spans="1:9" ht="30" customHeight="1">
      <c r="A48" s="3042"/>
      <c r="B48" s="3485" t="s">
        <v>3049</v>
      </c>
      <c r="C48" s="3485"/>
      <c r="D48" s="3485"/>
      <c r="E48" s="3485"/>
      <c r="F48" s="3485"/>
      <c r="G48" s="3485"/>
    </row>
    <row r="49" spans="1:7" ht="15">
      <c r="A49" s="44" t="s">
        <v>62</v>
      </c>
      <c r="B49" s="180" t="s">
        <v>63</v>
      </c>
      <c r="C49" s="186"/>
      <c r="D49" s="2908"/>
      <c r="E49" s="2908"/>
      <c r="F49" s="2908"/>
      <c r="G49" s="2908"/>
    </row>
  </sheetData>
  <mergeCells count="10">
    <mergeCell ref="H30:I30"/>
    <mergeCell ref="A47:A48"/>
    <mergeCell ref="B47:G47"/>
    <mergeCell ref="B48:G48"/>
    <mergeCell ref="B1:C1"/>
    <mergeCell ref="F2:G2"/>
    <mergeCell ref="B3:F3"/>
    <mergeCell ref="A18:A20"/>
    <mergeCell ref="A21:A28"/>
    <mergeCell ref="A29:A30"/>
  </mergeCells>
  <conditionalFormatting sqref="B34">
    <cfRule type="cellIs" dxfId="18" priority="2" stopIfTrue="1" operator="equal">
      <formula>"?"</formula>
    </cfRule>
  </conditionalFormatting>
  <conditionalFormatting sqref="B35">
    <cfRule type="cellIs" dxfId="17" priority="1" stopIfTrue="1" operator="equal">
      <formula>"?"</formula>
    </cfRule>
  </conditionalFormatting>
  <printOptions horizontalCentered="1"/>
  <pageMargins left="0.98" right="0.15" top="0.82" bottom="0.3" header="0.47" footer="0.16"/>
  <pageSetup paperSize="9" scale="105" orientation="landscape" r:id="rId1"/>
  <headerFooter alignWithMargins="0"/>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2"/>
  <sheetViews>
    <sheetView zoomScaleNormal="100" workbookViewId="0">
      <pane xSplit="2" ySplit="6" topLeftCell="C38" activePane="bottomRight" state="frozen"/>
      <selection pane="topRight" activeCell="C1" sqref="C1"/>
      <selection pane="bottomLeft" activeCell="A7" sqref="A7"/>
      <selection pane="bottomRight" activeCell="I40" sqref="I40"/>
    </sheetView>
  </sheetViews>
  <sheetFormatPr defaultRowHeight="12.75"/>
  <cols>
    <col min="1" max="1" width="6" style="2877" customWidth="1"/>
    <col min="2" max="2" width="47.28515625" style="4" customWidth="1"/>
    <col min="3" max="3" width="13.140625" style="5" customWidth="1"/>
    <col min="4" max="4" width="5.5703125" style="4" customWidth="1"/>
    <col min="5" max="5" width="6" style="4" customWidth="1"/>
    <col min="6" max="6" width="8.85546875" style="4" customWidth="1"/>
    <col min="7" max="7" width="10.7109375" style="4" bestFit="1" customWidth="1"/>
    <col min="8" max="8" width="23.7109375" style="4" customWidth="1"/>
    <col min="9" max="9" width="20.28515625" style="4" customWidth="1"/>
    <col min="10" max="10" width="11" style="4" bestFit="1" customWidth="1"/>
    <col min="11" max="11" width="3.85546875" style="4" bestFit="1" customWidth="1"/>
    <col min="12" max="12" width="4.28515625" style="4" customWidth="1"/>
    <col min="13" max="13" width="5.7109375" style="4" customWidth="1"/>
    <col min="14" max="256" width="9.140625" style="4"/>
    <col min="257" max="257" width="6" style="4" customWidth="1"/>
    <col min="258" max="258" width="54.28515625" style="4" customWidth="1"/>
    <col min="259" max="259" width="13.140625" style="4" customWidth="1"/>
    <col min="260" max="260" width="5.5703125" style="4" customWidth="1"/>
    <col min="261" max="261" width="6" style="4" customWidth="1"/>
    <col min="262" max="262" width="8.85546875" style="4" customWidth="1"/>
    <col min="263" max="263" width="11.5703125" style="4" customWidth="1"/>
    <col min="264" max="264" width="23.7109375" style="4" customWidth="1"/>
    <col min="265" max="265" width="20.28515625" style="4" customWidth="1"/>
    <col min="266" max="266" width="11" style="4" bestFit="1" customWidth="1"/>
    <col min="267" max="267" width="3.85546875" style="4" bestFit="1" customWidth="1"/>
    <col min="268" max="268" width="4.28515625" style="4" customWidth="1"/>
    <col min="269" max="269" width="5.7109375" style="4" customWidth="1"/>
    <col min="270" max="512" width="9.140625" style="4"/>
    <col min="513" max="513" width="6" style="4" customWidth="1"/>
    <col min="514" max="514" width="54.28515625" style="4" customWidth="1"/>
    <col min="515" max="515" width="13.140625" style="4" customWidth="1"/>
    <col min="516" max="516" width="5.5703125" style="4" customWidth="1"/>
    <col min="517" max="517" width="6" style="4" customWidth="1"/>
    <col min="518" max="518" width="8.85546875" style="4" customWidth="1"/>
    <col min="519" max="519" width="11.5703125" style="4" customWidth="1"/>
    <col min="520" max="520" width="23.7109375" style="4" customWidth="1"/>
    <col min="521" max="521" width="20.28515625" style="4" customWidth="1"/>
    <col min="522" max="522" width="11" style="4" bestFit="1" customWidth="1"/>
    <col min="523" max="523" width="3.85546875" style="4" bestFit="1" customWidth="1"/>
    <col min="524" max="524" width="4.28515625" style="4" customWidth="1"/>
    <col min="525" max="525" width="5.7109375" style="4" customWidth="1"/>
    <col min="526" max="768" width="9.140625" style="4"/>
    <col min="769" max="769" width="6" style="4" customWidth="1"/>
    <col min="770" max="770" width="54.28515625" style="4" customWidth="1"/>
    <col min="771" max="771" width="13.140625" style="4" customWidth="1"/>
    <col min="772" max="772" width="5.5703125" style="4" customWidth="1"/>
    <col min="773" max="773" width="6" style="4" customWidth="1"/>
    <col min="774" max="774" width="8.85546875" style="4" customWidth="1"/>
    <col min="775" max="775" width="11.5703125" style="4" customWidth="1"/>
    <col min="776" max="776" width="23.7109375" style="4" customWidth="1"/>
    <col min="777" max="777" width="20.28515625" style="4" customWidth="1"/>
    <col min="778" max="778" width="11" style="4" bestFit="1" customWidth="1"/>
    <col min="779" max="779" width="3.85546875" style="4" bestFit="1" customWidth="1"/>
    <col min="780" max="780" width="4.28515625" style="4" customWidth="1"/>
    <col min="781" max="781" width="5.7109375" style="4" customWidth="1"/>
    <col min="782" max="1024" width="9.140625" style="4"/>
    <col min="1025" max="1025" width="6" style="4" customWidth="1"/>
    <col min="1026" max="1026" width="54.28515625" style="4" customWidth="1"/>
    <col min="1027" max="1027" width="13.140625" style="4" customWidth="1"/>
    <col min="1028" max="1028" width="5.5703125" style="4" customWidth="1"/>
    <col min="1029" max="1029" width="6" style="4" customWidth="1"/>
    <col min="1030" max="1030" width="8.85546875" style="4" customWidth="1"/>
    <col min="1031" max="1031" width="11.5703125" style="4" customWidth="1"/>
    <col min="1032" max="1032" width="23.7109375" style="4" customWidth="1"/>
    <col min="1033" max="1033" width="20.28515625" style="4" customWidth="1"/>
    <col min="1034" max="1034" width="11" style="4" bestFit="1" customWidth="1"/>
    <col min="1035" max="1035" width="3.85546875" style="4" bestFit="1" customWidth="1"/>
    <col min="1036" max="1036" width="4.28515625" style="4" customWidth="1"/>
    <col min="1037" max="1037" width="5.7109375" style="4" customWidth="1"/>
    <col min="1038" max="1280" width="9.140625" style="4"/>
    <col min="1281" max="1281" width="6" style="4" customWidth="1"/>
    <col min="1282" max="1282" width="54.28515625" style="4" customWidth="1"/>
    <col min="1283" max="1283" width="13.140625" style="4" customWidth="1"/>
    <col min="1284" max="1284" width="5.5703125" style="4" customWidth="1"/>
    <col min="1285" max="1285" width="6" style="4" customWidth="1"/>
    <col min="1286" max="1286" width="8.85546875" style="4" customWidth="1"/>
    <col min="1287" max="1287" width="11.5703125" style="4" customWidth="1"/>
    <col min="1288" max="1288" width="23.7109375" style="4" customWidth="1"/>
    <col min="1289" max="1289" width="20.28515625" style="4" customWidth="1"/>
    <col min="1290" max="1290" width="11" style="4" bestFit="1" customWidth="1"/>
    <col min="1291" max="1291" width="3.85546875" style="4" bestFit="1" customWidth="1"/>
    <col min="1292" max="1292" width="4.28515625" style="4" customWidth="1"/>
    <col min="1293" max="1293" width="5.7109375" style="4" customWidth="1"/>
    <col min="1294" max="1536" width="9.140625" style="4"/>
    <col min="1537" max="1537" width="6" style="4" customWidth="1"/>
    <col min="1538" max="1538" width="54.28515625" style="4" customWidth="1"/>
    <col min="1539" max="1539" width="13.140625" style="4" customWidth="1"/>
    <col min="1540" max="1540" width="5.5703125" style="4" customWidth="1"/>
    <col min="1541" max="1541" width="6" style="4" customWidth="1"/>
    <col min="1542" max="1542" width="8.85546875" style="4" customWidth="1"/>
    <col min="1543" max="1543" width="11.5703125" style="4" customWidth="1"/>
    <col min="1544" max="1544" width="23.7109375" style="4" customWidth="1"/>
    <col min="1545" max="1545" width="20.28515625" style="4" customWidth="1"/>
    <col min="1546" max="1546" width="11" style="4" bestFit="1" customWidth="1"/>
    <col min="1547" max="1547" width="3.85546875" style="4" bestFit="1" customWidth="1"/>
    <col min="1548" max="1548" width="4.28515625" style="4" customWidth="1"/>
    <col min="1549" max="1549" width="5.7109375" style="4" customWidth="1"/>
    <col min="1550" max="1792" width="9.140625" style="4"/>
    <col min="1793" max="1793" width="6" style="4" customWidth="1"/>
    <col min="1794" max="1794" width="54.28515625" style="4" customWidth="1"/>
    <col min="1795" max="1795" width="13.140625" style="4" customWidth="1"/>
    <col min="1796" max="1796" width="5.5703125" style="4" customWidth="1"/>
    <col min="1797" max="1797" width="6" style="4" customWidth="1"/>
    <col min="1798" max="1798" width="8.85546875" style="4" customWidth="1"/>
    <col min="1799" max="1799" width="11.5703125" style="4" customWidth="1"/>
    <col min="1800" max="1800" width="23.7109375" style="4" customWidth="1"/>
    <col min="1801" max="1801" width="20.28515625" style="4" customWidth="1"/>
    <col min="1802" max="1802" width="11" style="4" bestFit="1" customWidth="1"/>
    <col min="1803" max="1803" width="3.85546875" style="4" bestFit="1" customWidth="1"/>
    <col min="1804" max="1804" width="4.28515625" style="4" customWidth="1"/>
    <col min="1805" max="1805" width="5.7109375" style="4" customWidth="1"/>
    <col min="1806" max="2048" width="9.140625" style="4"/>
    <col min="2049" max="2049" width="6" style="4" customWidth="1"/>
    <col min="2050" max="2050" width="54.28515625" style="4" customWidth="1"/>
    <col min="2051" max="2051" width="13.140625" style="4" customWidth="1"/>
    <col min="2052" max="2052" width="5.5703125" style="4" customWidth="1"/>
    <col min="2053" max="2053" width="6" style="4" customWidth="1"/>
    <col min="2054" max="2054" width="8.85546875" style="4" customWidth="1"/>
    <col min="2055" max="2055" width="11.5703125" style="4" customWidth="1"/>
    <col min="2056" max="2056" width="23.7109375" style="4" customWidth="1"/>
    <col min="2057" max="2057" width="20.28515625" style="4" customWidth="1"/>
    <col min="2058" max="2058" width="11" style="4" bestFit="1" customWidth="1"/>
    <col min="2059" max="2059" width="3.85546875" style="4" bestFit="1" customWidth="1"/>
    <col min="2060" max="2060" width="4.28515625" style="4" customWidth="1"/>
    <col min="2061" max="2061" width="5.7109375" style="4" customWidth="1"/>
    <col min="2062" max="2304" width="9.140625" style="4"/>
    <col min="2305" max="2305" width="6" style="4" customWidth="1"/>
    <col min="2306" max="2306" width="54.28515625" style="4" customWidth="1"/>
    <col min="2307" max="2307" width="13.140625" style="4" customWidth="1"/>
    <col min="2308" max="2308" width="5.5703125" style="4" customWidth="1"/>
    <col min="2309" max="2309" width="6" style="4" customWidth="1"/>
    <col min="2310" max="2310" width="8.85546875" style="4" customWidth="1"/>
    <col min="2311" max="2311" width="11.5703125" style="4" customWidth="1"/>
    <col min="2312" max="2312" width="23.7109375" style="4" customWidth="1"/>
    <col min="2313" max="2313" width="20.28515625" style="4" customWidth="1"/>
    <col min="2314" max="2314" width="11" style="4" bestFit="1" customWidth="1"/>
    <col min="2315" max="2315" width="3.85546875" style="4" bestFit="1" customWidth="1"/>
    <col min="2316" max="2316" width="4.28515625" style="4" customWidth="1"/>
    <col min="2317" max="2317" width="5.7109375" style="4" customWidth="1"/>
    <col min="2318" max="2560" width="9.140625" style="4"/>
    <col min="2561" max="2561" width="6" style="4" customWidth="1"/>
    <col min="2562" max="2562" width="54.28515625" style="4" customWidth="1"/>
    <col min="2563" max="2563" width="13.140625" style="4" customWidth="1"/>
    <col min="2564" max="2564" width="5.5703125" style="4" customWidth="1"/>
    <col min="2565" max="2565" width="6" style="4" customWidth="1"/>
    <col min="2566" max="2566" width="8.85546875" style="4" customWidth="1"/>
    <col min="2567" max="2567" width="11.5703125" style="4" customWidth="1"/>
    <col min="2568" max="2568" width="23.7109375" style="4" customWidth="1"/>
    <col min="2569" max="2569" width="20.28515625" style="4" customWidth="1"/>
    <col min="2570" max="2570" width="11" style="4" bestFit="1" customWidth="1"/>
    <col min="2571" max="2571" width="3.85546875" style="4" bestFit="1" customWidth="1"/>
    <col min="2572" max="2572" width="4.28515625" style="4" customWidth="1"/>
    <col min="2573" max="2573" width="5.7109375" style="4" customWidth="1"/>
    <col min="2574" max="2816" width="9.140625" style="4"/>
    <col min="2817" max="2817" width="6" style="4" customWidth="1"/>
    <col min="2818" max="2818" width="54.28515625" style="4" customWidth="1"/>
    <col min="2819" max="2819" width="13.140625" style="4" customWidth="1"/>
    <col min="2820" max="2820" width="5.5703125" style="4" customWidth="1"/>
    <col min="2821" max="2821" width="6" style="4" customWidth="1"/>
    <col min="2822" max="2822" width="8.85546875" style="4" customWidth="1"/>
    <col min="2823" max="2823" width="11.5703125" style="4" customWidth="1"/>
    <col min="2824" max="2824" width="23.7109375" style="4" customWidth="1"/>
    <col min="2825" max="2825" width="20.28515625" style="4" customWidth="1"/>
    <col min="2826" max="2826" width="11" style="4" bestFit="1" customWidth="1"/>
    <col min="2827" max="2827" width="3.85546875" style="4" bestFit="1" customWidth="1"/>
    <col min="2828" max="2828" width="4.28515625" style="4" customWidth="1"/>
    <col min="2829" max="2829" width="5.7109375" style="4" customWidth="1"/>
    <col min="2830" max="3072" width="9.140625" style="4"/>
    <col min="3073" max="3073" width="6" style="4" customWidth="1"/>
    <col min="3074" max="3074" width="54.28515625" style="4" customWidth="1"/>
    <col min="3075" max="3075" width="13.140625" style="4" customWidth="1"/>
    <col min="3076" max="3076" width="5.5703125" style="4" customWidth="1"/>
    <col min="3077" max="3077" width="6" style="4" customWidth="1"/>
    <col min="3078" max="3078" width="8.85546875" style="4" customWidth="1"/>
    <col min="3079" max="3079" width="11.5703125" style="4" customWidth="1"/>
    <col min="3080" max="3080" width="23.7109375" style="4" customWidth="1"/>
    <col min="3081" max="3081" width="20.28515625" style="4" customWidth="1"/>
    <col min="3082" max="3082" width="11" style="4" bestFit="1" customWidth="1"/>
    <col min="3083" max="3083" width="3.85546875" style="4" bestFit="1" customWidth="1"/>
    <col min="3084" max="3084" width="4.28515625" style="4" customWidth="1"/>
    <col min="3085" max="3085" width="5.7109375" style="4" customWidth="1"/>
    <col min="3086" max="3328" width="9.140625" style="4"/>
    <col min="3329" max="3329" width="6" style="4" customWidth="1"/>
    <col min="3330" max="3330" width="54.28515625" style="4" customWidth="1"/>
    <col min="3331" max="3331" width="13.140625" style="4" customWidth="1"/>
    <col min="3332" max="3332" width="5.5703125" style="4" customWidth="1"/>
    <col min="3333" max="3333" width="6" style="4" customWidth="1"/>
    <col min="3334" max="3334" width="8.85546875" style="4" customWidth="1"/>
    <col min="3335" max="3335" width="11.5703125" style="4" customWidth="1"/>
    <col min="3336" max="3336" width="23.7109375" style="4" customWidth="1"/>
    <col min="3337" max="3337" width="20.28515625" style="4" customWidth="1"/>
    <col min="3338" max="3338" width="11" style="4" bestFit="1" customWidth="1"/>
    <col min="3339" max="3339" width="3.85546875" style="4" bestFit="1" customWidth="1"/>
    <col min="3340" max="3340" width="4.28515625" style="4" customWidth="1"/>
    <col min="3341" max="3341" width="5.7109375" style="4" customWidth="1"/>
    <col min="3342" max="3584" width="9.140625" style="4"/>
    <col min="3585" max="3585" width="6" style="4" customWidth="1"/>
    <col min="3586" max="3586" width="54.28515625" style="4" customWidth="1"/>
    <col min="3587" max="3587" width="13.140625" style="4" customWidth="1"/>
    <col min="3588" max="3588" width="5.5703125" style="4" customWidth="1"/>
    <col min="3589" max="3589" width="6" style="4" customWidth="1"/>
    <col min="3590" max="3590" width="8.85546875" style="4" customWidth="1"/>
    <col min="3591" max="3591" width="11.5703125" style="4" customWidth="1"/>
    <col min="3592" max="3592" width="23.7109375" style="4" customWidth="1"/>
    <col min="3593" max="3593" width="20.28515625" style="4" customWidth="1"/>
    <col min="3594" max="3594" width="11" style="4" bestFit="1" customWidth="1"/>
    <col min="3595" max="3595" width="3.85546875" style="4" bestFit="1" customWidth="1"/>
    <col min="3596" max="3596" width="4.28515625" style="4" customWidth="1"/>
    <col min="3597" max="3597" width="5.7109375" style="4" customWidth="1"/>
    <col min="3598" max="3840" width="9.140625" style="4"/>
    <col min="3841" max="3841" width="6" style="4" customWidth="1"/>
    <col min="3842" max="3842" width="54.28515625" style="4" customWidth="1"/>
    <col min="3843" max="3843" width="13.140625" style="4" customWidth="1"/>
    <col min="3844" max="3844" width="5.5703125" style="4" customWidth="1"/>
    <col min="3845" max="3845" width="6" style="4" customWidth="1"/>
    <col min="3846" max="3846" width="8.85546875" style="4" customWidth="1"/>
    <col min="3847" max="3847" width="11.5703125" style="4" customWidth="1"/>
    <col min="3848" max="3848" width="23.7109375" style="4" customWidth="1"/>
    <col min="3849" max="3849" width="20.28515625" style="4" customWidth="1"/>
    <col min="3850" max="3850" width="11" style="4" bestFit="1" customWidth="1"/>
    <col min="3851" max="3851" width="3.85546875" style="4" bestFit="1" customWidth="1"/>
    <col min="3852" max="3852" width="4.28515625" style="4" customWidth="1"/>
    <col min="3853" max="3853" width="5.7109375" style="4" customWidth="1"/>
    <col min="3854" max="4096" width="9.140625" style="4"/>
    <col min="4097" max="4097" width="6" style="4" customWidth="1"/>
    <col min="4098" max="4098" width="54.28515625" style="4" customWidth="1"/>
    <col min="4099" max="4099" width="13.140625" style="4" customWidth="1"/>
    <col min="4100" max="4100" width="5.5703125" style="4" customWidth="1"/>
    <col min="4101" max="4101" width="6" style="4" customWidth="1"/>
    <col min="4102" max="4102" width="8.85546875" style="4" customWidth="1"/>
    <col min="4103" max="4103" width="11.5703125" style="4" customWidth="1"/>
    <col min="4104" max="4104" width="23.7109375" style="4" customWidth="1"/>
    <col min="4105" max="4105" width="20.28515625" style="4" customWidth="1"/>
    <col min="4106" max="4106" width="11" style="4" bestFit="1" customWidth="1"/>
    <col min="4107" max="4107" width="3.85546875" style="4" bestFit="1" customWidth="1"/>
    <col min="4108" max="4108" width="4.28515625" style="4" customWidth="1"/>
    <col min="4109" max="4109" width="5.7109375" style="4" customWidth="1"/>
    <col min="4110" max="4352" width="9.140625" style="4"/>
    <col min="4353" max="4353" width="6" style="4" customWidth="1"/>
    <col min="4354" max="4354" width="54.28515625" style="4" customWidth="1"/>
    <col min="4355" max="4355" width="13.140625" style="4" customWidth="1"/>
    <col min="4356" max="4356" width="5.5703125" style="4" customWidth="1"/>
    <col min="4357" max="4357" width="6" style="4" customWidth="1"/>
    <col min="4358" max="4358" width="8.85546875" style="4" customWidth="1"/>
    <col min="4359" max="4359" width="11.5703125" style="4" customWidth="1"/>
    <col min="4360" max="4360" width="23.7109375" style="4" customWidth="1"/>
    <col min="4361" max="4361" width="20.28515625" style="4" customWidth="1"/>
    <col min="4362" max="4362" width="11" style="4" bestFit="1" customWidth="1"/>
    <col min="4363" max="4363" width="3.85546875" style="4" bestFit="1" customWidth="1"/>
    <col min="4364" max="4364" width="4.28515625" style="4" customWidth="1"/>
    <col min="4365" max="4365" width="5.7109375" style="4" customWidth="1"/>
    <col min="4366" max="4608" width="9.140625" style="4"/>
    <col min="4609" max="4609" width="6" style="4" customWidth="1"/>
    <col min="4610" max="4610" width="54.28515625" style="4" customWidth="1"/>
    <col min="4611" max="4611" width="13.140625" style="4" customWidth="1"/>
    <col min="4612" max="4612" width="5.5703125" style="4" customWidth="1"/>
    <col min="4613" max="4613" width="6" style="4" customWidth="1"/>
    <col min="4614" max="4614" width="8.85546875" style="4" customWidth="1"/>
    <col min="4615" max="4615" width="11.5703125" style="4" customWidth="1"/>
    <col min="4616" max="4616" width="23.7109375" style="4" customWidth="1"/>
    <col min="4617" max="4617" width="20.28515625" style="4" customWidth="1"/>
    <col min="4618" max="4618" width="11" style="4" bestFit="1" customWidth="1"/>
    <col min="4619" max="4619" width="3.85546875" style="4" bestFit="1" customWidth="1"/>
    <col min="4620" max="4620" width="4.28515625" style="4" customWidth="1"/>
    <col min="4621" max="4621" width="5.7109375" style="4" customWidth="1"/>
    <col min="4622" max="4864" width="9.140625" style="4"/>
    <col min="4865" max="4865" width="6" style="4" customWidth="1"/>
    <col min="4866" max="4866" width="54.28515625" style="4" customWidth="1"/>
    <col min="4867" max="4867" width="13.140625" style="4" customWidth="1"/>
    <col min="4868" max="4868" width="5.5703125" style="4" customWidth="1"/>
    <col min="4869" max="4869" width="6" style="4" customWidth="1"/>
    <col min="4870" max="4870" width="8.85546875" style="4" customWidth="1"/>
    <col min="4871" max="4871" width="11.5703125" style="4" customWidth="1"/>
    <col min="4872" max="4872" width="23.7109375" style="4" customWidth="1"/>
    <col min="4873" max="4873" width="20.28515625" style="4" customWidth="1"/>
    <col min="4874" max="4874" width="11" style="4" bestFit="1" customWidth="1"/>
    <col min="4875" max="4875" width="3.85546875" style="4" bestFit="1" customWidth="1"/>
    <col min="4876" max="4876" width="4.28515625" style="4" customWidth="1"/>
    <col min="4877" max="4877" width="5.7109375" style="4" customWidth="1"/>
    <col min="4878" max="5120" width="9.140625" style="4"/>
    <col min="5121" max="5121" width="6" style="4" customWidth="1"/>
    <col min="5122" max="5122" width="54.28515625" style="4" customWidth="1"/>
    <col min="5123" max="5123" width="13.140625" style="4" customWidth="1"/>
    <col min="5124" max="5124" width="5.5703125" style="4" customWidth="1"/>
    <col min="5125" max="5125" width="6" style="4" customWidth="1"/>
    <col min="5126" max="5126" width="8.85546875" style="4" customWidth="1"/>
    <col min="5127" max="5127" width="11.5703125" style="4" customWidth="1"/>
    <col min="5128" max="5128" width="23.7109375" style="4" customWidth="1"/>
    <col min="5129" max="5129" width="20.28515625" style="4" customWidth="1"/>
    <col min="5130" max="5130" width="11" style="4" bestFit="1" customWidth="1"/>
    <col min="5131" max="5131" width="3.85546875" style="4" bestFit="1" customWidth="1"/>
    <col min="5132" max="5132" width="4.28515625" style="4" customWidth="1"/>
    <col min="5133" max="5133" width="5.7109375" style="4" customWidth="1"/>
    <col min="5134" max="5376" width="9.140625" style="4"/>
    <col min="5377" max="5377" width="6" style="4" customWidth="1"/>
    <col min="5378" max="5378" width="54.28515625" style="4" customWidth="1"/>
    <col min="5379" max="5379" width="13.140625" style="4" customWidth="1"/>
    <col min="5380" max="5380" width="5.5703125" style="4" customWidth="1"/>
    <col min="5381" max="5381" width="6" style="4" customWidth="1"/>
    <col min="5382" max="5382" width="8.85546875" style="4" customWidth="1"/>
    <col min="5383" max="5383" width="11.5703125" style="4" customWidth="1"/>
    <col min="5384" max="5384" width="23.7109375" style="4" customWidth="1"/>
    <col min="5385" max="5385" width="20.28515625" style="4" customWidth="1"/>
    <col min="5386" max="5386" width="11" style="4" bestFit="1" customWidth="1"/>
    <col min="5387" max="5387" width="3.85546875" style="4" bestFit="1" customWidth="1"/>
    <col min="5388" max="5388" width="4.28515625" style="4" customWidth="1"/>
    <col min="5389" max="5389" width="5.7109375" style="4" customWidth="1"/>
    <col min="5390" max="5632" width="9.140625" style="4"/>
    <col min="5633" max="5633" width="6" style="4" customWidth="1"/>
    <col min="5634" max="5634" width="54.28515625" style="4" customWidth="1"/>
    <col min="5635" max="5635" width="13.140625" style="4" customWidth="1"/>
    <col min="5636" max="5636" width="5.5703125" style="4" customWidth="1"/>
    <col min="5637" max="5637" width="6" style="4" customWidth="1"/>
    <col min="5638" max="5638" width="8.85546875" style="4" customWidth="1"/>
    <col min="5639" max="5639" width="11.5703125" style="4" customWidth="1"/>
    <col min="5640" max="5640" width="23.7109375" style="4" customWidth="1"/>
    <col min="5641" max="5641" width="20.28515625" style="4" customWidth="1"/>
    <col min="5642" max="5642" width="11" style="4" bestFit="1" customWidth="1"/>
    <col min="5643" max="5643" width="3.85546875" style="4" bestFit="1" customWidth="1"/>
    <col min="5644" max="5644" width="4.28515625" style="4" customWidth="1"/>
    <col min="5645" max="5645" width="5.7109375" style="4" customWidth="1"/>
    <col min="5646" max="5888" width="9.140625" style="4"/>
    <col min="5889" max="5889" width="6" style="4" customWidth="1"/>
    <col min="5890" max="5890" width="54.28515625" style="4" customWidth="1"/>
    <col min="5891" max="5891" width="13.140625" style="4" customWidth="1"/>
    <col min="5892" max="5892" width="5.5703125" style="4" customWidth="1"/>
    <col min="5893" max="5893" width="6" style="4" customWidth="1"/>
    <col min="5894" max="5894" width="8.85546875" style="4" customWidth="1"/>
    <col min="5895" max="5895" width="11.5703125" style="4" customWidth="1"/>
    <col min="5896" max="5896" width="23.7109375" style="4" customWidth="1"/>
    <col min="5897" max="5897" width="20.28515625" style="4" customWidth="1"/>
    <col min="5898" max="5898" width="11" style="4" bestFit="1" customWidth="1"/>
    <col min="5899" max="5899" width="3.85546875" style="4" bestFit="1" customWidth="1"/>
    <col min="5900" max="5900" width="4.28515625" style="4" customWidth="1"/>
    <col min="5901" max="5901" width="5.7109375" style="4" customWidth="1"/>
    <col min="5902" max="6144" width="9.140625" style="4"/>
    <col min="6145" max="6145" width="6" style="4" customWidth="1"/>
    <col min="6146" max="6146" width="54.28515625" style="4" customWidth="1"/>
    <col min="6147" max="6147" width="13.140625" style="4" customWidth="1"/>
    <col min="6148" max="6148" width="5.5703125" style="4" customWidth="1"/>
    <col min="6149" max="6149" width="6" style="4" customWidth="1"/>
    <col min="6150" max="6150" width="8.85546875" style="4" customWidth="1"/>
    <col min="6151" max="6151" width="11.5703125" style="4" customWidth="1"/>
    <col min="6152" max="6152" width="23.7109375" style="4" customWidth="1"/>
    <col min="6153" max="6153" width="20.28515625" style="4" customWidth="1"/>
    <col min="6154" max="6154" width="11" style="4" bestFit="1" customWidth="1"/>
    <col min="6155" max="6155" width="3.85546875" style="4" bestFit="1" customWidth="1"/>
    <col min="6156" max="6156" width="4.28515625" style="4" customWidth="1"/>
    <col min="6157" max="6157" width="5.7109375" style="4" customWidth="1"/>
    <col min="6158" max="6400" width="9.140625" style="4"/>
    <col min="6401" max="6401" width="6" style="4" customWidth="1"/>
    <col min="6402" max="6402" width="54.28515625" style="4" customWidth="1"/>
    <col min="6403" max="6403" width="13.140625" style="4" customWidth="1"/>
    <col min="6404" max="6404" width="5.5703125" style="4" customWidth="1"/>
    <col min="6405" max="6405" width="6" style="4" customWidth="1"/>
    <col min="6406" max="6406" width="8.85546875" style="4" customWidth="1"/>
    <col min="6407" max="6407" width="11.5703125" style="4" customWidth="1"/>
    <col min="6408" max="6408" width="23.7109375" style="4" customWidth="1"/>
    <col min="6409" max="6409" width="20.28515625" style="4" customWidth="1"/>
    <col min="6410" max="6410" width="11" style="4" bestFit="1" customWidth="1"/>
    <col min="6411" max="6411" width="3.85546875" style="4" bestFit="1" customWidth="1"/>
    <col min="6412" max="6412" width="4.28515625" style="4" customWidth="1"/>
    <col min="6413" max="6413" width="5.7109375" style="4" customWidth="1"/>
    <col min="6414" max="6656" width="9.140625" style="4"/>
    <col min="6657" max="6657" width="6" style="4" customWidth="1"/>
    <col min="6658" max="6658" width="54.28515625" style="4" customWidth="1"/>
    <col min="6659" max="6659" width="13.140625" style="4" customWidth="1"/>
    <col min="6660" max="6660" width="5.5703125" style="4" customWidth="1"/>
    <col min="6661" max="6661" width="6" style="4" customWidth="1"/>
    <col min="6662" max="6662" width="8.85546875" style="4" customWidth="1"/>
    <col min="6663" max="6663" width="11.5703125" style="4" customWidth="1"/>
    <col min="6664" max="6664" width="23.7109375" style="4" customWidth="1"/>
    <col min="6665" max="6665" width="20.28515625" style="4" customWidth="1"/>
    <col min="6666" max="6666" width="11" style="4" bestFit="1" customWidth="1"/>
    <col min="6667" max="6667" width="3.85546875" style="4" bestFit="1" customWidth="1"/>
    <col min="6668" max="6668" width="4.28515625" style="4" customWidth="1"/>
    <col min="6669" max="6669" width="5.7109375" style="4" customWidth="1"/>
    <col min="6670" max="6912" width="9.140625" style="4"/>
    <col min="6913" max="6913" width="6" style="4" customWidth="1"/>
    <col min="6914" max="6914" width="54.28515625" style="4" customWidth="1"/>
    <col min="6915" max="6915" width="13.140625" style="4" customWidth="1"/>
    <col min="6916" max="6916" width="5.5703125" style="4" customWidth="1"/>
    <col min="6917" max="6917" width="6" style="4" customWidth="1"/>
    <col min="6918" max="6918" width="8.85546875" style="4" customWidth="1"/>
    <col min="6919" max="6919" width="11.5703125" style="4" customWidth="1"/>
    <col min="6920" max="6920" width="23.7109375" style="4" customWidth="1"/>
    <col min="6921" max="6921" width="20.28515625" style="4" customWidth="1"/>
    <col min="6922" max="6922" width="11" style="4" bestFit="1" customWidth="1"/>
    <col min="6923" max="6923" width="3.85546875" style="4" bestFit="1" customWidth="1"/>
    <col min="6924" max="6924" width="4.28515625" style="4" customWidth="1"/>
    <col min="6925" max="6925" width="5.7109375" style="4" customWidth="1"/>
    <col min="6926" max="7168" width="9.140625" style="4"/>
    <col min="7169" max="7169" width="6" style="4" customWidth="1"/>
    <col min="7170" max="7170" width="54.28515625" style="4" customWidth="1"/>
    <col min="7171" max="7171" width="13.140625" style="4" customWidth="1"/>
    <col min="7172" max="7172" width="5.5703125" style="4" customWidth="1"/>
    <col min="7173" max="7173" width="6" style="4" customWidth="1"/>
    <col min="7174" max="7174" width="8.85546875" style="4" customWidth="1"/>
    <col min="7175" max="7175" width="11.5703125" style="4" customWidth="1"/>
    <col min="7176" max="7176" width="23.7109375" style="4" customWidth="1"/>
    <col min="7177" max="7177" width="20.28515625" style="4" customWidth="1"/>
    <col min="7178" max="7178" width="11" style="4" bestFit="1" customWidth="1"/>
    <col min="7179" max="7179" width="3.85546875" style="4" bestFit="1" customWidth="1"/>
    <col min="7180" max="7180" width="4.28515625" style="4" customWidth="1"/>
    <col min="7181" max="7181" width="5.7109375" style="4" customWidth="1"/>
    <col min="7182" max="7424" width="9.140625" style="4"/>
    <col min="7425" max="7425" width="6" style="4" customWidth="1"/>
    <col min="7426" max="7426" width="54.28515625" style="4" customWidth="1"/>
    <col min="7427" max="7427" width="13.140625" style="4" customWidth="1"/>
    <col min="7428" max="7428" width="5.5703125" style="4" customWidth="1"/>
    <col min="7429" max="7429" width="6" style="4" customWidth="1"/>
    <col min="7430" max="7430" width="8.85546875" style="4" customWidth="1"/>
    <col min="7431" max="7431" width="11.5703125" style="4" customWidth="1"/>
    <col min="7432" max="7432" width="23.7109375" style="4" customWidth="1"/>
    <col min="7433" max="7433" width="20.28515625" style="4" customWidth="1"/>
    <col min="7434" max="7434" width="11" style="4" bestFit="1" customWidth="1"/>
    <col min="7435" max="7435" width="3.85546875" style="4" bestFit="1" customWidth="1"/>
    <col min="7436" max="7436" width="4.28515625" style="4" customWidth="1"/>
    <col min="7437" max="7437" width="5.7109375" style="4" customWidth="1"/>
    <col min="7438" max="7680" width="9.140625" style="4"/>
    <col min="7681" max="7681" width="6" style="4" customWidth="1"/>
    <col min="7682" max="7682" width="54.28515625" style="4" customWidth="1"/>
    <col min="7683" max="7683" width="13.140625" style="4" customWidth="1"/>
    <col min="7684" max="7684" width="5.5703125" style="4" customWidth="1"/>
    <col min="7685" max="7685" width="6" style="4" customWidth="1"/>
    <col min="7686" max="7686" width="8.85546875" style="4" customWidth="1"/>
    <col min="7687" max="7687" width="11.5703125" style="4" customWidth="1"/>
    <col min="7688" max="7688" width="23.7109375" style="4" customWidth="1"/>
    <col min="7689" max="7689" width="20.28515625" style="4" customWidth="1"/>
    <col min="7690" max="7690" width="11" style="4" bestFit="1" customWidth="1"/>
    <col min="7691" max="7691" width="3.85546875" style="4" bestFit="1" customWidth="1"/>
    <col min="7692" max="7692" width="4.28515625" style="4" customWidth="1"/>
    <col min="7693" max="7693" width="5.7109375" style="4" customWidth="1"/>
    <col min="7694" max="7936" width="9.140625" style="4"/>
    <col min="7937" max="7937" width="6" style="4" customWidth="1"/>
    <col min="7938" max="7938" width="54.28515625" style="4" customWidth="1"/>
    <col min="7939" max="7939" width="13.140625" style="4" customWidth="1"/>
    <col min="7940" max="7940" width="5.5703125" style="4" customWidth="1"/>
    <col min="7941" max="7941" width="6" style="4" customWidth="1"/>
    <col min="7942" max="7942" width="8.85546875" style="4" customWidth="1"/>
    <col min="7943" max="7943" width="11.5703125" style="4" customWidth="1"/>
    <col min="7944" max="7944" width="23.7109375" style="4" customWidth="1"/>
    <col min="7945" max="7945" width="20.28515625" style="4" customWidth="1"/>
    <col min="7946" max="7946" width="11" style="4" bestFit="1" customWidth="1"/>
    <col min="7947" max="7947" width="3.85546875" style="4" bestFit="1" customWidth="1"/>
    <col min="7948" max="7948" width="4.28515625" style="4" customWidth="1"/>
    <col min="7949" max="7949" width="5.7109375" style="4" customWidth="1"/>
    <col min="7950" max="8192" width="9.140625" style="4"/>
    <col min="8193" max="8193" width="6" style="4" customWidth="1"/>
    <col min="8194" max="8194" width="54.28515625" style="4" customWidth="1"/>
    <col min="8195" max="8195" width="13.140625" style="4" customWidth="1"/>
    <col min="8196" max="8196" width="5.5703125" style="4" customWidth="1"/>
    <col min="8197" max="8197" width="6" style="4" customWidth="1"/>
    <col min="8198" max="8198" width="8.85546875" style="4" customWidth="1"/>
    <col min="8199" max="8199" width="11.5703125" style="4" customWidth="1"/>
    <col min="8200" max="8200" width="23.7109375" style="4" customWidth="1"/>
    <col min="8201" max="8201" width="20.28515625" style="4" customWidth="1"/>
    <col min="8202" max="8202" width="11" style="4" bestFit="1" customWidth="1"/>
    <col min="8203" max="8203" width="3.85546875" style="4" bestFit="1" customWidth="1"/>
    <col min="8204" max="8204" width="4.28515625" style="4" customWidth="1"/>
    <col min="8205" max="8205" width="5.7109375" style="4" customWidth="1"/>
    <col min="8206" max="8448" width="9.140625" style="4"/>
    <col min="8449" max="8449" width="6" style="4" customWidth="1"/>
    <col min="8450" max="8450" width="54.28515625" style="4" customWidth="1"/>
    <col min="8451" max="8451" width="13.140625" style="4" customWidth="1"/>
    <col min="8452" max="8452" width="5.5703125" style="4" customWidth="1"/>
    <col min="8453" max="8453" width="6" style="4" customWidth="1"/>
    <col min="8454" max="8454" width="8.85546875" style="4" customWidth="1"/>
    <col min="8455" max="8455" width="11.5703125" style="4" customWidth="1"/>
    <col min="8456" max="8456" width="23.7109375" style="4" customWidth="1"/>
    <col min="8457" max="8457" width="20.28515625" style="4" customWidth="1"/>
    <col min="8458" max="8458" width="11" style="4" bestFit="1" customWidth="1"/>
    <col min="8459" max="8459" width="3.85546875" style="4" bestFit="1" customWidth="1"/>
    <col min="8460" max="8460" width="4.28515625" style="4" customWidth="1"/>
    <col min="8461" max="8461" width="5.7109375" style="4" customWidth="1"/>
    <col min="8462" max="8704" width="9.140625" style="4"/>
    <col min="8705" max="8705" width="6" style="4" customWidth="1"/>
    <col min="8706" max="8706" width="54.28515625" style="4" customWidth="1"/>
    <col min="8707" max="8707" width="13.140625" style="4" customWidth="1"/>
    <col min="8708" max="8708" width="5.5703125" style="4" customWidth="1"/>
    <col min="8709" max="8709" width="6" style="4" customWidth="1"/>
    <col min="8710" max="8710" width="8.85546875" style="4" customWidth="1"/>
    <col min="8711" max="8711" width="11.5703125" style="4" customWidth="1"/>
    <col min="8712" max="8712" width="23.7109375" style="4" customWidth="1"/>
    <col min="8713" max="8713" width="20.28515625" style="4" customWidth="1"/>
    <col min="8714" max="8714" width="11" style="4" bestFit="1" customWidth="1"/>
    <col min="8715" max="8715" width="3.85546875" style="4" bestFit="1" customWidth="1"/>
    <col min="8716" max="8716" width="4.28515625" style="4" customWidth="1"/>
    <col min="8717" max="8717" width="5.7109375" style="4" customWidth="1"/>
    <col min="8718" max="8960" width="9.140625" style="4"/>
    <col min="8961" max="8961" width="6" style="4" customWidth="1"/>
    <col min="8962" max="8962" width="54.28515625" style="4" customWidth="1"/>
    <col min="8963" max="8963" width="13.140625" style="4" customWidth="1"/>
    <col min="8964" max="8964" width="5.5703125" style="4" customWidth="1"/>
    <col min="8965" max="8965" width="6" style="4" customWidth="1"/>
    <col min="8966" max="8966" width="8.85546875" style="4" customWidth="1"/>
    <col min="8967" max="8967" width="11.5703125" style="4" customWidth="1"/>
    <col min="8968" max="8968" width="23.7109375" style="4" customWidth="1"/>
    <col min="8969" max="8969" width="20.28515625" style="4" customWidth="1"/>
    <col min="8970" max="8970" width="11" style="4" bestFit="1" customWidth="1"/>
    <col min="8971" max="8971" width="3.85546875" style="4" bestFit="1" customWidth="1"/>
    <col min="8972" max="8972" width="4.28515625" style="4" customWidth="1"/>
    <col min="8973" max="8973" width="5.7109375" style="4" customWidth="1"/>
    <col min="8974" max="9216" width="9.140625" style="4"/>
    <col min="9217" max="9217" width="6" style="4" customWidth="1"/>
    <col min="9218" max="9218" width="54.28515625" style="4" customWidth="1"/>
    <col min="9219" max="9219" width="13.140625" style="4" customWidth="1"/>
    <col min="9220" max="9220" width="5.5703125" style="4" customWidth="1"/>
    <col min="9221" max="9221" width="6" style="4" customWidth="1"/>
    <col min="9222" max="9222" width="8.85546875" style="4" customWidth="1"/>
    <col min="9223" max="9223" width="11.5703125" style="4" customWidth="1"/>
    <col min="9224" max="9224" width="23.7109375" style="4" customWidth="1"/>
    <col min="9225" max="9225" width="20.28515625" style="4" customWidth="1"/>
    <col min="9226" max="9226" width="11" style="4" bestFit="1" customWidth="1"/>
    <col min="9227" max="9227" width="3.85546875" style="4" bestFit="1" customWidth="1"/>
    <col min="9228" max="9228" width="4.28515625" style="4" customWidth="1"/>
    <col min="9229" max="9229" width="5.7109375" style="4" customWidth="1"/>
    <col min="9230" max="9472" width="9.140625" style="4"/>
    <col min="9473" max="9473" width="6" style="4" customWidth="1"/>
    <col min="9474" max="9474" width="54.28515625" style="4" customWidth="1"/>
    <col min="9475" max="9475" width="13.140625" style="4" customWidth="1"/>
    <col min="9476" max="9476" width="5.5703125" style="4" customWidth="1"/>
    <col min="9477" max="9477" width="6" style="4" customWidth="1"/>
    <col min="9478" max="9478" width="8.85546875" style="4" customWidth="1"/>
    <col min="9479" max="9479" width="11.5703125" style="4" customWidth="1"/>
    <col min="9480" max="9480" width="23.7109375" style="4" customWidth="1"/>
    <col min="9481" max="9481" width="20.28515625" style="4" customWidth="1"/>
    <col min="9482" max="9482" width="11" style="4" bestFit="1" customWidth="1"/>
    <col min="9483" max="9483" width="3.85546875" style="4" bestFit="1" customWidth="1"/>
    <col min="9484" max="9484" width="4.28515625" style="4" customWidth="1"/>
    <col min="9485" max="9485" width="5.7109375" style="4" customWidth="1"/>
    <col min="9486" max="9728" width="9.140625" style="4"/>
    <col min="9729" max="9729" width="6" style="4" customWidth="1"/>
    <col min="9730" max="9730" width="54.28515625" style="4" customWidth="1"/>
    <col min="9731" max="9731" width="13.140625" style="4" customWidth="1"/>
    <col min="9732" max="9732" width="5.5703125" style="4" customWidth="1"/>
    <col min="9733" max="9733" width="6" style="4" customWidth="1"/>
    <col min="9734" max="9734" width="8.85546875" style="4" customWidth="1"/>
    <col min="9735" max="9735" width="11.5703125" style="4" customWidth="1"/>
    <col min="9736" max="9736" width="23.7109375" style="4" customWidth="1"/>
    <col min="9737" max="9737" width="20.28515625" style="4" customWidth="1"/>
    <col min="9738" max="9738" width="11" style="4" bestFit="1" customWidth="1"/>
    <col min="9739" max="9739" width="3.85546875" style="4" bestFit="1" customWidth="1"/>
    <col min="9740" max="9740" width="4.28515625" style="4" customWidth="1"/>
    <col min="9741" max="9741" width="5.7109375" style="4" customWidth="1"/>
    <col min="9742" max="9984" width="9.140625" style="4"/>
    <col min="9985" max="9985" width="6" style="4" customWidth="1"/>
    <col min="9986" max="9986" width="54.28515625" style="4" customWidth="1"/>
    <col min="9987" max="9987" width="13.140625" style="4" customWidth="1"/>
    <col min="9988" max="9988" width="5.5703125" style="4" customWidth="1"/>
    <col min="9989" max="9989" width="6" style="4" customWidth="1"/>
    <col min="9990" max="9990" width="8.85546875" style="4" customWidth="1"/>
    <col min="9991" max="9991" width="11.5703125" style="4" customWidth="1"/>
    <col min="9992" max="9992" width="23.7109375" style="4" customWidth="1"/>
    <col min="9993" max="9993" width="20.28515625" style="4" customWidth="1"/>
    <col min="9994" max="9994" width="11" style="4" bestFit="1" customWidth="1"/>
    <col min="9995" max="9995" width="3.85546875" style="4" bestFit="1" customWidth="1"/>
    <col min="9996" max="9996" width="4.28515625" style="4" customWidth="1"/>
    <col min="9997" max="9997" width="5.7109375" style="4" customWidth="1"/>
    <col min="9998" max="10240" width="9.140625" style="4"/>
    <col min="10241" max="10241" width="6" style="4" customWidth="1"/>
    <col min="10242" max="10242" width="54.28515625" style="4" customWidth="1"/>
    <col min="10243" max="10243" width="13.140625" style="4" customWidth="1"/>
    <col min="10244" max="10244" width="5.5703125" style="4" customWidth="1"/>
    <col min="10245" max="10245" width="6" style="4" customWidth="1"/>
    <col min="10246" max="10246" width="8.85546875" style="4" customWidth="1"/>
    <col min="10247" max="10247" width="11.5703125" style="4" customWidth="1"/>
    <col min="10248" max="10248" width="23.7109375" style="4" customWidth="1"/>
    <col min="10249" max="10249" width="20.28515625" style="4" customWidth="1"/>
    <col min="10250" max="10250" width="11" style="4" bestFit="1" customWidth="1"/>
    <col min="10251" max="10251" width="3.85546875" style="4" bestFit="1" customWidth="1"/>
    <col min="10252" max="10252" width="4.28515625" style="4" customWidth="1"/>
    <col min="10253" max="10253" width="5.7109375" style="4" customWidth="1"/>
    <col min="10254" max="10496" width="9.140625" style="4"/>
    <col min="10497" max="10497" width="6" style="4" customWidth="1"/>
    <col min="10498" max="10498" width="54.28515625" style="4" customWidth="1"/>
    <col min="10499" max="10499" width="13.140625" style="4" customWidth="1"/>
    <col min="10500" max="10500" width="5.5703125" style="4" customWidth="1"/>
    <col min="10501" max="10501" width="6" style="4" customWidth="1"/>
    <col min="10502" max="10502" width="8.85546875" style="4" customWidth="1"/>
    <col min="10503" max="10503" width="11.5703125" style="4" customWidth="1"/>
    <col min="10504" max="10504" width="23.7109375" style="4" customWidth="1"/>
    <col min="10505" max="10505" width="20.28515625" style="4" customWidth="1"/>
    <col min="10506" max="10506" width="11" style="4" bestFit="1" customWidth="1"/>
    <col min="10507" max="10507" width="3.85546875" style="4" bestFit="1" customWidth="1"/>
    <col min="10508" max="10508" width="4.28515625" style="4" customWidth="1"/>
    <col min="10509" max="10509" width="5.7109375" style="4" customWidth="1"/>
    <col min="10510" max="10752" width="9.140625" style="4"/>
    <col min="10753" max="10753" width="6" style="4" customWidth="1"/>
    <col min="10754" max="10754" width="54.28515625" style="4" customWidth="1"/>
    <col min="10755" max="10755" width="13.140625" style="4" customWidth="1"/>
    <col min="10756" max="10756" width="5.5703125" style="4" customWidth="1"/>
    <col min="10757" max="10757" width="6" style="4" customWidth="1"/>
    <col min="10758" max="10758" width="8.85546875" style="4" customWidth="1"/>
    <col min="10759" max="10759" width="11.5703125" style="4" customWidth="1"/>
    <col min="10760" max="10760" width="23.7109375" style="4" customWidth="1"/>
    <col min="10761" max="10761" width="20.28515625" style="4" customWidth="1"/>
    <col min="10762" max="10762" width="11" style="4" bestFit="1" customWidth="1"/>
    <col min="10763" max="10763" width="3.85546875" style="4" bestFit="1" customWidth="1"/>
    <col min="10764" max="10764" width="4.28515625" style="4" customWidth="1"/>
    <col min="10765" max="10765" width="5.7109375" style="4" customWidth="1"/>
    <col min="10766" max="11008" width="9.140625" style="4"/>
    <col min="11009" max="11009" width="6" style="4" customWidth="1"/>
    <col min="11010" max="11010" width="54.28515625" style="4" customWidth="1"/>
    <col min="11011" max="11011" width="13.140625" style="4" customWidth="1"/>
    <col min="11012" max="11012" width="5.5703125" style="4" customWidth="1"/>
    <col min="11013" max="11013" width="6" style="4" customWidth="1"/>
    <col min="11014" max="11014" width="8.85546875" style="4" customWidth="1"/>
    <col min="11015" max="11015" width="11.5703125" style="4" customWidth="1"/>
    <col min="11016" max="11016" width="23.7109375" style="4" customWidth="1"/>
    <col min="11017" max="11017" width="20.28515625" style="4" customWidth="1"/>
    <col min="11018" max="11018" width="11" style="4" bestFit="1" customWidth="1"/>
    <col min="11019" max="11019" width="3.85546875" style="4" bestFit="1" customWidth="1"/>
    <col min="11020" max="11020" width="4.28515625" style="4" customWidth="1"/>
    <col min="11021" max="11021" width="5.7109375" style="4" customWidth="1"/>
    <col min="11022" max="11264" width="9.140625" style="4"/>
    <col min="11265" max="11265" width="6" style="4" customWidth="1"/>
    <col min="11266" max="11266" width="54.28515625" style="4" customWidth="1"/>
    <col min="11267" max="11267" width="13.140625" style="4" customWidth="1"/>
    <col min="11268" max="11268" width="5.5703125" style="4" customWidth="1"/>
    <col min="11269" max="11269" width="6" style="4" customWidth="1"/>
    <col min="11270" max="11270" width="8.85546875" style="4" customWidth="1"/>
    <col min="11271" max="11271" width="11.5703125" style="4" customWidth="1"/>
    <col min="11272" max="11272" width="23.7109375" style="4" customWidth="1"/>
    <col min="11273" max="11273" width="20.28515625" style="4" customWidth="1"/>
    <col min="11274" max="11274" width="11" style="4" bestFit="1" customWidth="1"/>
    <col min="11275" max="11275" width="3.85546875" style="4" bestFit="1" customWidth="1"/>
    <col min="11276" max="11276" width="4.28515625" style="4" customWidth="1"/>
    <col min="11277" max="11277" width="5.7109375" style="4" customWidth="1"/>
    <col min="11278" max="11520" width="9.140625" style="4"/>
    <col min="11521" max="11521" width="6" style="4" customWidth="1"/>
    <col min="11522" max="11522" width="54.28515625" style="4" customWidth="1"/>
    <col min="11523" max="11523" width="13.140625" style="4" customWidth="1"/>
    <col min="11524" max="11524" width="5.5703125" style="4" customWidth="1"/>
    <col min="11525" max="11525" width="6" style="4" customWidth="1"/>
    <col min="11526" max="11526" width="8.85546875" style="4" customWidth="1"/>
    <col min="11527" max="11527" width="11.5703125" style="4" customWidth="1"/>
    <col min="11528" max="11528" width="23.7109375" style="4" customWidth="1"/>
    <col min="11529" max="11529" width="20.28515625" style="4" customWidth="1"/>
    <col min="11530" max="11530" width="11" style="4" bestFit="1" customWidth="1"/>
    <col min="11531" max="11531" width="3.85546875" style="4" bestFit="1" customWidth="1"/>
    <col min="11532" max="11532" width="4.28515625" style="4" customWidth="1"/>
    <col min="11533" max="11533" width="5.7109375" style="4" customWidth="1"/>
    <col min="11534" max="11776" width="9.140625" style="4"/>
    <col min="11777" max="11777" width="6" style="4" customWidth="1"/>
    <col min="11778" max="11778" width="54.28515625" style="4" customWidth="1"/>
    <col min="11779" max="11779" width="13.140625" style="4" customWidth="1"/>
    <col min="11780" max="11780" width="5.5703125" style="4" customWidth="1"/>
    <col min="11781" max="11781" width="6" style="4" customWidth="1"/>
    <col min="11782" max="11782" width="8.85546875" style="4" customWidth="1"/>
    <col min="11783" max="11783" width="11.5703125" style="4" customWidth="1"/>
    <col min="11784" max="11784" width="23.7109375" style="4" customWidth="1"/>
    <col min="11785" max="11785" width="20.28515625" style="4" customWidth="1"/>
    <col min="11786" max="11786" width="11" style="4" bestFit="1" customWidth="1"/>
    <col min="11787" max="11787" width="3.85546875" style="4" bestFit="1" customWidth="1"/>
    <col min="11788" max="11788" width="4.28515625" style="4" customWidth="1"/>
    <col min="11789" max="11789" width="5.7109375" style="4" customWidth="1"/>
    <col min="11790" max="12032" width="9.140625" style="4"/>
    <col min="12033" max="12033" width="6" style="4" customWidth="1"/>
    <col min="12034" max="12034" width="54.28515625" style="4" customWidth="1"/>
    <col min="12035" max="12035" width="13.140625" style="4" customWidth="1"/>
    <col min="12036" max="12036" width="5.5703125" style="4" customWidth="1"/>
    <col min="12037" max="12037" width="6" style="4" customWidth="1"/>
    <col min="12038" max="12038" width="8.85546875" style="4" customWidth="1"/>
    <col min="12039" max="12039" width="11.5703125" style="4" customWidth="1"/>
    <col min="12040" max="12040" width="23.7109375" style="4" customWidth="1"/>
    <col min="12041" max="12041" width="20.28515625" style="4" customWidth="1"/>
    <col min="12042" max="12042" width="11" style="4" bestFit="1" customWidth="1"/>
    <col min="12043" max="12043" width="3.85546875" style="4" bestFit="1" customWidth="1"/>
    <col min="12044" max="12044" width="4.28515625" style="4" customWidth="1"/>
    <col min="12045" max="12045" width="5.7109375" style="4" customWidth="1"/>
    <col min="12046" max="12288" width="9.140625" style="4"/>
    <col min="12289" max="12289" width="6" style="4" customWidth="1"/>
    <col min="12290" max="12290" width="54.28515625" style="4" customWidth="1"/>
    <col min="12291" max="12291" width="13.140625" style="4" customWidth="1"/>
    <col min="12292" max="12292" width="5.5703125" style="4" customWidth="1"/>
    <col min="12293" max="12293" width="6" style="4" customWidth="1"/>
    <col min="12294" max="12294" width="8.85546875" style="4" customWidth="1"/>
    <col min="12295" max="12295" width="11.5703125" style="4" customWidth="1"/>
    <col min="12296" max="12296" width="23.7109375" style="4" customWidth="1"/>
    <col min="12297" max="12297" width="20.28515625" style="4" customWidth="1"/>
    <col min="12298" max="12298" width="11" style="4" bestFit="1" customWidth="1"/>
    <col min="12299" max="12299" width="3.85546875" style="4" bestFit="1" customWidth="1"/>
    <col min="12300" max="12300" width="4.28515625" style="4" customWidth="1"/>
    <col min="12301" max="12301" width="5.7109375" style="4" customWidth="1"/>
    <col min="12302" max="12544" width="9.140625" style="4"/>
    <col min="12545" max="12545" width="6" style="4" customWidth="1"/>
    <col min="12546" max="12546" width="54.28515625" style="4" customWidth="1"/>
    <col min="12547" max="12547" width="13.140625" style="4" customWidth="1"/>
    <col min="12548" max="12548" width="5.5703125" style="4" customWidth="1"/>
    <col min="12549" max="12549" width="6" style="4" customWidth="1"/>
    <col min="12550" max="12550" width="8.85546875" style="4" customWidth="1"/>
    <col min="12551" max="12551" width="11.5703125" style="4" customWidth="1"/>
    <col min="12552" max="12552" width="23.7109375" style="4" customWidth="1"/>
    <col min="12553" max="12553" width="20.28515625" style="4" customWidth="1"/>
    <col min="12554" max="12554" width="11" style="4" bestFit="1" customWidth="1"/>
    <col min="12555" max="12555" width="3.85546875" style="4" bestFit="1" customWidth="1"/>
    <col min="12556" max="12556" width="4.28515625" style="4" customWidth="1"/>
    <col min="12557" max="12557" width="5.7109375" style="4" customWidth="1"/>
    <col min="12558" max="12800" width="9.140625" style="4"/>
    <col min="12801" max="12801" width="6" style="4" customWidth="1"/>
    <col min="12802" max="12802" width="54.28515625" style="4" customWidth="1"/>
    <col min="12803" max="12803" width="13.140625" style="4" customWidth="1"/>
    <col min="12804" max="12804" width="5.5703125" style="4" customWidth="1"/>
    <col min="12805" max="12805" width="6" style="4" customWidth="1"/>
    <col min="12806" max="12806" width="8.85546875" style="4" customWidth="1"/>
    <col min="12807" max="12807" width="11.5703125" style="4" customWidth="1"/>
    <col min="12808" max="12808" width="23.7109375" style="4" customWidth="1"/>
    <col min="12809" max="12809" width="20.28515625" style="4" customWidth="1"/>
    <col min="12810" max="12810" width="11" style="4" bestFit="1" customWidth="1"/>
    <col min="12811" max="12811" width="3.85546875" style="4" bestFit="1" customWidth="1"/>
    <col min="12812" max="12812" width="4.28515625" style="4" customWidth="1"/>
    <col min="12813" max="12813" width="5.7109375" style="4" customWidth="1"/>
    <col min="12814" max="13056" width="9.140625" style="4"/>
    <col min="13057" max="13057" width="6" style="4" customWidth="1"/>
    <col min="13058" max="13058" width="54.28515625" style="4" customWidth="1"/>
    <col min="13059" max="13059" width="13.140625" style="4" customWidth="1"/>
    <col min="13060" max="13060" width="5.5703125" style="4" customWidth="1"/>
    <col min="13061" max="13061" width="6" style="4" customWidth="1"/>
    <col min="13062" max="13062" width="8.85546875" style="4" customWidth="1"/>
    <col min="13063" max="13063" width="11.5703125" style="4" customWidth="1"/>
    <col min="13064" max="13064" width="23.7109375" style="4" customWidth="1"/>
    <col min="13065" max="13065" width="20.28515625" style="4" customWidth="1"/>
    <col min="13066" max="13066" width="11" style="4" bestFit="1" customWidth="1"/>
    <col min="13067" max="13067" width="3.85546875" style="4" bestFit="1" customWidth="1"/>
    <col min="13068" max="13068" width="4.28515625" style="4" customWidth="1"/>
    <col min="13069" max="13069" width="5.7109375" style="4" customWidth="1"/>
    <col min="13070" max="13312" width="9.140625" style="4"/>
    <col min="13313" max="13313" width="6" style="4" customWidth="1"/>
    <col min="13314" max="13314" width="54.28515625" style="4" customWidth="1"/>
    <col min="13315" max="13315" width="13.140625" style="4" customWidth="1"/>
    <col min="13316" max="13316" width="5.5703125" style="4" customWidth="1"/>
    <col min="13317" max="13317" width="6" style="4" customWidth="1"/>
    <col min="13318" max="13318" width="8.85546875" style="4" customWidth="1"/>
    <col min="13319" max="13319" width="11.5703125" style="4" customWidth="1"/>
    <col min="13320" max="13320" width="23.7109375" style="4" customWidth="1"/>
    <col min="13321" max="13321" width="20.28515625" style="4" customWidth="1"/>
    <col min="13322" max="13322" width="11" style="4" bestFit="1" customWidth="1"/>
    <col min="13323" max="13323" width="3.85546875" style="4" bestFit="1" customWidth="1"/>
    <col min="13324" max="13324" width="4.28515625" style="4" customWidth="1"/>
    <col min="13325" max="13325" width="5.7109375" style="4" customWidth="1"/>
    <col min="13326" max="13568" width="9.140625" style="4"/>
    <col min="13569" max="13569" width="6" style="4" customWidth="1"/>
    <col min="13570" max="13570" width="54.28515625" style="4" customWidth="1"/>
    <col min="13571" max="13571" width="13.140625" style="4" customWidth="1"/>
    <col min="13572" max="13572" width="5.5703125" style="4" customWidth="1"/>
    <col min="13573" max="13573" width="6" style="4" customWidth="1"/>
    <col min="13574" max="13574" width="8.85546875" style="4" customWidth="1"/>
    <col min="13575" max="13575" width="11.5703125" style="4" customWidth="1"/>
    <col min="13576" max="13576" width="23.7109375" style="4" customWidth="1"/>
    <col min="13577" max="13577" width="20.28515625" style="4" customWidth="1"/>
    <col min="13578" max="13578" width="11" style="4" bestFit="1" customWidth="1"/>
    <col min="13579" max="13579" width="3.85546875" style="4" bestFit="1" customWidth="1"/>
    <col min="13580" max="13580" width="4.28515625" style="4" customWidth="1"/>
    <col min="13581" max="13581" width="5.7109375" style="4" customWidth="1"/>
    <col min="13582" max="13824" width="9.140625" style="4"/>
    <col min="13825" max="13825" width="6" style="4" customWidth="1"/>
    <col min="13826" max="13826" width="54.28515625" style="4" customWidth="1"/>
    <col min="13827" max="13827" width="13.140625" style="4" customWidth="1"/>
    <col min="13828" max="13828" width="5.5703125" style="4" customWidth="1"/>
    <col min="13829" max="13829" width="6" style="4" customWidth="1"/>
    <col min="13830" max="13830" width="8.85546875" style="4" customWidth="1"/>
    <col min="13831" max="13831" width="11.5703125" style="4" customWidth="1"/>
    <col min="13832" max="13832" width="23.7109375" style="4" customWidth="1"/>
    <col min="13833" max="13833" width="20.28515625" style="4" customWidth="1"/>
    <col min="13834" max="13834" width="11" style="4" bestFit="1" customWidth="1"/>
    <col min="13835" max="13835" width="3.85546875" style="4" bestFit="1" customWidth="1"/>
    <col min="13836" max="13836" width="4.28515625" style="4" customWidth="1"/>
    <col min="13837" max="13837" width="5.7109375" style="4" customWidth="1"/>
    <col min="13838" max="14080" width="9.140625" style="4"/>
    <col min="14081" max="14081" width="6" style="4" customWidth="1"/>
    <col min="14082" max="14082" width="54.28515625" style="4" customWidth="1"/>
    <col min="14083" max="14083" width="13.140625" style="4" customWidth="1"/>
    <col min="14084" max="14084" width="5.5703125" style="4" customWidth="1"/>
    <col min="14085" max="14085" width="6" style="4" customWidth="1"/>
    <col min="14086" max="14086" width="8.85546875" style="4" customWidth="1"/>
    <col min="14087" max="14087" width="11.5703125" style="4" customWidth="1"/>
    <col min="14088" max="14088" width="23.7109375" style="4" customWidth="1"/>
    <col min="14089" max="14089" width="20.28515625" style="4" customWidth="1"/>
    <col min="14090" max="14090" width="11" style="4" bestFit="1" customWidth="1"/>
    <col min="14091" max="14091" width="3.85546875" style="4" bestFit="1" customWidth="1"/>
    <col min="14092" max="14092" width="4.28515625" style="4" customWidth="1"/>
    <col min="14093" max="14093" width="5.7109375" style="4" customWidth="1"/>
    <col min="14094" max="14336" width="9.140625" style="4"/>
    <col min="14337" max="14337" width="6" style="4" customWidth="1"/>
    <col min="14338" max="14338" width="54.28515625" style="4" customWidth="1"/>
    <col min="14339" max="14339" width="13.140625" style="4" customWidth="1"/>
    <col min="14340" max="14340" width="5.5703125" style="4" customWidth="1"/>
    <col min="14341" max="14341" width="6" style="4" customWidth="1"/>
    <col min="14342" max="14342" width="8.85546875" style="4" customWidth="1"/>
    <col min="14343" max="14343" width="11.5703125" style="4" customWidth="1"/>
    <col min="14344" max="14344" width="23.7109375" style="4" customWidth="1"/>
    <col min="14345" max="14345" width="20.28515625" style="4" customWidth="1"/>
    <col min="14346" max="14346" width="11" style="4" bestFit="1" customWidth="1"/>
    <col min="14347" max="14347" width="3.85546875" style="4" bestFit="1" customWidth="1"/>
    <col min="14348" max="14348" width="4.28515625" style="4" customWidth="1"/>
    <col min="14349" max="14349" width="5.7109375" style="4" customWidth="1"/>
    <col min="14350" max="14592" width="9.140625" style="4"/>
    <col min="14593" max="14593" width="6" style="4" customWidth="1"/>
    <col min="14594" max="14594" width="54.28515625" style="4" customWidth="1"/>
    <col min="14595" max="14595" width="13.140625" style="4" customWidth="1"/>
    <col min="14596" max="14596" width="5.5703125" style="4" customWidth="1"/>
    <col min="14597" max="14597" width="6" style="4" customWidth="1"/>
    <col min="14598" max="14598" width="8.85546875" style="4" customWidth="1"/>
    <col min="14599" max="14599" width="11.5703125" style="4" customWidth="1"/>
    <col min="14600" max="14600" width="23.7109375" style="4" customWidth="1"/>
    <col min="14601" max="14601" width="20.28515625" style="4" customWidth="1"/>
    <col min="14602" max="14602" width="11" style="4" bestFit="1" customWidth="1"/>
    <col min="14603" max="14603" width="3.85546875" style="4" bestFit="1" customWidth="1"/>
    <col min="14604" max="14604" width="4.28515625" style="4" customWidth="1"/>
    <col min="14605" max="14605" width="5.7109375" style="4" customWidth="1"/>
    <col min="14606" max="14848" width="9.140625" style="4"/>
    <col min="14849" max="14849" width="6" style="4" customWidth="1"/>
    <col min="14850" max="14850" width="54.28515625" style="4" customWidth="1"/>
    <col min="14851" max="14851" width="13.140625" style="4" customWidth="1"/>
    <col min="14852" max="14852" width="5.5703125" style="4" customWidth="1"/>
    <col min="14853" max="14853" width="6" style="4" customWidth="1"/>
    <col min="14854" max="14854" width="8.85546875" style="4" customWidth="1"/>
    <col min="14855" max="14855" width="11.5703125" style="4" customWidth="1"/>
    <col min="14856" max="14856" width="23.7109375" style="4" customWidth="1"/>
    <col min="14857" max="14857" width="20.28515625" style="4" customWidth="1"/>
    <col min="14858" max="14858" width="11" style="4" bestFit="1" customWidth="1"/>
    <col min="14859" max="14859" width="3.85546875" style="4" bestFit="1" customWidth="1"/>
    <col min="14860" max="14860" width="4.28515625" style="4" customWidth="1"/>
    <col min="14861" max="14861" width="5.7109375" style="4" customWidth="1"/>
    <col min="14862" max="15104" width="9.140625" style="4"/>
    <col min="15105" max="15105" width="6" style="4" customWidth="1"/>
    <col min="15106" max="15106" width="54.28515625" style="4" customWidth="1"/>
    <col min="15107" max="15107" width="13.140625" style="4" customWidth="1"/>
    <col min="15108" max="15108" width="5.5703125" style="4" customWidth="1"/>
    <col min="15109" max="15109" width="6" style="4" customWidth="1"/>
    <col min="15110" max="15110" width="8.85546875" style="4" customWidth="1"/>
    <col min="15111" max="15111" width="11.5703125" style="4" customWidth="1"/>
    <col min="15112" max="15112" width="23.7109375" style="4" customWidth="1"/>
    <col min="15113" max="15113" width="20.28515625" style="4" customWidth="1"/>
    <col min="15114" max="15114" width="11" style="4" bestFit="1" customWidth="1"/>
    <col min="15115" max="15115" width="3.85546875" style="4" bestFit="1" customWidth="1"/>
    <col min="15116" max="15116" width="4.28515625" style="4" customWidth="1"/>
    <col min="15117" max="15117" width="5.7109375" style="4" customWidth="1"/>
    <col min="15118" max="15360" width="9.140625" style="4"/>
    <col min="15361" max="15361" width="6" style="4" customWidth="1"/>
    <col min="15362" max="15362" width="54.28515625" style="4" customWidth="1"/>
    <col min="15363" max="15363" width="13.140625" style="4" customWidth="1"/>
    <col min="15364" max="15364" width="5.5703125" style="4" customWidth="1"/>
    <col min="15365" max="15365" width="6" style="4" customWidth="1"/>
    <col min="15366" max="15366" width="8.85546875" style="4" customWidth="1"/>
    <col min="15367" max="15367" width="11.5703125" style="4" customWidth="1"/>
    <col min="15368" max="15368" width="23.7109375" style="4" customWidth="1"/>
    <col min="15369" max="15369" width="20.28515625" style="4" customWidth="1"/>
    <col min="15370" max="15370" width="11" style="4" bestFit="1" customWidth="1"/>
    <col min="15371" max="15371" width="3.85546875" style="4" bestFit="1" customWidth="1"/>
    <col min="15372" max="15372" width="4.28515625" style="4" customWidth="1"/>
    <col min="15373" max="15373" width="5.7109375" style="4" customWidth="1"/>
    <col min="15374" max="15616" width="9.140625" style="4"/>
    <col min="15617" max="15617" width="6" style="4" customWidth="1"/>
    <col min="15618" max="15618" width="54.28515625" style="4" customWidth="1"/>
    <col min="15619" max="15619" width="13.140625" style="4" customWidth="1"/>
    <col min="15620" max="15620" width="5.5703125" style="4" customWidth="1"/>
    <col min="15621" max="15621" width="6" style="4" customWidth="1"/>
    <col min="15622" max="15622" width="8.85546875" style="4" customWidth="1"/>
    <col min="15623" max="15623" width="11.5703125" style="4" customWidth="1"/>
    <col min="15624" max="15624" width="23.7109375" style="4" customWidth="1"/>
    <col min="15625" max="15625" width="20.28515625" style="4" customWidth="1"/>
    <col min="15626" max="15626" width="11" style="4" bestFit="1" customWidth="1"/>
    <col min="15627" max="15627" width="3.85546875" style="4" bestFit="1" customWidth="1"/>
    <col min="15628" max="15628" width="4.28515625" style="4" customWidth="1"/>
    <col min="15629" max="15629" width="5.7109375" style="4" customWidth="1"/>
    <col min="15630" max="15872" width="9.140625" style="4"/>
    <col min="15873" max="15873" width="6" style="4" customWidth="1"/>
    <col min="15874" max="15874" width="54.28515625" style="4" customWidth="1"/>
    <col min="15875" max="15875" width="13.140625" style="4" customWidth="1"/>
    <col min="15876" max="15876" width="5.5703125" style="4" customWidth="1"/>
    <col min="15877" max="15877" width="6" style="4" customWidth="1"/>
    <col min="15878" max="15878" width="8.85546875" style="4" customWidth="1"/>
    <col min="15879" max="15879" width="11.5703125" style="4" customWidth="1"/>
    <col min="15880" max="15880" width="23.7109375" style="4" customWidth="1"/>
    <col min="15881" max="15881" width="20.28515625" style="4" customWidth="1"/>
    <col min="15882" max="15882" width="11" style="4" bestFit="1" customWidth="1"/>
    <col min="15883" max="15883" width="3.85546875" style="4" bestFit="1" customWidth="1"/>
    <col min="15884" max="15884" width="4.28515625" style="4" customWidth="1"/>
    <col min="15885" max="15885" width="5.7109375" style="4" customWidth="1"/>
    <col min="15886" max="16128" width="9.140625" style="4"/>
    <col min="16129" max="16129" width="6" style="4" customWidth="1"/>
    <col min="16130" max="16130" width="54.28515625" style="4" customWidth="1"/>
    <col min="16131" max="16131" width="13.140625" style="4" customWidth="1"/>
    <col min="16132" max="16132" width="5.5703125" style="4" customWidth="1"/>
    <col min="16133" max="16133" width="6" style="4" customWidth="1"/>
    <col min="16134" max="16134" width="8.85546875" style="4" customWidth="1"/>
    <col min="16135" max="16135" width="11.5703125" style="4" customWidth="1"/>
    <col min="16136" max="16136" width="23.7109375" style="4" customWidth="1"/>
    <col min="16137" max="16137" width="20.28515625" style="4" customWidth="1"/>
    <col min="16138" max="16138" width="11" style="4" bestFit="1" customWidth="1"/>
    <col min="16139" max="16139" width="3.85546875" style="4" bestFit="1" customWidth="1"/>
    <col min="16140" max="16140" width="4.28515625" style="4" customWidth="1"/>
    <col min="16141" max="16141" width="5.7109375" style="4" customWidth="1"/>
    <col min="16142" max="16384" width="9.140625" style="4"/>
  </cols>
  <sheetData>
    <row r="1" spans="1:10" ht="18" customHeight="1">
      <c r="B1" s="3498" t="s">
        <v>3050</v>
      </c>
      <c r="C1" s="3498"/>
      <c r="D1" s="421"/>
      <c r="E1" s="421"/>
      <c r="F1" s="421"/>
      <c r="G1" s="421"/>
      <c r="H1" s="421"/>
      <c r="I1" s="12"/>
    </row>
    <row r="2" spans="1:10" ht="16.5" customHeight="1">
      <c r="B2" s="176"/>
      <c r="C2" s="421"/>
      <c r="D2" s="421"/>
      <c r="E2" s="421"/>
      <c r="F2" s="3075" t="s">
        <v>89</v>
      </c>
      <c r="G2" s="3075"/>
      <c r="H2" s="421"/>
      <c r="I2" s="12"/>
    </row>
    <row r="3" spans="1:10" ht="15" customHeight="1">
      <c r="B3" s="3075" t="s">
        <v>3051</v>
      </c>
      <c r="C3" s="3075"/>
      <c r="D3" s="3075"/>
      <c r="E3" s="3075"/>
      <c r="F3" s="3075"/>
      <c r="G3" s="646"/>
    </row>
    <row r="4" spans="1:10" ht="12.75" customHeight="1">
      <c r="B4" s="188"/>
      <c r="C4" s="188"/>
      <c r="D4" s="187"/>
      <c r="E4" s="187"/>
      <c r="F4" s="187"/>
      <c r="G4" s="187"/>
    </row>
    <row r="5" spans="1:10" ht="30" customHeight="1">
      <c r="A5" s="190" t="s">
        <v>2</v>
      </c>
      <c r="B5" s="2886" t="s">
        <v>3</v>
      </c>
      <c r="C5" s="190" t="s">
        <v>1795</v>
      </c>
      <c r="D5" s="190" t="s">
        <v>5</v>
      </c>
      <c r="E5" s="190" t="s">
        <v>143</v>
      </c>
      <c r="F5" s="190" t="s">
        <v>9</v>
      </c>
      <c r="G5" s="190" t="s">
        <v>1668</v>
      </c>
    </row>
    <row r="6" spans="1:10" ht="15.75" customHeight="1">
      <c r="A6" s="2873">
        <v>1</v>
      </c>
      <c r="B6" s="190">
        <v>2</v>
      </c>
      <c r="C6" s="190">
        <v>3</v>
      </c>
      <c r="D6" s="190">
        <v>4</v>
      </c>
      <c r="E6" s="190">
        <v>5</v>
      </c>
      <c r="F6" s="190">
        <v>6</v>
      </c>
      <c r="G6" s="190">
        <v>7</v>
      </c>
    </row>
    <row r="7" spans="1:10" ht="29.25" customHeight="1">
      <c r="A7" s="2889">
        <v>1</v>
      </c>
      <c r="B7" s="1182" t="s">
        <v>3052</v>
      </c>
      <c r="C7" s="1258">
        <v>7130800012</v>
      </c>
      <c r="D7" s="2859" t="s">
        <v>12</v>
      </c>
      <c r="E7" s="2889">
        <v>1</v>
      </c>
      <c r="F7" s="734">
        <f>VLOOKUP(C7,'[25]SOR RATE'!A:D,4,0)</f>
        <v>2298.46</v>
      </c>
      <c r="G7" s="735">
        <f t="shared" ref="G7:G17" si="0">F7*E7</f>
        <v>2298.46</v>
      </c>
    </row>
    <row r="8" spans="1:10" ht="16.5" customHeight="1">
      <c r="A8" s="2889">
        <v>2</v>
      </c>
      <c r="B8" s="1182" t="s">
        <v>2996</v>
      </c>
      <c r="C8" s="1258">
        <v>7130810495</v>
      </c>
      <c r="D8" s="1181" t="s">
        <v>12</v>
      </c>
      <c r="E8" s="2889">
        <v>23</v>
      </c>
      <c r="F8" s="734">
        <f>VLOOKUP(C8,'[25]SOR RATE'!A:D,4,0)</f>
        <v>1380.08</v>
      </c>
      <c r="G8" s="735">
        <f>F8*E8</f>
        <v>31741.839999999997</v>
      </c>
    </row>
    <row r="9" spans="1:10" ht="17.25" customHeight="1">
      <c r="A9" s="2889">
        <v>3</v>
      </c>
      <c r="B9" s="1182" t="s">
        <v>3053</v>
      </c>
      <c r="C9" s="1258">
        <v>7130810679</v>
      </c>
      <c r="D9" s="1181" t="s">
        <v>12</v>
      </c>
      <c r="E9" s="2889">
        <v>23</v>
      </c>
      <c r="F9" s="734">
        <f>VLOOKUP(C9,'[25]SOR RATE'!A:D,4,0)</f>
        <v>387.16</v>
      </c>
      <c r="G9" s="735">
        <f>F9*E9</f>
        <v>8904.68</v>
      </c>
    </row>
    <row r="10" spans="1:10" ht="16.5" customHeight="1">
      <c r="A10" s="2889">
        <v>4</v>
      </c>
      <c r="B10" s="1182" t="s">
        <v>2997</v>
      </c>
      <c r="C10" s="1258">
        <v>7130870013</v>
      </c>
      <c r="D10" s="2910" t="s">
        <v>12</v>
      </c>
      <c r="E10" s="2889">
        <v>23</v>
      </c>
      <c r="F10" s="734">
        <f>VLOOKUP(C10,'[25]SOR RATE'!A:D,4,0)</f>
        <v>152.88999999999999</v>
      </c>
      <c r="G10" s="735">
        <f>F10*E10</f>
        <v>3516.47</v>
      </c>
    </row>
    <row r="11" spans="1:10" ht="17.25" customHeight="1">
      <c r="A11" s="2889">
        <v>5</v>
      </c>
      <c r="B11" s="1182" t="s">
        <v>19</v>
      </c>
      <c r="C11" s="1258">
        <v>7130820008</v>
      </c>
      <c r="D11" s="1181" t="s">
        <v>12</v>
      </c>
      <c r="E11" s="2889">
        <v>69</v>
      </c>
      <c r="F11" s="734">
        <f>VLOOKUP(C11,'[25]SOR RATE'!A:D,4,0)</f>
        <v>157.08000000000001</v>
      </c>
      <c r="G11" s="735">
        <f>F11*E11</f>
        <v>10838.52</v>
      </c>
      <c r="I11" s="239"/>
    </row>
    <row r="12" spans="1:10" ht="32.25" customHeight="1">
      <c r="A12" s="2889">
        <v>6</v>
      </c>
      <c r="B12" s="2911" t="s">
        <v>3037</v>
      </c>
      <c r="C12" s="2846">
        <v>7130830854</v>
      </c>
      <c r="D12" s="2876" t="s">
        <v>12</v>
      </c>
      <c r="E12" s="2889">
        <v>6</v>
      </c>
      <c r="F12" s="734">
        <f>VLOOKUP(C12,'[25]SOR RATE'!A:D,4,0)</f>
        <v>37.78</v>
      </c>
      <c r="G12" s="735">
        <f t="shared" si="0"/>
        <v>226.68</v>
      </c>
    </row>
    <row r="13" spans="1:10" ht="17.25" customHeight="1">
      <c r="A13" s="2889">
        <v>7</v>
      </c>
      <c r="B13" s="1182" t="s">
        <v>161</v>
      </c>
      <c r="C13" s="1258">
        <v>7130211158</v>
      </c>
      <c r="D13" s="1181" t="s">
        <v>29</v>
      </c>
      <c r="E13" s="2889">
        <v>3</v>
      </c>
      <c r="F13" s="734">
        <f>VLOOKUP(C13,'[25]SOR RATE'!A:D,4,0)</f>
        <v>193.62</v>
      </c>
      <c r="G13" s="735">
        <f t="shared" si="0"/>
        <v>580.86</v>
      </c>
    </row>
    <row r="14" spans="1:10" ht="17.25" customHeight="1">
      <c r="A14" s="2889">
        <v>8</v>
      </c>
      <c r="B14" s="1182" t="s">
        <v>162</v>
      </c>
      <c r="C14" s="1258">
        <v>7130210809</v>
      </c>
      <c r="D14" s="1181" t="s">
        <v>29</v>
      </c>
      <c r="E14" s="2889">
        <v>3</v>
      </c>
      <c r="F14" s="734">
        <f>VLOOKUP(C14,'[25]SOR RATE'!A:D,4,0)</f>
        <v>432.63</v>
      </c>
      <c r="G14" s="735">
        <f t="shared" si="0"/>
        <v>1297.8899999999999</v>
      </c>
    </row>
    <row r="15" spans="1:10" ht="17.25" customHeight="1">
      <c r="A15" s="2889">
        <v>9</v>
      </c>
      <c r="B15" s="1185" t="s">
        <v>31</v>
      </c>
      <c r="C15" s="1186">
        <v>7130610206</v>
      </c>
      <c r="D15" s="1181" t="s">
        <v>26</v>
      </c>
      <c r="E15" s="2889">
        <v>23</v>
      </c>
      <c r="F15" s="734">
        <f>VLOOKUP(C15,'[25]SOR RATE'!A:D,4,0)/1000</f>
        <v>97.233429999999998</v>
      </c>
      <c r="G15" s="735">
        <f>F15*E15</f>
        <v>2236.3688899999997</v>
      </c>
      <c r="H15" s="20"/>
      <c r="I15" s="17"/>
      <c r="J15" s="17"/>
    </row>
    <row r="16" spans="1:10" ht="17.25" customHeight="1">
      <c r="A16" s="2889">
        <v>10</v>
      </c>
      <c r="B16" s="1182" t="s">
        <v>128</v>
      </c>
      <c r="C16" s="1258">
        <v>7130880041</v>
      </c>
      <c r="D16" s="1181" t="s">
        <v>12</v>
      </c>
      <c r="E16" s="2889">
        <v>23</v>
      </c>
      <c r="F16" s="734">
        <f>VLOOKUP(C16,'[25]SOR RATE'!A:D,4,0)</f>
        <v>113.77</v>
      </c>
      <c r="G16" s="735">
        <f>F16*E16</f>
        <v>2616.71</v>
      </c>
    </row>
    <row r="17" spans="1:9" ht="17.25" customHeight="1">
      <c r="A17" s="2889">
        <v>11</v>
      </c>
      <c r="B17" s="1182" t="s">
        <v>3038</v>
      </c>
      <c r="C17" s="1258">
        <v>7130830006</v>
      </c>
      <c r="D17" s="1181" t="s">
        <v>26</v>
      </c>
      <c r="E17" s="2889">
        <v>5</v>
      </c>
      <c r="F17" s="734">
        <f>VLOOKUP(C17,'[25]SOR RATE'!A:D,4,0)</f>
        <v>201.5</v>
      </c>
      <c r="G17" s="735">
        <f t="shared" si="0"/>
        <v>1007.5</v>
      </c>
    </row>
    <row r="18" spans="1:9" ht="17.25" customHeight="1">
      <c r="A18" s="3225">
        <v>12</v>
      </c>
      <c r="B18" s="1182" t="s">
        <v>3039</v>
      </c>
      <c r="C18" s="1188"/>
      <c r="D18" s="1189"/>
      <c r="E18" s="1189"/>
      <c r="F18" s="1189"/>
      <c r="G18" s="1190"/>
    </row>
    <row r="19" spans="1:9" ht="17.25" customHeight="1">
      <c r="A19" s="3226"/>
      <c r="B19" s="1182" t="s">
        <v>36</v>
      </c>
      <c r="C19" s="1258">
        <v>7130620619</v>
      </c>
      <c r="D19" s="1181" t="s">
        <v>26</v>
      </c>
      <c r="E19" s="2889">
        <v>2</v>
      </c>
      <c r="F19" s="734">
        <f>VLOOKUP(C19,'[25]SOR RATE'!A:D,4,0)</f>
        <v>85.77</v>
      </c>
      <c r="G19" s="735">
        <f>F19*E19</f>
        <v>171.54</v>
      </c>
    </row>
    <row r="20" spans="1:9" ht="17.25" customHeight="1">
      <c r="A20" s="3220"/>
      <c r="B20" s="1182" t="s">
        <v>37</v>
      </c>
      <c r="C20" s="1258">
        <v>7130620627</v>
      </c>
      <c r="D20" s="1181" t="s">
        <v>26</v>
      </c>
      <c r="E20" s="2889">
        <v>17</v>
      </c>
      <c r="F20" s="734">
        <f>VLOOKUP(C20,'[25]SOR RATE'!A:D,4,0)</f>
        <v>84.32</v>
      </c>
      <c r="G20" s="735">
        <f>F20*E20</f>
        <v>1433.4399999999998</v>
      </c>
    </row>
    <row r="21" spans="1:9" ht="17.25" customHeight="1">
      <c r="A21" s="3225">
        <v>13</v>
      </c>
      <c r="B21" s="1182" t="s">
        <v>1543</v>
      </c>
      <c r="C21" s="1188"/>
      <c r="D21" s="1189"/>
      <c r="E21" s="1189"/>
      <c r="F21" s="1189"/>
      <c r="G21" s="1190"/>
    </row>
    <row r="22" spans="1:9" ht="17.25" customHeight="1">
      <c r="A22" s="3226"/>
      <c r="B22" s="1182" t="s">
        <v>3001</v>
      </c>
      <c r="C22" s="1258">
        <v>7130810511</v>
      </c>
      <c r="D22" s="1181" t="s">
        <v>40</v>
      </c>
      <c r="E22" s="2889">
        <v>1</v>
      </c>
      <c r="F22" s="734">
        <f>VLOOKUP(C22,'[25]SOR RATE'!A:D,4,0)</f>
        <v>3272.43</v>
      </c>
      <c r="G22" s="735">
        <f>F22*E22</f>
        <v>3272.43</v>
      </c>
    </row>
    <row r="23" spans="1:9" ht="17.25" customHeight="1">
      <c r="A23" s="3226"/>
      <c r="B23" s="1182" t="s">
        <v>41</v>
      </c>
      <c r="C23" s="1258">
        <v>7130870043</v>
      </c>
      <c r="D23" s="1181" t="s">
        <v>26</v>
      </c>
      <c r="E23" s="2889">
        <v>35</v>
      </c>
      <c r="F23" s="734">
        <f>VLOOKUP(C23,'[25]SOR RATE'!A:D,4,0)/1000</f>
        <v>80.521839999999997</v>
      </c>
      <c r="G23" s="735">
        <f>F23*E23</f>
        <v>2818.2644</v>
      </c>
    </row>
    <row r="24" spans="1:9" ht="17.25" customHeight="1">
      <c r="A24" s="3226"/>
      <c r="B24" s="1182" t="s">
        <v>3040</v>
      </c>
      <c r="C24" s="2912">
        <v>7130810026</v>
      </c>
      <c r="D24" s="1181" t="s">
        <v>12</v>
      </c>
      <c r="E24" s="2889">
        <v>2</v>
      </c>
      <c r="F24" s="734">
        <f>VLOOKUP(C24,'[25]SOR RATE'!A202:D202,4,0)</f>
        <v>369.79</v>
      </c>
      <c r="G24" s="735">
        <f t="shared" ref="G24:G28" si="1">F24*E24</f>
        <v>739.58</v>
      </c>
    </row>
    <row r="25" spans="1:9" ht="17.25" customHeight="1">
      <c r="A25" s="3226"/>
      <c r="B25" s="1182" t="s">
        <v>3041</v>
      </c>
      <c r="C25" s="1258">
        <v>7130860077</v>
      </c>
      <c r="D25" s="2867" t="s">
        <v>26</v>
      </c>
      <c r="E25" s="2889">
        <v>11</v>
      </c>
      <c r="F25" s="734">
        <f>VLOOKUP(C25,'[25]SOR RATE'!A:D,4,0)/1000</f>
        <v>93.76643</v>
      </c>
      <c r="G25" s="735">
        <f t="shared" si="1"/>
        <v>1031.43073</v>
      </c>
    </row>
    <row r="26" spans="1:9" ht="17.25" customHeight="1">
      <c r="A26" s="3226"/>
      <c r="B26" s="1182" t="s">
        <v>3004</v>
      </c>
      <c r="C26" s="1258">
        <v>7130860032</v>
      </c>
      <c r="D26" s="1181" t="s">
        <v>12</v>
      </c>
      <c r="E26" s="2889">
        <v>2</v>
      </c>
      <c r="F26" s="734">
        <f>VLOOKUP(C26,'[25]SOR RATE'!A:D,4,0)</f>
        <v>566.19000000000005</v>
      </c>
      <c r="G26" s="735">
        <f t="shared" si="1"/>
        <v>1132.3800000000001</v>
      </c>
    </row>
    <row r="27" spans="1:9" ht="17.25" customHeight="1">
      <c r="A27" s="3226"/>
      <c r="B27" s="1182" t="s">
        <v>3005</v>
      </c>
      <c r="C27" s="2842">
        <v>7130820117</v>
      </c>
      <c r="D27" s="2843" t="s">
        <v>68</v>
      </c>
      <c r="E27" s="2889">
        <v>2</v>
      </c>
      <c r="F27" s="734">
        <f>VLOOKUP(C27,'[25]SOR RATE'!A:D,4,0)</f>
        <v>12.42</v>
      </c>
      <c r="G27" s="735">
        <f t="shared" si="1"/>
        <v>24.84</v>
      </c>
      <c r="H27" s="739" t="s">
        <v>119</v>
      </c>
    </row>
    <row r="28" spans="1:9" ht="17.25" customHeight="1">
      <c r="A28" s="3220"/>
      <c r="B28" s="1182" t="s">
        <v>3054</v>
      </c>
      <c r="C28" s="1258">
        <v>7130620013</v>
      </c>
      <c r="D28" s="1496" t="s">
        <v>68</v>
      </c>
      <c r="E28" s="2889">
        <v>4</v>
      </c>
      <c r="F28" s="734">
        <f>VLOOKUP(C28,'[25]SOR RATE'!A:D,4,0)</f>
        <v>156.05000000000001</v>
      </c>
      <c r="G28" s="735">
        <f t="shared" si="1"/>
        <v>624.20000000000005</v>
      </c>
    </row>
    <row r="29" spans="1:9" ht="45.75" customHeight="1">
      <c r="A29" s="3225">
        <v>14</v>
      </c>
      <c r="B29" s="1506" t="s">
        <v>45</v>
      </c>
      <c r="C29" s="2889"/>
      <c r="D29" s="2889"/>
      <c r="E29" s="2889">
        <f>1+2</f>
        <v>3</v>
      </c>
      <c r="F29" s="2889"/>
      <c r="G29" s="735"/>
    </row>
    <row r="30" spans="1:9" ht="15.75" customHeight="1">
      <c r="A30" s="3220"/>
      <c r="B30" s="1470" t="s">
        <v>1738</v>
      </c>
      <c r="C30" s="1258">
        <v>7130640008</v>
      </c>
      <c r="D30" s="1181" t="s">
        <v>33</v>
      </c>
      <c r="E30" s="2889">
        <f>1+(2*2)</f>
        <v>5</v>
      </c>
      <c r="F30" s="734">
        <f>VLOOKUP(C30,'[25]SOR RATE'!A:D,4,0)</f>
        <v>158</v>
      </c>
      <c r="G30" s="735">
        <f>F30*E30</f>
        <v>790</v>
      </c>
      <c r="H30" s="3460" t="s">
        <v>47</v>
      </c>
      <c r="I30" s="3484"/>
    </row>
    <row r="31" spans="1:9" ht="17.25" customHeight="1">
      <c r="A31" s="2889">
        <v>15</v>
      </c>
      <c r="B31" s="1182" t="s">
        <v>3055</v>
      </c>
      <c r="C31" s="1258">
        <v>7130311008</v>
      </c>
      <c r="D31" s="2889" t="s">
        <v>190</v>
      </c>
      <c r="E31" s="2889">
        <v>600</v>
      </c>
      <c r="F31" s="734">
        <f>VLOOKUP(C31,'[25]SOR RATE'!A:D,4,0)/1000</f>
        <v>24.908200000000001</v>
      </c>
      <c r="G31" s="735">
        <f>F31*E31</f>
        <v>14944.92</v>
      </c>
    </row>
    <row r="32" spans="1:9" ht="17.25" customHeight="1">
      <c r="A32" s="2889">
        <v>16</v>
      </c>
      <c r="B32" s="1506" t="s">
        <v>2921</v>
      </c>
      <c r="C32" s="2839">
        <v>7132476007</v>
      </c>
      <c r="D32" s="1181" t="s">
        <v>1193</v>
      </c>
      <c r="E32" s="2889">
        <v>30</v>
      </c>
      <c r="F32" s="734">
        <f>VLOOKUP(C32,'[25]SOR RATE'!A:D,4,0)</f>
        <v>17.59</v>
      </c>
      <c r="G32" s="735">
        <f>F32*E32</f>
        <v>527.70000000000005</v>
      </c>
    </row>
    <row r="33" spans="1:9" ht="18" customHeight="1">
      <c r="A33" s="190">
        <v>17</v>
      </c>
      <c r="B33" s="1191" t="s">
        <v>48</v>
      </c>
      <c r="C33" s="190"/>
      <c r="D33" s="2889"/>
      <c r="E33" s="2889"/>
      <c r="F33" s="2889"/>
      <c r="G33" s="2884">
        <f>SUM(G7:G32)</f>
        <v>92776.70401999999</v>
      </c>
      <c r="H33" s="20"/>
      <c r="I33" s="22"/>
    </row>
    <row r="34" spans="1:9" ht="33.75" customHeight="1">
      <c r="A34" s="2872">
        <v>18</v>
      </c>
      <c r="B34" s="1191" t="s">
        <v>49</v>
      </c>
      <c r="C34" s="190"/>
      <c r="D34" s="2889"/>
      <c r="E34" s="2889"/>
      <c r="F34" s="2889"/>
      <c r="G34" s="2884">
        <f>G33/1.18</f>
        <v>78624.32544067796</v>
      </c>
      <c r="H34" s="174"/>
      <c r="I34" s="22"/>
    </row>
    <row r="35" spans="1:9" ht="16.5" customHeight="1">
      <c r="A35" s="2876">
        <v>19</v>
      </c>
      <c r="B35" s="1185" t="s">
        <v>50</v>
      </c>
      <c r="C35" s="1295"/>
      <c r="D35" s="1295"/>
      <c r="E35" s="1295"/>
      <c r="F35" s="2889">
        <v>7.4999999999999997E-2</v>
      </c>
      <c r="G35" s="735">
        <f>G33*F35</f>
        <v>6958.2528014999989</v>
      </c>
      <c r="H35" s="732"/>
      <c r="I35" s="17"/>
    </row>
    <row r="36" spans="1:9" ht="32.25" customHeight="1">
      <c r="A36" s="2889">
        <v>20</v>
      </c>
      <c r="B36" s="1182" t="s">
        <v>3045</v>
      </c>
      <c r="C36" s="2889"/>
      <c r="D36" s="2889" t="s">
        <v>68</v>
      </c>
      <c r="E36" s="2889">
        <v>1</v>
      </c>
      <c r="F36" s="1202">
        <f>229.365334460327*1.043</f>
        <v>239.22804384212105</v>
      </c>
      <c r="G36" s="735">
        <f>F36*E36</f>
        <v>239.22804384212105</v>
      </c>
    </row>
    <row r="37" spans="1:9" ht="17.25" customHeight="1">
      <c r="A37" s="2889">
        <v>21</v>
      </c>
      <c r="B37" s="1182" t="s">
        <v>3056</v>
      </c>
      <c r="C37" s="2889"/>
      <c r="D37" s="2889"/>
      <c r="E37" s="2889"/>
      <c r="F37" s="2889"/>
      <c r="G37" s="735">
        <v>58087.19</v>
      </c>
      <c r="H37" s="19"/>
    </row>
    <row r="38" spans="1:9" ht="18.75" customHeight="1">
      <c r="A38" s="2889">
        <v>22</v>
      </c>
      <c r="B38" s="1182" t="s">
        <v>3057</v>
      </c>
      <c r="C38" s="2889"/>
      <c r="D38" s="2889"/>
      <c r="E38" s="2889"/>
      <c r="F38" s="2889">
        <v>0.04</v>
      </c>
      <c r="G38" s="734">
        <f>G34*F38</f>
        <v>3144.9730176271187</v>
      </c>
      <c r="H38" s="2533" t="s">
        <v>1827</v>
      </c>
      <c r="I38" s="177"/>
    </row>
    <row r="39" spans="1:9" ht="45" customHeight="1">
      <c r="A39" s="2889">
        <v>23</v>
      </c>
      <c r="B39" s="1233" t="s">
        <v>3058</v>
      </c>
      <c r="C39" s="2889"/>
      <c r="D39" s="2889"/>
      <c r="E39" s="2889"/>
      <c r="F39" s="2889"/>
      <c r="G39" s="734">
        <f>(G33+G35+G36+G37+G38)*0.125</f>
        <v>20150.793485371152</v>
      </c>
      <c r="H39" s="201"/>
      <c r="I39" s="177"/>
    </row>
    <row r="40" spans="1:9" ht="32.25" customHeight="1">
      <c r="A40" s="190">
        <v>24</v>
      </c>
      <c r="B40" s="1214" t="s">
        <v>3059</v>
      </c>
      <c r="C40" s="2889"/>
      <c r="D40" s="2889"/>
      <c r="E40" s="2889"/>
      <c r="F40" s="2889"/>
      <c r="G40" s="2884">
        <f>SUM(G34:G39)</f>
        <v>167204.76278901836</v>
      </c>
      <c r="H40" s="27"/>
    </row>
    <row r="41" spans="1:9" ht="17.25" customHeight="1">
      <c r="A41" s="2889">
        <v>25</v>
      </c>
      <c r="B41" s="1185" t="s">
        <v>1512</v>
      </c>
      <c r="C41" s="2889"/>
      <c r="D41" s="2889"/>
      <c r="E41" s="2889"/>
      <c r="F41" s="2889">
        <v>0.09</v>
      </c>
      <c r="G41" s="735">
        <f>G40*F41</f>
        <v>15048.428651011653</v>
      </c>
      <c r="H41" s="27"/>
    </row>
    <row r="42" spans="1:9" ht="17.25" customHeight="1">
      <c r="A42" s="2889">
        <v>26</v>
      </c>
      <c r="B42" s="1185" t="s">
        <v>1513</v>
      </c>
      <c r="C42" s="2889"/>
      <c r="D42" s="2889"/>
      <c r="E42" s="2889"/>
      <c r="F42" s="2889">
        <v>0.09</v>
      </c>
      <c r="G42" s="735">
        <f>G40*F42</f>
        <v>15048.428651011653</v>
      </c>
      <c r="H42" s="398"/>
    </row>
    <row r="43" spans="1:9" ht="32.25" customHeight="1">
      <c r="A43" s="2889">
        <v>27</v>
      </c>
      <c r="B43" s="1185" t="s">
        <v>1514</v>
      </c>
      <c r="C43" s="2889"/>
      <c r="D43" s="2889"/>
      <c r="E43" s="2889"/>
      <c r="F43" s="2889"/>
      <c r="G43" s="735">
        <f>G40+G41+G42</f>
        <v>197301.6200910417</v>
      </c>
      <c r="I43" s="227"/>
    </row>
    <row r="44" spans="1:9" ht="36" customHeight="1">
      <c r="A44" s="190">
        <v>28</v>
      </c>
      <c r="B44" s="1214" t="s">
        <v>59</v>
      </c>
      <c r="C44" s="2889"/>
      <c r="D44" s="2889"/>
      <c r="E44" s="2889"/>
      <c r="F44" s="2889"/>
      <c r="G44" s="2884">
        <f>ROUND(G43,0)</f>
        <v>197302</v>
      </c>
    </row>
    <row r="45" spans="1:9">
      <c r="A45" s="2909"/>
      <c r="B45" s="646"/>
      <c r="C45" s="251"/>
      <c r="D45" s="2903"/>
      <c r="E45" s="2903"/>
      <c r="F45" s="2903"/>
      <c r="G45" s="66"/>
    </row>
    <row r="46" spans="1:9" ht="42.75" customHeight="1">
      <c r="A46" s="3494" t="s">
        <v>2960</v>
      </c>
      <c r="B46" s="3496" t="s">
        <v>3060</v>
      </c>
      <c r="C46" s="3496"/>
      <c r="D46" s="3496"/>
      <c r="E46" s="3496"/>
      <c r="F46" s="3496"/>
      <c r="G46" s="394"/>
    </row>
    <row r="47" spans="1:9" ht="28.5" customHeight="1">
      <c r="A47" s="3495"/>
      <c r="B47" s="3497" t="s">
        <v>3061</v>
      </c>
      <c r="C47" s="3497"/>
      <c r="D47" s="3497"/>
      <c r="E47" s="3497"/>
      <c r="F47" s="3497"/>
      <c r="G47" s="394"/>
    </row>
    <row r="48" spans="1:9" ht="14.25">
      <c r="A48" s="185" t="s">
        <v>62</v>
      </c>
      <c r="B48" s="29" t="s">
        <v>63</v>
      </c>
    </row>
    <row r="62" spans="3:3">
      <c r="C62" s="4"/>
    </row>
  </sheetData>
  <mergeCells count="10">
    <mergeCell ref="H30:I30"/>
    <mergeCell ref="A46:A47"/>
    <mergeCell ref="B46:F46"/>
    <mergeCell ref="B47:F47"/>
    <mergeCell ref="B1:C1"/>
    <mergeCell ref="F2:G2"/>
    <mergeCell ref="B3:F3"/>
    <mergeCell ref="A18:A20"/>
    <mergeCell ref="A21:A28"/>
    <mergeCell ref="A29:A30"/>
  </mergeCells>
  <conditionalFormatting sqref="B33">
    <cfRule type="cellIs" dxfId="16" priority="2" stopIfTrue="1" operator="equal">
      <formula>"?"</formula>
    </cfRule>
  </conditionalFormatting>
  <conditionalFormatting sqref="B34">
    <cfRule type="cellIs" dxfId="15" priority="1" stopIfTrue="1" operator="equal">
      <formula>"?"</formula>
    </cfRule>
  </conditionalFormatting>
  <printOptions horizontalCentered="1"/>
  <pageMargins left="0.62992125984251968" right="0.15748031496062992" top="0.62992125984251968" bottom="0.62992125984251968" header="0.39370078740157483" footer="0.15748031496062992"/>
  <pageSetup paperSize="9" scale="95" orientation="portrait" r:id="rId1"/>
  <headerFooter alignWithMargins="0"/>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9"/>
  <sheetViews>
    <sheetView workbookViewId="0">
      <pane xSplit="2" ySplit="8" topLeftCell="C15" activePane="bottomRight" state="frozen"/>
      <selection pane="topRight" activeCell="C1" sqref="C1"/>
      <selection pane="bottomLeft" activeCell="A9" sqref="A9"/>
      <selection pane="bottomRight" activeCell="C9" sqref="C9"/>
    </sheetView>
  </sheetViews>
  <sheetFormatPr defaultRowHeight="12.75"/>
  <cols>
    <col min="1" max="1" width="4.28515625" style="70" customWidth="1"/>
    <col min="2" max="2" width="25.85546875" style="70" customWidth="1"/>
    <col min="3" max="3" width="12.85546875" style="70" customWidth="1"/>
    <col min="4" max="4" width="5.140625" style="70" customWidth="1"/>
    <col min="5" max="6" width="10.5703125" style="70" customWidth="1"/>
    <col min="7" max="7" width="8.7109375" style="70" customWidth="1"/>
    <col min="8" max="8" width="9.140625" style="70" customWidth="1"/>
    <col min="9" max="9" width="10.85546875" style="70" customWidth="1"/>
    <col min="10" max="11" width="10.140625" style="70" customWidth="1"/>
    <col min="12" max="12" width="10.85546875" style="70" customWidth="1"/>
    <col min="13" max="13" width="13" style="70" customWidth="1"/>
    <col min="14" max="14" width="22" style="70" customWidth="1"/>
    <col min="15" max="15" width="9.140625" style="70"/>
    <col min="16" max="16" width="11" style="70" customWidth="1"/>
    <col min="17" max="256" width="9.140625" style="70"/>
    <col min="257" max="257" width="4.28515625" style="70" customWidth="1"/>
    <col min="258" max="258" width="23.85546875" style="70" customWidth="1"/>
    <col min="259" max="259" width="12.85546875" style="70" customWidth="1"/>
    <col min="260" max="260" width="5.140625" style="70" customWidth="1"/>
    <col min="261" max="262" width="10.5703125" style="70" customWidth="1"/>
    <col min="263" max="263" width="11.140625" style="70" customWidth="1"/>
    <col min="264" max="264" width="9.28515625" style="70" bestFit="1" customWidth="1"/>
    <col min="265" max="265" width="10.85546875" style="70" customWidth="1"/>
    <col min="266" max="267" width="10.140625" style="70" customWidth="1"/>
    <col min="268" max="268" width="10.85546875" style="70" customWidth="1"/>
    <col min="269" max="269" width="13" style="70" customWidth="1"/>
    <col min="270" max="270" width="22" style="70" customWidth="1"/>
    <col min="271" max="512" width="9.140625" style="70"/>
    <col min="513" max="513" width="4.28515625" style="70" customWidth="1"/>
    <col min="514" max="514" width="23.85546875" style="70" customWidth="1"/>
    <col min="515" max="515" width="12.85546875" style="70" customWidth="1"/>
    <col min="516" max="516" width="5.140625" style="70" customWidth="1"/>
    <col min="517" max="518" width="10.5703125" style="70" customWidth="1"/>
    <col min="519" max="519" width="11.140625" style="70" customWidth="1"/>
    <col min="520" max="520" width="9.28515625" style="70" bestFit="1" customWidth="1"/>
    <col min="521" max="521" width="10.85546875" style="70" customWidth="1"/>
    <col min="522" max="523" width="10.140625" style="70" customWidth="1"/>
    <col min="524" max="524" width="10.85546875" style="70" customWidth="1"/>
    <col min="525" max="525" width="13" style="70" customWidth="1"/>
    <col min="526" max="526" width="22" style="70" customWidth="1"/>
    <col min="527" max="768" width="9.140625" style="70"/>
    <col min="769" max="769" width="4.28515625" style="70" customWidth="1"/>
    <col min="770" max="770" width="23.85546875" style="70" customWidth="1"/>
    <col min="771" max="771" width="12.85546875" style="70" customWidth="1"/>
    <col min="772" max="772" width="5.140625" style="70" customWidth="1"/>
    <col min="773" max="774" width="10.5703125" style="70" customWidth="1"/>
    <col min="775" max="775" width="11.140625" style="70" customWidth="1"/>
    <col min="776" max="776" width="9.28515625" style="70" bestFit="1" customWidth="1"/>
    <col min="777" max="777" width="10.85546875" style="70" customWidth="1"/>
    <col min="778" max="779" width="10.140625" style="70" customWidth="1"/>
    <col min="780" max="780" width="10.85546875" style="70" customWidth="1"/>
    <col min="781" max="781" width="13" style="70" customWidth="1"/>
    <col min="782" max="782" width="22" style="70" customWidth="1"/>
    <col min="783" max="1024" width="9.140625" style="70"/>
    <col min="1025" max="1025" width="4.28515625" style="70" customWidth="1"/>
    <col min="1026" max="1026" width="23.85546875" style="70" customWidth="1"/>
    <col min="1027" max="1027" width="12.85546875" style="70" customWidth="1"/>
    <col min="1028" max="1028" width="5.140625" style="70" customWidth="1"/>
    <col min="1029" max="1030" width="10.5703125" style="70" customWidth="1"/>
    <col min="1031" max="1031" width="11.140625" style="70" customWidth="1"/>
    <col min="1032" max="1032" width="9.28515625" style="70" bestFit="1" customWidth="1"/>
    <col min="1033" max="1033" width="10.85546875" style="70" customWidth="1"/>
    <col min="1034" max="1035" width="10.140625" style="70" customWidth="1"/>
    <col min="1036" max="1036" width="10.85546875" style="70" customWidth="1"/>
    <col min="1037" max="1037" width="13" style="70" customWidth="1"/>
    <col min="1038" max="1038" width="22" style="70" customWidth="1"/>
    <col min="1039" max="1280" width="9.140625" style="70"/>
    <col min="1281" max="1281" width="4.28515625" style="70" customWidth="1"/>
    <col min="1282" max="1282" width="23.85546875" style="70" customWidth="1"/>
    <col min="1283" max="1283" width="12.85546875" style="70" customWidth="1"/>
    <col min="1284" max="1284" width="5.140625" style="70" customWidth="1"/>
    <col min="1285" max="1286" width="10.5703125" style="70" customWidth="1"/>
    <col min="1287" max="1287" width="11.140625" style="70" customWidth="1"/>
    <col min="1288" max="1288" width="9.28515625" style="70" bestFit="1" customWidth="1"/>
    <col min="1289" max="1289" width="10.85546875" style="70" customWidth="1"/>
    <col min="1290" max="1291" width="10.140625" style="70" customWidth="1"/>
    <col min="1292" max="1292" width="10.85546875" style="70" customWidth="1"/>
    <col min="1293" max="1293" width="13" style="70" customWidth="1"/>
    <col min="1294" max="1294" width="22" style="70" customWidth="1"/>
    <col min="1295" max="1536" width="9.140625" style="70"/>
    <col min="1537" max="1537" width="4.28515625" style="70" customWidth="1"/>
    <col min="1538" max="1538" width="23.85546875" style="70" customWidth="1"/>
    <col min="1539" max="1539" width="12.85546875" style="70" customWidth="1"/>
    <col min="1540" max="1540" width="5.140625" style="70" customWidth="1"/>
    <col min="1541" max="1542" width="10.5703125" style="70" customWidth="1"/>
    <col min="1543" max="1543" width="11.140625" style="70" customWidth="1"/>
    <col min="1544" max="1544" width="9.28515625" style="70" bestFit="1" customWidth="1"/>
    <col min="1545" max="1545" width="10.85546875" style="70" customWidth="1"/>
    <col min="1546" max="1547" width="10.140625" style="70" customWidth="1"/>
    <col min="1548" max="1548" width="10.85546875" style="70" customWidth="1"/>
    <col min="1549" max="1549" width="13" style="70" customWidth="1"/>
    <col min="1550" max="1550" width="22" style="70" customWidth="1"/>
    <col min="1551" max="1792" width="9.140625" style="70"/>
    <col min="1793" max="1793" width="4.28515625" style="70" customWidth="1"/>
    <col min="1794" max="1794" width="23.85546875" style="70" customWidth="1"/>
    <col min="1795" max="1795" width="12.85546875" style="70" customWidth="1"/>
    <col min="1796" max="1796" width="5.140625" style="70" customWidth="1"/>
    <col min="1797" max="1798" width="10.5703125" style="70" customWidth="1"/>
    <col min="1799" max="1799" width="11.140625" style="70" customWidth="1"/>
    <col min="1800" max="1800" width="9.28515625" style="70" bestFit="1" customWidth="1"/>
    <col min="1801" max="1801" width="10.85546875" style="70" customWidth="1"/>
    <col min="1802" max="1803" width="10.140625" style="70" customWidth="1"/>
    <col min="1804" max="1804" width="10.85546875" style="70" customWidth="1"/>
    <col min="1805" max="1805" width="13" style="70" customWidth="1"/>
    <col min="1806" max="1806" width="22" style="70" customWidth="1"/>
    <col min="1807" max="2048" width="9.140625" style="70"/>
    <col min="2049" max="2049" width="4.28515625" style="70" customWidth="1"/>
    <col min="2050" max="2050" width="23.85546875" style="70" customWidth="1"/>
    <col min="2051" max="2051" width="12.85546875" style="70" customWidth="1"/>
    <col min="2052" max="2052" width="5.140625" style="70" customWidth="1"/>
    <col min="2053" max="2054" width="10.5703125" style="70" customWidth="1"/>
    <col min="2055" max="2055" width="11.140625" style="70" customWidth="1"/>
    <col min="2056" max="2056" width="9.28515625" style="70" bestFit="1" customWidth="1"/>
    <col min="2057" max="2057" width="10.85546875" style="70" customWidth="1"/>
    <col min="2058" max="2059" width="10.140625" style="70" customWidth="1"/>
    <col min="2060" max="2060" width="10.85546875" style="70" customWidth="1"/>
    <col min="2061" max="2061" width="13" style="70" customWidth="1"/>
    <col min="2062" max="2062" width="22" style="70" customWidth="1"/>
    <col min="2063" max="2304" width="9.140625" style="70"/>
    <col min="2305" max="2305" width="4.28515625" style="70" customWidth="1"/>
    <col min="2306" max="2306" width="23.85546875" style="70" customWidth="1"/>
    <col min="2307" max="2307" width="12.85546875" style="70" customWidth="1"/>
    <col min="2308" max="2308" width="5.140625" style="70" customWidth="1"/>
    <col min="2309" max="2310" width="10.5703125" style="70" customWidth="1"/>
    <col min="2311" max="2311" width="11.140625" style="70" customWidth="1"/>
    <col min="2312" max="2312" width="9.28515625" style="70" bestFit="1" customWidth="1"/>
    <col min="2313" max="2313" width="10.85546875" style="70" customWidth="1"/>
    <col min="2314" max="2315" width="10.140625" style="70" customWidth="1"/>
    <col min="2316" max="2316" width="10.85546875" style="70" customWidth="1"/>
    <col min="2317" max="2317" width="13" style="70" customWidth="1"/>
    <col min="2318" max="2318" width="22" style="70" customWidth="1"/>
    <col min="2319" max="2560" width="9.140625" style="70"/>
    <col min="2561" max="2561" width="4.28515625" style="70" customWidth="1"/>
    <col min="2562" max="2562" width="23.85546875" style="70" customWidth="1"/>
    <col min="2563" max="2563" width="12.85546875" style="70" customWidth="1"/>
    <col min="2564" max="2564" width="5.140625" style="70" customWidth="1"/>
    <col min="2565" max="2566" width="10.5703125" style="70" customWidth="1"/>
    <col min="2567" max="2567" width="11.140625" style="70" customWidth="1"/>
    <col min="2568" max="2568" width="9.28515625" style="70" bestFit="1" customWidth="1"/>
    <col min="2569" max="2569" width="10.85546875" style="70" customWidth="1"/>
    <col min="2570" max="2571" width="10.140625" style="70" customWidth="1"/>
    <col min="2572" max="2572" width="10.85546875" style="70" customWidth="1"/>
    <col min="2573" max="2573" width="13" style="70" customWidth="1"/>
    <col min="2574" max="2574" width="22" style="70" customWidth="1"/>
    <col min="2575" max="2816" width="9.140625" style="70"/>
    <col min="2817" max="2817" width="4.28515625" style="70" customWidth="1"/>
    <col min="2818" max="2818" width="23.85546875" style="70" customWidth="1"/>
    <col min="2819" max="2819" width="12.85546875" style="70" customWidth="1"/>
    <col min="2820" max="2820" width="5.140625" style="70" customWidth="1"/>
    <col min="2821" max="2822" width="10.5703125" style="70" customWidth="1"/>
    <col min="2823" max="2823" width="11.140625" style="70" customWidth="1"/>
    <col min="2824" max="2824" width="9.28515625" style="70" bestFit="1" customWidth="1"/>
    <col min="2825" max="2825" width="10.85546875" style="70" customWidth="1"/>
    <col min="2826" max="2827" width="10.140625" style="70" customWidth="1"/>
    <col min="2828" max="2828" width="10.85546875" style="70" customWidth="1"/>
    <col min="2829" max="2829" width="13" style="70" customWidth="1"/>
    <col min="2830" max="2830" width="22" style="70" customWidth="1"/>
    <col min="2831" max="3072" width="9.140625" style="70"/>
    <col min="3073" max="3073" width="4.28515625" style="70" customWidth="1"/>
    <col min="3074" max="3074" width="23.85546875" style="70" customWidth="1"/>
    <col min="3075" max="3075" width="12.85546875" style="70" customWidth="1"/>
    <col min="3076" max="3076" width="5.140625" style="70" customWidth="1"/>
    <col min="3077" max="3078" width="10.5703125" style="70" customWidth="1"/>
    <col min="3079" max="3079" width="11.140625" style="70" customWidth="1"/>
    <col min="3080" max="3080" width="9.28515625" style="70" bestFit="1" customWidth="1"/>
    <col min="3081" max="3081" width="10.85546875" style="70" customWidth="1"/>
    <col min="3082" max="3083" width="10.140625" style="70" customWidth="1"/>
    <col min="3084" max="3084" width="10.85546875" style="70" customWidth="1"/>
    <col min="3085" max="3085" width="13" style="70" customWidth="1"/>
    <col min="3086" max="3086" width="22" style="70" customWidth="1"/>
    <col min="3087" max="3328" width="9.140625" style="70"/>
    <col min="3329" max="3329" width="4.28515625" style="70" customWidth="1"/>
    <col min="3330" max="3330" width="23.85546875" style="70" customWidth="1"/>
    <col min="3331" max="3331" width="12.85546875" style="70" customWidth="1"/>
    <col min="3332" max="3332" width="5.140625" style="70" customWidth="1"/>
    <col min="3333" max="3334" width="10.5703125" style="70" customWidth="1"/>
    <col min="3335" max="3335" width="11.140625" style="70" customWidth="1"/>
    <col min="3336" max="3336" width="9.28515625" style="70" bestFit="1" customWidth="1"/>
    <col min="3337" max="3337" width="10.85546875" style="70" customWidth="1"/>
    <col min="3338" max="3339" width="10.140625" style="70" customWidth="1"/>
    <col min="3340" max="3340" width="10.85546875" style="70" customWidth="1"/>
    <col min="3341" max="3341" width="13" style="70" customWidth="1"/>
    <col min="3342" max="3342" width="22" style="70" customWidth="1"/>
    <col min="3343" max="3584" width="9.140625" style="70"/>
    <col min="3585" max="3585" width="4.28515625" style="70" customWidth="1"/>
    <col min="3586" max="3586" width="23.85546875" style="70" customWidth="1"/>
    <col min="3587" max="3587" width="12.85546875" style="70" customWidth="1"/>
    <col min="3588" max="3588" width="5.140625" style="70" customWidth="1"/>
    <col min="3589" max="3590" width="10.5703125" style="70" customWidth="1"/>
    <col min="3591" max="3591" width="11.140625" style="70" customWidth="1"/>
    <col min="3592" max="3592" width="9.28515625" style="70" bestFit="1" customWidth="1"/>
    <col min="3593" max="3593" width="10.85546875" style="70" customWidth="1"/>
    <col min="3594" max="3595" width="10.140625" style="70" customWidth="1"/>
    <col min="3596" max="3596" width="10.85546875" style="70" customWidth="1"/>
    <col min="3597" max="3597" width="13" style="70" customWidth="1"/>
    <col min="3598" max="3598" width="22" style="70" customWidth="1"/>
    <col min="3599" max="3840" width="9.140625" style="70"/>
    <col min="3841" max="3841" width="4.28515625" style="70" customWidth="1"/>
    <col min="3842" max="3842" width="23.85546875" style="70" customWidth="1"/>
    <col min="3843" max="3843" width="12.85546875" style="70" customWidth="1"/>
    <col min="3844" max="3844" width="5.140625" style="70" customWidth="1"/>
    <col min="3845" max="3846" width="10.5703125" style="70" customWidth="1"/>
    <col min="3847" max="3847" width="11.140625" style="70" customWidth="1"/>
    <col min="3848" max="3848" width="9.28515625" style="70" bestFit="1" customWidth="1"/>
    <col min="3849" max="3849" width="10.85546875" style="70" customWidth="1"/>
    <col min="3850" max="3851" width="10.140625" style="70" customWidth="1"/>
    <col min="3852" max="3852" width="10.85546875" style="70" customWidth="1"/>
    <col min="3853" max="3853" width="13" style="70" customWidth="1"/>
    <col min="3854" max="3854" width="22" style="70" customWidth="1"/>
    <col min="3855" max="4096" width="9.140625" style="70"/>
    <col min="4097" max="4097" width="4.28515625" style="70" customWidth="1"/>
    <col min="4098" max="4098" width="23.85546875" style="70" customWidth="1"/>
    <col min="4099" max="4099" width="12.85546875" style="70" customWidth="1"/>
    <col min="4100" max="4100" width="5.140625" style="70" customWidth="1"/>
    <col min="4101" max="4102" width="10.5703125" style="70" customWidth="1"/>
    <col min="4103" max="4103" width="11.140625" style="70" customWidth="1"/>
    <col min="4104" max="4104" width="9.28515625" style="70" bestFit="1" customWidth="1"/>
    <col min="4105" max="4105" width="10.85546875" style="70" customWidth="1"/>
    <col min="4106" max="4107" width="10.140625" style="70" customWidth="1"/>
    <col min="4108" max="4108" width="10.85546875" style="70" customWidth="1"/>
    <col min="4109" max="4109" width="13" style="70" customWidth="1"/>
    <col min="4110" max="4110" width="22" style="70" customWidth="1"/>
    <col min="4111" max="4352" width="9.140625" style="70"/>
    <col min="4353" max="4353" width="4.28515625" style="70" customWidth="1"/>
    <col min="4354" max="4354" width="23.85546875" style="70" customWidth="1"/>
    <col min="4355" max="4355" width="12.85546875" style="70" customWidth="1"/>
    <col min="4356" max="4356" width="5.140625" style="70" customWidth="1"/>
    <col min="4357" max="4358" width="10.5703125" style="70" customWidth="1"/>
    <col min="4359" max="4359" width="11.140625" style="70" customWidth="1"/>
    <col min="4360" max="4360" width="9.28515625" style="70" bestFit="1" customWidth="1"/>
    <col min="4361" max="4361" width="10.85546875" style="70" customWidth="1"/>
    <col min="4362" max="4363" width="10.140625" style="70" customWidth="1"/>
    <col min="4364" max="4364" width="10.85546875" style="70" customWidth="1"/>
    <col min="4365" max="4365" width="13" style="70" customWidth="1"/>
    <col min="4366" max="4366" width="22" style="70" customWidth="1"/>
    <col min="4367" max="4608" width="9.140625" style="70"/>
    <col min="4609" max="4609" width="4.28515625" style="70" customWidth="1"/>
    <col min="4610" max="4610" width="23.85546875" style="70" customWidth="1"/>
    <col min="4611" max="4611" width="12.85546875" style="70" customWidth="1"/>
    <col min="4612" max="4612" width="5.140625" style="70" customWidth="1"/>
    <col min="4613" max="4614" width="10.5703125" style="70" customWidth="1"/>
    <col min="4615" max="4615" width="11.140625" style="70" customWidth="1"/>
    <col min="4616" max="4616" width="9.28515625" style="70" bestFit="1" customWidth="1"/>
    <col min="4617" max="4617" width="10.85546875" style="70" customWidth="1"/>
    <col min="4618" max="4619" width="10.140625" style="70" customWidth="1"/>
    <col min="4620" max="4620" width="10.85546875" style="70" customWidth="1"/>
    <col min="4621" max="4621" width="13" style="70" customWidth="1"/>
    <col min="4622" max="4622" width="22" style="70" customWidth="1"/>
    <col min="4623" max="4864" width="9.140625" style="70"/>
    <col min="4865" max="4865" width="4.28515625" style="70" customWidth="1"/>
    <col min="4866" max="4866" width="23.85546875" style="70" customWidth="1"/>
    <col min="4867" max="4867" width="12.85546875" style="70" customWidth="1"/>
    <col min="4868" max="4868" width="5.140625" style="70" customWidth="1"/>
    <col min="4869" max="4870" width="10.5703125" style="70" customWidth="1"/>
    <col min="4871" max="4871" width="11.140625" style="70" customWidth="1"/>
    <col min="4872" max="4872" width="9.28515625" style="70" bestFit="1" customWidth="1"/>
    <col min="4873" max="4873" width="10.85546875" style="70" customWidth="1"/>
    <col min="4874" max="4875" width="10.140625" style="70" customWidth="1"/>
    <col min="4876" max="4876" width="10.85546875" style="70" customWidth="1"/>
    <col min="4877" max="4877" width="13" style="70" customWidth="1"/>
    <col min="4878" max="4878" width="22" style="70" customWidth="1"/>
    <col min="4879" max="5120" width="9.140625" style="70"/>
    <col min="5121" max="5121" width="4.28515625" style="70" customWidth="1"/>
    <col min="5122" max="5122" width="23.85546875" style="70" customWidth="1"/>
    <col min="5123" max="5123" width="12.85546875" style="70" customWidth="1"/>
    <col min="5124" max="5124" width="5.140625" style="70" customWidth="1"/>
    <col min="5125" max="5126" width="10.5703125" style="70" customWidth="1"/>
    <col min="5127" max="5127" width="11.140625" style="70" customWidth="1"/>
    <col min="5128" max="5128" width="9.28515625" style="70" bestFit="1" customWidth="1"/>
    <col min="5129" max="5129" width="10.85546875" style="70" customWidth="1"/>
    <col min="5130" max="5131" width="10.140625" style="70" customWidth="1"/>
    <col min="5132" max="5132" width="10.85546875" style="70" customWidth="1"/>
    <col min="5133" max="5133" width="13" style="70" customWidth="1"/>
    <col min="5134" max="5134" width="22" style="70" customWidth="1"/>
    <col min="5135" max="5376" width="9.140625" style="70"/>
    <col min="5377" max="5377" width="4.28515625" style="70" customWidth="1"/>
    <col min="5378" max="5378" width="23.85546875" style="70" customWidth="1"/>
    <col min="5379" max="5379" width="12.85546875" style="70" customWidth="1"/>
    <col min="5380" max="5380" width="5.140625" style="70" customWidth="1"/>
    <col min="5381" max="5382" width="10.5703125" style="70" customWidth="1"/>
    <col min="5383" max="5383" width="11.140625" style="70" customWidth="1"/>
    <col min="5384" max="5384" width="9.28515625" style="70" bestFit="1" customWidth="1"/>
    <col min="5385" max="5385" width="10.85546875" style="70" customWidth="1"/>
    <col min="5386" max="5387" width="10.140625" style="70" customWidth="1"/>
    <col min="5388" max="5388" width="10.85546875" style="70" customWidth="1"/>
    <col min="5389" max="5389" width="13" style="70" customWidth="1"/>
    <col min="5390" max="5390" width="22" style="70" customWidth="1"/>
    <col min="5391" max="5632" width="9.140625" style="70"/>
    <col min="5633" max="5633" width="4.28515625" style="70" customWidth="1"/>
    <col min="5634" max="5634" width="23.85546875" style="70" customWidth="1"/>
    <col min="5635" max="5635" width="12.85546875" style="70" customWidth="1"/>
    <col min="5636" max="5636" width="5.140625" style="70" customWidth="1"/>
    <col min="5637" max="5638" width="10.5703125" style="70" customWidth="1"/>
    <col min="5639" max="5639" width="11.140625" style="70" customWidth="1"/>
    <col min="5640" max="5640" width="9.28515625" style="70" bestFit="1" customWidth="1"/>
    <col min="5641" max="5641" width="10.85546875" style="70" customWidth="1"/>
    <col min="5642" max="5643" width="10.140625" style="70" customWidth="1"/>
    <col min="5644" max="5644" width="10.85546875" style="70" customWidth="1"/>
    <col min="5645" max="5645" width="13" style="70" customWidth="1"/>
    <col min="5646" max="5646" width="22" style="70" customWidth="1"/>
    <col min="5647" max="5888" width="9.140625" style="70"/>
    <col min="5889" max="5889" width="4.28515625" style="70" customWidth="1"/>
    <col min="5890" max="5890" width="23.85546875" style="70" customWidth="1"/>
    <col min="5891" max="5891" width="12.85546875" style="70" customWidth="1"/>
    <col min="5892" max="5892" width="5.140625" style="70" customWidth="1"/>
    <col min="5893" max="5894" width="10.5703125" style="70" customWidth="1"/>
    <col min="5895" max="5895" width="11.140625" style="70" customWidth="1"/>
    <col min="5896" max="5896" width="9.28515625" style="70" bestFit="1" customWidth="1"/>
    <col min="5897" max="5897" width="10.85546875" style="70" customWidth="1"/>
    <col min="5898" max="5899" width="10.140625" style="70" customWidth="1"/>
    <col min="5900" max="5900" width="10.85546875" style="70" customWidth="1"/>
    <col min="5901" max="5901" width="13" style="70" customWidth="1"/>
    <col min="5902" max="5902" width="22" style="70" customWidth="1"/>
    <col min="5903" max="6144" width="9.140625" style="70"/>
    <col min="6145" max="6145" width="4.28515625" style="70" customWidth="1"/>
    <col min="6146" max="6146" width="23.85546875" style="70" customWidth="1"/>
    <col min="6147" max="6147" width="12.85546875" style="70" customWidth="1"/>
    <col min="6148" max="6148" width="5.140625" style="70" customWidth="1"/>
    <col min="6149" max="6150" width="10.5703125" style="70" customWidth="1"/>
    <col min="6151" max="6151" width="11.140625" style="70" customWidth="1"/>
    <col min="6152" max="6152" width="9.28515625" style="70" bestFit="1" customWidth="1"/>
    <col min="6153" max="6153" width="10.85546875" style="70" customWidth="1"/>
    <col min="6154" max="6155" width="10.140625" style="70" customWidth="1"/>
    <col min="6156" max="6156" width="10.85546875" style="70" customWidth="1"/>
    <col min="6157" max="6157" width="13" style="70" customWidth="1"/>
    <col min="6158" max="6158" width="22" style="70" customWidth="1"/>
    <col min="6159" max="6400" width="9.140625" style="70"/>
    <col min="6401" max="6401" width="4.28515625" style="70" customWidth="1"/>
    <col min="6402" max="6402" width="23.85546875" style="70" customWidth="1"/>
    <col min="6403" max="6403" width="12.85546875" style="70" customWidth="1"/>
    <col min="6404" max="6404" width="5.140625" style="70" customWidth="1"/>
    <col min="6405" max="6406" width="10.5703125" style="70" customWidth="1"/>
    <col min="6407" max="6407" width="11.140625" style="70" customWidth="1"/>
    <col min="6408" max="6408" width="9.28515625" style="70" bestFit="1" customWidth="1"/>
    <col min="6409" max="6409" width="10.85546875" style="70" customWidth="1"/>
    <col min="6410" max="6411" width="10.140625" style="70" customWidth="1"/>
    <col min="6412" max="6412" width="10.85546875" style="70" customWidth="1"/>
    <col min="6413" max="6413" width="13" style="70" customWidth="1"/>
    <col min="6414" max="6414" width="22" style="70" customWidth="1"/>
    <col min="6415" max="6656" width="9.140625" style="70"/>
    <col min="6657" max="6657" width="4.28515625" style="70" customWidth="1"/>
    <col min="6658" max="6658" width="23.85546875" style="70" customWidth="1"/>
    <col min="6659" max="6659" width="12.85546875" style="70" customWidth="1"/>
    <col min="6660" max="6660" width="5.140625" style="70" customWidth="1"/>
    <col min="6661" max="6662" width="10.5703125" style="70" customWidth="1"/>
    <col min="6663" max="6663" width="11.140625" style="70" customWidth="1"/>
    <col min="6664" max="6664" width="9.28515625" style="70" bestFit="1" customWidth="1"/>
    <col min="6665" max="6665" width="10.85546875" style="70" customWidth="1"/>
    <col min="6666" max="6667" width="10.140625" style="70" customWidth="1"/>
    <col min="6668" max="6668" width="10.85546875" style="70" customWidth="1"/>
    <col min="6669" max="6669" width="13" style="70" customWidth="1"/>
    <col min="6670" max="6670" width="22" style="70" customWidth="1"/>
    <col min="6671" max="6912" width="9.140625" style="70"/>
    <col min="6913" max="6913" width="4.28515625" style="70" customWidth="1"/>
    <col min="6914" max="6914" width="23.85546875" style="70" customWidth="1"/>
    <col min="6915" max="6915" width="12.85546875" style="70" customWidth="1"/>
    <col min="6916" max="6916" width="5.140625" style="70" customWidth="1"/>
    <col min="6917" max="6918" width="10.5703125" style="70" customWidth="1"/>
    <col min="6919" max="6919" width="11.140625" style="70" customWidth="1"/>
    <col min="6920" max="6920" width="9.28515625" style="70" bestFit="1" customWidth="1"/>
    <col min="6921" max="6921" width="10.85546875" style="70" customWidth="1"/>
    <col min="6922" max="6923" width="10.140625" style="70" customWidth="1"/>
    <col min="6924" max="6924" width="10.85546875" style="70" customWidth="1"/>
    <col min="6925" max="6925" width="13" style="70" customWidth="1"/>
    <col min="6926" max="6926" width="22" style="70" customWidth="1"/>
    <col min="6927" max="7168" width="9.140625" style="70"/>
    <col min="7169" max="7169" width="4.28515625" style="70" customWidth="1"/>
    <col min="7170" max="7170" width="23.85546875" style="70" customWidth="1"/>
    <col min="7171" max="7171" width="12.85546875" style="70" customWidth="1"/>
    <col min="7172" max="7172" width="5.140625" style="70" customWidth="1"/>
    <col min="7173" max="7174" width="10.5703125" style="70" customWidth="1"/>
    <col min="7175" max="7175" width="11.140625" style="70" customWidth="1"/>
    <col min="7176" max="7176" width="9.28515625" style="70" bestFit="1" customWidth="1"/>
    <col min="7177" max="7177" width="10.85546875" style="70" customWidth="1"/>
    <col min="7178" max="7179" width="10.140625" style="70" customWidth="1"/>
    <col min="7180" max="7180" width="10.85546875" style="70" customWidth="1"/>
    <col min="7181" max="7181" width="13" style="70" customWidth="1"/>
    <col min="7182" max="7182" width="22" style="70" customWidth="1"/>
    <col min="7183" max="7424" width="9.140625" style="70"/>
    <col min="7425" max="7425" width="4.28515625" style="70" customWidth="1"/>
    <col min="7426" max="7426" width="23.85546875" style="70" customWidth="1"/>
    <col min="7427" max="7427" width="12.85546875" style="70" customWidth="1"/>
    <col min="7428" max="7428" width="5.140625" style="70" customWidth="1"/>
    <col min="7429" max="7430" width="10.5703125" style="70" customWidth="1"/>
    <col min="7431" max="7431" width="11.140625" style="70" customWidth="1"/>
    <col min="7432" max="7432" width="9.28515625" style="70" bestFit="1" customWidth="1"/>
    <col min="7433" max="7433" width="10.85546875" style="70" customWidth="1"/>
    <col min="7434" max="7435" width="10.140625" style="70" customWidth="1"/>
    <col min="7436" max="7436" width="10.85546875" style="70" customWidth="1"/>
    <col min="7437" max="7437" width="13" style="70" customWidth="1"/>
    <col min="7438" max="7438" width="22" style="70" customWidth="1"/>
    <col min="7439" max="7680" width="9.140625" style="70"/>
    <col min="7681" max="7681" width="4.28515625" style="70" customWidth="1"/>
    <col min="7682" max="7682" width="23.85546875" style="70" customWidth="1"/>
    <col min="7683" max="7683" width="12.85546875" style="70" customWidth="1"/>
    <col min="7684" max="7684" width="5.140625" style="70" customWidth="1"/>
    <col min="7685" max="7686" width="10.5703125" style="70" customWidth="1"/>
    <col min="7687" max="7687" width="11.140625" style="70" customWidth="1"/>
    <col min="7688" max="7688" width="9.28515625" style="70" bestFit="1" customWidth="1"/>
    <col min="7689" max="7689" width="10.85546875" style="70" customWidth="1"/>
    <col min="7690" max="7691" width="10.140625" style="70" customWidth="1"/>
    <col min="7692" max="7692" width="10.85546875" style="70" customWidth="1"/>
    <col min="7693" max="7693" width="13" style="70" customWidth="1"/>
    <col min="7694" max="7694" width="22" style="70" customWidth="1"/>
    <col min="7695" max="7936" width="9.140625" style="70"/>
    <col min="7937" max="7937" width="4.28515625" style="70" customWidth="1"/>
    <col min="7938" max="7938" width="23.85546875" style="70" customWidth="1"/>
    <col min="7939" max="7939" width="12.85546875" style="70" customWidth="1"/>
    <col min="7940" max="7940" width="5.140625" style="70" customWidth="1"/>
    <col min="7941" max="7942" width="10.5703125" style="70" customWidth="1"/>
    <col min="7943" max="7943" width="11.140625" style="70" customWidth="1"/>
    <col min="7944" max="7944" width="9.28515625" style="70" bestFit="1" customWidth="1"/>
    <col min="7945" max="7945" width="10.85546875" style="70" customWidth="1"/>
    <col min="7946" max="7947" width="10.140625" style="70" customWidth="1"/>
    <col min="7948" max="7948" width="10.85546875" style="70" customWidth="1"/>
    <col min="7949" max="7949" width="13" style="70" customWidth="1"/>
    <col min="7950" max="7950" width="22" style="70" customWidth="1"/>
    <col min="7951" max="8192" width="9.140625" style="70"/>
    <col min="8193" max="8193" width="4.28515625" style="70" customWidth="1"/>
    <col min="8194" max="8194" width="23.85546875" style="70" customWidth="1"/>
    <col min="8195" max="8195" width="12.85546875" style="70" customWidth="1"/>
    <col min="8196" max="8196" width="5.140625" style="70" customWidth="1"/>
    <col min="8197" max="8198" width="10.5703125" style="70" customWidth="1"/>
    <col min="8199" max="8199" width="11.140625" style="70" customWidth="1"/>
    <col min="8200" max="8200" width="9.28515625" style="70" bestFit="1" customWidth="1"/>
    <col min="8201" max="8201" width="10.85546875" style="70" customWidth="1"/>
    <col min="8202" max="8203" width="10.140625" style="70" customWidth="1"/>
    <col min="8204" max="8204" width="10.85546875" style="70" customWidth="1"/>
    <col min="8205" max="8205" width="13" style="70" customWidth="1"/>
    <col min="8206" max="8206" width="22" style="70" customWidth="1"/>
    <col min="8207" max="8448" width="9.140625" style="70"/>
    <col min="8449" max="8449" width="4.28515625" style="70" customWidth="1"/>
    <col min="8450" max="8450" width="23.85546875" style="70" customWidth="1"/>
    <col min="8451" max="8451" width="12.85546875" style="70" customWidth="1"/>
    <col min="8452" max="8452" width="5.140625" style="70" customWidth="1"/>
    <col min="8453" max="8454" width="10.5703125" style="70" customWidth="1"/>
    <col min="8455" max="8455" width="11.140625" style="70" customWidth="1"/>
    <col min="8456" max="8456" width="9.28515625" style="70" bestFit="1" customWidth="1"/>
    <col min="8457" max="8457" width="10.85546875" style="70" customWidth="1"/>
    <col min="8458" max="8459" width="10.140625" style="70" customWidth="1"/>
    <col min="8460" max="8460" width="10.85546875" style="70" customWidth="1"/>
    <col min="8461" max="8461" width="13" style="70" customWidth="1"/>
    <col min="8462" max="8462" width="22" style="70" customWidth="1"/>
    <col min="8463" max="8704" width="9.140625" style="70"/>
    <col min="8705" max="8705" width="4.28515625" style="70" customWidth="1"/>
    <col min="8706" max="8706" width="23.85546875" style="70" customWidth="1"/>
    <col min="8707" max="8707" width="12.85546875" style="70" customWidth="1"/>
    <col min="8708" max="8708" width="5.140625" style="70" customWidth="1"/>
    <col min="8709" max="8710" width="10.5703125" style="70" customWidth="1"/>
    <col min="8711" max="8711" width="11.140625" style="70" customWidth="1"/>
    <col min="8712" max="8712" width="9.28515625" style="70" bestFit="1" customWidth="1"/>
    <col min="8713" max="8713" width="10.85546875" style="70" customWidth="1"/>
    <col min="8714" max="8715" width="10.140625" style="70" customWidth="1"/>
    <col min="8716" max="8716" width="10.85546875" style="70" customWidth="1"/>
    <col min="8717" max="8717" width="13" style="70" customWidth="1"/>
    <col min="8718" max="8718" width="22" style="70" customWidth="1"/>
    <col min="8719" max="8960" width="9.140625" style="70"/>
    <col min="8961" max="8961" width="4.28515625" style="70" customWidth="1"/>
    <col min="8962" max="8962" width="23.85546875" style="70" customWidth="1"/>
    <col min="8963" max="8963" width="12.85546875" style="70" customWidth="1"/>
    <col min="8964" max="8964" width="5.140625" style="70" customWidth="1"/>
    <col min="8965" max="8966" width="10.5703125" style="70" customWidth="1"/>
    <col min="8967" max="8967" width="11.140625" style="70" customWidth="1"/>
    <col min="8968" max="8968" width="9.28515625" style="70" bestFit="1" customWidth="1"/>
    <col min="8969" max="8969" width="10.85546875" style="70" customWidth="1"/>
    <col min="8970" max="8971" width="10.140625" style="70" customWidth="1"/>
    <col min="8972" max="8972" width="10.85546875" style="70" customWidth="1"/>
    <col min="8973" max="8973" width="13" style="70" customWidth="1"/>
    <col min="8974" max="8974" width="22" style="70" customWidth="1"/>
    <col min="8975" max="9216" width="9.140625" style="70"/>
    <col min="9217" max="9217" width="4.28515625" style="70" customWidth="1"/>
    <col min="9218" max="9218" width="23.85546875" style="70" customWidth="1"/>
    <col min="9219" max="9219" width="12.85546875" style="70" customWidth="1"/>
    <col min="9220" max="9220" width="5.140625" style="70" customWidth="1"/>
    <col min="9221" max="9222" width="10.5703125" style="70" customWidth="1"/>
    <col min="9223" max="9223" width="11.140625" style="70" customWidth="1"/>
    <col min="9224" max="9224" width="9.28515625" style="70" bestFit="1" customWidth="1"/>
    <col min="9225" max="9225" width="10.85546875" style="70" customWidth="1"/>
    <col min="9226" max="9227" width="10.140625" style="70" customWidth="1"/>
    <col min="9228" max="9228" width="10.85546875" style="70" customWidth="1"/>
    <col min="9229" max="9229" width="13" style="70" customWidth="1"/>
    <col min="9230" max="9230" width="22" style="70" customWidth="1"/>
    <col min="9231" max="9472" width="9.140625" style="70"/>
    <col min="9473" max="9473" width="4.28515625" style="70" customWidth="1"/>
    <col min="9474" max="9474" width="23.85546875" style="70" customWidth="1"/>
    <col min="9475" max="9475" width="12.85546875" style="70" customWidth="1"/>
    <col min="9476" max="9476" width="5.140625" style="70" customWidth="1"/>
    <col min="9477" max="9478" width="10.5703125" style="70" customWidth="1"/>
    <col min="9479" max="9479" width="11.140625" style="70" customWidth="1"/>
    <col min="9480" max="9480" width="9.28515625" style="70" bestFit="1" customWidth="1"/>
    <col min="9481" max="9481" width="10.85546875" style="70" customWidth="1"/>
    <col min="9482" max="9483" width="10.140625" style="70" customWidth="1"/>
    <col min="9484" max="9484" width="10.85546875" style="70" customWidth="1"/>
    <col min="9485" max="9485" width="13" style="70" customWidth="1"/>
    <col min="9486" max="9486" width="22" style="70" customWidth="1"/>
    <col min="9487" max="9728" width="9.140625" style="70"/>
    <col min="9729" max="9729" width="4.28515625" style="70" customWidth="1"/>
    <col min="9730" max="9730" width="23.85546875" style="70" customWidth="1"/>
    <col min="9731" max="9731" width="12.85546875" style="70" customWidth="1"/>
    <col min="9732" max="9732" width="5.140625" style="70" customWidth="1"/>
    <col min="9733" max="9734" width="10.5703125" style="70" customWidth="1"/>
    <col min="9735" max="9735" width="11.140625" style="70" customWidth="1"/>
    <col min="9736" max="9736" width="9.28515625" style="70" bestFit="1" customWidth="1"/>
    <col min="9737" max="9737" width="10.85546875" style="70" customWidth="1"/>
    <col min="9738" max="9739" width="10.140625" style="70" customWidth="1"/>
    <col min="9740" max="9740" width="10.85546875" style="70" customWidth="1"/>
    <col min="9741" max="9741" width="13" style="70" customWidth="1"/>
    <col min="9742" max="9742" width="22" style="70" customWidth="1"/>
    <col min="9743" max="9984" width="9.140625" style="70"/>
    <col min="9985" max="9985" width="4.28515625" style="70" customWidth="1"/>
    <col min="9986" max="9986" width="23.85546875" style="70" customWidth="1"/>
    <col min="9987" max="9987" width="12.85546875" style="70" customWidth="1"/>
    <col min="9988" max="9988" width="5.140625" style="70" customWidth="1"/>
    <col min="9989" max="9990" width="10.5703125" style="70" customWidth="1"/>
    <col min="9991" max="9991" width="11.140625" style="70" customWidth="1"/>
    <col min="9992" max="9992" width="9.28515625" style="70" bestFit="1" customWidth="1"/>
    <col min="9993" max="9993" width="10.85546875" style="70" customWidth="1"/>
    <col min="9994" max="9995" width="10.140625" style="70" customWidth="1"/>
    <col min="9996" max="9996" width="10.85546875" style="70" customWidth="1"/>
    <col min="9997" max="9997" width="13" style="70" customWidth="1"/>
    <col min="9998" max="9998" width="22" style="70" customWidth="1"/>
    <col min="9999" max="10240" width="9.140625" style="70"/>
    <col min="10241" max="10241" width="4.28515625" style="70" customWidth="1"/>
    <col min="10242" max="10242" width="23.85546875" style="70" customWidth="1"/>
    <col min="10243" max="10243" width="12.85546875" style="70" customWidth="1"/>
    <col min="10244" max="10244" width="5.140625" style="70" customWidth="1"/>
    <col min="10245" max="10246" width="10.5703125" style="70" customWidth="1"/>
    <col min="10247" max="10247" width="11.140625" style="70" customWidth="1"/>
    <col min="10248" max="10248" width="9.28515625" style="70" bestFit="1" customWidth="1"/>
    <col min="10249" max="10249" width="10.85546875" style="70" customWidth="1"/>
    <col min="10250" max="10251" width="10.140625" style="70" customWidth="1"/>
    <col min="10252" max="10252" width="10.85546875" style="70" customWidth="1"/>
    <col min="10253" max="10253" width="13" style="70" customWidth="1"/>
    <col min="10254" max="10254" width="22" style="70" customWidth="1"/>
    <col min="10255" max="10496" width="9.140625" style="70"/>
    <col min="10497" max="10497" width="4.28515625" style="70" customWidth="1"/>
    <col min="10498" max="10498" width="23.85546875" style="70" customWidth="1"/>
    <col min="10499" max="10499" width="12.85546875" style="70" customWidth="1"/>
    <col min="10500" max="10500" width="5.140625" style="70" customWidth="1"/>
    <col min="10501" max="10502" width="10.5703125" style="70" customWidth="1"/>
    <col min="10503" max="10503" width="11.140625" style="70" customWidth="1"/>
    <col min="10504" max="10504" width="9.28515625" style="70" bestFit="1" customWidth="1"/>
    <col min="10505" max="10505" width="10.85546875" style="70" customWidth="1"/>
    <col min="10506" max="10507" width="10.140625" style="70" customWidth="1"/>
    <col min="10508" max="10508" width="10.85546875" style="70" customWidth="1"/>
    <col min="10509" max="10509" width="13" style="70" customWidth="1"/>
    <col min="10510" max="10510" width="22" style="70" customWidth="1"/>
    <col min="10511" max="10752" width="9.140625" style="70"/>
    <col min="10753" max="10753" width="4.28515625" style="70" customWidth="1"/>
    <col min="10754" max="10754" width="23.85546875" style="70" customWidth="1"/>
    <col min="10755" max="10755" width="12.85546875" style="70" customWidth="1"/>
    <col min="10756" max="10756" width="5.140625" style="70" customWidth="1"/>
    <col min="10757" max="10758" width="10.5703125" style="70" customWidth="1"/>
    <col min="10759" max="10759" width="11.140625" style="70" customWidth="1"/>
    <col min="10760" max="10760" width="9.28515625" style="70" bestFit="1" customWidth="1"/>
    <col min="10761" max="10761" width="10.85546875" style="70" customWidth="1"/>
    <col min="10762" max="10763" width="10.140625" style="70" customWidth="1"/>
    <col min="10764" max="10764" width="10.85546875" style="70" customWidth="1"/>
    <col min="10765" max="10765" width="13" style="70" customWidth="1"/>
    <col min="10766" max="10766" width="22" style="70" customWidth="1"/>
    <col min="10767" max="11008" width="9.140625" style="70"/>
    <col min="11009" max="11009" width="4.28515625" style="70" customWidth="1"/>
    <col min="11010" max="11010" width="23.85546875" style="70" customWidth="1"/>
    <col min="11011" max="11011" width="12.85546875" style="70" customWidth="1"/>
    <col min="11012" max="11012" width="5.140625" style="70" customWidth="1"/>
    <col min="11013" max="11014" width="10.5703125" style="70" customWidth="1"/>
    <col min="11015" max="11015" width="11.140625" style="70" customWidth="1"/>
    <col min="11016" max="11016" width="9.28515625" style="70" bestFit="1" customWidth="1"/>
    <col min="11017" max="11017" width="10.85546875" style="70" customWidth="1"/>
    <col min="11018" max="11019" width="10.140625" style="70" customWidth="1"/>
    <col min="11020" max="11020" width="10.85546875" style="70" customWidth="1"/>
    <col min="11021" max="11021" width="13" style="70" customWidth="1"/>
    <col min="11022" max="11022" width="22" style="70" customWidth="1"/>
    <col min="11023" max="11264" width="9.140625" style="70"/>
    <col min="11265" max="11265" width="4.28515625" style="70" customWidth="1"/>
    <col min="11266" max="11266" width="23.85546875" style="70" customWidth="1"/>
    <col min="11267" max="11267" width="12.85546875" style="70" customWidth="1"/>
    <col min="11268" max="11268" width="5.140625" style="70" customWidth="1"/>
    <col min="11269" max="11270" width="10.5703125" style="70" customWidth="1"/>
    <col min="11271" max="11271" width="11.140625" style="70" customWidth="1"/>
    <col min="11272" max="11272" width="9.28515625" style="70" bestFit="1" customWidth="1"/>
    <col min="11273" max="11273" width="10.85546875" style="70" customWidth="1"/>
    <col min="11274" max="11275" width="10.140625" style="70" customWidth="1"/>
    <col min="11276" max="11276" width="10.85546875" style="70" customWidth="1"/>
    <col min="11277" max="11277" width="13" style="70" customWidth="1"/>
    <col min="11278" max="11278" width="22" style="70" customWidth="1"/>
    <col min="11279" max="11520" width="9.140625" style="70"/>
    <col min="11521" max="11521" width="4.28515625" style="70" customWidth="1"/>
    <col min="11522" max="11522" width="23.85546875" style="70" customWidth="1"/>
    <col min="11523" max="11523" width="12.85546875" style="70" customWidth="1"/>
    <col min="11524" max="11524" width="5.140625" style="70" customWidth="1"/>
    <col min="11525" max="11526" width="10.5703125" style="70" customWidth="1"/>
    <col min="11527" max="11527" width="11.140625" style="70" customWidth="1"/>
    <col min="11528" max="11528" width="9.28515625" style="70" bestFit="1" customWidth="1"/>
    <col min="11529" max="11529" width="10.85546875" style="70" customWidth="1"/>
    <col min="11530" max="11531" width="10.140625" style="70" customWidth="1"/>
    <col min="11532" max="11532" width="10.85546875" style="70" customWidth="1"/>
    <col min="11533" max="11533" width="13" style="70" customWidth="1"/>
    <col min="11534" max="11534" width="22" style="70" customWidth="1"/>
    <col min="11535" max="11776" width="9.140625" style="70"/>
    <col min="11777" max="11777" width="4.28515625" style="70" customWidth="1"/>
    <col min="11778" max="11778" width="23.85546875" style="70" customWidth="1"/>
    <col min="11779" max="11779" width="12.85546875" style="70" customWidth="1"/>
    <col min="11780" max="11780" width="5.140625" style="70" customWidth="1"/>
    <col min="11781" max="11782" width="10.5703125" style="70" customWidth="1"/>
    <col min="11783" max="11783" width="11.140625" style="70" customWidth="1"/>
    <col min="11784" max="11784" width="9.28515625" style="70" bestFit="1" customWidth="1"/>
    <col min="11785" max="11785" width="10.85546875" style="70" customWidth="1"/>
    <col min="11786" max="11787" width="10.140625" style="70" customWidth="1"/>
    <col min="11788" max="11788" width="10.85546875" style="70" customWidth="1"/>
    <col min="11789" max="11789" width="13" style="70" customWidth="1"/>
    <col min="11790" max="11790" width="22" style="70" customWidth="1"/>
    <col min="11791" max="12032" width="9.140625" style="70"/>
    <col min="12033" max="12033" width="4.28515625" style="70" customWidth="1"/>
    <col min="12034" max="12034" width="23.85546875" style="70" customWidth="1"/>
    <col min="12035" max="12035" width="12.85546875" style="70" customWidth="1"/>
    <col min="12036" max="12036" width="5.140625" style="70" customWidth="1"/>
    <col min="12037" max="12038" width="10.5703125" style="70" customWidth="1"/>
    <col min="12039" max="12039" width="11.140625" style="70" customWidth="1"/>
    <col min="12040" max="12040" width="9.28515625" style="70" bestFit="1" customWidth="1"/>
    <col min="12041" max="12041" width="10.85546875" style="70" customWidth="1"/>
    <col min="12042" max="12043" width="10.140625" style="70" customWidth="1"/>
    <col min="12044" max="12044" width="10.85546875" style="70" customWidth="1"/>
    <col min="12045" max="12045" width="13" style="70" customWidth="1"/>
    <col min="12046" max="12046" width="22" style="70" customWidth="1"/>
    <col min="12047" max="12288" width="9.140625" style="70"/>
    <col min="12289" max="12289" width="4.28515625" style="70" customWidth="1"/>
    <col min="12290" max="12290" width="23.85546875" style="70" customWidth="1"/>
    <col min="12291" max="12291" width="12.85546875" style="70" customWidth="1"/>
    <col min="12292" max="12292" width="5.140625" style="70" customWidth="1"/>
    <col min="12293" max="12294" width="10.5703125" style="70" customWidth="1"/>
    <col min="12295" max="12295" width="11.140625" style="70" customWidth="1"/>
    <col min="12296" max="12296" width="9.28515625" style="70" bestFit="1" customWidth="1"/>
    <col min="12297" max="12297" width="10.85546875" style="70" customWidth="1"/>
    <col min="12298" max="12299" width="10.140625" style="70" customWidth="1"/>
    <col min="12300" max="12300" width="10.85546875" style="70" customWidth="1"/>
    <col min="12301" max="12301" width="13" style="70" customWidth="1"/>
    <col min="12302" max="12302" width="22" style="70" customWidth="1"/>
    <col min="12303" max="12544" width="9.140625" style="70"/>
    <col min="12545" max="12545" width="4.28515625" style="70" customWidth="1"/>
    <col min="12546" max="12546" width="23.85546875" style="70" customWidth="1"/>
    <col min="12547" max="12547" width="12.85546875" style="70" customWidth="1"/>
    <col min="12548" max="12548" width="5.140625" style="70" customWidth="1"/>
    <col min="12549" max="12550" width="10.5703125" style="70" customWidth="1"/>
    <col min="12551" max="12551" width="11.140625" style="70" customWidth="1"/>
    <col min="12552" max="12552" width="9.28515625" style="70" bestFit="1" customWidth="1"/>
    <col min="12553" max="12553" width="10.85546875" style="70" customWidth="1"/>
    <col min="12554" max="12555" width="10.140625" style="70" customWidth="1"/>
    <col min="12556" max="12556" width="10.85546875" style="70" customWidth="1"/>
    <col min="12557" max="12557" width="13" style="70" customWidth="1"/>
    <col min="12558" max="12558" width="22" style="70" customWidth="1"/>
    <col min="12559" max="12800" width="9.140625" style="70"/>
    <col min="12801" max="12801" width="4.28515625" style="70" customWidth="1"/>
    <col min="12802" max="12802" width="23.85546875" style="70" customWidth="1"/>
    <col min="12803" max="12803" width="12.85546875" style="70" customWidth="1"/>
    <col min="12804" max="12804" width="5.140625" style="70" customWidth="1"/>
    <col min="12805" max="12806" width="10.5703125" style="70" customWidth="1"/>
    <col min="12807" max="12807" width="11.140625" style="70" customWidth="1"/>
    <col min="12808" max="12808" width="9.28515625" style="70" bestFit="1" customWidth="1"/>
    <col min="12809" max="12809" width="10.85546875" style="70" customWidth="1"/>
    <col min="12810" max="12811" width="10.140625" style="70" customWidth="1"/>
    <col min="12812" max="12812" width="10.85546875" style="70" customWidth="1"/>
    <col min="12813" max="12813" width="13" style="70" customWidth="1"/>
    <col min="12814" max="12814" width="22" style="70" customWidth="1"/>
    <col min="12815" max="13056" width="9.140625" style="70"/>
    <col min="13057" max="13057" width="4.28515625" style="70" customWidth="1"/>
    <col min="13058" max="13058" width="23.85546875" style="70" customWidth="1"/>
    <col min="13059" max="13059" width="12.85546875" style="70" customWidth="1"/>
    <col min="13060" max="13060" width="5.140625" style="70" customWidth="1"/>
    <col min="13061" max="13062" width="10.5703125" style="70" customWidth="1"/>
    <col min="13063" max="13063" width="11.140625" style="70" customWidth="1"/>
    <col min="13064" max="13064" width="9.28515625" style="70" bestFit="1" customWidth="1"/>
    <col min="13065" max="13065" width="10.85546875" style="70" customWidth="1"/>
    <col min="13066" max="13067" width="10.140625" style="70" customWidth="1"/>
    <col min="13068" max="13068" width="10.85546875" style="70" customWidth="1"/>
    <col min="13069" max="13069" width="13" style="70" customWidth="1"/>
    <col min="13070" max="13070" width="22" style="70" customWidth="1"/>
    <col min="13071" max="13312" width="9.140625" style="70"/>
    <col min="13313" max="13313" width="4.28515625" style="70" customWidth="1"/>
    <col min="13314" max="13314" width="23.85546875" style="70" customWidth="1"/>
    <col min="13315" max="13315" width="12.85546875" style="70" customWidth="1"/>
    <col min="13316" max="13316" width="5.140625" style="70" customWidth="1"/>
    <col min="13317" max="13318" width="10.5703125" style="70" customWidth="1"/>
    <col min="13319" max="13319" width="11.140625" style="70" customWidth="1"/>
    <col min="13320" max="13320" width="9.28515625" style="70" bestFit="1" customWidth="1"/>
    <col min="13321" max="13321" width="10.85546875" style="70" customWidth="1"/>
    <col min="13322" max="13323" width="10.140625" style="70" customWidth="1"/>
    <col min="13324" max="13324" width="10.85546875" style="70" customWidth="1"/>
    <col min="13325" max="13325" width="13" style="70" customWidth="1"/>
    <col min="13326" max="13326" width="22" style="70" customWidth="1"/>
    <col min="13327" max="13568" width="9.140625" style="70"/>
    <col min="13569" max="13569" width="4.28515625" style="70" customWidth="1"/>
    <col min="13570" max="13570" width="23.85546875" style="70" customWidth="1"/>
    <col min="13571" max="13571" width="12.85546875" style="70" customWidth="1"/>
    <col min="13572" max="13572" width="5.140625" style="70" customWidth="1"/>
    <col min="13573" max="13574" width="10.5703125" style="70" customWidth="1"/>
    <col min="13575" max="13575" width="11.140625" style="70" customWidth="1"/>
    <col min="13576" max="13576" width="9.28515625" style="70" bestFit="1" customWidth="1"/>
    <col min="13577" max="13577" width="10.85546875" style="70" customWidth="1"/>
    <col min="13578" max="13579" width="10.140625" style="70" customWidth="1"/>
    <col min="13580" max="13580" width="10.85546875" style="70" customWidth="1"/>
    <col min="13581" max="13581" width="13" style="70" customWidth="1"/>
    <col min="13582" max="13582" width="22" style="70" customWidth="1"/>
    <col min="13583" max="13824" width="9.140625" style="70"/>
    <col min="13825" max="13825" width="4.28515625" style="70" customWidth="1"/>
    <col min="13826" max="13826" width="23.85546875" style="70" customWidth="1"/>
    <col min="13827" max="13827" width="12.85546875" style="70" customWidth="1"/>
    <col min="13828" max="13828" width="5.140625" style="70" customWidth="1"/>
    <col min="13829" max="13830" width="10.5703125" style="70" customWidth="1"/>
    <col min="13831" max="13831" width="11.140625" style="70" customWidth="1"/>
    <col min="13832" max="13832" width="9.28515625" style="70" bestFit="1" customWidth="1"/>
    <col min="13833" max="13833" width="10.85546875" style="70" customWidth="1"/>
    <col min="13834" max="13835" width="10.140625" style="70" customWidth="1"/>
    <col min="13836" max="13836" width="10.85546875" style="70" customWidth="1"/>
    <col min="13837" max="13837" width="13" style="70" customWidth="1"/>
    <col min="13838" max="13838" width="22" style="70" customWidth="1"/>
    <col min="13839" max="14080" width="9.140625" style="70"/>
    <col min="14081" max="14081" width="4.28515625" style="70" customWidth="1"/>
    <col min="14082" max="14082" width="23.85546875" style="70" customWidth="1"/>
    <col min="14083" max="14083" width="12.85546875" style="70" customWidth="1"/>
    <col min="14084" max="14084" width="5.140625" style="70" customWidth="1"/>
    <col min="14085" max="14086" width="10.5703125" style="70" customWidth="1"/>
    <col min="14087" max="14087" width="11.140625" style="70" customWidth="1"/>
    <col min="14088" max="14088" width="9.28515625" style="70" bestFit="1" customWidth="1"/>
    <col min="14089" max="14089" width="10.85546875" style="70" customWidth="1"/>
    <col min="14090" max="14091" width="10.140625" style="70" customWidth="1"/>
    <col min="14092" max="14092" width="10.85546875" style="70" customWidth="1"/>
    <col min="14093" max="14093" width="13" style="70" customWidth="1"/>
    <col min="14094" max="14094" width="22" style="70" customWidth="1"/>
    <col min="14095" max="14336" width="9.140625" style="70"/>
    <col min="14337" max="14337" width="4.28515625" style="70" customWidth="1"/>
    <col min="14338" max="14338" width="23.85546875" style="70" customWidth="1"/>
    <col min="14339" max="14339" width="12.85546875" style="70" customWidth="1"/>
    <col min="14340" max="14340" width="5.140625" style="70" customWidth="1"/>
    <col min="14341" max="14342" width="10.5703125" style="70" customWidth="1"/>
    <col min="14343" max="14343" width="11.140625" style="70" customWidth="1"/>
    <col min="14344" max="14344" width="9.28515625" style="70" bestFit="1" customWidth="1"/>
    <col min="14345" max="14345" width="10.85546875" style="70" customWidth="1"/>
    <col min="14346" max="14347" width="10.140625" style="70" customWidth="1"/>
    <col min="14348" max="14348" width="10.85546875" style="70" customWidth="1"/>
    <col min="14349" max="14349" width="13" style="70" customWidth="1"/>
    <col min="14350" max="14350" width="22" style="70" customWidth="1"/>
    <col min="14351" max="14592" width="9.140625" style="70"/>
    <col min="14593" max="14593" width="4.28515625" style="70" customWidth="1"/>
    <col min="14594" max="14594" width="23.85546875" style="70" customWidth="1"/>
    <col min="14595" max="14595" width="12.85546875" style="70" customWidth="1"/>
    <col min="14596" max="14596" width="5.140625" style="70" customWidth="1"/>
    <col min="14597" max="14598" width="10.5703125" style="70" customWidth="1"/>
    <col min="14599" max="14599" width="11.140625" style="70" customWidth="1"/>
    <col min="14600" max="14600" width="9.28515625" style="70" bestFit="1" customWidth="1"/>
    <col min="14601" max="14601" width="10.85546875" style="70" customWidth="1"/>
    <col min="14602" max="14603" width="10.140625" style="70" customWidth="1"/>
    <col min="14604" max="14604" width="10.85546875" style="70" customWidth="1"/>
    <col min="14605" max="14605" width="13" style="70" customWidth="1"/>
    <col min="14606" max="14606" width="22" style="70" customWidth="1"/>
    <col min="14607" max="14848" width="9.140625" style="70"/>
    <col min="14849" max="14849" width="4.28515625" style="70" customWidth="1"/>
    <col min="14850" max="14850" width="23.85546875" style="70" customWidth="1"/>
    <col min="14851" max="14851" width="12.85546875" style="70" customWidth="1"/>
    <col min="14852" max="14852" width="5.140625" style="70" customWidth="1"/>
    <col min="14853" max="14854" width="10.5703125" style="70" customWidth="1"/>
    <col min="14855" max="14855" width="11.140625" style="70" customWidth="1"/>
    <col min="14856" max="14856" width="9.28515625" style="70" bestFit="1" customWidth="1"/>
    <col min="14857" max="14857" width="10.85546875" style="70" customWidth="1"/>
    <col min="14858" max="14859" width="10.140625" style="70" customWidth="1"/>
    <col min="14860" max="14860" width="10.85546875" style="70" customWidth="1"/>
    <col min="14861" max="14861" width="13" style="70" customWidth="1"/>
    <col min="14862" max="14862" width="22" style="70" customWidth="1"/>
    <col min="14863" max="15104" width="9.140625" style="70"/>
    <col min="15105" max="15105" width="4.28515625" style="70" customWidth="1"/>
    <col min="15106" max="15106" width="23.85546875" style="70" customWidth="1"/>
    <col min="15107" max="15107" width="12.85546875" style="70" customWidth="1"/>
    <col min="15108" max="15108" width="5.140625" style="70" customWidth="1"/>
    <col min="15109" max="15110" width="10.5703125" style="70" customWidth="1"/>
    <col min="15111" max="15111" width="11.140625" style="70" customWidth="1"/>
    <col min="15112" max="15112" width="9.28515625" style="70" bestFit="1" customWidth="1"/>
    <col min="15113" max="15113" width="10.85546875" style="70" customWidth="1"/>
    <col min="15114" max="15115" width="10.140625" style="70" customWidth="1"/>
    <col min="15116" max="15116" width="10.85546875" style="70" customWidth="1"/>
    <col min="15117" max="15117" width="13" style="70" customWidth="1"/>
    <col min="15118" max="15118" width="22" style="70" customWidth="1"/>
    <col min="15119" max="15360" width="9.140625" style="70"/>
    <col min="15361" max="15361" width="4.28515625" style="70" customWidth="1"/>
    <col min="15362" max="15362" width="23.85546875" style="70" customWidth="1"/>
    <col min="15363" max="15363" width="12.85546875" style="70" customWidth="1"/>
    <col min="15364" max="15364" width="5.140625" style="70" customWidth="1"/>
    <col min="15365" max="15366" width="10.5703125" style="70" customWidth="1"/>
    <col min="15367" max="15367" width="11.140625" style="70" customWidth="1"/>
    <col min="15368" max="15368" width="9.28515625" style="70" bestFit="1" customWidth="1"/>
    <col min="15369" max="15369" width="10.85546875" style="70" customWidth="1"/>
    <col min="15370" max="15371" width="10.140625" style="70" customWidth="1"/>
    <col min="15372" max="15372" width="10.85546875" style="70" customWidth="1"/>
    <col min="15373" max="15373" width="13" style="70" customWidth="1"/>
    <col min="15374" max="15374" width="22" style="70" customWidth="1"/>
    <col min="15375" max="15616" width="9.140625" style="70"/>
    <col min="15617" max="15617" width="4.28515625" style="70" customWidth="1"/>
    <col min="15618" max="15618" width="23.85546875" style="70" customWidth="1"/>
    <col min="15619" max="15619" width="12.85546875" style="70" customWidth="1"/>
    <col min="15620" max="15620" width="5.140625" style="70" customWidth="1"/>
    <col min="15621" max="15622" width="10.5703125" style="70" customWidth="1"/>
    <col min="15623" max="15623" width="11.140625" style="70" customWidth="1"/>
    <col min="15624" max="15624" width="9.28515625" style="70" bestFit="1" customWidth="1"/>
    <col min="15625" max="15625" width="10.85546875" style="70" customWidth="1"/>
    <col min="15626" max="15627" width="10.140625" style="70" customWidth="1"/>
    <col min="15628" max="15628" width="10.85546875" style="70" customWidth="1"/>
    <col min="15629" max="15629" width="13" style="70" customWidth="1"/>
    <col min="15630" max="15630" width="22" style="70" customWidth="1"/>
    <col min="15631" max="15872" width="9.140625" style="70"/>
    <col min="15873" max="15873" width="4.28515625" style="70" customWidth="1"/>
    <col min="15874" max="15874" width="23.85546875" style="70" customWidth="1"/>
    <col min="15875" max="15875" width="12.85546875" style="70" customWidth="1"/>
    <col min="15876" max="15876" width="5.140625" style="70" customWidth="1"/>
    <col min="15877" max="15878" width="10.5703125" style="70" customWidth="1"/>
    <col min="15879" max="15879" width="11.140625" style="70" customWidth="1"/>
    <col min="15880" max="15880" width="9.28515625" style="70" bestFit="1" customWidth="1"/>
    <col min="15881" max="15881" width="10.85546875" style="70" customWidth="1"/>
    <col min="15882" max="15883" width="10.140625" style="70" customWidth="1"/>
    <col min="15884" max="15884" width="10.85546875" style="70" customWidth="1"/>
    <col min="15885" max="15885" width="13" style="70" customWidth="1"/>
    <col min="15886" max="15886" width="22" style="70" customWidth="1"/>
    <col min="15887" max="16128" width="9.140625" style="70"/>
    <col min="16129" max="16129" width="4.28515625" style="70" customWidth="1"/>
    <col min="16130" max="16130" width="23.85546875" style="70" customWidth="1"/>
    <col min="16131" max="16131" width="12.85546875" style="70" customWidth="1"/>
    <col min="16132" max="16132" width="5.140625" style="70" customWidth="1"/>
    <col min="16133" max="16134" width="10.5703125" style="70" customWidth="1"/>
    <col min="16135" max="16135" width="11.140625" style="70" customWidth="1"/>
    <col min="16136" max="16136" width="9.28515625" style="70" bestFit="1" customWidth="1"/>
    <col min="16137" max="16137" width="10.85546875" style="70" customWidth="1"/>
    <col min="16138" max="16139" width="10.140625" style="70" customWidth="1"/>
    <col min="16140" max="16140" width="10.85546875" style="70" customWidth="1"/>
    <col min="16141" max="16141" width="13" style="70" customWidth="1"/>
    <col min="16142" max="16142" width="22" style="70" customWidth="1"/>
    <col min="16143" max="16384" width="9.140625" style="70"/>
  </cols>
  <sheetData>
    <row r="1" spans="1:18" ht="18">
      <c r="A1" s="102"/>
      <c r="C1" s="3326" t="s">
        <v>2310</v>
      </c>
      <c r="D1" s="3326"/>
      <c r="E1" s="3326"/>
      <c r="F1" s="3326"/>
      <c r="G1" s="102"/>
      <c r="H1" s="102"/>
    </row>
    <row r="2" spans="1:18" ht="13.5" customHeight="1">
      <c r="A2" s="102"/>
      <c r="B2" s="577"/>
      <c r="C2" s="577"/>
      <c r="D2" s="577"/>
      <c r="E2" s="100"/>
      <c r="F2" s="102"/>
      <c r="G2" s="102"/>
      <c r="H2" s="102"/>
    </row>
    <row r="3" spans="1:18" ht="17.25" customHeight="1">
      <c r="B3" s="3483" t="s">
        <v>2311</v>
      </c>
      <c r="C3" s="3483"/>
      <c r="D3" s="3483"/>
      <c r="E3" s="3483"/>
      <c r="F3" s="3483"/>
      <c r="G3" s="3483"/>
      <c r="H3" s="3483"/>
      <c r="I3" s="3483"/>
    </row>
    <row r="4" spans="1:18" ht="15.75">
      <c r="A4" s="889"/>
      <c r="B4" s="889"/>
      <c r="C4" s="889"/>
      <c r="D4" s="889"/>
      <c r="E4" s="889"/>
      <c r="F4" s="889"/>
      <c r="G4" s="889"/>
      <c r="H4" s="889"/>
      <c r="J4" s="631"/>
    </row>
    <row r="5" spans="1:18" ht="15.75">
      <c r="A5" s="889"/>
      <c r="B5" s="889"/>
      <c r="C5" s="889"/>
      <c r="D5" s="889"/>
      <c r="E5" s="889"/>
      <c r="F5" s="889"/>
      <c r="K5" s="3499" t="s">
        <v>89</v>
      </c>
      <c r="L5" s="3499"/>
    </row>
    <row r="6" spans="1:18" ht="12" customHeight="1">
      <c r="A6" s="889"/>
      <c r="B6" s="889"/>
      <c r="C6" s="889"/>
      <c r="D6" s="889"/>
      <c r="E6" s="889"/>
      <c r="F6" s="889"/>
      <c r="G6" s="890"/>
      <c r="H6" s="890"/>
    </row>
    <row r="7" spans="1:18" ht="122.25" customHeight="1">
      <c r="A7" s="912" t="s">
        <v>2</v>
      </c>
      <c r="B7" s="912" t="s">
        <v>2312</v>
      </c>
      <c r="C7" s="913" t="s">
        <v>1795</v>
      </c>
      <c r="D7" s="912" t="s">
        <v>5</v>
      </c>
      <c r="E7" s="914" t="s">
        <v>2313</v>
      </c>
      <c r="F7" s="914" t="s">
        <v>2314</v>
      </c>
      <c r="G7" s="914" t="s">
        <v>2315</v>
      </c>
      <c r="H7" s="915" t="s">
        <v>2333</v>
      </c>
      <c r="I7" s="915" t="s">
        <v>2316</v>
      </c>
      <c r="J7" s="915" t="s">
        <v>2317</v>
      </c>
      <c r="K7" s="915" t="s">
        <v>2318</v>
      </c>
      <c r="L7" s="915" t="s">
        <v>2319</v>
      </c>
      <c r="M7" s="915" t="s">
        <v>2320</v>
      </c>
    </row>
    <row r="8" spans="1:18" ht="15">
      <c r="A8" s="891">
        <v>1</v>
      </c>
      <c r="B8" s="891">
        <v>2</v>
      </c>
      <c r="C8" s="908">
        <v>3</v>
      </c>
      <c r="D8" s="891">
        <v>4</v>
      </c>
      <c r="E8" s="892">
        <v>5</v>
      </c>
      <c r="F8" s="892">
        <v>6</v>
      </c>
      <c r="G8" s="892">
        <v>7</v>
      </c>
      <c r="H8" s="893">
        <v>8</v>
      </c>
      <c r="I8" s="893">
        <v>9</v>
      </c>
      <c r="J8" s="893">
        <v>10</v>
      </c>
      <c r="K8" s="893">
        <v>11</v>
      </c>
      <c r="L8" s="893">
        <v>12</v>
      </c>
      <c r="M8" s="893">
        <v>13</v>
      </c>
    </row>
    <row r="9" spans="1:18" ht="33" customHeight="1">
      <c r="A9" s="1880">
        <v>1</v>
      </c>
      <c r="B9" s="1881" t="s">
        <v>2321</v>
      </c>
      <c r="C9" s="1880">
        <v>7131950010</v>
      </c>
      <c r="D9" s="1880" t="s">
        <v>255</v>
      </c>
      <c r="E9" s="1132">
        <f>VLOOKUP(C9,'SOR RATE'!A:D,4,0)</f>
        <v>1270.98</v>
      </c>
      <c r="F9" s="1132">
        <f>E9/1.18</f>
        <v>1077.1016949152543</v>
      </c>
      <c r="G9" s="1882">
        <f>E9*7.5%</f>
        <v>95.323499999999996</v>
      </c>
      <c r="H9" s="1882">
        <v>194.31</v>
      </c>
      <c r="I9" s="1882">
        <f t="shared" ref="I9:I15" si="0">F9+G9+H9</f>
        <v>1366.7351949152542</v>
      </c>
      <c r="J9" s="1882">
        <f t="shared" ref="J9:J15" si="1">I9*0.09</f>
        <v>123.00616754237286</v>
      </c>
      <c r="K9" s="1882">
        <f t="shared" ref="K9:K15" si="2">I9*0.09</f>
        <v>123.00616754237286</v>
      </c>
      <c r="L9" s="1882">
        <f t="shared" ref="L9:L15" si="3">I9+J9+K9</f>
        <v>1612.7475299999999</v>
      </c>
      <c r="M9" s="1642">
        <f>ROUND(L9,0)</f>
        <v>1613</v>
      </c>
      <c r="O9" s="905"/>
      <c r="P9" s="624"/>
      <c r="R9" s="505"/>
    </row>
    <row r="10" spans="1:18" ht="32.25" customHeight="1">
      <c r="A10" s="1880">
        <v>2</v>
      </c>
      <c r="B10" s="1881" t="s">
        <v>2322</v>
      </c>
      <c r="C10" s="1880">
        <v>7131950012</v>
      </c>
      <c r="D10" s="1880" t="s">
        <v>255</v>
      </c>
      <c r="E10" s="1132">
        <f>VLOOKUP(C10,'SOR RATE'!A:D,4,0)</f>
        <v>1531.04</v>
      </c>
      <c r="F10" s="1132">
        <f>E10/1.18</f>
        <v>1297.4915254237289</v>
      </c>
      <c r="G10" s="1882">
        <f>E10*7.5%</f>
        <v>114.82799999999999</v>
      </c>
      <c r="H10" s="1882">
        <v>194.31</v>
      </c>
      <c r="I10" s="1882">
        <f t="shared" si="0"/>
        <v>1606.6295254237289</v>
      </c>
      <c r="J10" s="1882">
        <f t="shared" si="1"/>
        <v>144.59665728813559</v>
      </c>
      <c r="K10" s="1882">
        <f t="shared" si="2"/>
        <v>144.59665728813559</v>
      </c>
      <c r="L10" s="1882">
        <f t="shared" si="3"/>
        <v>1895.8228400000003</v>
      </c>
      <c r="M10" s="1642">
        <f>ROUND(L10,0)</f>
        <v>1896</v>
      </c>
      <c r="O10" s="905"/>
      <c r="P10" s="526"/>
    </row>
    <row r="11" spans="1:18" ht="45.75" customHeight="1">
      <c r="A11" s="907">
        <v>3</v>
      </c>
      <c r="B11" s="1874" t="s">
        <v>2343</v>
      </c>
      <c r="C11" s="1875">
        <v>7130311029</v>
      </c>
      <c r="D11" s="1863" t="s">
        <v>190</v>
      </c>
      <c r="E11" s="1132">
        <f>VLOOKUP(C11,'SOR RATE'!A:D,4,0)</f>
        <v>116.13</v>
      </c>
      <c r="F11" s="1132">
        <f>E11/1.18</f>
        <v>98.415254237288138</v>
      </c>
      <c r="G11" s="1882">
        <f>E11*7.5%</f>
        <v>8.7097499999999997</v>
      </c>
      <c r="H11" s="907">
        <v>337.01</v>
      </c>
      <c r="I11" s="1882">
        <f t="shared" si="0"/>
        <v>444.13500423728811</v>
      </c>
      <c r="J11" s="1882">
        <f t="shared" si="1"/>
        <v>39.972150381355931</v>
      </c>
      <c r="K11" s="1882">
        <f t="shared" si="2"/>
        <v>39.972150381355931</v>
      </c>
      <c r="L11" s="1882">
        <f t="shared" si="3"/>
        <v>524.07930499999998</v>
      </c>
      <c r="M11" s="1642">
        <f>ROUND(L11,0)</f>
        <v>524</v>
      </c>
    </row>
    <row r="12" spans="1:18" ht="58.5" customHeight="1">
      <c r="A12" s="1883">
        <v>4</v>
      </c>
      <c r="B12" s="1868" t="s">
        <v>456</v>
      </c>
      <c r="C12" s="1183">
        <v>7130390003</v>
      </c>
      <c r="D12" s="1869" t="s">
        <v>12</v>
      </c>
      <c r="E12" s="1132">
        <f>VLOOKUP(C12,'SOR RATE'!A:D,4,0)</f>
        <v>96.28</v>
      </c>
      <c r="F12" s="1132">
        <f>E12/1.18</f>
        <v>81.593220338983059</v>
      </c>
      <c r="G12" s="1882">
        <f>E12*7.5%</f>
        <v>7.2210000000000001</v>
      </c>
      <c r="H12" s="1884">
        <v>78.628950000000003</v>
      </c>
      <c r="I12" s="1882">
        <f t="shared" si="0"/>
        <v>167.44317033898307</v>
      </c>
      <c r="J12" s="1882">
        <f t="shared" si="1"/>
        <v>15.069885330508475</v>
      </c>
      <c r="K12" s="1882">
        <f t="shared" si="2"/>
        <v>15.069885330508475</v>
      </c>
      <c r="L12" s="1882">
        <f t="shared" si="3"/>
        <v>197.58294100000001</v>
      </c>
      <c r="M12" s="1642">
        <f>ROUND(L12,0)</f>
        <v>198</v>
      </c>
    </row>
    <row r="13" spans="1:18" ht="57" customHeight="1">
      <c r="A13" s="907">
        <v>5</v>
      </c>
      <c r="B13" s="1261" t="s">
        <v>458</v>
      </c>
      <c r="C13" s="1183">
        <v>7130390004</v>
      </c>
      <c r="D13" s="1183" t="s">
        <v>12</v>
      </c>
      <c r="E13" s="1132">
        <f>VLOOKUP(C13,'SOR RATE'!A:D,4,0)</f>
        <v>125.42</v>
      </c>
      <c r="F13" s="1132">
        <f>E13/1.18</f>
        <v>106.28813559322035</v>
      </c>
      <c r="G13" s="1882">
        <f>E13*7.5%</f>
        <v>9.4064999999999994</v>
      </c>
      <c r="H13" s="907"/>
      <c r="I13" s="1882">
        <f t="shared" si="0"/>
        <v>115.69463559322034</v>
      </c>
      <c r="J13" s="1882">
        <f t="shared" si="1"/>
        <v>10.412517203389831</v>
      </c>
      <c r="K13" s="1882">
        <f t="shared" si="2"/>
        <v>10.412517203389831</v>
      </c>
      <c r="L13" s="1882">
        <f t="shared" si="3"/>
        <v>136.51966999999999</v>
      </c>
      <c r="M13" s="1642">
        <f>ROUND(L13,0)</f>
        <v>137</v>
      </c>
      <c r="N13" s="803"/>
    </row>
    <row r="14" spans="1:18" ht="32.25" customHeight="1">
      <c r="A14" s="907">
        <v>6</v>
      </c>
      <c r="B14" s="1868" t="s">
        <v>2183</v>
      </c>
      <c r="C14" s="1183">
        <v>7130390006</v>
      </c>
      <c r="D14" s="1869" t="s">
        <v>12</v>
      </c>
      <c r="E14" s="1132">
        <f>VLOOKUP(C14,'SOR RATE'!A:D,4,0)</f>
        <v>153.72999999999999</v>
      </c>
      <c r="F14" s="1132">
        <f t="shared" ref="F14:F15" si="4">E14/1.18</f>
        <v>130.27966101694915</v>
      </c>
      <c r="G14" s="1882">
        <f t="shared" ref="G14:G15" si="5">E14*7.5%</f>
        <v>11.529749999999998</v>
      </c>
      <c r="H14" s="907"/>
      <c r="I14" s="1882">
        <f t="shared" si="0"/>
        <v>141.80941101694916</v>
      </c>
      <c r="J14" s="1882">
        <f t="shared" si="1"/>
        <v>12.762846991525423</v>
      </c>
      <c r="K14" s="1882">
        <f t="shared" si="2"/>
        <v>12.762846991525423</v>
      </c>
      <c r="L14" s="1882">
        <f t="shared" si="3"/>
        <v>167.33510500000003</v>
      </c>
      <c r="M14" s="1642">
        <f t="shared" ref="M14:M15" si="6">ROUND(L14,0)</f>
        <v>167</v>
      </c>
      <c r="N14" s="803"/>
    </row>
    <row r="15" spans="1:18" ht="17.25" customHeight="1">
      <c r="A15" s="907">
        <v>7</v>
      </c>
      <c r="B15" s="1182" t="s">
        <v>583</v>
      </c>
      <c r="C15" s="1186">
        <v>7130810102</v>
      </c>
      <c r="D15" s="1183" t="s">
        <v>12</v>
      </c>
      <c r="E15" s="1132">
        <f>VLOOKUP(C15,'SOR RATE'!A:D,4,0)</f>
        <v>442.47</v>
      </c>
      <c r="F15" s="1132">
        <f t="shared" si="4"/>
        <v>374.97457627118649</v>
      </c>
      <c r="G15" s="1882">
        <f t="shared" si="5"/>
        <v>33.185250000000003</v>
      </c>
      <c r="H15" s="907"/>
      <c r="I15" s="1882">
        <f t="shared" si="0"/>
        <v>408.15982627118649</v>
      </c>
      <c r="J15" s="1882">
        <f t="shared" si="1"/>
        <v>36.734384364406786</v>
      </c>
      <c r="K15" s="1882">
        <f t="shared" si="2"/>
        <v>36.734384364406786</v>
      </c>
      <c r="L15" s="1882">
        <f t="shared" si="3"/>
        <v>481.62859500000002</v>
      </c>
      <c r="M15" s="1642">
        <f t="shared" si="6"/>
        <v>482</v>
      </c>
    </row>
    <row r="17" spans="2:6" ht="17.25" customHeight="1">
      <c r="B17" s="3500" t="s">
        <v>2323</v>
      </c>
      <c r="C17" s="3501"/>
      <c r="D17" s="3501"/>
      <c r="E17" s="1885">
        <v>7.4999999999999997E-2</v>
      </c>
    </row>
    <row r="19" spans="2:6" ht="45.75" customHeight="1">
      <c r="B19" s="3349" t="s">
        <v>2345</v>
      </c>
      <c r="C19" s="3349"/>
      <c r="D19" s="3349"/>
      <c r="E19" s="3349"/>
      <c r="F19" s="3349"/>
    </row>
  </sheetData>
  <mergeCells count="5">
    <mergeCell ref="C1:F1"/>
    <mergeCell ref="K5:L5"/>
    <mergeCell ref="B17:D17"/>
    <mergeCell ref="B19:F19"/>
    <mergeCell ref="B3:I3"/>
  </mergeCells>
  <pageMargins left="0.6692913385826772" right="0.15748031496062992" top="0.51181102362204722" bottom="0.51181102362204722" header="0.51181102362204722" footer="0.51181102362204722"/>
  <pageSetup scale="90" orientation="landscape"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4"/>
  <sheetViews>
    <sheetView zoomScale="90" zoomScaleNormal="90" workbookViewId="0">
      <pane xSplit="3" ySplit="9" topLeftCell="D27" activePane="bottomRight" state="frozen"/>
      <selection pane="topRight" activeCell="D1" sqref="D1"/>
      <selection pane="bottomLeft" activeCell="A10" sqref="A10"/>
      <selection pane="bottomRight" activeCell="H30" sqref="H30"/>
    </sheetView>
  </sheetViews>
  <sheetFormatPr defaultRowHeight="12.75"/>
  <cols>
    <col min="1" max="1" width="4.5703125" style="137" customWidth="1"/>
    <col min="2" max="2" width="38.7109375" style="70" customWidth="1"/>
    <col min="3" max="3" width="15" style="137" customWidth="1"/>
    <col min="4" max="4" width="5.85546875" style="70" bestFit="1" customWidth="1"/>
    <col min="5" max="5" width="5.7109375" style="70" bestFit="1" customWidth="1"/>
    <col min="6" max="6" width="10.28515625" style="70" bestFit="1" customWidth="1"/>
    <col min="7" max="7" width="10.85546875" style="70" bestFit="1" customWidth="1"/>
    <col min="8" max="8" width="5.7109375" style="70" bestFit="1" customWidth="1"/>
    <col min="9" max="9" width="10.28515625" style="70" bestFit="1" customWidth="1"/>
    <col min="10" max="10" width="10.85546875" style="70" bestFit="1" customWidth="1"/>
    <col min="11" max="11" width="5.7109375" style="70" bestFit="1" customWidth="1"/>
    <col min="12" max="12" width="9.85546875" style="70" bestFit="1" customWidth="1"/>
    <col min="13" max="13" width="11.5703125" style="70" customWidth="1"/>
    <col min="14" max="14" width="5.7109375" style="70" bestFit="1" customWidth="1"/>
    <col min="15" max="15" width="9.5703125" style="70" bestFit="1" customWidth="1"/>
    <col min="16" max="16" width="11.7109375" style="70" customWidth="1"/>
    <col min="17" max="17" width="24.85546875" style="70" customWidth="1"/>
    <col min="18" max="18" width="14.140625" style="70" customWidth="1"/>
    <col min="19" max="256" width="9.140625" style="70"/>
    <col min="257" max="257" width="5.5703125" style="70" customWidth="1"/>
    <col min="258" max="258" width="30.85546875" style="70" customWidth="1"/>
    <col min="259" max="259" width="15" style="70" customWidth="1"/>
    <col min="260" max="260" width="5.85546875" style="70" bestFit="1" customWidth="1"/>
    <col min="261" max="261" width="5.7109375" style="70" bestFit="1" customWidth="1"/>
    <col min="262" max="262" width="10.28515625" style="70" bestFit="1" customWidth="1"/>
    <col min="263" max="263" width="11.42578125" style="70" customWidth="1"/>
    <col min="264" max="264" width="5.7109375" style="70" bestFit="1" customWidth="1"/>
    <col min="265" max="265" width="10.28515625" style="70" bestFit="1" customWidth="1"/>
    <col min="266" max="266" width="11.28515625" style="70" bestFit="1" customWidth="1"/>
    <col min="267" max="267" width="5.7109375" style="70" bestFit="1" customWidth="1"/>
    <col min="268" max="268" width="9.85546875" style="70" bestFit="1" customWidth="1"/>
    <col min="269" max="269" width="12.85546875" style="70" customWidth="1"/>
    <col min="270" max="270" width="5.7109375" style="70" bestFit="1" customWidth="1"/>
    <col min="271" max="271" width="10.28515625" style="70" bestFit="1" customWidth="1"/>
    <col min="272" max="272" width="12.140625" style="70" customWidth="1"/>
    <col min="273" max="273" width="24.85546875" style="70" customWidth="1"/>
    <col min="274" max="274" width="14.140625" style="70" customWidth="1"/>
    <col min="275" max="512" width="9.140625" style="70"/>
    <col min="513" max="513" width="5.5703125" style="70" customWidth="1"/>
    <col min="514" max="514" width="30.85546875" style="70" customWidth="1"/>
    <col min="515" max="515" width="15" style="70" customWidth="1"/>
    <col min="516" max="516" width="5.85546875" style="70" bestFit="1" customWidth="1"/>
    <col min="517" max="517" width="5.7109375" style="70" bestFit="1" customWidth="1"/>
    <col min="518" max="518" width="10.28515625" style="70" bestFit="1" customWidth="1"/>
    <col min="519" max="519" width="11.42578125" style="70" customWidth="1"/>
    <col min="520" max="520" width="5.7109375" style="70" bestFit="1" customWidth="1"/>
    <col min="521" max="521" width="10.28515625" style="70" bestFit="1" customWidth="1"/>
    <col min="522" max="522" width="11.28515625" style="70" bestFit="1" customWidth="1"/>
    <col min="523" max="523" width="5.7109375" style="70" bestFit="1" customWidth="1"/>
    <col min="524" max="524" width="9.85546875" style="70" bestFit="1" customWidth="1"/>
    <col min="525" max="525" width="12.85546875" style="70" customWidth="1"/>
    <col min="526" max="526" width="5.7109375" style="70" bestFit="1" customWidth="1"/>
    <col min="527" max="527" width="10.28515625" style="70" bestFit="1" customWidth="1"/>
    <col min="528" max="528" width="12.140625" style="70" customWidth="1"/>
    <col min="529" max="529" width="24.85546875" style="70" customWidth="1"/>
    <col min="530" max="530" width="14.140625" style="70" customWidth="1"/>
    <col min="531" max="768" width="9.140625" style="70"/>
    <col min="769" max="769" width="5.5703125" style="70" customWidth="1"/>
    <col min="770" max="770" width="30.85546875" style="70" customWidth="1"/>
    <col min="771" max="771" width="15" style="70" customWidth="1"/>
    <col min="772" max="772" width="5.85546875" style="70" bestFit="1" customWidth="1"/>
    <col min="773" max="773" width="5.7109375" style="70" bestFit="1" customWidth="1"/>
    <col min="774" max="774" width="10.28515625" style="70" bestFit="1" customWidth="1"/>
    <col min="775" max="775" width="11.42578125" style="70" customWidth="1"/>
    <col min="776" max="776" width="5.7109375" style="70" bestFit="1" customWidth="1"/>
    <col min="777" max="777" width="10.28515625" style="70" bestFit="1" customWidth="1"/>
    <col min="778" max="778" width="11.28515625" style="70" bestFit="1" customWidth="1"/>
    <col min="779" max="779" width="5.7109375" style="70" bestFit="1" customWidth="1"/>
    <col min="780" max="780" width="9.85546875" style="70" bestFit="1" customWidth="1"/>
    <col min="781" max="781" width="12.85546875" style="70" customWidth="1"/>
    <col min="782" max="782" width="5.7109375" style="70" bestFit="1" customWidth="1"/>
    <col min="783" max="783" width="10.28515625" style="70" bestFit="1" customWidth="1"/>
    <col min="784" max="784" width="12.140625" style="70" customWidth="1"/>
    <col min="785" max="785" width="24.85546875" style="70" customWidth="1"/>
    <col min="786" max="786" width="14.140625" style="70" customWidth="1"/>
    <col min="787" max="1024" width="9.140625" style="70"/>
    <col min="1025" max="1025" width="5.5703125" style="70" customWidth="1"/>
    <col min="1026" max="1026" width="30.85546875" style="70" customWidth="1"/>
    <col min="1027" max="1027" width="15" style="70" customWidth="1"/>
    <col min="1028" max="1028" width="5.85546875" style="70" bestFit="1" customWidth="1"/>
    <col min="1029" max="1029" width="5.7109375" style="70" bestFit="1" customWidth="1"/>
    <col min="1030" max="1030" width="10.28515625" style="70" bestFit="1" customWidth="1"/>
    <col min="1031" max="1031" width="11.42578125" style="70" customWidth="1"/>
    <col min="1032" max="1032" width="5.7109375" style="70" bestFit="1" customWidth="1"/>
    <col min="1033" max="1033" width="10.28515625" style="70" bestFit="1" customWidth="1"/>
    <col min="1034" max="1034" width="11.28515625" style="70" bestFit="1" customWidth="1"/>
    <col min="1035" max="1035" width="5.7109375" style="70" bestFit="1" customWidth="1"/>
    <col min="1036" max="1036" width="9.85546875" style="70" bestFit="1" customWidth="1"/>
    <col min="1037" max="1037" width="12.85546875" style="70" customWidth="1"/>
    <col min="1038" max="1038" width="5.7109375" style="70" bestFit="1" customWidth="1"/>
    <col min="1039" max="1039" width="10.28515625" style="70" bestFit="1" customWidth="1"/>
    <col min="1040" max="1040" width="12.140625" style="70" customWidth="1"/>
    <col min="1041" max="1041" width="24.85546875" style="70" customWidth="1"/>
    <col min="1042" max="1042" width="14.140625" style="70" customWidth="1"/>
    <col min="1043" max="1280" width="9.140625" style="70"/>
    <col min="1281" max="1281" width="5.5703125" style="70" customWidth="1"/>
    <col min="1282" max="1282" width="30.85546875" style="70" customWidth="1"/>
    <col min="1283" max="1283" width="15" style="70" customWidth="1"/>
    <col min="1284" max="1284" width="5.85546875" style="70" bestFit="1" customWidth="1"/>
    <col min="1285" max="1285" width="5.7109375" style="70" bestFit="1" customWidth="1"/>
    <col min="1286" max="1286" width="10.28515625" style="70" bestFit="1" customWidth="1"/>
    <col min="1287" max="1287" width="11.42578125" style="70" customWidth="1"/>
    <col min="1288" max="1288" width="5.7109375" style="70" bestFit="1" customWidth="1"/>
    <col min="1289" max="1289" width="10.28515625" style="70" bestFit="1" customWidth="1"/>
    <col min="1290" max="1290" width="11.28515625" style="70" bestFit="1" customWidth="1"/>
    <col min="1291" max="1291" width="5.7109375" style="70" bestFit="1" customWidth="1"/>
    <col min="1292" max="1292" width="9.85546875" style="70" bestFit="1" customWidth="1"/>
    <col min="1293" max="1293" width="12.85546875" style="70" customWidth="1"/>
    <col min="1294" max="1294" width="5.7109375" style="70" bestFit="1" customWidth="1"/>
    <col min="1295" max="1295" width="10.28515625" style="70" bestFit="1" customWidth="1"/>
    <col min="1296" max="1296" width="12.140625" style="70" customWidth="1"/>
    <col min="1297" max="1297" width="24.85546875" style="70" customWidth="1"/>
    <col min="1298" max="1298" width="14.140625" style="70" customWidth="1"/>
    <col min="1299" max="1536" width="9.140625" style="70"/>
    <col min="1537" max="1537" width="5.5703125" style="70" customWidth="1"/>
    <col min="1538" max="1538" width="30.85546875" style="70" customWidth="1"/>
    <col min="1539" max="1539" width="15" style="70" customWidth="1"/>
    <col min="1540" max="1540" width="5.85546875" style="70" bestFit="1" customWidth="1"/>
    <col min="1541" max="1541" width="5.7109375" style="70" bestFit="1" customWidth="1"/>
    <col min="1542" max="1542" width="10.28515625" style="70" bestFit="1" customWidth="1"/>
    <col min="1543" max="1543" width="11.42578125" style="70" customWidth="1"/>
    <col min="1544" max="1544" width="5.7109375" style="70" bestFit="1" customWidth="1"/>
    <col min="1545" max="1545" width="10.28515625" style="70" bestFit="1" customWidth="1"/>
    <col min="1546" max="1546" width="11.28515625" style="70" bestFit="1" customWidth="1"/>
    <col min="1547" max="1547" width="5.7109375" style="70" bestFit="1" customWidth="1"/>
    <col min="1548" max="1548" width="9.85546875" style="70" bestFit="1" customWidth="1"/>
    <col min="1549" max="1549" width="12.85546875" style="70" customWidth="1"/>
    <col min="1550" max="1550" width="5.7109375" style="70" bestFit="1" customWidth="1"/>
    <col min="1551" max="1551" width="10.28515625" style="70" bestFit="1" customWidth="1"/>
    <col min="1552" max="1552" width="12.140625" style="70" customWidth="1"/>
    <col min="1553" max="1553" width="24.85546875" style="70" customWidth="1"/>
    <col min="1554" max="1554" width="14.140625" style="70" customWidth="1"/>
    <col min="1555" max="1792" width="9.140625" style="70"/>
    <col min="1793" max="1793" width="5.5703125" style="70" customWidth="1"/>
    <col min="1794" max="1794" width="30.85546875" style="70" customWidth="1"/>
    <col min="1795" max="1795" width="15" style="70" customWidth="1"/>
    <col min="1796" max="1796" width="5.85546875" style="70" bestFit="1" customWidth="1"/>
    <col min="1797" max="1797" width="5.7109375" style="70" bestFit="1" customWidth="1"/>
    <col min="1798" max="1798" width="10.28515625" style="70" bestFit="1" customWidth="1"/>
    <col min="1799" max="1799" width="11.42578125" style="70" customWidth="1"/>
    <col min="1800" max="1800" width="5.7109375" style="70" bestFit="1" customWidth="1"/>
    <col min="1801" max="1801" width="10.28515625" style="70" bestFit="1" customWidth="1"/>
    <col min="1802" max="1802" width="11.28515625" style="70" bestFit="1" customWidth="1"/>
    <col min="1803" max="1803" width="5.7109375" style="70" bestFit="1" customWidth="1"/>
    <col min="1804" max="1804" width="9.85546875" style="70" bestFit="1" customWidth="1"/>
    <col min="1805" max="1805" width="12.85546875" style="70" customWidth="1"/>
    <col min="1806" max="1806" width="5.7109375" style="70" bestFit="1" customWidth="1"/>
    <col min="1807" max="1807" width="10.28515625" style="70" bestFit="1" customWidth="1"/>
    <col min="1808" max="1808" width="12.140625" style="70" customWidth="1"/>
    <col min="1809" max="1809" width="24.85546875" style="70" customWidth="1"/>
    <col min="1810" max="1810" width="14.140625" style="70" customWidth="1"/>
    <col min="1811" max="2048" width="9.140625" style="70"/>
    <col min="2049" max="2049" width="5.5703125" style="70" customWidth="1"/>
    <col min="2050" max="2050" width="30.85546875" style="70" customWidth="1"/>
    <col min="2051" max="2051" width="15" style="70" customWidth="1"/>
    <col min="2052" max="2052" width="5.85546875" style="70" bestFit="1" customWidth="1"/>
    <col min="2053" max="2053" width="5.7109375" style="70" bestFit="1" customWidth="1"/>
    <col min="2054" max="2054" width="10.28515625" style="70" bestFit="1" customWidth="1"/>
    <col min="2055" max="2055" width="11.42578125" style="70" customWidth="1"/>
    <col min="2056" max="2056" width="5.7109375" style="70" bestFit="1" customWidth="1"/>
    <col min="2057" max="2057" width="10.28515625" style="70" bestFit="1" customWidth="1"/>
    <col min="2058" max="2058" width="11.28515625" style="70" bestFit="1" customWidth="1"/>
    <col min="2059" max="2059" width="5.7109375" style="70" bestFit="1" customWidth="1"/>
    <col min="2060" max="2060" width="9.85546875" style="70" bestFit="1" customWidth="1"/>
    <col min="2061" max="2061" width="12.85546875" style="70" customWidth="1"/>
    <col min="2062" max="2062" width="5.7109375" style="70" bestFit="1" customWidth="1"/>
    <col min="2063" max="2063" width="10.28515625" style="70" bestFit="1" customWidth="1"/>
    <col min="2064" max="2064" width="12.140625" style="70" customWidth="1"/>
    <col min="2065" max="2065" width="24.85546875" style="70" customWidth="1"/>
    <col min="2066" max="2066" width="14.140625" style="70" customWidth="1"/>
    <col min="2067" max="2304" width="9.140625" style="70"/>
    <col min="2305" max="2305" width="5.5703125" style="70" customWidth="1"/>
    <col min="2306" max="2306" width="30.85546875" style="70" customWidth="1"/>
    <col min="2307" max="2307" width="15" style="70" customWidth="1"/>
    <col min="2308" max="2308" width="5.85546875" style="70" bestFit="1" customWidth="1"/>
    <col min="2309" max="2309" width="5.7109375" style="70" bestFit="1" customWidth="1"/>
    <col min="2310" max="2310" width="10.28515625" style="70" bestFit="1" customWidth="1"/>
    <col min="2311" max="2311" width="11.42578125" style="70" customWidth="1"/>
    <col min="2312" max="2312" width="5.7109375" style="70" bestFit="1" customWidth="1"/>
    <col min="2313" max="2313" width="10.28515625" style="70" bestFit="1" customWidth="1"/>
    <col min="2314" max="2314" width="11.28515625" style="70" bestFit="1" customWidth="1"/>
    <col min="2315" max="2315" width="5.7109375" style="70" bestFit="1" customWidth="1"/>
    <col min="2316" max="2316" width="9.85546875" style="70" bestFit="1" customWidth="1"/>
    <col min="2317" max="2317" width="12.85546875" style="70" customWidth="1"/>
    <col min="2318" max="2318" width="5.7109375" style="70" bestFit="1" customWidth="1"/>
    <col min="2319" max="2319" width="10.28515625" style="70" bestFit="1" customWidth="1"/>
    <col min="2320" max="2320" width="12.140625" style="70" customWidth="1"/>
    <col min="2321" max="2321" width="24.85546875" style="70" customWidth="1"/>
    <col min="2322" max="2322" width="14.140625" style="70" customWidth="1"/>
    <col min="2323" max="2560" width="9.140625" style="70"/>
    <col min="2561" max="2561" width="5.5703125" style="70" customWidth="1"/>
    <col min="2562" max="2562" width="30.85546875" style="70" customWidth="1"/>
    <col min="2563" max="2563" width="15" style="70" customWidth="1"/>
    <col min="2564" max="2564" width="5.85546875" style="70" bestFit="1" customWidth="1"/>
    <col min="2565" max="2565" width="5.7109375" style="70" bestFit="1" customWidth="1"/>
    <col min="2566" max="2566" width="10.28515625" style="70" bestFit="1" customWidth="1"/>
    <col min="2567" max="2567" width="11.42578125" style="70" customWidth="1"/>
    <col min="2568" max="2568" width="5.7109375" style="70" bestFit="1" customWidth="1"/>
    <col min="2569" max="2569" width="10.28515625" style="70" bestFit="1" customWidth="1"/>
    <col min="2570" max="2570" width="11.28515625" style="70" bestFit="1" customWidth="1"/>
    <col min="2571" max="2571" width="5.7109375" style="70" bestFit="1" customWidth="1"/>
    <col min="2572" max="2572" width="9.85546875" style="70" bestFit="1" customWidth="1"/>
    <col min="2573" max="2573" width="12.85546875" style="70" customWidth="1"/>
    <col min="2574" max="2574" width="5.7109375" style="70" bestFit="1" customWidth="1"/>
    <col min="2575" max="2575" width="10.28515625" style="70" bestFit="1" customWidth="1"/>
    <col min="2576" max="2576" width="12.140625" style="70" customWidth="1"/>
    <col min="2577" max="2577" width="24.85546875" style="70" customWidth="1"/>
    <col min="2578" max="2578" width="14.140625" style="70" customWidth="1"/>
    <col min="2579" max="2816" width="9.140625" style="70"/>
    <col min="2817" max="2817" width="5.5703125" style="70" customWidth="1"/>
    <col min="2818" max="2818" width="30.85546875" style="70" customWidth="1"/>
    <col min="2819" max="2819" width="15" style="70" customWidth="1"/>
    <col min="2820" max="2820" width="5.85546875" style="70" bestFit="1" customWidth="1"/>
    <col min="2821" max="2821" width="5.7109375" style="70" bestFit="1" customWidth="1"/>
    <col min="2822" max="2822" width="10.28515625" style="70" bestFit="1" customWidth="1"/>
    <col min="2823" max="2823" width="11.42578125" style="70" customWidth="1"/>
    <col min="2824" max="2824" width="5.7109375" style="70" bestFit="1" customWidth="1"/>
    <col min="2825" max="2825" width="10.28515625" style="70" bestFit="1" customWidth="1"/>
    <col min="2826" max="2826" width="11.28515625" style="70" bestFit="1" customWidth="1"/>
    <col min="2827" max="2827" width="5.7109375" style="70" bestFit="1" customWidth="1"/>
    <col min="2828" max="2828" width="9.85546875" style="70" bestFit="1" customWidth="1"/>
    <col min="2829" max="2829" width="12.85546875" style="70" customWidth="1"/>
    <col min="2830" max="2830" width="5.7109375" style="70" bestFit="1" customWidth="1"/>
    <col min="2831" max="2831" width="10.28515625" style="70" bestFit="1" customWidth="1"/>
    <col min="2832" max="2832" width="12.140625" style="70" customWidth="1"/>
    <col min="2833" max="2833" width="24.85546875" style="70" customWidth="1"/>
    <col min="2834" max="2834" width="14.140625" style="70" customWidth="1"/>
    <col min="2835" max="3072" width="9.140625" style="70"/>
    <col min="3073" max="3073" width="5.5703125" style="70" customWidth="1"/>
    <col min="3074" max="3074" width="30.85546875" style="70" customWidth="1"/>
    <col min="3075" max="3075" width="15" style="70" customWidth="1"/>
    <col min="3076" max="3076" width="5.85546875" style="70" bestFit="1" customWidth="1"/>
    <col min="3077" max="3077" width="5.7109375" style="70" bestFit="1" customWidth="1"/>
    <col min="3078" max="3078" width="10.28515625" style="70" bestFit="1" customWidth="1"/>
    <col min="3079" max="3079" width="11.42578125" style="70" customWidth="1"/>
    <col min="3080" max="3080" width="5.7109375" style="70" bestFit="1" customWidth="1"/>
    <col min="3081" max="3081" width="10.28515625" style="70" bestFit="1" customWidth="1"/>
    <col min="3082" max="3082" width="11.28515625" style="70" bestFit="1" customWidth="1"/>
    <col min="3083" max="3083" width="5.7109375" style="70" bestFit="1" customWidth="1"/>
    <col min="3084" max="3084" width="9.85546875" style="70" bestFit="1" customWidth="1"/>
    <col min="3085" max="3085" width="12.85546875" style="70" customWidth="1"/>
    <col min="3086" max="3086" width="5.7109375" style="70" bestFit="1" customWidth="1"/>
    <col min="3087" max="3087" width="10.28515625" style="70" bestFit="1" customWidth="1"/>
    <col min="3088" max="3088" width="12.140625" style="70" customWidth="1"/>
    <col min="3089" max="3089" width="24.85546875" style="70" customWidth="1"/>
    <col min="3090" max="3090" width="14.140625" style="70" customWidth="1"/>
    <col min="3091" max="3328" width="9.140625" style="70"/>
    <col min="3329" max="3329" width="5.5703125" style="70" customWidth="1"/>
    <col min="3330" max="3330" width="30.85546875" style="70" customWidth="1"/>
    <col min="3331" max="3331" width="15" style="70" customWidth="1"/>
    <col min="3332" max="3332" width="5.85546875" style="70" bestFit="1" customWidth="1"/>
    <col min="3333" max="3333" width="5.7109375" style="70" bestFit="1" customWidth="1"/>
    <col min="3334" max="3334" width="10.28515625" style="70" bestFit="1" customWidth="1"/>
    <col min="3335" max="3335" width="11.42578125" style="70" customWidth="1"/>
    <col min="3336" max="3336" width="5.7109375" style="70" bestFit="1" customWidth="1"/>
    <col min="3337" max="3337" width="10.28515625" style="70" bestFit="1" customWidth="1"/>
    <col min="3338" max="3338" width="11.28515625" style="70" bestFit="1" customWidth="1"/>
    <col min="3339" max="3339" width="5.7109375" style="70" bestFit="1" customWidth="1"/>
    <col min="3340" max="3340" width="9.85546875" style="70" bestFit="1" customWidth="1"/>
    <col min="3341" max="3341" width="12.85546875" style="70" customWidth="1"/>
    <col min="3342" max="3342" width="5.7109375" style="70" bestFit="1" customWidth="1"/>
    <col min="3343" max="3343" width="10.28515625" style="70" bestFit="1" customWidth="1"/>
    <col min="3344" max="3344" width="12.140625" style="70" customWidth="1"/>
    <col min="3345" max="3345" width="24.85546875" style="70" customWidth="1"/>
    <col min="3346" max="3346" width="14.140625" style="70" customWidth="1"/>
    <col min="3347" max="3584" width="9.140625" style="70"/>
    <col min="3585" max="3585" width="5.5703125" style="70" customWidth="1"/>
    <col min="3586" max="3586" width="30.85546875" style="70" customWidth="1"/>
    <col min="3587" max="3587" width="15" style="70" customWidth="1"/>
    <col min="3588" max="3588" width="5.85546875" style="70" bestFit="1" customWidth="1"/>
    <col min="3589" max="3589" width="5.7109375" style="70" bestFit="1" customWidth="1"/>
    <col min="3590" max="3590" width="10.28515625" style="70" bestFit="1" customWidth="1"/>
    <col min="3591" max="3591" width="11.42578125" style="70" customWidth="1"/>
    <col min="3592" max="3592" width="5.7109375" style="70" bestFit="1" customWidth="1"/>
    <col min="3593" max="3593" width="10.28515625" style="70" bestFit="1" customWidth="1"/>
    <col min="3594" max="3594" width="11.28515625" style="70" bestFit="1" customWidth="1"/>
    <col min="3595" max="3595" width="5.7109375" style="70" bestFit="1" customWidth="1"/>
    <col min="3596" max="3596" width="9.85546875" style="70" bestFit="1" customWidth="1"/>
    <col min="3597" max="3597" width="12.85546875" style="70" customWidth="1"/>
    <col min="3598" max="3598" width="5.7109375" style="70" bestFit="1" customWidth="1"/>
    <col min="3599" max="3599" width="10.28515625" style="70" bestFit="1" customWidth="1"/>
    <col min="3600" max="3600" width="12.140625" style="70" customWidth="1"/>
    <col min="3601" max="3601" width="24.85546875" style="70" customWidth="1"/>
    <col min="3602" max="3602" width="14.140625" style="70" customWidth="1"/>
    <col min="3603" max="3840" width="9.140625" style="70"/>
    <col min="3841" max="3841" width="5.5703125" style="70" customWidth="1"/>
    <col min="3842" max="3842" width="30.85546875" style="70" customWidth="1"/>
    <col min="3843" max="3843" width="15" style="70" customWidth="1"/>
    <col min="3844" max="3844" width="5.85546875" style="70" bestFit="1" customWidth="1"/>
    <col min="3845" max="3845" width="5.7109375" style="70" bestFit="1" customWidth="1"/>
    <col min="3846" max="3846" width="10.28515625" style="70" bestFit="1" customWidth="1"/>
    <col min="3847" max="3847" width="11.42578125" style="70" customWidth="1"/>
    <col min="3848" max="3848" width="5.7109375" style="70" bestFit="1" customWidth="1"/>
    <col min="3849" max="3849" width="10.28515625" style="70" bestFit="1" customWidth="1"/>
    <col min="3850" max="3850" width="11.28515625" style="70" bestFit="1" customWidth="1"/>
    <col min="3851" max="3851" width="5.7109375" style="70" bestFit="1" customWidth="1"/>
    <col min="3852" max="3852" width="9.85546875" style="70" bestFit="1" customWidth="1"/>
    <col min="3853" max="3853" width="12.85546875" style="70" customWidth="1"/>
    <col min="3854" max="3854" width="5.7109375" style="70" bestFit="1" customWidth="1"/>
    <col min="3855" max="3855" width="10.28515625" style="70" bestFit="1" customWidth="1"/>
    <col min="3856" max="3856" width="12.140625" style="70" customWidth="1"/>
    <col min="3857" max="3857" width="24.85546875" style="70" customWidth="1"/>
    <col min="3858" max="3858" width="14.140625" style="70" customWidth="1"/>
    <col min="3859" max="4096" width="9.140625" style="70"/>
    <col min="4097" max="4097" width="5.5703125" style="70" customWidth="1"/>
    <col min="4098" max="4098" width="30.85546875" style="70" customWidth="1"/>
    <col min="4099" max="4099" width="15" style="70" customWidth="1"/>
    <col min="4100" max="4100" width="5.85546875" style="70" bestFit="1" customWidth="1"/>
    <col min="4101" max="4101" width="5.7109375" style="70" bestFit="1" customWidth="1"/>
    <col min="4102" max="4102" width="10.28515625" style="70" bestFit="1" customWidth="1"/>
    <col min="4103" max="4103" width="11.42578125" style="70" customWidth="1"/>
    <col min="4104" max="4104" width="5.7109375" style="70" bestFit="1" customWidth="1"/>
    <col min="4105" max="4105" width="10.28515625" style="70" bestFit="1" customWidth="1"/>
    <col min="4106" max="4106" width="11.28515625" style="70" bestFit="1" customWidth="1"/>
    <col min="4107" max="4107" width="5.7109375" style="70" bestFit="1" customWidth="1"/>
    <col min="4108" max="4108" width="9.85546875" style="70" bestFit="1" customWidth="1"/>
    <col min="4109" max="4109" width="12.85546875" style="70" customWidth="1"/>
    <col min="4110" max="4110" width="5.7109375" style="70" bestFit="1" customWidth="1"/>
    <col min="4111" max="4111" width="10.28515625" style="70" bestFit="1" customWidth="1"/>
    <col min="4112" max="4112" width="12.140625" style="70" customWidth="1"/>
    <col min="4113" max="4113" width="24.85546875" style="70" customWidth="1"/>
    <col min="4114" max="4114" width="14.140625" style="70" customWidth="1"/>
    <col min="4115" max="4352" width="9.140625" style="70"/>
    <col min="4353" max="4353" width="5.5703125" style="70" customWidth="1"/>
    <col min="4354" max="4354" width="30.85546875" style="70" customWidth="1"/>
    <col min="4355" max="4355" width="15" style="70" customWidth="1"/>
    <col min="4356" max="4356" width="5.85546875" style="70" bestFit="1" customWidth="1"/>
    <col min="4357" max="4357" width="5.7109375" style="70" bestFit="1" customWidth="1"/>
    <col min="4358" max="4358" width="10.28515625" style="70" bestFit="1" customWidth="1"/>
    <col min="4359" max="4359" width="11.42578125" style="70" customWidth="1"/>
    <col min="4360" max="4360" width="5.7109375" style="70" bestFit="1" customWidth="1"/>
    <col min="4361" max="4361" width="10.28515625" style="70" bestFit="1" customWidth="1"/>
    <col min="4362" max="4362" width="11.28515625" style="70" bestFit="1" customWidth="1"/>
    <col min="4363" max="4363" width="5.7109375" style="70" bestFit="1" customWidth="1"/>
    <col min="4364" max="4364" width="9.85546875" style="70" bestFit="1" customWidth="1"/>
    <col min="4365" max="4365" width="12.85546875" style="70" customWidth="1"/>
    <col min="4366" max="4366" width="5.7109375" style="70" bestFit="1" customWidth="1"/>
    <col min="4367" max="4367" width="10.28515625" style="70" bestFit="1" customWidth="1"/>
    <col min="4368" max="4368" width="12.140625" style="70" customWidth="1"/>
    <col min="4369" max="4369" width="24.85546875" style="70" customWidth="1"/>
    <col min="4370" max="4370" width="14.140625" style="70" customWidth="1"/>
    <col min="4371" max="4608" width="9.140625" style="70"/>
    <col min="4609" max="4609" width="5.5703125" style="70" customWidth="1"/>
    <col min="4610" max="4610" width="30.85546875" style="70" customWidth="1"/>
    <col min="4611" max="4611" width="15" style="70" customWidth="1"/>
    <col min="4612" max="4612" width="5.85546875" style="70" bestFit="1" customWidth="1"/>
    <col min="4613" max="4613" width="5.7109375" style="70" bestFit="1" customWidth="1"/>
    <col min="4614" max="4614" width="10.28515625" style="70" bestFit="1" customWidth="1"/>
    <col min="4615" max="4615" width="11.42578125" style="70" customWidth="1"/>
    <col min="4616" max="4616" width="5.7109375" style="70" bestFit="1" customWidth="1"/>
    <col min="4617" max="4617" width="10.28515625" style="70" bestFit="1" customWidth="1"/>
    <col min="4618" max="4618" width="11.28515625" style="70" bestFit="1" customWidth="1"/>
    <col min="4619" max="4619" width="5.7109375" style="70" bestFit="1" customWidth="1"/>
    <col min="4620" max="4620" width="9.85546875" style="70" bestFit="1" customWidth="1"/>
    <col min="4621" max="4621" width="12.85546875" style="70" customWidth="1"/>
    <col min="4622" max="4622" width="5.7109375" style="70" bestFit="1" customWidth="1"/>
    <col min="4623" max="4623" width="10.28515625" style="70" bestFit="1" customWidth="1"/>
    <col min="4624" max="4624" width="12.140625" style="70" customWidth="1"/>
    <col min="4625" max="4625" width="24.85546875" style="70" customWidth="1"/>
    <col min="4626" max="4626" width="14.140625" style="70" customWidth="1"/>
    <col min="4627" max="4864" width="9.140625" style="70"/>
    <col min="4865" max="4865" width="5.5703125" style="70" customWidth="1"/>
    <col min="4866" max="4866" width="30.85546875" style="70" customWidth="1"/>
    <col min="4867" max="4867" width="15" style="70" customWidth="1"/>
    <col min="4868" max="4868" width="5.85546875" style="70" bestFit="1" customWidth="1"/>
    <col min="4869" max="4869" width="5.7109375" style="70" bestFit="1" customWidth="1"/>
    <col min="4870" max="4870" width="10.28515625" style="70" bestFit="1" customWidth="1"/>
    <col min="4871" max="4871" width="11.42578125" style="70" customWidth="1"/>
    <col min="4872" max="4872" width="5.7109375" style="70" bestFit="1" customWidth="1"/>
    <col min="4873" max="4873" width="10.28515625" style="70" bestFit="1" customWidth="1"/>
    <col min="4874" max="4874" width="11.28515625" style="70" bestFit="1" customWidth="1"/>
    <col min="4875" max="4875" width="5.7109375" style="70" bestFit="1" customWidth="1"/>
    <col min="4876" max="4876" width="9.85546875" style="70" bestFit="1" customWidth="1"/>
    <col min="4877" max="4877" width="12.85546875" style="70" customWidth="1"/>
    <col min="4878" max="4878" width="5.7109375" style="70" bestFit="1" customWidth="1"/>
    <col min="4879" max="4879" width="10.28515625" style="70" bestFit="1" customWidth="1"/>
    <col min="4880" max="4880" width="12.140625" style="70" customWidth="1"/>
    <col min="4881" max="4881" width="24.85546875" style="70" customWidth="1"/>
    <col min="4882" max="4882" width="14.140625" style="70" customWidth="1"/>
    <col min="4883" max="5120" width="9.140625" style="70"/>
    <col min="5121" max="5121" width="5.5703125" style="70" customWidth="1"/>
    <col min="5122" max="5122" width="30.85546875" style="70" customWidth="1"/>
    <col min="5123" max="5123" width="15" style="70" customWidth="1"/>
    <col min="5124" max="5124" width="5.85546875" style="70" bestFit="1" customWidth="1"/>
    <col min="5125" max="5125" width="5.7109375" style="70" bestFit="1" customWidth="1"/>
    <col min="5126" max="5126" width="10.28515625" style="70" bestFit="1" customWidth="1"/>
    <col min="5127" max="5127" width="11.42578125" style="70" customWidth="1"/>
    <col min="5128" max="5128" width="5.7109375" style="70" bestFit="1" customWidth="1"/>
    <col min="5129" max="5129" width="10.28515625" style="70" bestFit="1" customWidth="1"/>
    <col min="5130" max="5130" width="11.28515625" style="70" bestFit="1" customWidth="1"/>
    <col min="5131" max="5131" width="5.7109375" style="70" bestFit="1" customWidth="1"/>
    <col min="5132" max="5132" width="9.85546875" style="70" bestFit="1" customWidth="1"/>
    <col min="5133" max="5133" width="12.85546875" style="70" customWidth="1"/>
    <col min="5134" max="5134" width="5.7109375" style="70" bestFit="1" customWidth="1"/>
    <col min="5135" max="5135" width="10.28515625" style="70" bestFit="1" customWidth="1"/>
    <col min="5136" max="5136" width="12.140625" style="70" customWidth="1"/>
    <col min="5137" max="5137" width="24.85546875" style="70" customWidth="1"/>
    <col min="5138" max="5138" width="14.140625" style="70" customWidth="1"/>
    <col min="5139" max="5376" width="9.140625" style="70"/>
    <col min="5377" max="5377" width="5.5703125" style="70" customWidth="1"/>
    <col min="5378" max="5378" width="30.85546875" style="70" customWidth="1"/>
    <col min="5379" max="5379" width="15" style="70" customWidth="1"/>
    <col min="5380" max="5380" width="5.85546875" style="70" bestFit="1" customWidth="1"/>
    <col min="5381" max="5381" width="5.7109375" style="70" bestFit="1" customWidth="1"/>
    <col min="5382" max="5382" width="10.28515625" style="70" bestFit="1" customWidth="1"/>
    <col min="5383" max="5383" width="11.42578125" style="70" customWidth="1"/>
    <col min="5384" max="5384" width="5.7109375" style="70" bestFit="1" customWidth="1"/>
    <col min="5385" max="5385" width="10.28515625" style="70" bestFit="1" customWidth="1"/>
    <col min="5386" max="5386" width="11.28515625" style="70" bestFit="1" customWidth="1"/>
    <col min="5387" max="5387" width="5.7109375" style="70" bestFit="1" customWidth="1"/>
    <col min="5388" max="5388" width="9.85546875" style="70" bestFit="1" customWidth="1"/>
    <col min="5389" max="5389" width="12.85546875" style="70" customWidth="1"/>
    <col min="5390" max="5390" width="5.7109375" style="70" bestFit="1" customWidth="1"/>
    <col min="5391" max="5391" width="10.28515625" style="70" bestFit="1" customWidth="1"/>
    <col min="5392" max="5392" width="12.140625" style="70" customWidth="1"/>
    <col min="5393" max="5393" width="24.85546875" style="70" customWidth="1"/>
    <col min="5394" max="5394" width="14.140625" style="70" customWidth="1"/>
    <col min="5395" max="5632" width="9.140625" style="70"/>
    <col min="5633" max="5633" width="5.5703125" style="70" customWidth="1"/>
    <col min="5634" max="5634" width="30.85546875" style="70" customWidth="1"/>
    <col min="5635" max="5635" width="15" style="70" customWidth="1"/>
    <col min="5636" max="5636" width="5.85546875" style="70" bestFit="1" customWidth="1"/>
    <col min="5637" max="5637" width="5.7109375" style="70" bestFit="1" customWidth="1"/>
    <col min="5638" max="5638" width="10.28515625" style="70" bestFit="1" customWidth="1"/>
    <col min="5639" max="5639" width="11.42578125" style="70" customWidth="1"/>
    <col min="5640" max="5640" width="5.7109375" style="70" bestFit="1" customWidth="1"/>
    <col min="5641" max="5641" width="10.28515625" style="70" bestFit="1" customWidth="1"/>
    <col min="5642" max="5642" width="11.28515625" style="70" bestFit="1" customWidth="1"/>
    <col min="5643" max="5643" width="5.7109375" style="70" bestFit="1" customWidth="1"/>
    <col min="5644" max="5644" width="9.85546875" style="70" bestFit="1" customWidth="1"/>
    <col min="5645" max="5645" width="12.85546875" style="70" customWidth="1"/>
    <col min="5646" max="5646" width="5.7109375" style="70" bestFit="1" customWidth="1"/>
    <col min="5647" max="5647" width="10.28515625" style="70" bestFit="1" customWidth="1"/>
    <col min="5648" max="5648" width="12.140625" style="70" customWidth="1"/>
    <col min="5649" max="5649" width="24.85546875" style="70" customWidth="1"/>
    <col min="5650" max="5650" width="14.140625" style="70" customWidth="1"/>
    <col min="5651" max="5888" width="9.140625" style="70"/>
    <col min="5889" max="5889" width="5.5703125" style="70" customWidth="1"/>
    <col min="5890" max="5890" width="30.85546875" style="70" customWidth="1"/>
    <col min="5891" max="5891" width="15" style="70" customWidth="1"/>
    <col min="5892" max="5892" width="5.85546875" style="70" bestFit="1" customWidth="1"/>
    <col min="5893" max="5893" width="5.7109375" style="70" bestFit="1" customWidth="1"/>
    <col min="5894" max="5894" width="10.28515625" style="70" bestFit="1" customWidth="1"/>
    <col min="5895" max="5895" width="11.42578125" style="70" customWidth="1"/>
    <col min="5896" max="5896" width="5.7109375" style="70" bestFit="1" customWidth="1"/>
    <col min="5897" max="5897" width="10.28515625" style="70" bestFit="1" customWidth="1"/>
    <col min="5898" max="5898" width="11.28515625" style="70" bestFit="1" customWidth="1"/>
    <col min="5899" max="5899" width="5.7109375" style="70" bestFit="1" customWidth="1"/>
    <col min="5900" max="5900" width="9.85546875" style="70" bestFit="1" customWidth="1"/>
    <col min="5901" max="5901" width="12.85546875" style="70" customWidth="1"/>
    <col min="5902" max="5902" width="5.7109375" style="70" bestFit="1" customWidth="1"/>
    <col min="5903" max="5903" width="10.28515625" style="70" bestFit="1" customWidth="1"/>
    <col min="5904" max="5904" width="12.140625" style="70" customWidth="1"/>
    <col min="5905" max="5905" width="24.85546875" style="70" customWidth="1"/>
    <col min="5906" max="5906" width="14.140625" style="70" customWidth="1"/>
    <col min="5907" max="6144" width="9.140625" style="70"/>
    <col min="6145" max="6145" width="5.5703125" style="70" customWidth="1"/>
    <col min="6146" max="6146" width="30.85546875" style="70" customWidth="1"/>
    <col min="6147" max="6147" width="15" style="70" customWidth="1"/>
    <col min="6148" max="6148" width="5.85546875" style="70" bestFit="1" customWidth="1"/>
    <col min="6149" max="6149" width="5.7109375" style="70" bestFit="1" customWidth="1"/>
    <col min="6150" max="6150" width="10.28515625" style="70" bestFit="1" customWidth="1"/>
    <col min="6151" max="6151" width="11.42578125" style="70" customWidth="1"/>
    <col min="6152" max="6152" width="5.7109375" style="70" bestFit="1" customWidth="1"/>
    <col min="6153" max="6153" width="10.28515625" style="70" bestFit="1" customWidth="1"/>
    <col min="6154" max="6154" width="11.28515625" style="70" bestFit="1" customWidth="1"/>
    <col min="6155" max="6155" width="5.7109375" style="70" bestFit="1" customWidth="1"/>
    <col min="6156" max="6156" width="9.85546875" style="70" bestFit="1" customWidth="1"/>
    <col min="6157" max="6157" width="12.85546875" style="70" customWidth="1"/>
    <col min="6158" max="6158" width="5.7109375" style="70" bestFit="1" customWidth="1"/>
    <col min="6159" max="6159" width="10.28515625" style="70" bestFit="1" customWidth="1"/>
    <col min="6160" max="6160" width="12.140625" style="70" customWidth="1"/>
    <col min="6161" max="6161" width="24.85546875" style="70" customWidth="1"/>
    <col min="6162" max="6162" width="14.140625" style="70" customWidth="1"/>
    <col min="6163" max="6400" width="9.140625" style="70"/>
    <col min="6401" max="6401" width="5.5703125" style="70" customWidth="1"/>
    <col min="6402" max="6402" width="30.85546875" style="70" customWidth="1"/>
    <col min="6403" max="6403" width="15" style="70" customWidth="1"/>
    <col min="6404" max="6404" width="5.85546875" style="70" bestFit="1" customWidth="1"/>
    <col min="6405" max="6405" width="5.7109375" style="70" bestFit="1" customWidth="1"/>
    <col min="6406" max="6406" width="10.28515625" style="70" bestFit="1" customWidth="1"/>
    <col min="6407" max="6407" width="11.42578125" style="70" customWidth="1"/>
    <col min="6408" max="6408" width="5.7109375" style="70" bestFit="1" customWidth="1"/>
    <col min="6409" max="6409" width="10.28515625" style="70" bestFit="1" customWidth="1"/>
    <col min="6410" max="6410" width="11.28515625" style="70" bestFit="1" customWidth="1"/>
    <col min="6411" max="6411" width="5.7109375" style="70" bestFit="1" customWidth="1"/>
    <col min="6412" max="6412" width="9.85546875" style="70" bestFit="1" customWidth="1"/>
    <col min="6413" max="6413" width="12.85546875" style="70" customWidth="1"/>
    <col min="6414" max="6414" width="5.7109375" style="70" bestFit="1" customWidth="1"/>
    <col min="6415" max="6415" width="10.28515625" style="70" bestFit="1" customWidth="1"/>
    <col min="6416" max="6416" width="12.140625" style="70" customWidth="1"/>
    <col min="6417" max="6417" width="24.85546875" style="70" customWidth="1"/>
    <col min="6418" max="6418" width="14.140625" style="70" customWidth="1"/>
    <col min="6419" max="6656" width="9.140625" style="70"/>
    <col min="6657" max="6657" width="5.5703125" style="70" customWidth="1"/>
    <col min="6658" max="6658" width="30.85546875" style="70" customWidth="1"/>
    <col min="6659" max="6659" width="15" style="70" customWidth="1"/>
    <col min="6660" max="6660" width="5.85546875" style="70" bestFit="1" customWidth="1"/>
    <col min="6661" max="6661" width="5.7109375" style="70" bestFit="1" customWidth="1"/>
    <col min="6662" max="6662" width="10.28515625" style="70" bestFit="1" customWidth="1"/>
    <col min="6663" max="6663" width="11.42578125" style="70" customWidth="1"/>
    <col min="6664" max="6664" width="5.7109375" style="70" bestFit="1" customWidth="1"/>
    <col min="6665" max="6665" width="10.28515625" style="70" bestFit="1" customWidth="1"/>
    <col min="6666" max="6666" width="11.28515625" style="70" bestFit="1" customWidth="1"/>
    <col min="6667" max="6667" width="5.7109375" style="70" bestFit="1" customWidth="1"/>
    <col min="6668" max="6668" width="9.85546875" style="70" bestFit="1" customWidth="1"/>
    <col min="6669" max="6669" width="12.85546875" style="70" customWidth="1"/>
    <col min="6670" max="6670" width="5.7109375" style="70" bestFit="1" customWidth="1"/>
    <col min="6671" max="6671" width="10.28515625" style="70" bestFit="1" customWidth="1"/>
    <col min="6672" max="6672" width="12.140625" style="70" customWidth="1"/>
    <col min="6673" max="6673" width="24.85546875" style="70" customWidth="1"/>
    <col min="6674" max="6674" width="14.140625" style="70" customWidth="1"/>
    <col min="6675" max="6912" width="9.140625" style="70"/>
    <col min="6913" max="6913" width="5.5703125" style="70" customWidth="1"/>
    <col min="6914" max="6914" width="30.85546875" style="70" customWidth="1"/>
    <col min="6915" max="6915" width="15" style="70" customWidth="1"/>
    <col min="6916" max="6916" width="5.85546875" style="70" bestFit="1" customWidth="1"/>
    <col min="6917" max="6917" width="5.7109375" style="70" bestFit="1" customWidth="1"/>
    <col min="6918" max="6918" width="10.28515625" style="70" bestFit="1" customWidth="1"/>
    <col min="6919" max="6919" width="11.42578125" style="70" customWidth="1"/>
    <col min="6920" max="6920" width="5.7109375" style="70" bestFit="1" customWidth="1"/>
    <col min="6921" max="6921" width="10.28515625" style="70" bestFit="1" customWidth="1"/>
    <col min="6922" max="6922" width="11.28515625" style="70" bestFit="1" customWidth="1"/>
    <col min="6923" max="6923" width="5.7109375" style="70" bestFit="1" customWidth="1"/>
    <col min="6924" max="6924" width="9.85546875" style="70" bestFit="1" customWidth="1"/>
    <col min="6925" max="6925" width="12.85546875" style="70" customWidth="1"/>
    <col min="6926" max="6926" width="5.7109375" style="70" bestFit="1" customWidth="1"/>
    <col min="6927" max="6927" width="10.28515625" style="70" bestFit="1" customWidth="1"/>
    <col min="6928" max="6928" width="12.140625" style="70" customWidth="1"/>
    <col min="6929" max="6929" width="24.85546875" style="70" customWidth="1"/>
    <col min="6930" max="6930" width="14.140625" style="70" customWidth="1"/>
    <col min="6931" max="7168" width="9.140625" style="70"/>
    <col min="7169" max="7169" width="5.5703125" style="70" customWidth="1"/>
    <col min="7170" max="7170" width="30.85546875" style="70" customWidth="1"/>
    <col min="7171" max="7171" width="15" style="70" customWidth="1"/>
    <col min="7172" max="7172" width="5.85546875" style="70" bestFit="1" customWidth="1"/>
    <col min="7173" max="7173" width="5.7109375" style="70" bestFit="1" customWidth="1"/>
    <col min="7174" max="7174" width="10.28515625" style="70" bestFit="1" customWidth="1"/>
    <col min="7175" max="7175" width="11.42578125" style="70" customWidth="1"/>
    <col min="7176" max="7176" width="5.7109375" style="70" bestFit="1" customWidth="1"/>
    <col min="7177" max="7177" width="10.28515625" style="70" bestFit="1" customWidth="1"/>
    <col min="7178" max="7178" width="11.28515625" style="70" bestFit="1" customWidth="1"/>
    <col min="7179" max="7179" width="5.7109375" style="70" bestFit="1" customWidth="1"/>
    <col min="7180" max="7180" width="9.85546875" style="70" bestFit="1" customWidth="1"/>
    <col min="7181" max="7181" width="12.85546875" style="70" customWidth="1"/>
    <col min="7182" max="7182" width="5.7109375" style="70" bestFit="1" customWidth="1"/>
    <col min="7183" max="7183" width="10.28515625" style="70" bestFit="1" customWidth="1"/>
    <col min="7184" max="7184" width="12.140625" style="70" customWidth="1"/>
    <col min="7185" max="7185" width="24.85546875" style="70" customWidth="1"/>
    <col min="7186" max="7186" width="14.140625" style="70" customWidth="1"/>
    <col min="7187" max="7424" width="9.140625" style="70"/>
    <col min="7425" max="7425" width="5.5703125" style="70" customWidth="1"/>
    <col min="7426" max="7426" width="30.85546875" style="70" customWidth="1"/>
    <col min="7427" max="7427" width="15" style="70" customWidth="1"/>
    <col min="7428" max="7428" width="5.85546875" style="70" bestFit="1" customWidth="1"/>
    <col min="7429" max="7429" width="5.7109375" style="70" bestFit="1" customWidth="1"/>
    <col min="7430" max="7430" width="10.28515625" style="70" bestFit="1" customWidth="1"/>
    <col min="7431" max="7431" width="11.42578125" style="70" customWidth="1"/>
    <col min="7432" max="7432" width="5.7109375" style="70" bestFit="1" customWidth="1"/>
    <col min="7433" max="7433" width="10.28515625" style="70" bestFit="1" customWidth="1"/>
    <col min="7434" max="7434" width="11.28515625" style="70" bestFit="1" customWidth="1"/>
    <col min="7435" max="7435" width="5.7109375" style="70" bestFit="1" customWidth="1"/>
    <col min="7436" max="7436" width="9.85546875" style="70" bestFit="1" customWidth="1"/>
    <col min="7437" max="7437" width="12.85546875" style="70" customWidth="1"/>
    <col min="7438" max="7438" width="5.7109375" style="70" bestFit="1" customWidth="1"/>
    <col min="7439" max="7439" width="10.28515625" style="70" bestFit="1" customWidth="1"/>
    <col min="7440" max="7440" width="12.140625" style="70" customWidth="1"/>
    <col min="7441" max="7441" width="24.85546875" style="70" customWidth="1"/>
    <col min="7442" max="7442" width="14.140625" style="70" customWidth="1"/>
    <col min="7443" max="7680" width="9.140625" style="70"/>
    <col min="7681" max="7681" width="5.5703125" style="70" customWidth="1"/>
    <col min="7682" max="7682" width="30.85546875" style="70" customWidth="1"/>
    <col min="7683" max="7683" width="15" style="70" customWidth="1"/>
    <col min="7684" max="7684" width="5.85546875" style="70" bestFit="1" customWidth="1"/>
    <col min="7685" max="7685" width="5.7109375" style="70" bestFit="1" customWidth="1"/>
    <col min="7686" max="7686" width="10.28515625" style="70" bestFit="1" customWidth="1"/>
    <col min="7687" max="7687" width="11.42578125" style="70" customWidth="1"/>
    <col min="7688" max="7688" width="5.7109375" style="70" bestFit="1" customWidth="1"/>
    <col min="7689" max="7689" width="10.28515625" style="70" bestFit="1" customWidth="1"/>
    <col min="7690" max="7690" width="11.28515625" style="70" bestFit="1" customWidth="1"/>
    <col min="7691" max="7691" width="5.7109375" style="70" bestFit="1" customWidth="1"/>
    <col min="7692" max="7692" width="9.85546875" style="70" bestFit="1" customWidth="1"/>
    <col min="7693" max="7693" width="12.85546875" style="70" customWidth="1"/>
    <col min="7694" max="7694" width="5.7109375" style="70" bestFit="1" customWidth="1"/>
    <col min="7695" max="7695" width="10.28515625" style="70" bestFit="1" customWidth="1"/>
    <col min="7696" max="7696" width="12.140625" style="70" customWidth="1"/>
    <col min="7697" max="7697" width="24.85546875" style="70" customWidth="1"/>
    <col min="7698" max="7698" width="14.140625" style="70" customWidth="1"/>
    <col min="7699" max="7936" width="9.140625" style="70"/>
    <col min="7937" max="7937" width="5.5703125" style="70" customWidth="1"/>
    <col min="7938" max="7938" width="30.85546875" style="70" customWidth="1"/>
    <col min="7939" max="7939" width="15" style="70" customWidth="1"/>
    <col min="7940" max="7940" width="5.85546875" style="70" bestFit="1" customWidth="1"/>
    <col min="7941" max="7941" width="5.7109375" style="70" bestFit="1" customWidth="1"/>
    <col min="7942" max="7942" width="10.28515625" style="70" bestFit="1" customWidth="1"/>
    <col min="7943" max="7943" width="11.42578125" style="70" customWidth="1"/>
    <col min="7944" max="7944" width="5.7109375" style="70" bestFit="1" customWidth="1"/>
    <col min="7945" max="7945" width="10.28515625" style="70" bestFit="1" customWidth="1"/>
    <col min="7946" max="7946" width="11.28515625" style="70" bestFit="1" customWidth="1"/>
    <col min="7947" max="7947" width="5.7109375" style="70" bestFit="1" customWidth="1"/>
    <col min="7948" max="7948" width="9.85546875" style="70" bestFit="1" customWidth="1"/>
    <col min="7949" max="7949" width="12.85546875" style="70" customWidth="1"/>
    <col min="7950" max="7950" width="5.7109375" style="70" bestFit="1" customWidth="1"/>
    <col min="7951" max="7951" width="10.28515625" style="70" bestFit="1" customWidth="1"/>
    <col min="7952" max="7952" width="12.140625" style="70" customWidth="1"/>
    <col min="7953" max="7953" width="24.85546875" style="70" customWidth="1"/>
    <col min="7954" max="7954" width="14.140625" style="70" customWidth="1"/>
    <col min="7955" max="8192" width="9.140625" style="70"/>
    <col min="8193" max="8193" width="5.5703125" style="70" customWidth="1"/>
    <col min="8194" max="8194" width="30.85546875" style="70" customWidth="1"/>
    <col min="8195" max="8195" width="15" style="70" customWidth="1"/>
    <col min="8196" max="8196" width="5.85546875" style="70" bestFit="1" customWidth="1"/>
    <col min="8197" max="8197" width="5.7109375" style="70" bestFit="1" customWidth="1"/>
    <col min="8198" max="8198" width="10.28515625" style="70" bestFit="1" customWidth="1"/>
    <col min="8199" max="8199" width="11.42578125" style="70" customWidth="1"/>
    <col min="8200" max="8200" width="5.7109375" style="70" bestFit="1" customWidth="1"/>
    <col min="8201" max="8201" width="10.28515625" style="70" bestFit="1" customWidth="1"/>
    <col min="8202" max="8202" width="11.28515625" style="70" bestFit="1" customWidth="1"/>
    <col min="8203" max="8203" width="5.7109375" style="70" bestFit="1" customWidth="1"/>
    <col min="8204" max="8204" width="9.85546875" style="70" bestFit="1" customWidth="1"/>
    <col min="8205" max="8205" width="12.85546875" style="70" customWidth="1"/>
    <col min="8206" max="8206" width="5.7109375" style="70" bestFit="1" customWidth="1"/>
    <col min="8207" max="8207" width="10.28515625" style="70" bestFit="1" customWidth="1"/>
    <col min="8208" max="8208" width="12.140625" style="70" customWidth="1"/>
    <col min="8209" max="8209" width="24.85546875" style="70" customWidth="1"/>
    <col min="8210" max="8210" width="14.140625" style="70" customWidth="1"/>
    <col min="8211" max="8448" width="9.140625" style="70"/>
    <col min="8449" max="8449" width="5.5703125" style="70" customWidth="1"/>
    <col min="8450" max="8450" width="30.85546875" style="70" customWidth="1"/>
    <col min="8451" max="8451" width="15" style="70" customWidth="1"/>
    <col min="8452" max="8452" width="5.85546875" style="70" bestFit="1" customWidth="1"/>
    <col min="8453" max="8453" width="5.7109375" style="70" bestFit="1" customWidth="1"/>
    <col min="8454" max="8454" width="10.28515625" style="70" bestFit="1" customWidth="1"/>
    <col min="8455" max="8455" width="11.42578125" style="70" customWidth="1"/>
    <col min="8456" max="8456" width="5.7109375" style="70" bestFit="1" customWidth="1"/>
    <col min="8457" max="8457" width="10.28515625" style="70" bestFit="1" customWidth="1"/>
    <col min="8458" max="8458" width="11.28515625" style="70" bestFit="1" customWidth="1"/>
    <col min="8459" max="8459" width="5.7109375" style="70" bestFit="1" customWidth="1"/>
    <col min="8460" max="8460" width="9.85546875" style="70" bestFit="1" customWidth="1"/>
    <col min="8461" max="8461" width="12.85546875" style="70" customWidth="1"/>
    <col min="8462" max="8462" width="5.7109375" style="70" bestFit="1" customWidth="1"/>
    <col min="8463" max="8463" width="10.28515625" style="70" bestFit="1" customWidth="1"/>
    <col min="8464" max="8464" width="12.140625" style="70" customWidth="1"/>
    <col min="8465" max="8465" width="24.85546875" style="70" customWidth="1"/>
    <col min="8466" max="8466" width="14.140625" style="70" customWidth="1"/>
    <col min="8467" max="8704" width="9.140625" style="70"/>
    <col min="8705" max="8705" width="5.5703125" style="70" customWidth="1"/>
    <col min="8706" max="8706" width="30.85546875" style="70" customWidth="1"/>
    <col min="8707" max="8707" width="15" style="70" customWidth="1"/>
    <col min="8708" max="8708" width="5.85546875" style="70" bestFit="1" customWidth="1"/>
    <col min="8709" max="8709" width="5.7109375" style="70" bestFit="1" customWidth="1"/>
    <col min="8710" max="8710" width="10.28515625" style="70" bestFit="1" customWidth="1"/>
    <col min="8711" max="8711" width="11.42578125" style="70" customWidth="1"/>
    <col min="8712" max="8712" width="5.7109375" style="70" bestFit="1" customWidth="1"/>
    <col min="8713" max="8713" width="10.28515625" style="70" bestFit="1" customWidth="1"/>
    <col min="8714" max="8714" width="11.28515625" style="70" bestFit="1" customWidth="1"/>
    <col min="8715" max="8715" width="5.7109375" style="70" bestFit="1" customWidth="1"/>
    <col min="8716" max="8716" width="9.85546875" style="70" bestFit="1" customWidth="1"/>
    <col min="8717" max="8717" width="12.85546875" style="70" customWidth="1"/>
    <col min="8718" max="8718" width="5.7109375" style="70" bestFit="1" customWidth="1"/>
    <col min="8719" max="8719" width="10.28515625" style="70" bestFit="1" customWidth="1"/>
    <col min="8720" max="8720" width="12.140625" style="70" customWidth="1"/>
    <col min="8721" max="8721" width="24.85546875" style="70" customWidth="1"/>
    <col min="8722" max="8722" width="14.140625" style="70" customWidth="1"/>
    <col min="8723" max="8960" width="9.140625" style="70"/>
    <col min="8961" max="8961" width="5.5703125" style="70" customWidth="1"/>
    <col min="8962" max="8962" width="30.85546875" style="70" customWidth="1"/>
    <col min="8963" max="8963" width="15" style="70" customWidth="1"/>
    <col min="8964" max="8964" width="5.85546875" style="70" bestFit="1" customWidth="1"/>
    <col min="8965" max="8965" width="5.7109375" style="70" bestFit="1" customWidth="1"/>
    <col min="8966" max="8966" width="10.28515625" style="70" bestFit="1" customWidth="1"/>
    <col min="8967" max="8967" width="11.42578125" style="70" customWidth="1"/>
    <col min="8968" max="8968" width="5.7109375" style="70" bestFit="1" customWidth="1"/>
    <col min="8969" max="8969" width="10.28515625" style="70" bestFit="1" customWidth="1"/>
    <col min="8970" max="8970" width="11.28515625" style="70" bestFit="1" customWidth="1"/>
    <col min="8971" max="8971" width="5.7109375" style="70" bestFit="1" customWidth="1"/>
    <col min="8972" max="8972" width="9.85546875" style="70" bestFit="1" customWidth="1"/>
    <col min="8973" max="8973" width="12.85546875" style="70" customWidth="1"/>
    <col min="8974" max="8974" width="5.7109375" style="70" bestFit="1" customWidth="1"/>
    <col min="8975" max="8975" width="10.28515625" style="70" bestFit="1" customWidth="1"/>
    <col min="8976" max="8976" width="12.140625" style="70" customWidth="1"/>
    <col min="8977" max="8977" width="24.85546875" style="70" customWidth="1"/>
    <col min="8978" max="8978" width="14.140625" style="70" customWidth="1"/>
    <col min="8979" max="9216" width="9.140625" style="70"/>
    <col min="9217" max="9217" width="5.5703125" style="70" customWidth="1"/>
    <col min="9218" max="9218" width="30.85546875" style="70" customWidth="1"/>
    <col min="9219" max="9219" width="15" style="70" customWidth="1"/>
    <col min="9220" max="9220" width="5.85546875" style="70" bestFit="1" customWidth="1"/>
    <col min="9221" max="9221" width="5.7109375" style="70" bestFit="1" customWidth="1"/>
    <col min="9222" max="9222" width="10.28515625" style="70" bestFit="1" customWidth="1"/>
    <col min="9223" max="9223" width="11.42578125" style="70" customWidth="1"/>
    <col min="9224" max="9224" width="5.7109375" style="70" bestFit="1" customWidth="1"/>
    <col min="9225" max="9225" width="10.28515625" style="70" bestFit="1" customWidth="1"/>
    <col min="9226" max="9226" width="11.28515625" style="70" bestFit="1" customWidth="1"/>
    <col min="9227" max="9227" width="5.7109375" style="70" bestFit="1" customWidth="1"/>
    <col min="9228" max="9228" width="9.85546875" style="70" bestFit="1" customWidth="1"/>
    <col min="9229" max="9229" width="12.85546875" style="70" customWidth="1"/>
    <col min="9230" max="9230" width="5.7109375" style="70" bestFit="1" customWidth="1"/>
    <col min="9231" max="9231" width="10.28515625" style="70" bestFit="1" customWidth="1"/>
    <col min="9232" max="9232" width="12.140625" style="70" customWidth="1"/>
    <col min="9233" max="9233" width="24.85546875" style="70" customWidth="1"/>
    <col min="9234" max="9234" width="14.140625" style="70" customWidth="1"/>
    <col min="9235" max="9472" width="9.140625" style="70"/>
    <col min="9473" max="9473" width="5.5703125" style="70" customWidth="1"/>
    <col min="9474" max="9474" width="30.85546875" style="70" customWidth="1"/>
    <col min="9475" max="9475" width="15" style="70" customWidth="1"/>
    <col min="9476" max="9476" width="5.85546875" style="70" bestFit="1" customWidth="1"/>
    <col min="9477" max="9477" width="5.7109375" style="70" bestFit="1" customWidth="1"/>
    <col min="9478" max="9478" width="10.28515625" style="70" bestFit="1" customWidth="1"/>
    <col min="9479" max="9479" width="11.42578125" style="70" customWidth="1"/>
    <col min="9480" max="9480" width="5.7109375" style="70" bestFit="1" customWidth="1"/>
    <col min="9481" max="9481" width="10.28515625" style="70" bestFit="1" customWidth="1"/>
    <col min="9482" max="9482" width="11.28515625" style="70" bestFit="1" customWidth="1"/>
    <col min="9483" max="9483" width="5.7109375" style="70" bestFit="1" customWidth="1"/>
    <col min="9484" max="9484" width="9.85546875" style="70" bestFit="1" customWidth="1"/>
    <col min="9485" max="9485" width="12.85546875" style="70" customWidth="1"/>
    <col min="9486" max="9486" width="5.7109375" style="70" bestFit="1" customWidth="1"/>
    <col min="9487" max="9487" width="10.28515625" style="70" bestFit="1" customWidth="1"/>
    <col min="9488" max="9488" width="12.140625" style="70" customWidth="1"/>
    <col min="9489" max="9489" width="24.85546875" style="70" customWidth="1"/>
    <col min="9490" max="9490" width="14.140625" style="70" customWidth="1"/>
    <col min="9491" max="9728" width="9.140625" style="70"/>
    <col min="9729" max="9729" width="5.5703125" style="70" customWidth="1"/>
    <col min="9730" max="9730" width="30.85546875" style="70" customWidth="1"/>
    <col min="9731" max="9731" width="15" style="70" customWidth="1"/>
    <col min="9732" max="9732" width="5.85546875" style="70" bestFit="1" customWidth="1"/>
    <col min="9733" max="9733" width="5.7109375" style="70" bestFit="1" customWidth="1"/>
    <col min="9734" max="9734" width="10.28515625" style="70" bestFit="1" customWidth="1"/>
    <col min="9735" max="9735" width="11.42578125" style="70" customWidth="1"/>
    <col min="9736" max="9736" width="5.7109375" style="70" bestFit="1" customWidth="1"/>
    <col min="9737" max="9737" width="10.28515625" style="70" bestFit="1" customWidth="1"/>
    <col min="9738" max="9738" width="11.28515625" style="70" bestFit="1" customWidth="1"/>
    <col min="9739" max="9739" width="5.7109375" style="70" bestFit="1" customWidth="1"/>
    <col min="9740" max="9740" width="9.85546875" style="70" bestFit="1" customWidth="1"/>
    <col min="9741" max="9741" width="12.85546875" style="70" customWidth="1"/>
    <col min="9742" max="9742" width="5.7109375" style="70" bestFit="1" customWidth="1"/>
    <col min="9743" max="9743" width="10.28515625" style="70" bestFit="1" customWidth="1"/>
    <col min="9744" max="9744" width="12.140625" style="70" customWidth="1"/>
    <col min="9745" max="9745" width="24.85546875" style="70" customWidth="1"/>
    <col min="9746" max="9746" width="14.140625" style="70" customWidth="1"/>
    <col min="9747" max="9984" width="9.140625" style="70"/>
    <col min="9985" max="9985" width="5.5703125" style="70" customWidth="1"/>
    <col min="9986" max="9986" width="30.85546875" style="70" customWidth="1"/>
    <col min="9987" max="9987" width="15" style="70" customWidth="1"/>
    <col min="9988" max="9988" width="5.85546875" style="70" bestFit="1" customWidth="1"/>
    <col min="9989" max="9989" width="5.7109375" style="70" bestFit="1" customWidth="1"/>
    <col min="9990" max="9990" width="10.28515625" style="70" bestFit="1" customWidth="1"/>
    <col min="9991" max="9991" width="11.42578125" style="70" customWidth="1"/>
    <col min="9992" max="9992" width="5.7109375" style="70" bestFit="1" customWidth="1"/>
    <col min="9993" max="9993" width="10.28515625" style="70" bestFit="1" customWidth="1"/>
    <col min="9994" max="9994" width="11.28515625" style="70" bestFit="1" customWidth="1"/>
    <col min="9995" max="9995" width="5.7109375" style="70" bestFit="1" customWidth="1"/>
    <col min="9996" max="9996" width="9.85546875" style="70" bestFit="1" customWidth="1"/>
    <col min="9997" max="9997" width="12.85546875" style="70" customWidth="1"/>
    <col min="9998" max="9998" width="5.7109375" style="70" bestFit="1" customWidth="1"/>
    <col min="9999" max="9999" width="10.28515625" style="70" bestFit="1" customWidth="1"/>
    <col min="10000" max="10000" width="12.140625" style="70" customWidth="1"/>
    <col min="10001" max="10001" width="24.85546875" style="70" customWidth="1"/>
    <col min="10002" max="10002" width="14.140625" style="70" customWidth="1"/>
    <col min="10003" max="10240" width="9.140625" style="70"/>
    <col min="10241" max="10241" width="5.5703125" style="70" customWidth="1"/>
    <col min="10242" max="10242" width="30.85546875" style="70" customWidth="1"/>
    <col min="10243" max="10243" width="15" style="70" customWidth="1"/>
    <col min="10244" max="10244" width="5.85546875" style="70" bestFit="1" customWidth="1"/>
    <col min="10245" max="10245" width="5.7109375" style="70" bestFit="1" customWidth="1"/>
    <col min="10246" max="10246" width="10.28515625" style="70" bestFit="1" customWidth="1"/>
    <col min="10247" max="10247" width="11.42578125" style="70" customWidth="1"/>
    <col min="10248" max="10248" width="5.7109375" style="70" bestFit="1" customWidth="1"/>
    <col min="10249" max="10249" width="10.28515625" style="70" bestFit="1" customWidth="1"/>
    <col min="10250" max="10250" width="11.28515625" style="70" bestFit="1" customWidth="1"/>
    <col min="10251" max="10251" width="5.7109375" style="70" bestFit="1" customWidth="1"/>
    <col min="10252" max="10252" width="9.85546875" style="70" bestFit="1" customWidth="1"/>
    <col min="10253" max="10253" width="12.85546875" style="70" customWidth="1"/>
    <col min="10254" max="10254" width="5.7109375" style="70" bestFit="1" customWidth="1"/>
    <col min="10255" max="10255" width="10.28515625" style="70" bestFit="1" customWidth="1"/>
    <col min="10256" max="10256" width="12.140625" style="70" customWidth="1"/>
    <col min="10257" max="10257" width="24.85546875" style="70" customWidth="1"/>
    <col min="10258" max="10258" width="14.140625" style="70" customWidth="1"/>
    <col min="10259" max="10496" width="9.140625" style="70"/>
    <col min="10497" max="10497" width="5.5703125" style="70" customWidth="1"/>
    <col min="10498" max="10498" width="30.85546875" style="70" customWidth="1"/>
    <col min="10499" max="10499" width="15" style="70" customWidth="1"/>
    <col min="10500" max="10500" width="5.85546875" style="70" bestFit="1" customWidth="1"/>
    <col min="10501" max="10501" width="5.7109375" style="70" bestFit="1" customWidth="1"/>
    <col min="10502" max="10502" width="10.28515625" style="70" bestFit="1" customWidth="1"/>
    <col min="10503" max="10503" width="11.42578125" style="70" customWidth="1"/>
    <col min="10504" max="10504" width="5.7109375" style="70" bestFit="1" customWidth="1"/>
    <col min="10505" max="10505" width="10.28515625" style="70" bestFit="1" customWidth="1"/>
    <col min="10506" max="10506" width="11.28515625" style="70" bestFit="1" customWidth="1"/>
    <col min="10507" max="10507" width="5.7109375" style="70" bestFit="1" customWidth="1"/>
    <col min="10508" max="10508" width="9.85546875" style="70" bestFit="1" customWidth="1"/>
    <col min="10509" max="10509" width="12.85546875" style="70" customWidth="1"/>
    <col min="10510" max="10510" width="5.7109375" style="70" bestFit="1" customWidth="1"/>
    <col min="10511" max="10511" width="10.28515625" style="70" bestFit="1" customWidth="1"/>
    <col min="10512" max="10512" width="12.140625" style="70" customWidth="1"/>
    <col min="10513" max="10513" width="24.85546875" style="70" customWidth="1"/>
    <col min="10514" max="10514" width="14.140625" style="70" customWidth="1"/>
    <col min="10515" max="10752" width="9.140625" style="70"/>
    <col min="10753" max="10753" width="5.5703125" style="70" customWidth="1"/>
    <col min="10754" max="10754" width="30.85546875" style="70" customWidth="1"/>
    <col min="10755" max="10755" width="15" style="70" customWidth="1"/>
    <col min="10756" max="10756" width="5.85546875" style="70" bestFit="1" customWidth="1"/>
    <col min="10757" max="10757" width="5.7109375" style="70" bestFit="1" customWidth="1"/>
    <col min="10758" max="10758" width="10.28515625" style="70" bestFit="1" customWidth="1"/>
    <col min="10759" max="10759" width="11.42578125" style="70" customWidth="1"/>
    <col min="10760" max="10760" width="5.7109375" style="70" bestFit="1" customWidth="1"/>
    <col min="10761" max="10761" width="10.28515625" style="70" bestFit="1" customWidth="1"/>
    <col min="10762" max="10762" width="11.28515625" style="70" bestFit="1" customWidth="1"/>
    <col min="10763" max="10763" width="5.7109375" style="70" bestFit="1" customWidth="1"/>
    <col min="10764" max="10764" width="9.85546875" style="70" bestFit="1" customWidth="1"/>
    <col min="10765" max="10765" width="12.85546875" style="70" customWidth="1"/>
    <col min="10766" max="10766" width="5.7109375" style="70" bestFit="1" customWidth="1"/>
    <col min="10767" max="10767" width="10.28515625" style="70" bestFit="1" customWidth="1"/>
    <col min="10768" max="10768" width="12.140625" style="70" customWidth="1"/>
    <col min="10769" max="10769" width="24.85546875" style="70" customWidth="1"/>
    <col min="10770" max="10770" width="14.140625" style="70" customWidth="1"/>
    <col min="10771" max="11008" width="9.140625" style="70"/>
    <col min="11009" max="11009" width="5.5703125" style="70" customWidth="1"/>
    <col min="11010" max="11010" width="30.85546875" style="70" customWidth="1"/>
    <col min="11011" max="11011" width="15" style="70" customWidth="1"/>
    <col min="11012" max="11012" width="5.85546875" style="70" bestFit="1" customWidth="1"/>
    <col min="11013" max="11013" width="5.7109375" style="70" bestFit="1" customWidth="1"/>
    <col min="11014" max="11014" width="10.28515625" style="70" bestFit="1" customWidth="1"/>
    <col min="11015" max="11015" width="11.42578125" style="70" customWidth="1"/>
    <col min="11016" max="11016" width="5.7109375" style="70" bestFit="1" customWidth="1"/>
    <col min="11017" max="11017" width="10.28515625" style="70" bestFit="1" customWidth="1"/>
    <col min="11018" max="11018" width="11.28515625" style="70" bestFit="1" customWidth="1"/>
    <col min="11019" max="11019" width="5.7109375" style="70" bestFit="1" customWidth="1"/>
    <col min="11020" max="11020" width="9.85546875" style="70" bestFit="1" customWidth="1"/>
    <col min="11021" max="11021" width="12.85546875" style="70" customWidth="1"/>
    <col min="11022" max="11022" width="5.7109375" style="70" bestFit="1" customWidth="1"/>
    <col min="11023" max="11023" width="10.28515625" style="70" bestFit="1" customWidth="1"/>
    <col min="11024" max="11024" width="12.140625" style="70" customWidth="1"/>
    <col min="11025" max="11025" width="24.85546875" style="70" customWidth="1"/>
    <col min="11026" max="11026" width="14.140625" style="70" customWidth="1"/>
    <col min="11027" max="11264" width="9.140625" style="70"/>
    <col min="11265" max="11265" width="5.5703125" style="70" customWidth="1"/>
    <col min="11266" max="11266" width="30.85546875" style="70" customWidth="1"/>
    <col min="11267" max="11267" width="15" style="70" customWidth="1"/>
    <col min="11268" max="11268" width="5.85546875" style="70" bestFit="1" customWidth="1"/>
    <col min="11269" max="11269" width="5.7109375" style="70" bestFit="1" customWidth="1"/>
    <col min="11270" max="11270" width="10.28515625" style="70" bestFit="1" customWidth="1"/>
    <col min="11271" max="11271" width="11.42578125" style="70" customWidth="1"/>
    <col min="11272" max="11272" width="5.7109375" style="70" bestFit="1" customWidth="1"/>
    <col min="11273" max="11273" width="10.28515625" style="70" bestFit="1" customWidth="1"/>
    <col min="11274" max="11274" width="11.28515625" style="70" bestFit="1" customWidth="1"/>
    <col min="11275" max="11275" width="5.7109375" style="70" bestFit="1" customWidth="1"/>
    <col min="11276" max="11276" width="9.85546875" style="70" bestFit="1" customWidth="1"/>
    <col min="11277" max="11277" width="12.85546875" style="70" customWidth="1"/>
    <col min="11278" max="11278" width="5.7109375" style="70" bestFit="1" customWidth="1"/>
    <col min="11279" max="11279" width="10.28515625" style="70" bestFit="1" customWidth="1"/>
    <col min="11280" max="11280" width="12.140625" style="70" customWidth="1"/>
    <col min="11281" max="11281" width="24.85546875" style="70" customWidth="1"/>
    <col min="11282" max="11282" width="14.140625" style="70" customWidth="1"/>
    <col min="11283" max="11520" width="9.140625" style="70"/>
    <col min="11521" max="11521" width="5.5703125" style="70" customWidth="1"/>
    <col min="11522" max="11522" width="30.85546875" style="70" customWidth="1"/>
    <col min="11523" max="11523" width="15" style="70" customWidth="1"/>
    <col min="11524" max="11524" width="5.85546875" style="70" bestFit="1" customWidth="1"/>
    <col min="11525" max="11525" width="5.7109375" style="70" bestFit="1" customWidth="1"/>
    <col min="11526" max="11526" width="10.28515625" style="70" bestFit="1" customWidth="1"/>
    <col min="11527" max="11527" width="11.42578125" style="70" customWidth="1"/>
    <col min="11528" max="11528" width="5.7109375" style="70" bestFit="1" customWidth="1"/>
    <col min="11529" max="11529" width="10.28515625" style="70" bestFit="1" customWidth="1"/>
    <col min="11530" max="11530" width="11.28515625" style="70" bestFit="1" customWidth="1"/>
    <col min="11531" max="11531" width="5.7109375" style="70" bestFit="1" customWidth="1"/>
    <col min="11532" max="11532" width="9.85546875" style="70" bestFit="1" customWidth="1"/>
    <col min="11533" max="11533" width="12.85546875" style="70" customWidth="1"/>
    <col min="11534" max="11534" width="5.7109375" style="70" bestFit="1" customWidth="1"/>
    <col min="11535" max="11535" width="10.28515625" style="70" bestFit="1" customWidth="1"/>
    <col min="11536" max="11536" width="12.140625" style="70" customWidth="1"/>
    <col min="11537" max="11537" width="24.85546875" style="70" customWidth="1"/>
    <col min="11538" max="11538" width="14.140625" style="70" customWidth="1"/>
    <col min="11539" max="11776" width="9.140625" style="70"/>
    <col min="11777" max="11777" width="5.5703125" style="70" customWidth="1"/>
    <col min="11778" max="11778" width="30.85546875" style="70" customWidth="1"/>
    <col min="11779" max="11779" width="15" style="70" customWidth="1"/>
    <col min="11780" max="11780" width="5.85546875" style="70" bestFit="1" customWidth="1"/>
    <col min="11781" max="11781" width="5.7109375" style="70" bestFit="1" customWidth="1"/>
    <col min="11782" max="11782" width="10.28515625" style="70" bestFit="1" customWidth="1"/>
    <col min="11783" max="11783" width="11.42578125" style="70" customWidth="1"/>
    <col min="11784" max="11784" width="5.7109375" style="70" bestFit="1" customWidth="1"/>
    <col min="11785" max="11785" width="10.28515625" style="70" bestFit="1" customWidth="1"/>
    <col min="11786" max="11786" width="11.28515625" style="70" bestFit="1" customWidth="1"/>
    <col min="11787" max="11787" width="5.7109375" style="70" bestFit="1" customWidth="1"/>
    <col min="11788" max="11788" width="9.85546875" style="70" bestFit="1" customWidth="1"/>
    <col min="11789" max="11789" width="12.85546875" style="70" customWidth="1"/>
    <col min="11790" max="11790" width="5.7109375" style="70" bestFit="1" customWidth="1"/>
    <col min="11791" max="11791" width="10.28515625" style="70" bestFit="1" customWidth="1"/>
    <col min="11792" max="11792" width="12.140625" style="70" customWidth="1"/>
    <col min="11793" max="11793" width="24.85546875" style="70" customWidth="1"/>
    <col min="11794" max="11794" width="14.140625" style="70" customWidth="1"/>
    <col min="11795" max="12032" width="9.140625" style="70"/>
    <col min="12033" max="12033" width="5.5703125" style="70" customWidth="1"/>
    <col min="12034" max="12034" width="30.85546875" style="70" customWidth="1"/>
    <col min="12035" max="12035" width="15" style="70" customWidth="1"/>
    <col min="12036" max="12036" width="5.85546875" style="70" bestFit="1" customWidth="1"/>
    <col min="12037" max="12037" width="5.7109375" style="70" bestFit="1" customWidth="1"/>
    <col min="12038" max="12038" width="10.28515625" style="70" bestFit="1" customWidth="1"/>
    <col min="12039" max="12039" width="11.42578125" style="70" customWidth="1"/>
    <col min="12040" max="12040" width="5.7109375" style="70" bestFit="1" customWidth="1"/>
    <col min="12041" max="12041" width="10.28515625" style="70" bestFit="1" customWidth="1"/>
    <col min="12042" max="12042" width="11.28515625" style="70" bestFit="1" customWidth="1"/>
    <col min="12043" max="12043" width="5.7109375" style="70" bestFit="1" customWidth="1"/>
    <col min="12044" max="12044" width="9.85546875" style="70" bestFit="1" customWidth="1"/>
    <col min="12045" max="12045" width="12.85546875" style="70" customWidth="1"/>
    <col min="12046" max="12046" width="5.7109375" style="70" bestFit="1" customWidth="1"/>
    <col min="12047" max="12047" width="10.28515625" style="70" bestFit="1" customWidth="1"/>
    <col min="12048" max="12048" width="12.140625" style="70" customWidth="1"/>
    <col min="12049" max="12049" width="24.85546875" style="70" customWidth="1"/>
    <col min="12050" max="12050" width="14.140625" style="70" customWidth="1"/>
    <col min="12051" max="12288" width="9.140625" style="70"/>
    <col min="12289" max="12289" width="5.5703125" style="70" customWidth="1"/>
    <col min="12290" max="12290" width="30.85546875" style="70" customWidth="1"/>
    <col min="12291" max="12291" width="15" style="70" customWidth="1"/>
    <col min="12292" max="12292" width="5.85546875" style="70" bestFit="1" customWidth="1"/>
    <col min="12293" max="12293" width="5.7109375" style="70" bestFit="1" customWidth="1"/>
    <col min="12294" max="12294" width="10.28515625" style="70" bestFit="1" customWidth="1"/>
    <col min="12295" max="12295" width="11.42578125" style="70" customWidth="1"/>
    <col min="12296" max="12296" width="5.7109375" style="70" bestFit="1" customWidth="1"/>
    <col min="12297" max="12297" width="10.28515625" style="70" bestFit="1" customWidth="1"/>
    <col min="12298" max="12298" width="11.28515625" style="70" bestFit="1" customWidth="1"/>
    <col min="12299" max="12299" width="5.7109375" style="70" bestFit="1" customWidth="1"/>
    <col min="12300" max="12300" width="9.85546875" style="70" bestFit="1" customWidth="1"/>
    <col min="12301" max="12301" width="12.85546875" style="70" customWidth="1"/>
    <col min="12302" max="12302" width="5.7109375" style="70" bestFit="1" customWidth="1"/>
    <col min="12303" max="12303" width="10.28515625" style="70" bestFit="1" customWidth="1"/>
    <col min="12304" max="12304" width="12.140625" style="70" customWidth="1"/>
    <col min="12305" max="12305" width="24.85546875" style="70" customWidth="1"/>
    <col min="12306" max="12306" width="14.140625" style="70" customWidth="1"/>
    <col min="12307" max="12544" width="9.140625" style="70"/>
    <col min="12545" max="12545" width="5.5703125" style="70" customWidth="1"/>
    <col min="12546" max="12546" width="30.85546875" style="70" customWidth="1"/>
    <col min="12547" max="12547" width="15" style="70" customWidth="1"/>
    <col min="12548" max="12548" width="5.85546875" style="70" bestFit="1" customWidth="1"/>
    <col min="12549" max="12549" width="5.7109375" style="70" bestFit="1" customWidth="1"/>
    <col min="12550" max="12550" width="10.28515625" style="70" bestFit="1" customWidth="1"/>
    <col min="12551" max="12551" width="11.42578125" style="70" customWidth="1"/>
    <col min="12552" max="12552" width="5.7109375" style="70" bestFit="1" customWidth="1"/>
    <col min="12553" max="12553" width="10.28515625" style="70" bestFit="1" customWidth="1"/>
    <col min="12554" max="12554" width="11.28515625" style="70" bestFit="1" customWidth="1"/>
    <col min="12555" max="12555" width="5.7109375" style="70" bestFit="1" customWidth="1"/>
    <col min="12556" max="12556" width="9.85546875" style="70" bestFit="1" customWidth="1"/>
    <col min="12557" max="12557" width="12.85546875" style="70" customWidth="1"/>
    <col min="12558" max="12558" width="5.7109375" style="70" bestFit="1" customWidth="1"/>
    <col min="12559" max="12559" width="10.28515625" style="70" bestFit="1" customWidth="1"/>
    <col min="12560" max="12560" width="12.140625" style="70" customWidth="1"/>
    <col min="12561" max="12561" width="24.85546875" style="70" customWidth="1"/>
    <col min="12562" max="12562" width="14.140625" style="70" customWidth="1"/>
    <col min="12563" max="12800" width="9.140625" style="70"/>
    <col min="12801" max="12801" width="5.5703125" style="70" customWidth="1"/>
    <col min="12802" max="12802" width="30.85546875" style="70" customWidth="1"/>
    <col min="12803" max="12803" width="15" style="70" customWidth="1"/>
    <col min="12804" max="12804" width="5.85546875" style="70" bestFit="1" customWidth="1"/>
    <col min="12805" max="12805" width="5.7109375" style="70" bestFit="1" customWidth="1"/>
    <col min="12806" max="12806" width="10.28515625" style="70" bestFit="1" customWidth="1"/>
    <col min="12807" max="12807" width="11.42578125" style="70" customWidth="1"/>
    <col min="12808" max="12808" width="5.7109375" style="70" bestFit="1" customWidth="1"/>
    <col min="12809" max="12809" width="10.28515625" style="70" bestFit="1" customWidth="1"/>
    <col min="12810" max="12810" width="11.28515625" style="70" bestFit="1" customWidth="1"/>
    <col min="12811" max="12811" width="5.7109375" style="70" bestFit="1" customWidth="1"/>
    <col min="12812" max="12812" width="9.85546875" style="70" bestFit="1" customWidth="1"/>
    <col min="12813" max="12813" width="12.85546875" style="70" customWidth="1"/>
    <col min="12814" max="12814" width="5.7109375" style="70" bestFit="1" customWidth="1"/>
    <col min="12815" max="12815" width="10.28515625" style="70" bestFit="1" customWidth="1"/>
    <col min="12816" max="12816" width="12.140625" style="70" customWidth="1"/>
    <col min="12817" max="12817" width="24.85546875" style="70" customWidth="1"/>
    <col min="12818" max="12818" width="14.140625" style="70" customWidth="1"/>
    <col min="12819" max="13056" width="9.140625" style="70"/>
    <col min="13057" max="13057" width="5.5703125" style="70" customWidth="1"/>
    <col min="13058" max="13058" width="30.85546875" style="70" customWidth="1"/>
    <col min="13059" max="13059" width="15" style="70" customWidth="1"/>
    <col min="13060" max="13060" width="5.85546875" style="70" bestFit="1" customWidth="1"/>
    <col min="13061" max="13061" width="5.7109375" style="70" bestFit="1" customWidth="1"/>
    <col min="13062" max="13062" width="10.28515625" style="70" bestFit="1" customWidth="1"/>
    <col min="13063" max="13063" width="11.42578125" style="70" customWidth="1"/>
    <col min="13064" max="13064" width="5.7109375" style="70" bestFit="1" customWidth="1"/>
    <col min="13065" max="13065" width="10.28515625" style="70" bestFit="1" customWidth="1"/>
    <col min="13066" max="13066" width="11.28515625" style="70" bestFit="1" customWidth="1"/>
    <col min="13067" max="13067" width="5.7109375" style="70" bestFit="1" customWidth="1"/>
    <col min="13068" max="13068" width="9.85546875" style="70" bestFit="1" customWidth="1"/>
    <col min="13069" max="13069" width="12.85546875" style="70" customWidth="1"/>
    <col min="13070" max="13070" width="5.7109375" style="70" bestFit="1" customWidth="1"/>
    <col min="13071" max="13071" width="10.28515625" style="70" bestFit="1" customWidth="1"/>
    <col min="13072" max="13072" width="12.140625" style="70" customWidth="1"/>
    <col min="13073" max="13073" width="24.85546875" style="70" customWidth="1"/>
    <col min="13074" max="13074" width="14.140625" style="70" customWidth="1"/>
    <col min="13075" max="13312" width="9.140625" style="70"/>
    <col min="13313" max="13313" width="5.5703125" style="70" customWidth="1"/>
    <col min="13314" max="13314" width="30.85546875" style="70" customWidth="1"/>
    <col min="13315" max="13315" width="15" style="70" customWidth="1"/>
    <col min="13316" max="13316" width="5.85546875" style="70" bestFit="1" customWidth="1"/>
    <col min="13317" max="13317" width="5.7109375" style="70" bestFit="1" customWidth="1"/>
    <col min="13318" max="13318" width="10.28515625" style="70" bestFit="1" customWidth="1"/>
    <col min="13319" max="13319" width="11.42578125" style="70" customWidth="1"/>
    <col min="13320" max="13320" width="5.7109375" style="70" bestFit="1" customWidth="1"/>
    <col min="13321" max="13321" width="10.28515625" style="70" bestFit="1" customWidth="1"/>
    <col min="13322" max="13322" width="11.28515625" style="70" bestFit="1" customWidth="1"/>
    <col min="13323" max="13323" width="5.7109375" style="70" bestFit="1" customWidth="1"/>
    <col min="13324" max="13324" width="9.85546875" style="70" bestFit="1" customWidth="1"/>
    <col min="13325" max="13325" width="12.85546875" style="70" customWidth="1"/>
    <col min="13326" max="13326" width="5.7109375" style="70" bestFit="1" customWidth="1"/>
    <col min="13327" max="13327" width="10.28515625" style="70" bestFit="1" customWidth="1"/>
    <col min="13328" max="13328" width="12.140625" style="70" customWidth="1"/>
    <col min="13329" max="13329" width="24.85546875" style="70" customWidth="1"/>
    <col min="13330" max="13330" width="14.140625" style="70" customWidth="1"/>
    <col min="13331" max="13568" width="9.140625" style="70"/>
    <col min="13569" max="13569" width="5.5703125" style="70" customWidth="1"/>
    <col min="13570" max="13570" width="30.85546875" style="70" customWidth="1"/>
    <col min="13571" max="13571" width="15" style="70" customWidth="1"/>
    <col min="13572" max="13572" width="5.85546875" style="70" bestFit="1" customWidth="1"/>
    <col min="13573" max="13573" width="5.7109375" style="70" bestFit="1" customWidth="1"/>
    <col min="13574" max="13574" width="10.28515625" style="70" bestFit="1" customWidth="1"/>
    <col min="13575" max="13575" width="11.42578125" style="70" customWidth="1"/>
    <col min="13576" max="13576" width="5.7109375" style="70" bestFit="1" customWidth="1"/>
    <col min="13577" max="13577" width="10.28515625" style="70" bestFit="1" customWidth="1"/>
    <col min="13578" max="13578" width="11.28515625" style="70" bestFit="1" customWidth="1"/>
    <col min="13579" max="13579" width="5.7109375" style="70" bestFit="1" customWidth="1"/>
    <col min="13580" max="13580" width="9.85546875" style="70" bestFit="1" customWidth="1"/>
    <col min="13581" max="13581" width="12.85546875" style="70" customWidth="1"/>
    <col min="13582" max="13582" width="5.7109375" style="70" bestFit="1" customWidth="1"/>
    <col min="13583" max="13583" width="10.28515625" style="70" bestFit="1" customWidth="1"/>
    <col min="13584" max="13584" width="12.140625" style="70" customWidth="1"/>
    <col min="13585" max="13585" width="24.85546875" style="70" customWidth="1"/>
    <col min="13586" max="13586" width="14.140625" style="70" customWidth="1"/>
    <col min="13587" max="13824" width="9.140625" style="70"/>
    <col min="13825" max="13825" width="5.5703125" style="70" customWidth="1"/>
    <col min="13826" max="13826" width="30.85546875" style="70" customWidth="1"/>
    <col min="13827" max="13827" width="15" style="70" customWidth="1"/>
    <col min="13828" max="13828" width="5.85546875" style="70" bestFit="1" customWidth="1"/>
    <col min="13829" max="13829" width="5.7109375" style="70" bestFit="1" customWidth="1"/>
    <col min="13830" max="13830" width="10.28515625" style="70" bestFit="1" customWidth="1"/>
    <col min="13831" max="13831" width="11.42578125" style="70" customWidth="1"/>
    <col min="13832" max="13832" width="5.7109375" style="70" bestFit="1" customWidth="1"/>
    <col min="13833" max="13833" width="10.28515625" style="70" bestFit="1" customWidth="1"/>
    <col min="13834" max="13834" width="11.28515625" style="70" bestFit="1" customWidth="1"/>
    <col min="13835" max="13835" width="5.7109375" style="70" bestFit="1" customWidth="1"/>
    <col min="13836" max="13836" width="9.85546875" style="70" bestFit="1" customWidth="1"/>
    <col min="13837" max="13837" width="12.85546875" style="70" customWidth="1"/>
    <col min="13838" max="13838" width="5.7109375" style="70" bestFit="1" customWidth="1"/>
    <col min="13839" max="13839" width="10.28515625" style="70" bestFit="1" customWidth="1"/>
    <col min="13840" max="13840" width="12.140625" style="70" customWidth="1"/>
    <col min="13841" max="13841" width="24.85546875" style="70" customWidth="1"/>
    <col min="13842" max="13842" width="14.140625" style="70" customWidth="1"/>
    <col min="13843" max="14080" width="9.140625" style="70"/>
    <col min="14081" max="14081" width="5.5703125" style="70" customWidth="1"/>
    <col min="14082" max="14082" width="30.85546875" style="70" customWidth="1"/>
    <col min="14083" max="14083" width="15" style="70" customWidth="1"/>
    <col min="14084" max="14084" width="5.85546875" style="70" bestFit="1" customWidth="1"/>
    <col min="14085" max="14085" width="5.7109375" style="70" bestFit="1" customWidth="1"/>
    <col min="14086" max="14086" width="10.28515625" style="70" bestFit="1" customWidth="1"/>
    <col min="14087" max="14087" width="11.42578125" style="70" customWidth="1"/>
    <col min="14088" max="14088" width="5.7109375" style="70" bestFit="1" customWidth="1"/>
    <col min="14089" max="14089" width="10.28515625" style="70" bestFit="1" customWidth="1"/>
    <col min="14090" max="14090" width="11.28515625" style="70" bestFit="1" customWidth="1"/>
    <col min="14091" max="14091" width="5.7109375" style="70" bestFit="1" customWidth="1"/>
    <col min="14092" max="14092" width="9.85546875" style="70" bestFit="1" customWidth="1"/>
    <col min="14093" max="14093" width="12.85546875" style="70" customWidth="1"/>
    <col min="14094" max="14094" width="5.7109375" style="70" bestFit="1" customWidth="1"/>
    <col min="14095" max="14095" width="10.28515625" style="70" bestFit="1" customWidth="1"/>
    <col min="14096" max="14096" width="12.140625" style="70" customWidth="1"/>
    <col min="14097" max="14097" width="24.85546875" style="70" customWidth="1"/>
    <col min="14098" max="14098" width="14.140625" style="70" customWidth="1"/>
    <col min="14099" max="14336" width="9.140625" style="70"/>
    <col min="14337" max="14337" width="5.5703125" style="70" customWidth="1"/>
    <col min="14338" max="14338" width="30.85546875" style="70" customWidth="1"/>
    <col min="14339" max="14339" width="15" style="70" customWidth="1"/>
    <col min="14340" max="14340" width="5.85546875" style="70" bestFit="1" customWidth="1"/>
    <col min="14341" max="14341" width="5.7109375" style="70" bestFit="1" customWidth="1"/>
    <col min="14342" max="14342" width="10.28515625" style="70" bestFit="1" customWidth="1"/>
    <col min="14343" max="14343" width="11.42578125" style="70" customWidth="1"/>
    <col min="14344" max="14344" width="5.7109375" style="70" bestFit="1" customWidth="1"/>
    <col min="14345" max="14345" width="10.28515625" style="70" bestFit="1" customWidth="1"/>
    <col min="14346" max="14346" width="11.28515625" style="70" bestFit="1" customWidth="1"/>
    <col min="14347" max="14347" width="5.7109375" style="70" bestFit="1" customWidth="1"/>
    <col min="14348" max="14348" width="9.85546875" style="70" bestFit="1" customWidth="1"/>
    <col min="14349" max="14349" width="12.85546875" style="70" customWidth="1"/>
    <col min="14350" max="14350" width="5.7109375" style="70" bestFit="1" customWidth="1"/>
    <col min="14351" max="14351" width="10.28515625" style="70" bestFit="1" customWidth="1"/>
    <col min="14352" max="14352" width="12.140625" style="70" customWidth="1"/>
    <col min="14353" max="14353" width="24.85546875" style="70" customWidth="1"/>
    <col min="14354" max="14354" width="14.140625" style="70" customWidth="1"/>
    <col min="14355" max="14592" width="9.140625" style="70"/>
    <col min="14593" max="14593" width="5.5703125" style="70" customWidth="1"/>
    <col min="14594" max="14594" width="30.85546875" style="70" customWidth="1"/>
    <col min="14595" max="14595" width="15" style="70" customWidth="1"/>
    <col min="14596" max="14596" width="5.85546875" style="70" bestFit="1" customWidth="1"/>
    <col min="14597" max="14597" width="5.7109375" style="70" bestFit="1" customWidth="1"/>
    <col min="14598" max="14598" width="10.28515625" style="70" bestFit="1" customWidth="1"/>
    <col min="14599" max="14599" width="11.42578125" style="70" customWidth="1"/>
    <col min="14600" max="14600" width="5.7109375" style="70" bestFit="1" customWidth="1"/>
    <col min="14601" max="14601" width="10.28515625" style="70" bestFit="1" customWidth="1"/>
    <col min="14602" max="14602" width="11.28515625" style="70" bestFit="1" customWidth="1"/>
    <col min="14603" max="14603" width="5.7109375" style="70" bestFit="1" customWidth="1"/>
    <col min="14604" max="14604" width="9.85546875" style="70" bestFit="1" customWidth="1"/>
    <col min="14605" max="14605" width="12.85546875" style="70" customWidth="1"/>
    <col min="14606" max="14606" width="5.7109375" style="70" bestFit="1" customWidth="1"/>
    <col min="14607" max="14607" width="10.28515625" style="70" bestFit="1" customWidth="1"/>
    <col min="14608" max="14608" width="12.140625" style="70" customWidth="1"/>
    <col min="14609" max="14609" width="24.85546875" style="70" customWidth="1"/>
    <col min="14610" max="14610" width="14.140625" style="70" customWidth="1"/>
    <col min="14611" max="14848" width="9.140625" style="70"/>
    <col min="14849" max="14849" width="5.5703125" style="70" customWidth="1"/>
    <col min="14850" max="14850" width="30.85546875" style="70" customWidth="1"/>
    <col min="14851" max="14851" width="15" style="70" customWidth="1"/>
    <col min="14852" max="14852" width="5.85546875" style="70" bestFit="1" customWidth="1"/>
    <col min="14853" max="14853" width="5.7109375" style="70" bestFit="1" customWidth="1"/>
    <col min="14854" max="14854" width="10.28515625" style="70" bestFit="1" customWidth="1"/>
    <col min="14855" max="14855" width="11.42578125" style="70" customWidth="1"/>
    <col min="14856" max="14856" width="5.7109375" style="70" bestFit="1" customWidth="1"/>
    <col min="14857" max="14857" width="10.28515625" style="70" bestFit="1" customWidth="1"/>
    <col min="14858" max="14858" width="11.28515625" style="70" bestFit="1" customWidth="1"/>
    <col min="14859" max="14859" width="5.7109375" style="70" bestFit="1" customWidth="1"/>
    <col min="14860" max="14860" width="9.85546875" style="70" bestFit="1" customWidth="1"/>
    <col min="14861" max="14861" width="12.85546875" style="70" customWidth="1"/>
    <col min="14862" max="14862" width="5.7109375" style="70" bestFit="1" customWidth="1"/>
    <col min="14863" max="14863" width="10.28515625" style="70" bestFit="1" customWidth="1"/>
    <col min="14864" max="14864" width="12.140625" style="70" customWidth="1"/>
    <col min="14865" max="14865" width="24.85546875" style="70" customWidth="1"/>
    <col min="14866" max="14866" width="14.140625" style="70" customWidth="1"/>
    <col min="14867" max="15104" width="9.140625" style="70"/>
    <col min="15105" max="15105" width="5.5703125" style="70" customWidth="1"/>
    <col min="15106" max="15106" width="30.85546875" style="70" customWidth="1"/>
    <col min="15107" max="15107" width="15" style="70" customWidth="1"/>
    <col min="15108" max="15108" width="5.85546875" style="70" bestFit="1" customWidth="1"/>
    <col min="15109" max="15109" width="5.7109375" style="70" bestFit="1" customWidth="1"/>
    <col min="15110" max="15110" width="10.28515625" style="70" bestFit="1" customWidth="1"/>
    <col min="15111" max="15111" width="11.42578125" style="70" customWidth="1"/>
    <col min="15112" max="15112" width="5.7109375" style="70" bestFit="1" customWidth="1"/>
    <col min="15113" max="15113" width="10.28515625" style="70" bestFit="1" customWidth="1"/>
    <col min="15114" max="15114" width="11.28515625" style="70" bestFit="1" customWidth="1"/>
    <col min="15115" max="15115" width="5.7109375" style="70" bestFit="1" customWidth="1"/>
    <col min="15116" max="15116" width="9.85546875" style="70" bestFit="1" customWidth="1"/>
    <col min="15117" max="15117" width="12.85546875" style="70" customWidth="1"/>
    <col min="15118" max="15118" width="5.7109375" style="70" bestFit="1" customWidth="1"/>
    <col min="15119" max="15119" width="10.28515625" style="70" bestFit="1" customWidth="1"/>
    <col min="15120" max="15120" width="12.140625" style="70" customWidth="1"/>
    <col min="15121" max="15121" width="24.85546875" style="70" customWidth="1"/>
    <col min="15122" max="15122" width="14.140625" style="70" customWidth="1"/>
    <col min="15123" max="15360" width="9.140625" style="70"/>
    <col min="15361" max="15361" width="5.5703125" style="70" customWidth="1"/>
    <col min="15362" max="15362" width="30.85546875" style="70" customWidth="1"/>
    <col min="15363" max="15363" width="15" style="70" customWidth="1"/>
    <col min="15364" max="15364" width="5.85546875" style="70" bestFit="1" customWidth="1"/>
    <col min="15365" max="15365" width="5.7109375" style="70" bestFit="1" customWidth="1"/>
    <col min="15366" max="15366" width="10.28515625" style="70" bestFit="1" customWidth="1"/>
    <col min="15367" max="15367" width="11.42578125" style="70" customWidth="1"/>
    <col min="15368" max="15368" width="5.7109375" style="70" bestFit="1" customWidth="1"/>
    <col min="15369" max="15369" width="10.28515625" style="70" bestFit="1" customWidth="1"/>
    <col min="15370" max="15370" width="11.28515625" style="70" bestFit="1" customWidth="1"/>
    <col min="15371" max="15371" width="5.7109375" style="70" bestFit="1" customWidth="1"/>
    <col min="15372" max="15372" width="9.85546875" style="70" bestFit="1" customWidth="1"/>
    <col min="15373" max="15373" width="12.85546875" style="70" customWidth="1"/>
    <col min="15374" max="15374" width="5.7109375" style="70" bestFit="1" customWidth="1"/>
    <col min="15375" max="15375" width="10.28515625" style="70" bestFit="1" customWidth="1"/>
    <col min="15376" max="15376" width="12.140625" style="70" customWidth="1"/>
    <col min="15377" max="15377" width="24.85546875" style="70" customWidth="1"/>
    <col min="15378" max="15378" width="14.140625" style="70" customWidth="1"/>
    <col min="15379" max="15616" width="9.140625" style="70"/>
    <col min="15617" max="15617" width="5.5703125" style="70" customWidth="1"/>
    <col min="15618" max="15618" width="30.85546875" style="70" customWidth="1"/>
    <col min="15619" max="15619" width="15" style="70" customWidth="1"/>
    <col min="15620" max="15620" width="5.85546875" style="70" bestFit="1" customWidth="1"/>
    <col min="15621" max="15621" width="5.7109375" style="70" bestFit="1" customWidth="1"/>
    <col min="15622" max="15622" width="10.28515625" style="70" bestFit="1" customWidth="1"/>
    <col min="15623" max="15623" width="11.42578125" style="70" customWidth="1"/>
    <col min="15624" max="15624" width="5.7109375" style="70" bestFit="1" customWidth="1"/>
    <col min="15625" max="15625" width="10.28515625" style="70" bestFit="1" customWidth="1"/>
    <col min="15626" max="15626" width="11.28515625" style="70" bestFit="1" customWidth="1"/>
    <col min="15627" max="15627" width="5.7109375" style="70" bestFit="1" customWidth="1"/>
    <col min="15628" max="15628" width="9.85546875" style="70" bestFit="1" customWidth="1"/>
    <col min="15629" max="15629" width="12.85546875" style="70" customWidth="1"/>
    <col min="15630" max="15630" width="5.7109375" style="70" bestFit="1" customWidth="1"/>
    <col min="15631" max="15631" width="10.28515625" style="70" bestFit="1" customWidth="1"/>
    <col min="15632" max="15632" width="12.140625" style="70" customWidth="1"/>
    <col min="15633" max="15633" width="24.85546875" style="70" customWidth="1"/>
    <col min="15634" max="15634" width="14.140625" style="70" customWidth="1"/>
    <col min="15635" max="15872" width="9.140625" style="70"/>
    <col min="15873" max="15873" width="5.5703125" style="70" customWidth="1"/>
    <col min="15874" max="15874" width="30.85546875" style="70" customWidth="1"/>
    <col min="15875" max="15875" width="15" style="70" customWidth="1"/>
    <col min="15876" max="15876" width="5.85546875" style="70" bestFit="1" customWidth="1"/>
    <col min="15877" max="15877" width="5.7109375" style="70" bestFit="1" customWidth="1"/>
    <col min="15878" max="15878" width="10.28515625" style="70" bestFit="1" customWidth="1"/>
    <col min="15879" max="15879" width="11.42578125" style="70" customWidth="1"/>
    <col min="15880" max="15880" width="5.7109375" style="70" bestFit="1" customWidth="1"/>
    <col min="15881" max="15881" width="10.28515625" style="70" bestFit="1" customWidth="1"/>
    <col min="15882" max="15882" width="11.28515625" style="70" bestFit="1" customWidth="1"/>
    <col min="15883" max="15883" width="5.7109375" style="70" bestFit="1" customWidth="1"/>
    <col min="15884" max="15884" width="9.85546875" style="70" bestFit="1" customWidth="1"/>
    <col min="15885" max="15885" width="12.85546875" style="70" customWidth="1"/>
    <col min="15886" max="15886" width="5.7109375" style="70" bestFit="1" customWidth="1"/>
    <col min="15887" max="15887" width="10.28515625" style="70" bestFit="1" customWidth="1"/>
    <col min="15888" max="15888" width="12.140625" style="70" customWidth="1"/>
    <col min="15889" max="15889" width="24.85546875" style="70" customWidth="1"/>
    <col min="15890" max="15890" width="14.140625" style="70" customWidth="1"/>
    <col min="15891" max="16128" width="9.140625" style="70"/>
    <col min="16129" max="16129" width="5.5703125" style="70" customWidth="1"/>
    <col min="16130" max="16130" width="30.85546875" style="70" customWidth="1"/>
    <col min="16131" max="16131" width="15" style="70" customWidth="1"/>
    <col min="16132" max="16132" width="5.85546875" style="70" bestFit="1" customWidth="1"/>
    <col min="16133" max="16133" width="5.7109375" style="70" bestFit="1" customWidth="1"/>
    <col min="16134" max="16134" width="10.28515625" style="70" bestFit="1" customWidth="1"/>
    <col min="16135" max="16135" width="11.42578125" style="70" customWidth="1"/>
    <col min="16136" max="16136" width="5.7109375" style="70" bestFit="1" customWidth="1"/>
    <col min="16137" max="16137" width="10.28515625" style="70" bestFit="1" customWidth="1"/>
    <col min="16138" max="16138" width="11.28515625" style="70" bestFit="1" customWidth="1"/>
    <col min="16139" max="16139" width="5.7109375" style="70" bestFit="1" customWidth="1"/>
    <col min="16140" max="16140" width="9.85546875" style="70" bestFit="1" customWidth="1"/>
    <col min="16141" max="16141" width="12.85546875" style="70" customWidth="1"/>
    <col min="16142" max="16142" width="5.7109375" style="70" bestFit="1" customWidth="1"/>
    <col min="16143" max="16143" width="10.28515625" style="70" bestFit="1" customWidth="1"/>
    <col min="16144" max="16144" width="12.140625" style="70" customWidth="1"/>
    <col min="16145" max="16145" width="24.85546875" style="70" customWidth="1"/>
    <col min="16146" max="16146" width="14.140625" style="70" customWidth="1"/>
    <col min="16147" max="16384" width="9.140625" style="70"/>
  </cols>
  <sheetData>
    <row r="1" spans="1:17" ht="20.25">
      <c r="B1" s="597"/>
      <c r="C1" s="597"/>
      <c r="D1" s="3399" t="s">
        <v>1793</v>
      </c>
      <c r="E1" s="3399"/>
      <c r="F1" s="3399"/>
      <c r="G1" s="3399"/>
      <c r="H1" s="3399"/>
      <c r="I1" s="3399"/>
      <c r="J1" s="597"/>
      <c r="K1" s="597"/>
      <c r="L1" s="597"/>
      <c r="M1" s="597"/>
      <c r="N1" s="597"/>
      <c r="O1" s="597"/>
      <c r="P1" s="597"/>
    </row>
    <row r="2" spans="1:17" ht="10.5" customHeight="1"/>
    <row r="3" spans="1:17" ht="42" customHeight="1">
      <c r="C3" s="3125" t="s">
        <v>1794</v>
      </c>
      <c r="D3" s="3125"/>
      <c r="E3" s="3125"/>
      <c r="F3" s="3125"/>
      <c r="G3" s="3125"/>
      <c r="H3" s="3125"/>
      <c r="I3" s="3125"/>
      <c r="J3" s="3125"/>
      <c r="K3" s="3125"/>
      <c r="L3" s="3125"/>
      <c r="M3" s="3125"/>
      <c r="N3" s="630"/>
      <c r="O3" s="630"/>
      <c r="P3" s="572"/>
    </row>
    <row r="4" spans="1:17" ht="15.75">
      <c r="A4" s="573"/>
      <c r="B4" s="573"/>
      <c r="C4" s="573"/>
      <c r="D4" s="573"/>
      <c r="E4" s="573"/>
      <c r="F4" s="573"/>
      <c r="G4" s="573"/>
      <c r="H4" s="573"/>
      <c r="I4" s="573"/>
      <c r="J4" s="573"/>
      <c r="K4" s="573"/>
      <c r="L4" s="573"/>
      <c r="M4" s="573"/>
      <c r="N4" s="573"/>
      <c r="O4" s="573"/>
      <c r="P4" s="573"/>
      <c r="Q4" s="605"/>
    </row>
    <row r="5" spans="1:17" ht="18.75" customHeight="1">
      <c r="A5" s="631"/>
      <c r="B5" s="605"/>
      <c r="C5" s="631"/>
      <c r="D5" s="605"/>
      <c r="E5" s="605"/>
      <c r="F5" s="605"/>
      <c r="G5" s="605"/>
      <c r="H5" s="605"/>
      <c r="I5" s="605"/>
      <c r="J5" s="605"/>
      <c r="K5" s="605"/>
      <c r="L5" s="605"/>
      <c r="M5" s="605"/>
      <c r="N5" s="3334" t="s">
        <v>89</v>
      </c>
      <c r="O5" s="3334"/>
      <c r="P5" s="572"/>
    </row>
    <row r="6" spans="1:17" ht="12" customHeight="1">
      <c r="A6" s="631"/>
      <c r="B6" s="605"/>
      <c r="C6" s="631"/>
      <c r="D6" s="605"/>
      <c r="E6" s="605"/>
      <c r="F6" s="605"/>
      <c r="G6" s="605"/>
      <c r="H6" s="605"/>
      <c r="I6" s="605"/>
      <c r="J6" s="605"/>
      <c r="K6" s="605"/>
      <c r="L6" s="605"/>
      <c r="M6" s="605"/>
      <c r="N6" s="605"/>
      <c r="O6" s="573"/>
      <c r="P6" s="573"/>
    </row>
    <row r="7" spans="1:17" ht="15.75">
      <c r="A7" s="3373" t="s">
        <v>2</v>
      </c>
      <c r="B7" s="3336" t="s">
        <v>3</v>
      </c>
      <c r="C7" s="3124" t="s">
        <v>1795</v>
      </c>
      <c r="D7" s="3336" t="s">
        <v>5</v>
      </c>
      <c r="E7" s="3336" t="s">
        <v>1664</v>
      </c>
      <c r="F7" s="3336"/>
      <c r="G7" s="3336"/>
      <c r="H7" s="3336" t="s">
        <v>1665</v>
      </c>
      <c r="I7" s="3336"/>
      <c r="J7" s="3336"/>
      <c r="K7" s="3336" t="s">
        <v>1666</v>
      </c>
      <c r="L7" s="3336"/>
      <c r="M7" s="3336"/>
      <c r="N7" s="3336" t="s">
        <v>1667</v>
      </c>
      <c r="O7" s="3336"/>
      <c r="P7" s="3336"/>
    </row>
    <row r="8" spans="1:17" ht="15.75">
      <c r="A8" s="3374"/>
      <c r="B8" s="3336"/>
      <c r="C8" s="3124"/>
      <c r="D8" s="3336"/>
      <c r="E8" s="2653" t="s">
        <v>143</v>
      </c>
      <c r="F8" s="2653" t="s">
        <v>9</v>
      </c>
      <c r="G8" s="2653" t="s">
        <v>1668</v>
      </c>
      <c r="H8" s="2653" t="s">
        <v>143</v>
      </c>
      <c r="I8" s="2653" t="s">
        <v>9</v>
      </c>
      <c r="J8" s="2653" t="s">
        <v>1668</v>
      </c>
      <c r="K8" s="2653" t="s">
        <v>143</v>
      </c>
      <c r="L8" s="2653" t="s">
        <v>9</v>
      </c>
      <c r="M8" s="2653" t="s">
        <v>1668</v>
      </c>
      <c r="N8" s="2653" t="s">
        <v>143</v>
      </c>
      <c r="O8" s="2653" t="s">
        <v>9</v>
      </c>
      <c r="P8" s="2653" t="s">
        <v>1668</v>
      </c>
    </row>
    <row r="9" spans="1:17" ht="15.75">
      <c r="A9" s="2653">
        <v>1</v>
      </c>
      <c r="B9" s="2653">
        <v>2</v>
      </c>
      <c r="C9" s="2653">
        <v>3</v>
      </c>
      <c r="D9" s="2653">
        <v>4</v>
      </c>
      <c r="E9" s="2653">
        <v>5</v>
      </c>
      <c r="F9" s="2653">
        <v>6</v>
      </c>
      <c r="G9" s="2653">
        <v>7</v>
      </c>
      <c r="H9" s="2653">
        <v>8</v>
      </c>
      <c r="I9" s="2653">
        <v>9</v>
      </c>
      <c r="J9" s="2653">
        <v>10</v>
      </c>
      <c r="K9" s="2653">
        <v>11</v>
      </c>
      <c r="L9" s="2653">
        <v>12</v>
      </c>
      <c r="M9" s="2653">
        <v>13</v>
      </c>
      <c r="N9" s="2653">
        <v>14</v>
      </c>
      <c r="O9" s="2653">
        <v>15</v>
      </c>
      <c r="P9" s="632">
        <v>16</v>
      </c>
    </row>
    <row r="10" spans="1:17" ht="36" customHeight="1">
      <c r="A10" s="1080" t="s">
        <v>1796</v>
      </c>
      <c r="B10" s="1886" t="s">
        <v>1797</v>
      </c>
      <c r="C10" s="1052">
        <v>7131300046</v>
      </c>
      <c r="D10" s="1080" t="s">
        <v>12</v>
      </c>
      <c r="E10" s="1080"/>
      <c r="F10" s="1081"/>
      <c r="G10" s="1831" t="s">
        <v>1534</v>
      </c>
      <c r="H10" s="2653"/>
      <c r="I10" s="2653"/>
      <c r="J10" s="1831" t="s">
        <v>1534</v>
      </c>
      <c r="K10" s="2653"/>
      <c r="L10" s="2653"/>
      <c r="M10" s="1831" t="s">
        <v>1534</v>
      </c>
      <c r="N10" s="2653"/>
      <c r="O10" s="2653"/>
      <c r="P10" s="1831" t="s">
        <v>1534</v>
      </c>
      <c r="Q10" s="608"/>
    </row>
    <row r="11" spans="1:17" ht="47.25" customHeight="1">
      <c r="A11" s="2640" t="s">
        <v>1798</v>
      </c>
      <c r="B11" s="1887" t="s">
        <v>825</v>
      </c>
      <c r="C11" s="1052">
        <v>7131310997</v>
      </c>
      <c r="D11" s="1080" t="s">
        <v>12</v>
      </c>
      <c r="E11" s="1080">
        <v>1</v>
      </c>
      <c r="F11" s="1081">
        <f>VLOOKUP(C11,'[25]SOR RATE'!A:D,4,0)</f>
        <v>1800</v>
      </c>
      <c r="G11" s="1081">
        <f>F11*E11</f>
        <v>1800</v>
      </c>
      <c r="H11" s="1080">
        <v>1</v>
      </c>
      <c r="I11" s="1081">
        <f>+F11</f>
        <v>1800</v>
      </c>
      <c r="J11" s="1081">
        <f>I11*H11</f>
        <v>1800</v>
      </c>
      <c r="K11" s="1080">
        <v>1</v>
      </c>
      <c r="L11" s="1081">
        <f>+F11</f>
        <v>1800</v>
      </c>
      <c r="M11" s="1081">
        <f>L11*K11</f>
        <v>1800</v>
      </c>
      <c r="N11" s="1080">
        <v>1</v>
      </c>
      <c r="O11" s="1081">
        <f>+F11</f>
        <v>1800</v>
      </c>
      <c r="P11" s="1081">
        <f>O11*N11</f>
        <v>1800</v>
      </c>
      <c r="Q11" s="635" t="s">
        <v>1799</v>
      </c>
    </row>
    <row r="12" spans="1:17" ht="15.75" customHeight="1">
      <c r="A12" s="3337">
        <v>2</v>
      </c>
      <c r="B12" s="1843" t="s">
        <v>1800</v>
      </c>
      <c r="C12" s="1888"/>
      <c r="D12" s="1889"/>
      <c r="E12" s="1889"/>
      <c r="F12" s="1889"/>
      <c r="G12" s="1889"/>
      <c r="H12" s="1889"/>
      <c r="I12" s="1889"/>
      <c r="J12" s="1889"/>
      <c r="K12" s="1889"/>
      <c r="L12" s="1889"/>
      <c r="M12" s="1889"/>
      <c r="N12" s="1889"/>
      <c r="O12" s="1889"/>
      <c r="P12" s="1890"/>
    </row>
    <row r="13" spans="1:17" ht="16.5" customHeight="1">
      <c r="A13" s="3338"/>
      <c r="B13" s="1825" t="s">
        <v>1801</v>
      </c>
      <c r="C13" s="1826">
        <v>7132230016</v>
      </c>
      <c r="D13" s="1080" t="s">
        <v>12</v>
      </c>
      <c r="E13" s="1831">
        <v>4</v>
      </c>
      <c r="F13" s="1081">
        <f>VLOOKUP(C13,'[25]SOR RATE'!A:D,4,0)</f>
        <v>527.46</v>
      </c>
      <c r="G13" s="1081">
        <f>F13*E13</f>
        <v>2109.84</v>
      </c>
      <c r="H13" s="1080">
        <v>4</v>
      </c>
      <c r="I13" s="1081">
        <f>+F13</f>
        <v>527.46</v>
      </c>
      <c r="J13" s="1081">
        <f>I13*H13</f>
        <v>2109.84</v>
      </c>
      <c r="K13" s="1831" t="s">
        <v>1534</v>
      </c>
      <c r="L13" s="1831" t="s">
        <v>1534</v>
      </c>
      <c r="M13" s="1831" t="s">
        <v>1534</v>
      </c>
      <c r="N13" s="1831" t="s">
        <v>1534</v>
      </c>
      <c r="O13" s="1831" t="s">
        <v>1534</v>
      </c>
      <c r="P13" s="1831" t="s">
        <v>1534</v>
      </c>
    </row>
    <row r="14" spans="1:17" ht="15.75" customHeight="1">
      <c r="A14" s="3338"/>
      <c r="B14" s="1825" t="s">
        <v>1802</v>
      </c>
      <c r="C14" s="1826">
        <v>7132230019</v>
      </c>
      <c r="D14" s="1080" t="s">
        <v>12</v>
      </c>
      <c r="E14" s="1831" t="s">
        <v>1534</v>
      </c>
      <c r="F14" s="1831" t="s">
        <v>1534</v>
      </c>
      <c r="G14" s="1831" t="s">
        <v>1534</v>
      </c>
      <c r="H14" s="1831" t="s">
        <v>1534</v>
      </c>
      <c r="I14" s="1831" t="s">
        <v>1534</v>
      </c>
      <c r="J14" s="1831" t="s">
        <v>1534</v>
      </c>
      <c r="K14" s="1080">
        <v>4</v>
      </c>
      <c r="L14" s="1081">
        <f>VLOOKUP(C14,'[25]SOR RATE'!A:D,4,0)</f>
        <v>313.29000000000002</v>
      </c>
      <c r="M14" s="1081">
        <f>L14*K14</f>
        <v>1253.1600000000001</v>
      </c>
      <c r="N14" s="1831" t="s">
        <v>1534</v>
      </c>
      <c r="O14" s="1831" t="s">
        <v>1534</v>
      </c>
      <c r="P14" s="1831" t="s">
        <v>1534</v>
      </c>
    </row>
    <row r="15" spans="1:17" ht="15.75" customHeight="1">
      <c r="A15" s="3339"/>
      <c r="B15" s="1891" t="s">
        <v>1803</v>
      </c>
      <c r="C15" s="1826">
        <v>7132230021</v>
      </c>
      <c r="D15" s="1080" t="s">
        <v>12</v>
      </c>
      <c r="E15" s="1831" t="s">
        <v>1534</v>
      </c>
      <c r="F15" s="1831" t="s">
        <v>1534</v>
      </c>
      <c r="G15" s="1831" t="s">
        <v>1534</v>
      </c>
      <c r="H15" s="1831" t="s">
        <v>1534</v>
      </c>
      <c r="I15" s="1831" t="s">
        <v>1534</v>
      </c>
      <c r="J15" s="1831" t="s">
        <v>1534</v>
      </c>
      <c r="K15" s="1831" t="s">
        <v>1534</v>
      </c>
      <c r="L15" s="1831" t="s">
        <v>1534</v>
      </c>
      <c r="M15" s="1831" t="s">
        <v>1534</v>
      </c>
      <c r="N15" s="1080">
        <v>4</v>
      </c>
      <c r="O15" s="1081">
        <f>VLOOKUP(C15,'[25]SOR RATE'!A:D,4,0)</f>
        <v>306.8</v>
      </c>
      <c r="P15" s="1081">
        <f>O15*N15</f>
        <v>1227.2</v>
      </c>
    </row>
    <row r="16" spans="1:17" ht="36" customHeight="1">
      <c r="A16" s="1080">
        <v>3</v>
      </c>
      <c r="B16" s="1886" t="s">
        <v>1804</v>
      </c>
      <c r="C16" s="1052">
        <v>7132406420</v>
      </c>
      <c r="D16" s="1080" t="s">
        <v>12</v>
      </c>
      <c r="E16" s="1080">
        <v>1</v>
      </c>
      <c r="F16" s="1081">
        <f>VLOOKUP(C16,'[25]SOR RATE'!A:D,4,0)</f>
        <v>3292.5</v>
      </c>
      <c r="G16" s="1081">
        <f>F16*E16</f>
        <v>3292.5</v>
      </c>
      <c r="H16" s="1080">
        <v>1</v>
      </c>
      <c r="I16" s="1081">
        <f>+F16</f>
        <v>3292.5</v>
      </c>
      <c r="J16" s="1081">
        <f>I16*H16</f>
        <v>3292.5</v>
      </c>
      <c r="K16" s="1080">
        <v>1</v>
      </c>
      <c r="L16" s="1081">
        <f>+I16</f>
        <v>3292.5</v>
      </c>
      <c r="M16" s="1081">
        <f>L16*K16</f>
        <v>3292.5</v>
      </c>
      <c r="N16" s="1080">
        <v>1</v>
      </c>
      <c r="O16" s="1081">
        <f>+L16</f>
        <v>3292.5</v>
      </c>
      <c r="P16" s="1081">
        <f>O16*N16</f>
        <v>3292.5</v>
      </c>
    </row>
    <row r="17" spans="1:18" ht="36" customHeight="1">
      <c r="A17" s="2640">
        <v>4</v>
      </c>
      <c r="B17" s="1886" t="s">
        <v>1805</v>
      </c>
      <c r="C17" s="1052">
        <v>7130310654</v>
      </c>
      <c r="D17" s="2640" t="s">
        <v>21</v>
      </c>
      <c r="E17" s="2640">
        <v>12</v>
      </c>
      <c r="F17" s="1081">
        <f>VLOOKUP(C17,'[25]SOR RATE'!A68:D68,4,0)/1000</f>
        <v>98.983890000000002</v>
      </c>
      <c r="G17" s="1081">
        <f>F17*E17</f>
        <v>1187.8066800000001</v>
      </c>
      <c r="H17" s="1080">
        <v>12</v>
      </c>
      <c r="I17" s="1081">
        <f>+F17</f>
        <v>98.983890000000002</v>
      </c>
      <c r="J17" s="1081">
        <f>I17*H17</f>
        <v>1187.8066800000001</v>
      </c>
      <c r="K17" s="1080">
        <v>12</v>
      </c>
      <c r="L17" s="1081">
        <f>+I17</f>
        <v>98.983890000000002</v>
      </c>
      <c r="M17" s="1081">
        <f>L17*K17</f>
        <v>1187.8066800000001</v>
      </c>
      <c r="N17" s="1080">
        <v>12</v>
      </c>
      <c r="O17" s="1081">
        <f>+L17</f>
        <v>98.983890000000002</v>
      </c>
      <c r="P17" s="1081">
        <f>O17*N17</f>
        <v>1187.8066800000001</v>
      </c>
      <c r="Q17" s="583"/>
    </row>
    <row r="18" spans="1:18" ht="34.5" customHeight="1">
      <c r="A18" s="2653">
        <v>5</v>
      </c>
      <c r="B18" s="1074" t="s">
        <v>48</v>
      </c>
      <c r="C18" s="2653"/>
      <c r="D18" s="2653"/>
      <c r="E18" s="2653"/>
      <c r="F18" s="2653"/>
      <c r="G18" s="1837">
        <f>SUM(G11:G17)</f>
        <v>8390.1466799999998</v>
      </c>
      <c r="H18" s="1837"/>
      <c r="I18" s="1837"/>
      <c r="J18" s="1837">
        <f>SUM(J11:J17)</f>
        <v>8390.1466799999998</v>
      </c>
      <c r="K18" s="1837"/>
      <c r="L18" s="1837"/>
      <c r="M18" s="1837">
        <f>SUM(M11:M17)</f>
        <v>7533.4666799999995</v>
      </c>
      <c r="N18" s="1837"/>
      <c r="O18" s="1837"/>
      <c r="P18" s="1837">
        <f>SUM(P11:P17)</f>
        <v>7507.5066800000004</v>
      </c>
      <c r="Q18" s="608"/>
      <c r="R18" s="108"/>
    </row>
    <row r="19" spans="1:18" ht="34.5" customHeight="1">
      <c r="A19" s="2656">
        <v>6</v>
      </c>
      <c r="B19" s="1074" t="s">
        <v>49</v>
      </c>
      <c r="C19" s="2653"/>
      <c r="D19" s="2653"/>
      <c r="E19" s="1892"/>
      <c r="F19" s="2653"/>
      <c r="G19" s="1837">
        <f>G18/1.18</f>
        <v>7110.2937966101699</v>
      </c>
      <c r="H19" s="1893"/>
      <c r="I19" s="1837"/>
      <c r="J19" s="1837">
        <f>J18/1.18</f>
        <v>7110.2937966101699</v>
      </c>
      <c r="K19" s="1893"/>
      <c r="L19" s="1837"/>
      <c r="M19" s="1837">
        <f>M18/1.18</f>
        <v>6384.293796610169</v>
      </c>
      <c r="N19" s="1893"/>
      <c r="O19" s="1837"/>
      <c r="P19" s="1837">
        <f>P18/1.18</f>
        <v>6362.2937966101699</v>
      </c>
      <c r="Q19" s="364"/>
      <c r="R19" s="108"/>
    </row>
    <row r="20" spans="1:18" ht="33.75" customHeight="1">
      <c r="A20" s="2654">
        <v>7</v>
      </c>
      <c r="B20" s="1051" t="s">
        <v>50</v>
      </c>
      <c r="C20" s="1825"/>
      <c r="D20" s="1825"/>
      <c r="E20" s="1829"/>
      <c r="F20" s="1080">
        <v>7.4999999999999997E-2</v>
      </c>
      <c r="G20" s="1081">
        <f>G18*F20</f>
        <v>629.26100099999996</v>
      </c>
      <c r="H20" s="1859"/>
      <c r="I20" s="1080">
        <v>7.4999999999999997E-2</v>
      </c>
      <c r="J20" s="1081">
        <f>J18*I20</f>
        <v>629.26100099999996</v>
      </c>
      <c r="K20" s="1859"/>
      <c r="L20" s="1080">
        <v>7.4999999999999997E-2</v>
      </c>
      <c r="M20" s="1081">
        <f>M18*L20</f>
        <v>565.01000099999999</v>
      </c>
      <c r="N20" s="1859"/>
      <c r="O20" s="1080">
        <v>7.4999999999999997E-2</v>
      </c>
      <c r="P20" s="1081">
        <f>P18*O20</f>
        <v>563.06300099999999</v>
      </c>
      <c r="Q20" s="87"/>
      <c r="R20" s="364"/>
    </row>
    <row r="21" spans="1:18" ht="35.25" customHeight="1">
      <c r="A21" s="1080">
        <v>8</v>
      </c>
      <c r="B21" s="1840" t="s">
        <v>2820</v>
      </c>
      <c r="C21" s="1080"/>
      <c r="D21" s="1080"/>
      <c r="E21" s="1080"/>
      <c r="F21" s="1080"/>
      <c r="G21" s="1894">
        <v>9587</v>
      </c>
      <c r="H21" s="1080"/>
      <c r="I21" s="1080"/>
      <c r="J21" s="1081">
        <v>9587</v>
      </c>
      <c r="K21" s="1080"/>
      <c r="L21" s="1080"/>
      <c r="M21" s="1081">
        <v>9635</v>
      </c>
      <c r="N21" s="1080"/>
      <c r="O21" s="1080"/>
      <c r="P21" s="1081">
        <v>9723</v>
      </c>
      <c r="Q21" s="2664"/>
      <c r="R21" s="633"/>
    </row>
    <row r="22" spans="1:18" ht="34.5" customHeight="1">
      <c r="A22" s="1080">
        <v>9</v>
      </c>
      <c r="B22" s="1840" t="s">
        <v>1808</v>
      </c>
      <c r="C22" s="1080"/>
      <c r="D22" s="1080"/>
      <c r="E22" s="1080"/>
      <c r="F22" s="1054">
        <v>0.04</v>
      </c>
      <c r="G22" s="1894">
        <f>G19*F22</f>
        <v>284.41175186440682</v>
      </c>
      <c r="H22" s="1834"/>
      <c r="I22" s="1054">
        <v>0.04</v>
      </c>
      <c r="J22" s="1894">
        <f>J19*I22</f>
        <v>284.41175186440682</v>
      </c>
      <c r="K22" s="1834"/>
      <c r="L22" s="1054">
        <v>0.04</v>
      </c>
      <c r="M22" s="1894">
        <f>M19*L22</f>
        <v>255.37175186440678</v>
      </c>
      <c r="N22" s="1834"/>
      <c r="O22" s="1054">
        <v>0.04</v>
      </c>
      <c r="P22" s="1894">
        <f>P19*O22</f>
        <v>254.49175186440681</v>
      </c>
      <c r="Q22" s="1970" t="s">
        <v>119</v>
      </c>
      <c r="R22" s="633"/>
    </row>
    <row r="23" spans="1:18" ht="53.25" customHeight="1">
      <c r="A23" s="1080">
        <v>10</v>
      </c>
      <c r="B23" s="1051" t="s">
        <v>1809</v>
      </c>
      <c r="C23" s="1080"/>
      <c r="D23" s="1080"/>
      <c r="E23" s="1080"/>
      <c r="F23" s="1080"/>
      <c r="G23" s="1894">
        <f>(G18+G20+G21+G22)*0.125</f>
        <v>2361.3524291080507</v>
      </c>
      <c r="H23" s="1894"/>
      <c r="I23" s="1894"/>
      <c r="J23" s="1894">
        <f>(J18+J20+J21+J22)*0.125</f>
        <v>2361.3524291080507</v>
      </c>
      <c r="K23" s="1894"/>
      <c r="L23" s="1894"/>
      <c r="M23" s="1894">
        <f>(M18+M20+M21+M22)*0.125</f>
        <v>2248.606054108051</v>
      </c>
      <c r="N23" s="1894"/>
      <c r="O23" s="1894"/>
      <c r="P23" s="1894">
        <f>(P18+P20+P21+P22)*0.125</f>
        <v>2256.007679108051</v>
      </c>
      <c r="Q23" s="372"/>
      <c r="R23" s="633"/>
    </row>
    <row r="24" spans="1:18" ht="36.75" customHeight="1">
      <c r="A24" s="2653">
        <v>11</v>
      </c>
      <c r="B24" s="1082" t="s">
        <v>1813</v>
      </c>
      <c r="C24" s="1080"/>
      <c r="D24" s="1080"/>
      <c r="E24" s="1080"/>
      <c r="F24" s="1080"/>
      <c r="G24" s="1837">
        <f>SUM(G19:G23)</f>
        <v>19972.318978582625</v>
      </c>
      <c r="H24" s="1837"/>
      <c r="I24" s="1837"/>
      <c r="J24" s="1837">
        <f>SUM(J19:J23)</f>
        <v>19972.318978582625</v>
      </c>
      <c r="K24" s="1837"/>
      <c r="L24" s="1837"/>
      <c r="M24" s="1837">
        <f>SUM(M19:M23)</f>
        <v>19088.281603582629</v>
      </c>
      <c r="N24" s="1837"/>
      <c r="O24" s="1837"/>
      <c r="P24" s="1837">
        <f>SUM(P19:P23)</f>
        <v>19158.856228582626</v>
      </c>
      <c r="Q24" s="634"/>
    </row>
    <row r="25" spans="1:18" ht="21" customHeight="1">
      <c r="A25" s="1080">
        <v>12</v>
      </c>
      <c r="B25" s="1051" t="s">
        <v>1810</v>
      </c>
      <c r="C25" s="1080"/>
      <c r="D25" s="1080"/>
      <c r="E25" s="1080"/>
      <c r="F25" s="1080">
        <v>0.09</v>
      </c>
      <c r="G25" s="1081">
        <f>F25*G24</f>
        <v>1797.5087080724363</v>
      </c>
      <c r="H25" s="1837"/>
      <c r="I25" s="1081">
        <v>0.09</v>
      </c>
      <c r="J25" s="1081">
        <f>I25*J24</f>
        <v>1797.5087080724363</v>
      </c>
      <c r="K25" s="1837"/>
      <c r="L25" s="1081">
        <v>0.09</v>
      </c>
      <c r="M25" s="1081">
        <f>L25*M24</f>
        <v>1717.9453443224365</v>
      </c>
      <c r="N25" s="1837"/>
      <c r="O25" s="1081">
        <v>0.09</v>
      </c>
      <c r="P25" s="1081">
        <f>O25*P24</f>
        <v>1724.2970605724363</v>
      </c>
      <c r="Q25" s="634"/>
    </row>
    <row r="26" spans="1:18" ht="21" customHeight="1">
      <c r="A26" s="1080">
        <v>13</v>
      </c>
      <c r="B26" s="1051" t="s">
        <v>1811</v>
      </c>
      <c r="C26" s="1080"/>
      <c r="D26" s="1080"/>
      <c r="E26" s="1080"/>
      <c r="F26" s="1080">
        <v>0.09</v>
      </c>
      <c r="G26" s="1081">
        <f>F26*G24</f>
        <v>1797.5087080724363</v>
      </c>
      <c r="H26" s="1080"/>
      <c r="I26" s="1080">
        <v>0.09</v>
      </c>
      <c r="J26" s="1081">
        <f>I26*J24</f>
        <v>1797.5087080724363</v>
      </c>
      <c r="K26" s="1080"/>
      <c r="L26" s="1080">
        <v>0.09</v>
      </c>
      <c r="M26" s="1081">
        <f>L26*M24</f>
        <v>1717.9453443224365</v>
      </c>
      <c r="N26" s="1080"/>
      <c r="O26" s="1080">
        <v>0.09</v>
      </c>
      <c r="P26" s="1081">
        <f>O26*P24</f>
        <v>1724.2970605724363</v>
      </c>
      <c r="Q26" s="378"/>
    </row>
    <row r="27" spans="1:18" ht="33.75" customHeight="1">
      <c r="A27" s="1080">
        <v>14</v>
      </c>
      <c r="B27" s="1051" t="s">
        <v>1812</v>
      </c>
      <c r="C27" s="1895"/>
      <c r="D27" s="1080"/>
      <c r="E27" s="1080"/>
      <c r="F27" s="1080"/>
      <c r="G27" s="1081">
        <f>G24+G25+G26</f>
        <v>23567.336394727499</v>
      </c>
      <c r="H27" s="1081"/>
      <c r="I27" s="1081"/>
      <c r="J27" s="1081">
        <f>J24+J25+J26</f>
        <v>23567.336394727499</v>
      </c>
      <c r="K27" s="1081"/>
      <c r="L27" s="1081"/>
      <c r="M27" s="1081">
        <f>M24+M25+M26</f>
        <v>22524.172292227504</v>
      </c>
      <c r="N27" s="1081"/>
      <c r="O27" s="1081"/>
      <c r="P27" s="1081">
        <f>P24+P25+P26</f>
        <v>22607.4503497275</v>
      </c>
    </row>
    <row r="28" spans="1:18" ht="36" customHeight="1">
      <c r="A28" s="2653">
        <v>15</v>
      </c>
      <c r="B28" s="1082" t="s">
        <v>59</v>
      </c>
      <c r="C28" s="2653"/>
      <c r="D28" s="2653"/>
      <c r="E28" s="2653"/>
      <c r="F28" s="2653"/>
      <c r="G28" s="1837">
        <f>ROUND(G27,0)</f>
        <v>23567</v>
      </c>
      <c r="H28" s="2653"/>
      <c r="I28" s="2653"/>
      <c r="J28" s="1837">
        <f>ROUND(J27,0)</f>
        <v>23567</v>
      </c>
      <c r="K28" s="2653"/>
      <c r="L28" s="2653"/>
      <c r="M28" s="1837">
        <f>ROUND(M27,0)</f>
        <v>22524</v>
      </c>
      <c r="N28" s="2653"/>
      <c r="O28" s="2653"/>
      <c r="P28" s="1837">
        <f>ROUND(P27,0)</f>
        <v>22607</v>
      </c>
    </row>
    <row r="29" spans="1:18" ht="15" customHeight="1">
      <c r="A29" s="2663"/>
      <c r="B29" s="108"/>
      <c r="C29" s="2663"/>
      <c r="D29" s="108"/>
      <c r="E29" s="108"/>
      <c r="F29" s="108"/>
      <c r="G29" s="108"/>
      <c r="H29" s="108"/>
      <c r="I29" s="108"/>
      <c r="J29" s="108"/>
      <c r="K29" s="108"/>
      <c r="L29" s="108"/>
      <c r="M29" s="108"/>
      <c r="N29" s="108"/>
      <c r="O29" s="108"/>
      <c r="P29" s="108"/>
    </row>
    <row r="30" spans="1:18" ht="15" customHeight="1">
      <c r="A30" s="3502" t="s">
        <v>1806</v>
      </c>
      <c r="B30" s="3502"/>
      <c r="C30" s="3502"/>
      <c r="D30" s="3502"/>
      <c r="E30" s="3502"/>
      <c r="F30" s="3502"/>
      <c r="G30" s="621"/>
      <c r="H30" s="108"/>
      <c r="I30" s="108"/>
      <c r="J30" s="108"/>
      <c r="K30" s="108"/>
      <c r="L30" s="108"/>
      <c r="M30" s="108"/>
      <c r="N30" s="108"/>
      <c r="O30" s="108"/>
      <c r="P30" s="108"/>
    </row>
    <row r="31" spans="1:18" ht="7.5" hidden="1" customHeight="1">
      <c r="A31" s="3503">
        <v>38</v>
      </c>
      <c r="B31" s="3503"/>
      <c r="C31" s="3503"/>
      <c r="D31" s="3503"/>
      <c r="E31" s="3503"/>
      <c r="F31" s="3503"/>
      <c r="G31" s="3503"/>
      <c r="H31" s="3503"/>
      <c r="I31" s="3503"/>
      <c r="J31" s="3503"/>
      <c r="K31" s="3503"/>
      <c r="L31" s="3503"/>
      <c r="M31" s="3503"/>
      <c r="N31" s="3503"/>
      <c r="O31" s="3503"/>
      <c r="P31" s="3503"/>
    </row>
    <row r="32" spans="1:18" ht="15">
      <c r="A32" s="2663"/>
      <c r="B32" s="108"/>
      <c r="C32" s="2663"/>
      <c r="D32" s="108"/>
      <c r="E32" s="108"/>
      <c r="F32" s="108"/>
      <c r="G32" s="108"/>
      <c r="H32" s="108"/>
      <c r="I32" s="108"/>
      <c r="J32" s="108"/>
      <c r="K32" s="108"/>
      <c r="L32" s="108"/>
      <c r="M32" s="108"/>
      <c r="N32" s="108"/>
      <c r="O32" s="108"/>
      <c r="P32" s="108"/>
    </row>
    <row r="33" spans="1:16" ht="15">
      <c r="A33" s="2663"/>
      <c r="B33" s="108"/>
      <c r="C33" s="2663"/>
      <c r="D33" s="108"/>
      <c r="E33" s="108"/>
      <c r="F33" s="108"/>
      <c r="G33" s="108"/>
      <c r="H33" s="108"/>
      <c r="I33" s="108"/>
      <c r="J33" s="108"/>
      <c r="K33" s="108"/>
      <c r="L33" s="108"/>
      <c r="M33" s="108"/>
      <c r="N33" s="108"/>
      <c r="O33" s="108"/>
      <c r="P33" s="108"/>
    </row>
    <row r="34" spans="1:16" ht="15">
      <c r="A34" s="2663"/>
      <c r="B34" s="108"/>
      <c r="C34" s="2663"/>
      <c r="D34" s="108"/>
      <c r="E34" s="108"/>
      <c r="F34" s="108"/>
      <c r="G34" s="108"/>
      <c r="H34" s="108"/>
      <c r="I34" s="108"/>
      <c r="J34" s="108"/>
      <c r="K34" s="108"/>
      <c r="L34" s="108"/>
      <c r="M34" s="108"/>
      <c r="N34" s="108"/>
      <c r="O34" s="108"/>
      <c r="P34" s="108"/>
    </row>
    <row r="35" spans="1:16" ht="15">
      <c r="A35" s="2663"/>
      <c r="B35" s="108"/>
      <c r="C35" s="2663"/>
      <c r="D35" s="108"/>
      <c r="E35" s="108"/>
      <c r="F35" s="108"/>
      <c r="G35" s="108"/>
      <c r="H35" s="108"/>
      <c r="I35" s="108"/>
      <c r="J35" s="108"/>
      <c r="K35" s="108"/>
      <c r="L35" s="108"/>
      <c r="M35" s="108"/>
      <c r="N35" s="108"/>
      <c r="O35" s="108"/>
      <c r="P35" s="108"/>
    </row>
    <row r="36" spans="1:16" ht="15">
      <c r="A36" s="2663"/>
      <c r="B36" s="108"/>
      <c r="C36" s="2663"/>
      <c r="D36" s="108"/>
      <c r="E36" s="108"/>
      <c r="F36" s="108"/>
      <c r="G36" s="108"/>
      <c r="H36" s="108"/>
      <c r="I36" s="108"/>
      <c r="J36" s="108"/>
      <c r="K36" s="108"/>
      <c r="L36" s="108"/>
      <c r="M36" s="108"/>
      <c r="N36" s="108"/>
      <c r="O36" s="108"/>
      <c r="P36" s="108"/>
    </row>
    <row r="37" spans="1:16" ht="15">
      <c r="A37" s="2663"/>
      <c r="B37" s="108"/>
      <c r="C37" s="2663"/>
      <c r="D37" s="108"/>
      <c r="E37" s="108"/>
      <c r="F37" s="108"/>
      <c r="G37" s="108"/>
      <c r="H37" s="108"/>
      <c r="I37" s="108"/>
      <c r="J37" s="108"/>
      <c r="K37" s="108"/>
      <c r="L37" s="108"/>
      <c r="M37" s="108"/>
      <c r="N37" s="108"/>
      <c r="O37" s="108"/>
      <c r="P37" s="108"/>
    </row>
    <row r="38" spans="1:16" ht="15">
      <c r="A38" s="2663"/>
      <c r="B38" s="108"/>
      <c r="C38" s="2663"/>
      <c r="D38" s="108"/>
      <c r="E38" s="108"/>
      <c r="F38" s="108"/>
      <c r="G38" s="108"/>
      <c r="H38" s="108"/>
      <c r="I38" s="108"/>
      <c r="J38" s="108"/>
      <c r="K38" s="108"/>
      <c r="L38" s="108"/>
      <c r="M38" s="108"/>
      <c r="N38" s="108"/>
      <c r="O38" s="108"/>
      <c r="P38" s="108"/>
    </row>
    <row r="39" spans="1:16" ht="15">
      <c r="A39" s="2663"/>
      <c r="B39" s="108"/>
      <c r="C39" s="2663"/>
      <c r="D39" s="108"/>
      <c r="E39" s="108"/>
      <c r="F39" s="108"/>
      <c r="G39" s="108"/>
      <c r="H39" s="108"/>
      <c r="I39" s="108"/>
      <c r="J39" s="108"/>
      <c r="K39" s="108"/>
      <c r="L39" s="108"/>
      <c r="M39" s="108"/>
      <c r="N39" s="108"/>
      <c r="O39" s="108"/>
      <c r="P39" s="108"/>
    </row>
    <row r="40" spans="1:16" ht="15">
      <c r="A40" s="2663"/>
      <c r="B40" s="108"/>
      <c r="C40" s="2663"/>
      <c r="D40" s="108"/>
      <c r="E40" s="108"/>
      <c r="F40" s="108"/>
      <c r="G40" s="108"/>
      <c r="H40" s="108"/>
      <c r="I40" s="108"/>
      <c r="J40" s="108"/>
      <c r="K40" s="108"/>
      <c r="L40" s="108"/>
      <c r="M40" s="108"/>
      <c r="N40" s="108"/>
      <c r="O40" s="108"/>
      <c r="P40" s="108"/>
    </row>
    <row r="41" spans="1:16" ht="15">
      <c r="A41" s="2663"/>
      <c r="B41" s="108"/>
      <c r="C41" s="2663"/>
      <c r="D41" s="108"/>
      <c r="E41" s="108"/>
      <c r="F41" s="108"/>
      <c r="G41" s="108"/>
      <c r="H41" s="108"/>
      <c r="I41" s="108"/>
      <c r="J41" s="108"/>
      <c r="K41" s="108"/>
      <c r="L41" s="108"/>
      <c r="M41" s="108"/>
      <c r="N41" s="108"/>
      <c r="O41" s="108"/>
      <c r="P41" s="108"/>
    </row>
    <row r="42" spans="1:16" ht="15">
      <c r="A42" s="2663"/>
      <c r="B42" s="108"/>
      <c r="C42" s="2663"/>
      <c r="D42" s="108"/>
      <c r="E42" s="108"/>
      <c r="F42" s="108"/>
      <c r="G42" s="108"/>
      <c r="H42" s="108"/>
      <c r="I42" s="108"/>
      <c r="J42" s="108"/>
      <c r="K42" s="108"/>
      <c r="L42" s="108"/>
      <c r="M42" s="108"/>
      <c r="N42" s="108"/>
      <c r="O42" s="108"/>
      <c r="P42" s="108"/>
    </row>
    <row r="43" spans="1:16" ht="15">
      <c r="A43" s="2663"/>
      <c r="B43" s="108"/>
      <c r="C43" s="2663"/>
      <c r="D43" s="108"/>
      <c r="E43" s="108"/>
      <c r="F43" s="108"/>
      <c r="G43" s="108"/>
      <c r="H43" s="108"/>
      <c r="I43" s="108"/>
      <c r="J43" s="108"/>
      <c r="K43" s="108"/>
      <c r="L43" s="108"/>
      <c r="M43" s="108"/>
      <c r="N43" s="108"/>
      <c r="O43" s="108"/>
      <c r="P43" s="108"/>
    </row>
    <row r="44" spans="1:16" ht="15">
      <c r="A44" s="2663"/>
      <c r="B44" s="108"/>
      <c r="C44" s="2663"/>
      <c r="D44" s="108"/>
      <c r="E44" s="108"/>
      <c r="F44" s="108"/>
      <c r="G44" s="108"/>
      <c r="H44" s="108"/>
      <c r="I44" s="108"/>
      <c r="J44" s="108"/>
      <c r="K44" s="108"/>
      <c r="L44" s="108"/>
      <c r="M44" s="108"/>
      <c r="N44" s="108"/>
      <c r="O44" s="108"/>
      <c r="P44" s="108"/>
    </row>
  </sheetData>
  <mergeCells count="14">
    <mergeCell ref="N7:P7"/>
    <mergeCell ref="A12:A15"/>
    <mergeCell ref="A30:F30"/>
    <mergeCell ref="A31:P31"/>
    <mergeCell ref="D1:I1"/>
    <mergeCell ref="C3:M3"/>
    <mergeCell ref="N5:O5"/>
    <mergeCell ref="A7:A8"/>
    <mergeCell ref="B7:B8"/>
    <mergeCell ref="C7:C8"/>
    <mergeCell ref="D7:D8"/>
    <mergeCell ref="E7:G7"/>
    <mergeCell ref="H7:J7"/>
    <mergeCell ref="K7:M7"/>
  </mergeCells>
  <conditionalFormatting sqref="B19">
    <cfRule type="cellIs" dxfId="14" priority="2" stopIfTrue="1" operator="equal">
      <formula>"?"</formula>
    </cfRule>
  </conditionalFormatting>
  <conditionalFormatting sqref="B18">
    <cfRule type="cellIs" dxfId="13" priority="1" stopIfTrue="1" operator="equal">
      <formula>"?"</formula>
    </cfRule>
  </conditionalFormatting>
  <printOptions horizontalCentered="1"/>
  <pageMargins left="0.59055118110236227" right="0.15748031496062992" top="0.59055118110236227" bottom="0.31496062992125984" header="0.55118110236220474" footer="0.15748031496062992"/>
  <pageSetup scale="70" orientation="landscape" r:id="rId1"/>
  <headerFooter alignWithMargins="0"/>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pane xSplit="2" ySplit="9" topLeftCell="C24" activePane="bottomRight" state="frozen"/>
      <selection pane="topRight" activeCell="C1" sqref="C1"/>
      <selection pane="bottomLeft" activeCell="A10" sqref="A10"/>
      <selection pane="bottomRight" activeCell="A13" sqref="A13:A14"/>
    </sheetView>
  </sheetViews>
  <sheetFormatPr defaultRowHeight="12.75"/>
  <cols>
    <col min="1" max="1" width="4.42578125" style="137" customWidth="1"/>
    <col min="2" max="2" width="60.28515625" style="70" customWidth="1"/>
    <col min="3" max="3" width="14.5703125" style="70" bestFit="1" customWidth="1"/>
    <col min="4" max="4" width="6.42578125" style="70" customWidth="1"/>
    <col min="5" max="5" width="5.42578125" style="70" customWidth="1"/>
    <col min="6" max="6" width="8.42578125" style="70" bestFit="1" customWidth="1"/>
    <col min="7" max="7" width="8.5703125" style="70" bestFit="1" customWidth="1"/>
    <col min="8" max="9" width="8.5703125" style="70" customWidth="1"/>
    <col min="10" max="10" width="23.85546875" style="70" customWidth="1"/>
    <col min="11" max="11" width="19" style="70" customWidth="1"/>
    <col min="12" max="12" width="11" style="70" bestFit="1" customWidth="1"/>
    <col min="13" max="15" width="9.140625" style="70"/>
    <col min="16" max="16" width="11.7109375" style="70" customWidth="1"/>
    <col min="17" max="256" width="9.140625" style="70"/>
    <col min="257" max="257" width="4.42578125" style="70" customWidth="1"/>
    <col min="258" max="258" width="46.28515625" style="70" customWidth="1"/>
    <col min="259" max="259" width="14.5703125" style="70" bestFit="1" customWidth="1"/>
    <col min="260" max="260" width="6.42578125" style="70" customWidth="1"/>
    <col min="261" max="261" width="5.42578125" style="70" customWidth="1"/>
    <col min="262" max="262" width="8.42578125" style="70" bestFit="1" customWidth="1"/>
    <col min="263" max="263" width="8.5703125" style="70" bestFit="1" customWidth="1"/>
    <col min="264" max="265" width="8.5703125" style="70" customWidth="1"/>
    <col min="266" max="266" width="23.85546875" style="70" customWidth="1"/>
    <col min="267" max="267" width="19" style="70" customWidth="1"/>
    <col min="268" max="268" width="11" style="70" bestFit="1" customWidth="1"/>
    <col min="269" max="271" width="9.140625" style="70"/>
    <col min="272" max="272" width="11.7109375" style="70" customWidth="1"/>
    <col min="273" max="512" width="9.140625" style="70"/>
    <col min="513" max="513" width="4.42578125" style="70" customWidth="1"/>
    <col min="514" max="514" width="46.28515625" style="70" customWidth="1"/>
    <col min="515" max="515" width="14.5703125" style="70" bestFit="1" customWidth="1"/>
    <col min="516" max="516" width="6.42578125" style="70" customWidth="1"/>
    <col min="517" max="517" width="5.42578125" style="70" customWidth="1"/>
    <col min="518" max="518" width="8.42578125" style="70" bestFit="1" customWidth="1"/>
    <col min="519" max="519" width="8.5703125" style="70" bestFit="1" customWidth="1"/>
    <col min="520" max="521" width="8.5703125" style="70" customWidth="1"/>
    <col min="522" max="522" width="23.85546875" style="70" customWidth="1"/>
    <col min="523" max="523" width="19" style="70" customWidth="1"/>
    <col min="524" max="524" width="11" style="70" bestFit="1" customWidth="1"/>
    <col min="525" max="527" width="9.140625" style="70"/>
    <col min="528" max="528" width="11.7109375" style="70" customWidth="1"/>
    <col min="529" max="768" width="9.140625" style="70"/>
    <col min="769" max="769" width="4.42578125" style="70" customWidth="1"/>
    <col min="770" max="770" width="46.28515625" style="70" customWidth="1"/>
    <col min="771" max="771" width="14.5703125" style="70" bestFit="1" customWidth="1"/>
    <col min="772" max="772" width="6.42578125" style="70" customWidth="1"/>
    <col min="773" max="773" width="5.42578125" style="70" customWidth="1"/>
    <col min="774" max="774" width="8.42578125" style="70" bestFit="1" customWidth="1"/>
    <col min="775" max="775" width="8.5703125" style="70" bestFit="1" customWidth="1"/>
    <col min="776" max="777" width="8.5703125" style="70" customWidth="1"/>
    <col min="778" max="778" width="23.85546875" style="70" customWidth="1"/>
    <col min="779" max="779" width="19" style="70" customWidth="1"/>
    <col min="780" max="780" width="11" style="70" bestFit="1" customWidth="1"/>
    <col min="781" max="783" width="9.140625" style="70"/>
    <col min="784" max="784" width="11.7109375" style="70" customWidth="1"/>
    <col min="785" max="1024" width="9.140625" style="70"/>
    <col min="1025" max="1025" width="4.42578125" style="70" customWidth="1"/>
    <col min="1026" max="1026" width="46.28515625" style="70" customWidth="1"/>
    <col min="1027" max="1027" width="14.5703125" style="70" bestFit="1" customWidth="1"/>
    <col min="1028" max="1028" width="6.42578125" style="70" customWidth="1"/>
    <col min="1029" max="1029" width="5.42578125" style="70" customWidth="1"/>
    <col min="1030" max="1030" width="8.42578125" style="70" bestFit="1" customWidth="1"/>
    <col min="1031" max="1031" width="8.5703125" style="70" bestFit="1" customWidth="1"/>
    <col min="1032" max="1033" width="8.5703125" style="70" customWidth="1"/>
    <col min="1034" max="1034" width="23.85546875" style="70" customWidth="1"/>
    <col min="1035" max="1035" width="19" style="70" customWidth="1"/>
    <col min="1036" max="1036" width="11" style="70" bestFit="1" customWidth="1"/>
    <col min="1037" max="1039" width="9.140625" style="70"/>
    <col min="1040" max="1040" width="11.7109375" style="70" customWidth="1"/>
    <col min="1041" max="1280" width="9.140625" style="70"/>
    <col min="1281" max="1281" width="4.42578125" style="70" customWidth="1"/>
    <col min="1282" max="1282" width="46.28515625" style="70" customWidth="1"/>
    <col min="1283" max="1283" width="14.5703125" style="70" bestFit="1" customWidth="1"/>
    <col min="1284" max="1284" width="6.42578125" style="70" customWidth="1"/>
    <col min="1285" max="1285" width="5.42578125" style="70" customWidth="1"/>
    <col min="1286" max="1286" width="8.42578125" style="70" bestFit="1" customWidth="1"/>
    <col min="1287" max="1287" width="8.5703125" style="70" bestFit="1" customWidth="1"/>
    <col min="1288" max="1289" width="8.5703125" style="70" customWidth="1"/>
    <col min="1290" max="1290" width="23.85546875" style="70" customWidth="1"/>
    <col min="1291" max="1291" width="19" style="70" customWidth="1"/>
    <col min="1292" max="1292" width="11" style="70" bestFit="1" customWidth="1"/>
    <col min="1293" max="1295" width="9.140625" style="70"/>
    <col min="1296" max="1296" width="11.7109375" style="70" customWidth="1"/>
    <col min="1297" max="1536" width="9.140625" style="70"/>
    <col min="1537" max="1537" width="4.42578125" style="70" customWidth="1"/>
    <col min="1538" max="1538" width="46.28515625" style="70" customWidth="1"/>
    <col min="1539" max="1539" width="14.5703125" style="70" bestFit="1" customWidth="1"/>
    <col min="1540" max="1540" width="6.42578125" style="70" customWidth="1"/>
    <col min="1541" max="1541" width="5.42578125" style="70" customWidth="1"/>
    <col min="1542" max="1542" width="8.42578125" style="70" bestFit="1" customWidth="1"/>
    <col min="1543" max="1543" width="8.5703125" style="70" bestFit="1" customWidth="1"/>
    <col min="1544" max="1545" width="8.5703125" style="70" customWidth="1"/>
    <col min="1546" max="1546" width="23.85546875" style="70" customWidth="1"/>
    <col min="1547" max="1547" width="19" style="70" customWidth="1"/>
    <col min="1548" max="1548" width="11" style="70" bestFit="1" customWidth="1"/>
    <col min="1549" max="1551" width="9.140625" style="70"/>
    <col min="1552" max="1552" width="11.7109375" style="70" customWidth="1"/>
    <col min="1553" max="1792" width="9.140625" style="70"/>
    <col min="1793" max="1793" width="4.42578125" style="70" customWidth="1"/>
    <col min="1794" max="1794" width="46.28515625" style="70" customWidth="1"/>
    <col min="1795" max="1795" width="14.5703125" style="70" bestFit="1" customWidth="1"/>
    <col min="1796" max="1796" width="6.42578125" style="70" customWidth="1"/>
    <col min="1797" max="1797" width="5.42578125" style="70" customWidth="1"/>
    <col min="1798" max="1798" width="8.42578125" style="70" bestFit="1" customWidth="1"/>
    <col min="1799" max="1799" width="8.5703125" style="70" bestFit="1" customWidth="1"/>
    <col min="1800" max="1801" width="8.5703125" style="70" customWidth="1"/>
    <col min="1802" max="1802" width="23.85546875" style="70" customWidth="1"/>
    <col min="1803" max="1803" width="19" style="70" customWidth="1"/>
    <col min="1804" max="1804" width="11" style="70" bestFit="1" customWidth="1"/>
    <col min="1805" max="1807" width="9.140625" style="70"/>
    <col min="1808" max="1808" width="11.7109375" style="70" customWidth="1"/>
    <col min="1809" max="2048" width="9.140625" style="70"/>
    <col min="2049" max="2049" width="4.42578125" style="70" customWidth="1"/>
    <col min="2050" max="2050" width="46.28515625" style="70" customWidth="1"/>
    <col min="2051" max="2051" width="14.5703125" style="70" bestFit="1" customWidth="1"/>
    <col min="2052" max="2052" width="6.42578125" style="70" customWidth="1"/>
    <col min="2053" max="2053" width="5.42578125" style="70" customWidth="1"/>
    <col min="2054" max="2054" width="8.42578125" style="70" bestFit="1" customWidth="1"/>
    <col min="2055" max="2055" width="8.5703125" style="70" bestFit="1" customWidth="1"/>
    <col min="2056" max="2057" width="8.5703125" style="70" customWidth="1"/>
    <col min="2058" max="2058" width="23.85546875" style="70" customWidth="1"/>
    <col min="2059" max="2059" width="19" style="70" customWidth="1"/>
    <col min="2060" max="2060" width="11" style="70" bestFit="1" customWidth="1"/>
    <col min="2061" max="2063" width="9.140625" style="70"/>
    <col min="2064" max="2064" width="11.7109375" style="70" customWidth="1"/>
    <col min="2065" max="2304" width="9.140625" style="70"/>
    <col min="2305" max="2305" width="4.42578125" style="70" customWidth="1"/>
    <col min="2306" max="2306" width="46.28515625" style="70" customWidth="1"/>
    <col min="2307" max="2307" width="14.5703125" style="70" bestFit="1" customWidth="1"/>
    <col min="2308" max="2308" width="6.42578125" style="70" customWidth="1"/>
    <col min="2309" max="2309" width="5.42578125" style="70" customWidth="1"/>
    <col min="2310" max="2310" width="8.42578125" style="70" bestFit="1" customWidth="1"/>
    <col min="2311" max="2311" width="8.5703125" style="70" bestFit="1" customWidth="1"/>
    <col min="2312" max="2313" width="8.5703125" style="70" customWidth="1"/>
    <col min="2314" max="2314" width="23.85546875" style="70" customWidth="1"/>
    <col min="2315" max="2315" width="19" style="70" customWidth="1"/>
    <col min="2316" max="2316" width="11" style="70" bestFit="1" customWidth="1"/>
    <col min="2317" max="2319" width="9.140625" style="70"/>
    <col min="2320" max="2320" width="11.7109375" style="70" customWidth="1"/>
    <col min="2321" max="2560" width="9.140625" style="70"/>
    <col min="2561" max="2561" width="4.42578125" style="70" customWidth="1"/>
    <col min="2562" max="2562" width="46.28515625" style="70" customWidth="1"/>
    <col min="2563" max="2563" width="14.5703125" style="70" bestFit="1" customWidth="1"/>
    <col min="2564" max="2564" width="6.42578125" style="70" customWidth="1"/>
    <col min="2565" max="2565" width="5.42578125" style="70" customWidth="1"/>
    <col min="2566" max="2566" width="8.42578125" style="70" bestFit="1" customWidth="1"/>
    <col min="2567" max="2567" width="8.5703125" style="70" bestFit="1" customWidth="1"/>
    <col min="2568" max="2569" width="8.5703125" style="70" customWidth="1"/>
    <col min="2570" max="2570" width="23.85546875" style="70" customWidth="1"/>
    <col min="2571" max="2571" width="19" style="70" customWidth="1"/>
    <col min="2572" max="2572" width="11" style="70" bestFit="1" customWidth="1"/>
    <col min="2573" max="2575" width="9.140625" style="70"/>
    <col min="2576" max="2576" width="11.7109375" style="70" customWidth="1"/>
    <col min="2577" max="2816" width="9.140625" style="70"/>
    <col min="2817" max="2817" width="4.42578125" style="70" customWidth="1"/>
    <col min="2818" max="2818" width="46.28515625" style="70" customWidth="1"/>
    <col min="2819" max="2819" width="14.5703125" style="70" bestFit="1" customWidth="1"/>
    <col min="2820" max="2820" width="6.42578125" style="70" customWidth="1"/>
    <col min="2821" max="2821" width="5.42578125" style="70" customWidth="1"/>
    <col min="2822" max="2822" width="8.42578125" style="70" bestFit="1" customWidth="1"/>
    <col min="2823" max="2823" width="8.5703125" style="70" bestFit="1" customWidth="1"/>
    <col min="2824" max="2825" width="8.5703125" style="70" customWidth="1"/>
    <col min="2826" max="2826" width="23.85546875" style="70" customWidth="1"/>
    <col min="2827" max="2827" width="19" style="70" customWidth="1"/>
    <col min="2828" max="2828" width="11" style="70" bestFit="1" customWidth="1"/>
    <col min="2829" max="2831" width="9.140625" style="70"/>
    <col min="2832" max="2832" width="11.7109375" style="70" customWidth="1"/>
    <col min="2833" max="3072" width="9.140625" style="70"/>
    <col min="3073" max="3073" width="4.42578125" style="70" customWidth="1"/>
    <col min="3074" max="3074" width="46.28515625" style="70" customWidth="1"/>
    <col min="3075" max="3075" width="14.5703125" style="70" bestFit="1" customWidth="1"/>
    <col min="3076" max="3076" width="6.42578125" style="70" customWidth="1"/>
    <col min="3077" max="3077" width="5.42578125" style="70" customWidth="1"/>
    <col min="3078" max="3078" width="8.42578125" style="70" bestFit="1" customWidth="1"/>
    <col min="3079" max="3079" width="8.5703125" style="70" bestFit="1" customWidth="1"/>
    <col min="3080" max="3081" width="8.5703125" style="70" customWidth="1"/>
    <col min="3082" max="3082" width="23.85546875" style="70" customWidth="1"/>
    <col min="3083" max="3083" width="19" style="70" customWidth="1"/>
    <col min="3084" max="3084" width="11" style="70" bestFit="1" customWidth="1"/>
    <col min="3085" max="3087" width="9.140625" style="70"/>
    <col min="3088" max="3088" width="11.7109375" style="70" customWidth="1"/>
    <col min="3089" max="3328" width="9.140625" style="70"/>
    <col min="3329" max="3329" width="4.42578125" style="70" customWidth="1"/>
    <col min="3330" max="3330" width="46.28515625" style="70" customWidth="1"/>
    <col min="3331" max="3331" width="14.5703125" style="70" bestFit="1" customWidth="1"/>
    <col min="3332" max="3332" width="6.42578125" style="70" customWidth="1"/>
    <col min="3333" max="3333" width="5.42578125" style="70" customWidth="1"/>
    <col min="3334" max="3334" width="8.42578125" style="70" bestFit="1" customWidth="1"/>
    <col min="3335" max="3335" width="8.5703125" style="70" bestFit="1" customWidth="1"/>
    <col min="3336" max="3337" width="8.5703125" style="70" customWidth="1"/>
    <col min="3338" max="3338" width="23.85546875" style="70" customWidth="1"/>
    <col min="3339" max="3339" width="19" style="70" customWidth="1"/>
    <col min="3340" max="3340" width="11" style="70" bestFit="1" customWidth="1"/>
    <col min="3341" max="3343" width="9.140625" style="70"/>
    <col min="3344" max="3344" width="11.7109375" style="70" customWidth="1"/>
    <col min="3345" max="3584" width="9.140625" style="70"/>
    <col min="3585" max="3585" width="4.42578125" style="70" customWidth="1"/>
    <col min="3586" max="3586" width="46.28515625" style="70" customWidth="1"/>
    <col min="3587" max="3587" width="14.5703125" style="70" bestFit="1" customWidth="1"/>
    <col min="3588" max="3588" width="6.42578125" style="70" customWidth="1"/>
    <col min="3589" max="3589" width="5.42578125" style="70" customWidth="1"/>
    <col min="3590" max="3590" width="8.42578125" style="70" bestFit="1" customWidth="1"/>
    <col min="3591" max="3591" width="8.5703125" style="70" bestFit="1" customWidth="1"/>
    <col min="3592" max="3593" width="8.5703125" style="70" customWidth="1"/>
    <col min="3594" max="3594" width="23.85546875" style="70" customWidth="1"/>
    <col min="3595" max="3595" width="19" style="70" customWidth="1"/>
    <col min="3596" max="3596" width="11" style="70" bestFit="1" customWidth="1"/>
    <col min="3597" max="3599" width="9.140625" style="70"/>
    <col min="3600" max="3600" width="11.7109375" style="70" customWidth="1"/>
    <col min="3601" max="3840" width="9.140625" style="70"/>
    <col min="3841" max="3841" width="4.42578125" style="70" customWidth="1"/>
    <col min="3842" max="3842" width="46.28515625" style="70" customWidth="1"/>
    <col min="3843" max="3843" width="14.5703125" style="70" bestFit="1" customWidth="1"/>
    <col min="3844" max="3844" width="6.42578125" style="70" customWidth="1"/>
    <col min="3845" max="3845" width="5.42578125" style="70" customWidth="1"/>
    <col min="3846" max="3846" width="8.42578125" style="70" bestFit="1" customWidth="1"/>
    <col min="3847" max="3847" width="8.5703125" style="70" bestFit="1" customWidth="1"/>
    <col min="3848" max="3849" width="8.5703125" style="70" customWidth="1"/>
    <col min="3850" max="3850" width="23.85546875" style="70" customWidth="1"/>
    <col min="3851" max="3851" width="19" style="70" customWidth="1"/>
    <col min="3852" max="3852" width="11" style="70" bestFit="1" customWidth="1"/>
    <col min="3853" max="3855" width="9.140625" style="70"/>
    <col min="3856" max="3856" width="11.7109375" style="70" customWidth="1"/>
    <col min="3857" max="4096" width="9.140625" style="70"/>
    <col min="4097" max="4097" width="4.42578125" style="70" customWidth="1"/>
    <col min="4098" max="4098" width="46.28515625" style="70" customWidth="1"/>
    <col min="4099" max="4099" width="14.5703125" style="70" bestFit="1" customWidth="1"/>
    <col min="4100" max="4100" width="6.42578125" style="70" customWidth="1"/>
    <col min="4101" max="4101" width="5.42578125" style="70" customWidth="1"/>
    <col min="4102" max="4102" width="8.42578125" style="70" bestFit="1" customWidth="1"/>
    <col min="4103" max="4103" width="8.5703125" style="70" bestFit="1" customWidth="1"/>
    <col min="4104" max="4105" width="8.5703125" style="70" customWidth="1"/>
    <col min="4106" max="4106" width="23.85546875" style="70" customWidth="1"/>
    <col min="4107" max="4107" width="19" style="70" customWidth="1"/>
    <col min="4108" max="4108" width="11" style="70" bestFit="1" customWidth="1"/>
    <col min="4109" max="4111" width="9.140625" style="70"/>
    <col min="4112" max="4112" width="11.7109375" style="70" customWidth="1"/>
    <col min="4113" max="4352" width="9.140625" style="70"/>
    <col min="4353" max="4353" width="4.42578125" style="70" customWidth="1"/>
    <col min="4354" max="4354" width="46.28515625" style="70" customWidth="1"/>
    <col min="4355" max="4355" width="14.5703125" style="70" bestFit="1" customWidth="1"/>
    <col min="4356" max="4356" width="6.42578125" style="70" customWidth="1"/>
    <col min="4357" max="4357" width="5.42578125" style="70" customWidth="1"/>
    <col min="4358" max="4358" width="8.42578125" style="70" bestFit="1" customWidth="1"/>
    <col min="4359" max="4359" width="8.5703125" style="70" bestFit="1" customWidth="1"/>
    <col min="4360" max="4361" width="8.5703125" style="70" customWidth="1"/>
    <col min="4362" max="4362" width="23.85546875" style="70" customWidth="1"/>
    <col min="4363" max="4363" width="19" style="70" customWidth="1"/>
    <col min="4364" max="4364" width="11" style="70" bestFit="1" customWidth="1"/>
    <col min="4365" max="4367" width="9.140625" style="70"/>
    <col min="4368" max="4368" width="11.7109375" style="70" customWidth="1"/>
    <col min="4369" max="4608" width="9.140625" style="70"/>
    <col min="4609" max="4609" width="4.42578125" style="70" customWidth="1"/>
    <col min="4610" max="4610" width="46.28515625" style="70" customWidth="1"/>
    <col min="4611" max="4611" width="14.5703125" style="70" bestFit="1" customWidth="1"/>
    <col min="4612" max="4612" width="6.42578125" style="70" customWidth="1"/>
    <col min="4613" max="4613" width="5.42578125" style="70" customWidth="1"/>
    <col min="4614" max="4614" width="8.42578125" style="70" bestFit="1" customWidth="1"/>
    <col min="4615" max="4615" width="8.5703125" style="70" bestFit="1" customWidth="1"/>
    <col min="4616" max="4617" width="8.5703125" style="70" customWidth="1"/>
    <col min="4618" max="4618" width="23.85546875" style="70" customWidth="1"/>
    <col min="4619" max="4619" width="19" style="70" customWidth="1"/>
    <col min="4620" max="4620" width="11" style="70" bestFit="1" customWidth="1"/>
    <col min="4621" max="4623" width="9.140625" style="70"/>
    <col min="4624" max="4624" width="11.7109375" style="70" customWidth="1"/>
    <col min="4625" max="4864" width="9.140625" style="70"/>
    <col min="4865" max="4865" width="4.42578125" style="70" customWidth="1"/>
    <col min="4866" max="4866" width="46.28515625" style="70" customWidth="1"/>
    <col min="4867" max="4867" width="14.5703125" style="70" bestFit="1" customWidth="1"/>
    <col min="4868" max="4868" width="6.42578125" style="70" customWidth="1"/>
    <col min="4869" max="4869" width="5.42578125" style="70" customWidth="1"/>
    <col min="4870" max="4870" width="8.42578125" style="70" bestFit="1" customWidth="1"/>
    <col min="4871" max="4871" width="8.5703125" style="70" bestFit="1" customWidth="1"/>
    <col min="4872" max="4873" width="8.5703125" style="70" customWidth="1"/>
    <col min="4874" max="4874" width="23.85546875" style="70" customWidth="1"/>
    <col min="4875" max="4875" width="19" style="70" customWidth="1"/>
    <col min="4876" max="4876" width="11" style="70" bestFit="1" customWidth="1"/>
    <col min="4877" max="4879" width="9.140625" style="70"/>
    <col min="4880" max="4880" width="11.7109375" style="70" customWidth="1"/>
    <col min="4881" max="5120" width="9.140625" style="70"/>
    <col min="5121" max="5121" width="4.42578125" style="70" customWidth="1"/>
    <col min="5122" max="5122" width="46.28515625" style="70" customWidth="1"/>
    <col min="5123" max="5123" width="14.5703125" style="70" bestFit="1" customWidth="1"/>
    <col min="5124" max="5124" width="6.42578125" style="70" customWidth="1"/>
    <col min="5125" max="5125" width="5.42578125" style="70" customWidth="1"/>
    <col min="5126" max="5126" width="8.42578125" style="70" bestFit="1" customWidth="1"/>
    <col min="5127" max="5127" width="8.5703125" style="70" bestFit="1" customWidth="1"/>
    <col min="5128" max="5129" width="8.5703125" style="70" customWidth="1"/>
    <col min="5130" max="5130" width="23.85546875" style="70" customWidth="1"/>
    <col min="5131" max="5131" width="19" style="70" customWidth="1"/>
    <col min="5132" max="5132" width="11" style="70" bestFit="1" customWidth="1"/>
    <col min="5133" max="5135" width="9.140625" style="70"/>
    <col min="5136" max="5136" width="11.7109375" style="70" customWidth="1"/>
    <col min="5137" max="5376" width="9.140625" style="70"/>
    <col min="5377" max="5377" width="4.42578125" style="70" customWidth="1"/>
    <col min="5378" max="5378" width="46.28515625" style="70" customWidth="1"/>
    <col min="5379" max="5379" width="14.5703125" style="70" bestFit="1" customWidth="1"/>
    <col min="5380" max="5380" width="6.42578125" style="70" customWidth="1"/>
    <col min="5381" max="5381" width="5.42578125" style="70" customWidth="1"/>
    <col min="5382" max="5382" width="8.42578125" style="70" bestFit="1" customWidth="1"/>
    <col min="5383" max="5383" width="8.5703125" style="70" bestFit="1" customWidth="1"/>
    <col min="5384" max="5385" width="8.5703125" style="70" customWidth="1"/>
    <col min="5386" max="5386" width="23.85546875" style="70" customWidth="1"/>
    <col min="5387" max="5387" width="19" style="70" customWidth="1"/>
    <col min="5388" max="5388" width="11" style="70" bestFit="1" customWidth="1"/>
    <col min="5389" max="5391" width="9.140625" style="70"/>
    <col min="5392" max="5392" width="11.7109375" style="70" customWidth="1"/>
    <col min="5393" max="5632" width="9.140625" style="70"/>
    <col min="5633" max="5633" width="4.42578125" style="70" customWidth="1"/>
    <col min="5634" max="5634" width="46.28515625" style="70" customWidth="1"/>
    <col min="5635" max="5635" width="14.5703125" style="70" bestFit="1" customWidth="1"/>
    <col min="5636" max="5636" width="6.42578125" style="70" customWidth="1"/>
    <col min="5637" max="5637" width="5.42578125" style="70" customWidth="1"/>
    <col min="5638" max="5638" width="8.42578125" style="70" bestFit="1" customWidth="1"/>
    <col min="5639" max="5639" width="8.5703125" style="70" bestFit="1" customWidth="1"/>
    <col min="5640" max="5641" width="8.5703125" style="70" customWidth="1"/>
    <col min="5642" max="5642" width="23.85546875" style="70" customWidth="1"/>
    <col min="5643" max="5643" width="19" style="70" customWidth="1"/>
    <col min="5644" max="5644" width="11" style="70" bestFit="1" customWidth="1"/>
    <col min="5645" max="5647" width="9.140625" style="70"/>
    <col min="5648" max="5648" width="11.7109375" style="70" customWidth="1"/>
    <col min="5649" max="5888" width="9.140625" style="70"/>
    <col min="5889" max="5889" width="4.42578125" style="70" customWidth="1"/>
    <col min="5890" max="5890" width="46.28515625" style="70" customWidth="1"/>
    <col min="5891" max="5891" width="14.5703125" style="70" bestFit="1" customWidth="1"/>
    <col min="5892" max="5892" width="6.42578125" style="70" customWidth="1"/>
    <col min="5893" max="5893" width="5.42578125" style="70" customWidth="1"/>
    <col min="5894" max="5894" width="8.42578125" style="70" bestFit="1" customWidth="1"/>
    <col min="5895" max="5895" width="8.5703125" style="70" bestFit="1" customWidth="1"/>
    <col min="5896" max="5897" width="8.5703125" style="70" customWidth="1"/>
    <col min="5898" max="5898" width="23.85546875" style="70" customWidth="1"/>
    <col min="5899" max="5899" width="19" style="70" customWidth="1"/>
    <col min="5900" max="5900" width="11" style="70" bestFit="1" customWidth="1"/>
    <col min="5901" max="5903" width="9.140625" style="70"/>
    <col min="5904" max="5904" width="11.7109375" style="70" customWidth="1"/>
    <col min="5905" max="6144" width="9.140625" style="70"/>
    <col min="6145" max="6145" width="4.42578125" style="70" customWidth="1"/>
    <col min="6146" max="6146" width="46.28515625" style="70" customWidth="1"/>
    <col min="6147" max="6147" width="14.5703125" style="70" bestFit="1" customWidth="1"/>
    <col min="6148" max="6148" width="6.42578125" style="70" customWidth="1"/>
    <col min="6149" max="6149" width="5.42578125" style="70" customWidth="1"/>
    <col min="6150" max="6150" width="8.42578125" style="70" bestFit="1" customWidth="1"/>
    <col min="6151" max="6151" width="8.5703125" style="70" bestFit="1" customWidth="1"/>
    <col min="6152" max="6153" width="8.5703125" style="70" customWidth="1"/>
    <col min="6154" max="6154" width="23.85546875" style="70" customWidth="1"/>
    <col min="6155" max="6155" width="19" style="70" customWidth="1"/>
    <col min="6156" max="6156" width="11" style="70" bestFit="1" customWidth="1"/>
    <col min="6157" max="6159" width="9.140625" style="70"/>
    <col min="6160" max="6160" width="11.7109375" style="70" customWidth="1"/>
    <col min="6161" max="6400" width="9.140625" style="70"/>
    <col min="6401" max="6401" width="4.42578125" style="70" customWidth="1"/>
    <col min="6402" max="6402" width="46.28515625" style="70" customWidth="1"/>
    <col min="6403" max="6403" width="14.5703125" style="70" bestFit="1" customWidth="1"/>
    <col min="6404" max="6404" width="6.42578125" style="70" customWidth="1"/>
    <col min="6405" max="6405" width="5.42578125" style="70" customWidth="1"/>
    <col min="6406" max="6406" width="8.42578125" style="70" bestFit="1" customWidth="1"/>
    <col min="6407" max="6407" width="8.5703125" style="70" bestFit="1" customWidth="1"/>
    <col min="6408" max="6409" width="8.5703125" style="70" customWidth="1"/>
    <col min="6410" max="6410" width="23.85546875" style="70" customWidth="1"/>
    <col min="6411" max="6411" width="19" style="70" customWidth="1"/>
    <col min="6412" max="6412" width="11" style="70" bestFit="1" customWidth="1"/>
    <col min="6413" max="6415" width="9.140625" style="70"/>
    <col min="6416" max="6416" width="11.7109375" style="70" customWidth="1"/>
    <col min="6417" max="6656" width="9.140625" style="70"/>
    <col min="6657" max="6657" width="4.42578125" style="70" customWidth="1"/>
    <col min="6658" max="6658" width="46.28515625" style="70" customWidth="1"/>
    <col min="6659" max="6659" width="14.5703125" style="70" bestFit="1" customWidth="1"/>
    <col min="6660" max="6660" width="6.42578125" style="70" customWidth="1"/>
    <col min="6661" max="6661" width="5.42578125" style="70" customWidth="1"/>
    <col min="6662" max="6662" width="8.42578125" style="70" bestFit="1" customWidth="1"/>
    <col min="6663" max="6663" width="8.5703125" style="70" bestFit="1" customWidth="1"/>
    <col min="6664" max="6665" width="8.5703125" style="70" customWidth="1"/>
    <col min="6666" max="6666" width="23.85546875" style="70" customWidth="1"/>
    <col min="6667" max="6667" width="19" style="70" customWidth="1"/>
    <col min="6668" max="6668" width="11" style="70" bestFit="1" customWidth="1"/>
    <col min="6669" max="6671" width="9.140625" style="70"/>
    <col min="6672" max="6672" width="11.7109375" style="70" customWidth="1"/>
    <col min="6673" max="6912" width="9.140625" style="70"/>
    <col min="6913" max="6913" width="4.42578125" style="70" customWidth="1"/>
    <col min="6914" max="6914" width="46.28515625" style="70" customWidth="1"/>
    <col min="6915" max="6915" width="14.5703125" style="70" bestFit="1" customWidth="1"/>
    <col min="6916" max="6916" width="6.42578125" style="70" customWidth="1"/>
    <col min="6917" max="6917" width="5.42578125" style="70" customWidth="1"/>
    <col min="6918" max="6918" width="8.42578125" style="70" bestFit="1" customWidth="1"/>
    <col min="6919" max="6919" width="8.5703125" style="70" bestFit="1" customWidth="1"/>
    <col min="6920" max="6921" width="8.5703125" style="70" customWidth="1"/>
    <col min="6922" max="6922" width="23.85546875" style="70" customWidth="1"/>
    <col min="6923" max="6923" width="19" style="70" customWidth="1"/>
    <col min="6924" max="6924" width="11" style="70" bestFit="1" customWidth="1"/>
    <col min="6925" max="6927" width="9.140625" style="70"/>
    <col min="6928" max="6928" width="11.7109375" style="70" customWidth="1"/>
    <col min="6929" max="7168" width="9.140625" style="70"/>
    <col min="7169" max="7169" width="4.42578125" style="70" customWidth="1"/>
    <col min="7170" max="7170" width="46.28515625" style="70" customWidth="1"/>
    <col min="7171" max="7171" width="14.5703125" style="70" bestFit="1" customWidth="1"/>
    <col min="7172" max="7172" width="6.42578125" style="70" customWidth="1"/>
    <col min="7173" max="7173" width="5.42578125" style="70" customWidth="1"/>
    <col min="7174" max="7174" width="8.42578125" style="70" bestFit="1" customWidth="1"/>
    <col min="7175" max="7175" width="8.5703125" style="70" bestFit="1" customWidth="1"/>
    <col min="7176" max="7177" width="8.5703125" style="70" customWidth="1"/>
    <col min="7178" max="7178" width="23.85546875" style="70" customWidth="1"/>
    <col min="7179" max="7179" width="19" style="70" customWidth="1"/>
    <col min="7180" max="7180" width="11" style="70" bestFit="1" customWidth="1"/>
    <col min="7181" max="7183" width="9.140625" style="70"/>
    <col min="7184" max="7184" width="11.7109375" style="70" customWidth="1"/>
    <col min="7185" max="7424" width="9.140625" style="70"/>
    <col min="7425" max="7425" width="4.42578125" style="70" customWidth="1"/>
    <col min="7426" max="7426" width="46.28515625" style="70" customWidth="1"/>
    <col min="7427" max="7427" width="14.5703125" style="70" bestFit="1" customWidth="1"/>
    <col min="7428" max="7428" width="6.42578125" style="70" customWidth="1"/>
    <col min="7429" max="7429" width="5.42578125" style="70" customWidth="1"/>
    <col min="7430" max="7430" width="8.42578125" style="70" bestFit="1" customWidth="1"/>
    <col min="7431" max="7431" width="8.5703125" style="70" bestFit="1" customWidth="1"/>
    <col min="7432" max="7433" width="8.5703125" style="70" customWidth="1"/>
    <col min="7434" max="7434" width="23.85546875" style="70" customWidth="1"/>
    <col min="7435" max="7435" width="19" style="70" customWidth="1"/>
    <col min="7436" max="7436" width="11" style="70" bestFit="1" customWidth="1"/>
    <col min="7437" max="7439" width="9.140625" style="70"/>
    <col min="7440" max="7440" width="11.7109375" style="70" customWidth="1"/>
    <col min="7441" max="7680" width="9.140625" style="70"/>
    <col min="7681" max="7681" width="4.42578125" style="70" customWidth="1"/>
    <col min="7682" max="7682" width="46.28515625" style="70" customWidth="1"/>
    <col min="7683" max="7683" width="14.5703125" style="70" bestFit="1" customWidth="1"/>
    <col min="7684" max="7684" width="6.42578125" style="70" customWidth="1"/>
    <col min="7685" max="7685" width="5.42578125" style="70" customWidth="1"/>
    <col min="7686" max="7686" width="8.42578125" style="70" bestFit="1" customWidth="1"/>
    <col min="7687" max="7687" width="8.5703125" style="70" bestFit="1" customWidth="1"/>
    <col min="7688" max="7689" width="8.5703125" style="70" customWidth="1"/>
    <col min="7690" max="7690" width="23.85546875" style="70" customWidth="1"/>
    <col min="7691" max="7691" width="19" style="70" customWidth="1"/>
    <col min="7692" max="7692" width="11" style="70" bestFit="1" customWidth="1"/>
    <col min="7693" max="7695" width="9.140625" style="70"/>
    <col min="7696" max="7696" width="11.7109375" style="70" customWidth="1"/>
    <col min="7697" max="7936" width="9.140625" style="70"/>
    <col min="7937" max="7937" width="4.42578125" style="70" customWidth="1"/>
    <col min="7938" max="7938" width="46.28515625" style="70" customWidth="1"/>
    <col min="7939" max="7939" width="14.5703125" style="70" bestFit="1" customWidth="1"/>
    <col min="7940" max="7940" width="6.42578125" style="70" customWidth="1"/>
    <col min="7941" max="7941" width="5.42578125" style="70" customWidth="1"/>
    <col min="7942" max="7942" width="8.42578125" style="70" bestFit="1" customWidth="1"/>
    <col min="7943" max="7943" width="8.5703125" style="70" bestFit="1" customWidth="1"/>
    <col min="7944" max="7945" width="8.5703125" style="70" customWidth="1"/>
    <col min="7946" max="7946" width="23.85546875" style="70" customWidth="1"/>
    <col min="7947" max="7947" width="19" style="70" customWidth="1"/>
    <col min="7948" max="7948" width="11" style="70" bestFit="1" customWidth="1"/>
    <col min="7949" max="7951" width="9.140625" style="70"/>
    <col min="7952" max="7952" width="11.7109375" style="70" customWidth="1"/>
    <col min="7953" max="8192" width="9.140625" style="70"/>
    <col min="8193" max="8193" width="4.42578125" style="70" customWidth="1"/>
    <col min="8194" max="8194" width="46.28515625" style="70" customWidth="1"/>
    <col min="8195" max="8195" width="14.5703125" style="70" bestFit="1" customWidth="1"/>
    <col min="8196" max="8196" width="6.42578125" style="70" customWidth="1"/>
    <col min="8197" max="8197" width="5.42578125" style="70" customWidth="1"/>
    <col min="8198" max="8198" width="8.42578125" style="70" bestFit="1" customWidth="1"/>
    <col min="8199" max="8199" width="8.5703125" style="70" bestFit="1" customWidth="1"/>
    <col min="8200" max="8201" width="8.5703125" style="70" customWidth="1"/>
    <col min="8202" max="8202" width="23.85546875" style="70" customWidth="1"/>
    <col min="8203" max="8203" width="19" style="70" customWidth="1"/>
    <col min="8204" max="8204" width="11" style="70" bestFit="1" customWidth="1"/>
    <col min="8205" max="8207" width="9.140625" style="70"/>
    <col min="8208" max="8208" width="11.7109375" style="70" customWidth="1"/>
    <col min="8209" max="8448" width="9.140625" style="70"/>
    <col min="8449" max="8449" width="4.42578125" style="70" customWidth="1"/>
    <col min="8450" max="8450" width="46.28515625" style="70" customWidth="1"/>
    <col min="8451" max="8451" width="14.5703125" style="70" bestFit="1" customWidth="1"/>
    <col min="8452" max="8452" width="6.42578125" style="70" customWidth="1"/>
    <col min="8453" max="8453" width="5.42578125" style="70" customWidth="1"/>
    <col min="8454" max="8454" width="8.42578125" style="70" bestFit="1" customWidth="1"/>
    <col min="8455" max="8455" width="8.5703125" style="70" bestFit="1" customWidth="1"/>
    <col min="8456" max="8457" width="8.5703125" style="70" customWidth="1"/>
    <col min="8458" max="8458" width="23.85546875" style="70" customWidth="1"/>
    <col min="8459" max="8459" width="19" style="70" customWidth="1"/>
    <col min="8460" max="8460" width="11" style="70" bestFit="1" customWidth="1"/>
    <col min="8461" max="8463" width="9.140625" style="70"/>
    <col min="8464" max="8464" width="11.7109375" style="70" customWidth="1"/>
    <col min="8465" max="8704" width="9.140625" style="70"/>
    <col min="8705" max="8705" width="4.42578125" style="70" customWidth="1"/>
    <col min="8706" max="8706" width="46.28515625" style="70" customWidth="1"/>
    <col min="8707" max="8707" width="14.5703125" style="70" bestFit="1" customWidth="1"/>
    <col min="8708" max="8708" width="6.42578125" style="70" customWidth="1"/>
    <col min="8709" max="8709" width="5.42578125" style="70" customWidth="1"/>
    <col min="8710" max="8710" width="8.42578125" style="70" bestFit="1" customWidth="1"/>
    <col min="8711" max="8711" width="8.5703125" style="70" bestFit="1" customWidth="1"/>
    <col min="8712" max="8713" width="8.5703125" style="70" customWidth="1"/>
    <col min="8714" max="8714" width="23.85546875" style="70" customWidth="1"/>
    <col min="8715" max="8715" width="19" style="70" customWidth="1"/>
    <col min="8716" max="8716" width="11" style="70" bestFit="1" customWidth="1"/>
    <col min="8717" max="8719" width="9.140625" style="70"/>
    <col min="8720" max="8720" width="11.7109375" style="70" customWidth="1"/>
    <col min="8721" max="8960" width="9.140625" style="70"/>
    <col min="8961" max="8961" width="4.42578125" style="70" customWidth="1"/>
    <col min="8962" max="8962" width="46.28515625" style="70" customWidth="1"/>
    <col min="8963" max="8963" width="14.5703125" style="70" bestFit="1" customWidth="1"/>
    <col min="8964" max="8964" width="6.42578125" style="70" customWidth="1"/>
    <col min="8965" max="8965" width="5.42578125" style="70" customWidth="1"/>
    <col min="8966" max="8966" width="8.42578125" style="70" bestFit="1" customWidth="1"/>
    <col min="8967" max="8967" width="8.5703125" style="70" bestFit="1" customWidth="1"/>
    <col min="8968" max="8969" width="8.5703125" style="70" customWidth="1"/>
    <col min="8970" max="8970" width="23.85546875" style="70" customWidth="1"/>
    <col min="8971" max="8971" width="19" style="70" customWidth="1"/>
    <col min="8972" max="8972" width="11" style="70" bestFit="1" customWidth="1"/>
    <col min="8973" max="8975" width="9.140625" style="70"/>
    <col min="8976" max="8976" width="11.7109375" style="70" customWidth="1"/>
    <col min="8977" max="9216" width="9.140625" style="70"/>
    <col min="9217" max="9217" width="4.42578125" style="70" customWidth="1"/>
    <col min="9218" max="9218" width="46.28515625" style="70" customWidth="1"/>
    <col min="9219" max="9219" width="14.5703125" style="70" bestFit="1" customWidth="1"/>
    <col min="9220" max="9220" width="6.42578125" style="70" customWidth="1"/>
    <col min="9221" max="9221" width="5.42578125" style="70" customWidth="1"/>
    <col min="9222" max="9222" width="8.42578125" style="70" bestFit="1" customWidth="1"/>
    <col min="9223" max="9223" width="8.5703125" style="70" bestFit="1" customWidth="1"/>
    <col min="9224" max="9225" width="8.5703125" style="70" customWidth="1"/>
    <col min="9226" max="9226" width="23.85546875" style="70" customWidth="1"/>
    <col min="9227" max="9227" width="19" style="70" customWidth="1"/>
    <col min="9228" max="9228" width="11" style="70" bestFit="1" customWidth="1"/>
    <col min="9229" max="9231" width="9.140625" style="70"/>
    <col min="9232" max="9232" width="11.7109375" style="70" customWidth="1"/>
    <col min="9233" max="9472" width="9.140625" style="70"/>
    <col min="9473" max="9473" width="4.42578125" style="70" customWidth="1"/>
    <col min="9474" max="9474" width="46.28515625" style="70" customWidth="1"/>
    <col min="9475" max="9475" width="14.5703125" style="70" bestFit="1" customWidth="1"/>
    <col min="9476" max="9476" width="6.42578125" style="70" customWidth="1"/>
    <col min="9477" max="9477" width="5.42578125" style="70" customWidth="1"/>
    <col min="9478" max="9478" width="8.42578125" style="70" bestFit="1" customWidth="1"/>
    <col min="9479" max="9479" width="8.5703125" style="70" bestFit="1" customWidth="1"/>
    <col min="9480" max="9481" width="8.5703125" style="70" customWidth="1"/>
    <col min="9482" max="9482" width="23.85546875" style="70" customWidth="1"/>
    <col min="9483" max="9483" width="19" style="70" customWidth="1"/>
    <col min="9484" max="9484" width="11" style="70" bestFit="1" customWidth="1"/>
    <col min="9485" max="9487" width="9.140625" style="70"/>
    <col min="9488" max="9488" width="11.7109375" style="70" customWidth="1"/>
    <col min="9489" max="9728" width="9.140625" style="70"/>
    <col min="9729" max="9729" width="4.42578125" style="70" customWidth="1"/>
    <col min="9730" max="9730" width="46.28515625" style="70" customWidth="1"/>
    <col min="9731" max="9731" width="14.5703125" style="70" bestFit="1" customWidth="1"/>
    <col min="9732" max="9732" width="6.42578125" style="70" customWidth="1"/>
    <col min="9733" max="9733" width="5.42578125" style="70" customWidth="1"/>
    <col min="9734" max="9734" width="8.42578125" style="70" bestFit="1" customWidth="1"/>
    <col min="9735" max="9735" width="8.5703125" style="70" bestFit="1" customWidth="1"/>
    <col min="9736" max="9737" width="8.5703125" style="70" customWidth="1"/>
    <col min="9738" max="9738" width="23.85546875" style="70" customWidth="1"/>
    <col min="9739" max="9739" width="19" style="70" customWidth="1"/>
    <col min="9740" max="9740" width="11" style="70" bestFit="1" customWidth="1"/>
    <col min="9741" max="9743" width="9.140625" style="70"/>
    <col min="9744" max="9744" width="11.7109375" style="70" customWidth="1"/>
    <col min="9745" max="9984" width="9.140625" style="70"/>
    <col min="9985" max="9985" width="4.42578125" style="70" customWidth="1"/>
    <col min="9986" max="9986" width="46.28515625" style="70" customWidth="1"/>
    <col min="9987" max="9987" width="14.5703125" style="70" bestFit="1" customWidth="1"/>
    <col min="9988" max="9988" width="6.42578125" style="70" customWidth="1"/>
    <col min="9989" max="9989" width="5.42578125" style="70" customWidth="1"/>
    <col min="9990" max="9990" width="8.42578125" style="70" bestFit="1" customWidth="1"/>
    <col min="9991" max="9991" width="8.5703125" style="70" bestFit="1" customWidth="1"/>
    <col min="9992" max="9993" width="8.5703125" style="70" customWidth="1"/>
    <col min="9994" max="9994" width="23.85546875" style="70" customWidth="1"/>
    <col min="9995" max="9995" width="19" style="70" customWidth="1"/>
    <col min="9996" max="9996" width="11" style="70" bestFit="1" customWidth="1"/>
    <col min="9997" max="9999" width="9.140625" style="70"/>
    <col min="10000" max="10000" width="11.7109375" style="70" customWidth="1"/>
    <col min="10001" max="10240" width="9.140625" style="70"/>
    <col min="10241" max="10241" width="4.42578125" style="70" customWidth="1"/>
    <col min="10242" max="10242" width="46.28515625" style="70" customWidth="1"/>
    <col min="10243" max="10243" width="14.5703125" style="70" bestFit="1" customWidth="1"/>
    <col min="10244" max="10244" width="6.42578125" style="70" customWidth="1"/>
    <col min="10245" max="10245" width="5.42578125" style="70" customWidth="1"/>
    <col min="10246" max="10246" width="8.42578125" style="70" bestFit="1" customWidth="1"/>
    <col min="10247" max="10247" width="8.5703125" style="70" bestFit="1" customWidth="1"/>
    <col min="10248" max="10249" width="8.5703125" style="70" customWidth="1"/>
    <col min="10250" max="10250" width="23.85546875" style="70" customWidth="1"/>
    <col min="10251" max="10251" width="19" style="70" customWidth="1"/>
    <col min="10252" max="10252" width="11" style="70" bestFit="1" customWidth="1"/>
    <col min="10253" max="10255" width="9.140625" style="70"/>
    <col min="10256" max="10256" width="11.7109375" style="70" customWidth="1"/>
    <col min="10257" max="10496" width="9.140625" style="70"/>
    <col min="10497" max="10497" width="4.42578125" style="70" customWidth="1"/>
    <col min="10498" max="10498" width="46.28515625" style="70" customWidth="1"/>
    <col min="10499" max="10499" width="14.5703125" style="70" bestFit="1" customWidth="1"/>
    <col min="10500" max="10500" width="6.42578125" style="70" customWidth="1"/>
    <col min="10501" max="10501" width="5.42578125" style="70" customWidth="1"/>
    <col min="10502" max="10502" width="8.42578125" style="70" bestFit="1" customWidth="1"/>
    <col min="10503" max="10503" width="8.5703125" style="70" bestFit="1" customWidth="1"/>
    <col min="10504" max="10505" width="8.5703125" style="70" customWidth="1"/>
    <col min="10506" max="10506" width="23.85546875" style="70" customWidth="1"/>
    <col min="10507" max="10507" width="19" style="70" customWidth="1"/>
    <col min="10508" max="10508" width="11" style="70" bestFit="1" customWidth="1"/>
    <col min="10509" max="10511" width="9.140625" style="70"/>
    <col min="10512" max="10512" width="11.7109375" style="70" customWidth="1"/>
    <col min="10513" max="10752" width="9.140625" style="70"/>
    <col min="10753" max="10753" width="4.42578125" style="70" customWidth="1"/>
    <col min="10754" max="10754" width="46.28515625" style="70" customWidth="1"/>
    <col min="10755" max="10755" width="14.5703125" style="70" bestFit="1" customWidth="1"/>
    <col min="10756" max="10756" width="6.42578125" style="70" customWidth="1"/>
    <col min="10757" max="10757" width="5.42578125" style="70" customWidth="1"/>
    <col min="10758" max="10758" width="8.42578125" style="70" bestFit="1" customWidth="1"/>
    <col min="10759" max="10759" width="8.5703125" style="70" bestFit="1" customWidth="1"/>
    <col min="10760" max="10761" width="8.5703125" style="70" customWidth="1"/>
    <col min="10762" max="10762" width="23.85546875" style="70" customWidth="1"/>
    <col min="10763" max="10763" width="19" style="70" customWidth="1"/>
    <col min="10764" max="10764" width="11" style="70" bestFit="1" customWidth="1"/>
    <col min="10765" max="10767" width="9.140625" style="70"/>
    <col min="10768" max="10768" width="11.7109375" style="70" customWidth="1"/>
    <col min="10769" max="11008" width="9.140625" style="70"/>
    <col min="11009" max="11009" width="4.42578125" style="70" customWidth="1"/>
    <col min="11010" max="11010" width="46.28515625" style="70" customWidth="1"/>
    <col min="11011" max="11011" width="14.5703125" style="70" bestFit="1" customWidth="1"/>
    <col min="11012" max="11012" width="6.42578125" style="70" customWidth="1"/>
    <col min="11013" max="11013" width="5.42578125" style="70" customWidth="1"/>
    <col min="11014" max="11014" width="8.42578125" style="70" bestFit="1" customWidth="1"/>
    <col min="11015" max="11015" width="8.5703125" style="70" bestFit="1" customWidth="1"/>
    <col min="11016" max="11017" width="8.5703125" style="70" customWidth="1"/>
    <col min="11018" max="11018" width="23.85546875" style="70" customWidth="1"/>
    <col min="11019" max="11019" width="19" style="70" customWidth="1"/>
    <col min="11020" max="11020" width="11" style="70" bestFit="1" customWidth="1"/>
    <col min="11021" max="11023" width="9.140625" style="70"/>
    <col min="11024" max="11024" width="11.7109375" style="70" customWidth="1"/>
    <col min="11025" max="11264" width="9.140625" style="70"/>
    <col min="11265" max="11265" width="4.42578125" style="70" customWidth="1"/>
    <col min="11266" max="11266" width="46.28515625" style="70" customWidth="1"/>
    <col min="11267" max="11267" width="14.5703125" style="70" bestFit="1" customWidth="1"/>
    <col min="11268" max="11268" width="6.42578125" style="70" customWidth="1"/>
    <col min="11269" max="11269" width="5.42578125" style="70" customWidth="1"/>
    <col min="11270" max="11270" width="8.42578125" style="70" bestFit="1" customWidth="1"/>
    <col min="11271" max="11271" width="8.5703125" style="70" bestFit="1" customWidth="1"/>
    <col min="11272" max="11273" width="8.5703125" style="70" customWidth="1"/>
    <col min="11274" max="11274" width="23.85546875" style="70" customWidth="1"/>
    <col min="11275" max="11275" width="19" style="70" customWidth="1"/>
    <col min="11276" max="11276" width="11" style="70" bestFit="1" customWidth="1"/>
    <col min="11277" max="11279" width="9.140625" style="70"/>
    <col min="11280" max="11280" width="11.7109375" style="70" customWidth="1"/>
    <col min="11281" max="11520" width="9.140625" style="70"/>
    <col min="11521" max="11521" width="4.42578125" style="70" customWidth="1"/>
    <col min="11522" max="11522" width="46.28515625" style="70" customWidth="1"/>
    <col min="11523" max="11523" width="14.5703125" style="70" bestFit="1" customWidth="1"/>
    <col min="11524" max="11524" width="6.42578125" style="70" customWidth="1"/>
    <col min="11525" max="11525" width="5.42578125" style="70" customWidth="1"/>
    <col min="11526" max="11526" width="8.42578125" style="70" bestFit="1" customWidth="1"/>
    <col min="11527" max="11527" width="8.5703125" style="70" bestFit="1" customWidth="1"/>
    <col min="11528" max="11529" width="8.5703125" style="70" customWidth="1"/>
    <col min="11530" max="11530" width="23.85546875" style="70" customWidth="1"/>
    <col min="11531" max="11531" width="19" style="70" customWidth="1"/>
    <col min="11532" max="11532" width="11" style="70" bestFit="1" customWidth="1"/>
    <col min="11533" max="11535" width="9.140625" style="70"/>
    <col min="11536" max="11536" width="11.7109375" style="70" customWidth="1"/>
    <col min="11537" max="11776" width="9.140625" style="70"/>
    <col min="11777" max="11777" width="4.42578125" style="70" customWidth="1"/>
    <col min="11778" max="11778" width="46.28515625" style="70" customWidth="1"/>
    <col min="11779" max="11779" width="14.5703125" style="70" bestFit="1" customWidth="1"/>
    <col min="11780" max="11780" width="6.42578125" style="70" customWidth="1"/>
    <col min="11781" max="11781" width="5.42578125" style="70" customWidth="1"/>
    <col min="11782" max="11782" width="8.42578125" style="70" bestFit="1" customWidth="1"/>
    <col min="11783" max="11783" width="8.5703125" style="70" bestFit="1" customWidth="1"/>
    <col min="11784" max="11785" width="8.5703125" style="70" customWidth="1"/>
    <col min="11786" max="11786" width="23.85546875" style="70" customWidth="1"/>
    <col min="11787" max="11787" width="19" style="70" customWidth="1"/>
    <col min="11788" max="11788" width="11" style="70" bestFit="1" customWidth="1"/>
    <col min="11789" max="11791" width="9.140625" style="70"/>
    <col min="11792" max="11792" width="11.7109375" style="70" customWidth="1"/>
    <col min="11793" max="12032" width="9.140625" style="70"/>
    <col min="12033" max="12033" width="4.42578125" style="70" customWidth="1"/>
    <col min="12034" max="12034" width="46.28515625" style="70" customWidth="1"/>
    <col min="12035" max="12035" width="14.5703125" style="70" bestFit="1" customWidth="1"/>
    <col min="12036" max="12036" width="6.42578125" style="70" customWidth="1"/>
    <col min="12037" max="12037" width="5.42578125" style="70" customWidth="1"/>
    <col min="12038" max="12038" width="8.42578125" style="70" bestFit="1" customWidth="1"/>
    <col min="12039" max="12039" width="8.5703125" style="70" bestFit="1" customWidth="1"/>
    <col min="12040" max="12041" width="8.5703125" style="70" customWidth="1"/>
    <col min="12042" max="12042" width="23.85546875" style="70" customWidth="1"/>
    <col min="12043" max="12043" width="19" style="70" customWidth="1"/>
    <col min="12044" max="12044" width="11" style="70" bestFit="1" customWidth="1"/>
    <col min="12045" max="12047" width="9.140625" style="70"/>
    <col min="12048" max="12048" width="11.7109375" style="70" customWidth="1"/>
    <col min="12049" max="12288" width="9.140625" style="70"/>
    <col min="12289" max="12289" width="4.42578125" style="70" customWidth="1"/>
    <col min="12290" max="12290" width="46.28515625" style="70" customWidth="1"/>
    <col min="12291" max="12291" width="14.5703125" style="70" bestFit="1" customWidth="1"/>
    <col min="12292" max="12292" width="6.42578125" style="70" customWidth="1"/>
    <col min="12293" max="12293" width="5.42578125" style="70" customWidth="1"/>
    <col min="12294" max="12294" width="8.42578125" style="70" bestFit="1" customWidth="1"/>
    <col min="12295" max="12295" width="8.5703125" style="70" bestFit="1" customWidth="1"/>
    <col min="12296" max="12297" width="8.5703125" style="70" customWidth="1"/>
    <col min="12298" max="12298" width="23.85546875" style="70" customWidth="1"/>
    <col min="12299" max="12299" width="19" style="70" customWidth="1"/>
    <col min="12300" max="12300" width="11" style="70" bestFit="1" customWidth="1"/>
    <col min="12301" max="12303" width="9.140625" style="70"/>
    <col min="12304" max="12304" width="11.7109375" style="70" customWidth="1"/>
    <col min="12305" max="12544" width="9.140625" style="70"/>
    <col min="12545" max="12545" width="4.42578125" style="70" customWidth="1"/>
    <col min="12546" max="12546" width="46.28515625" style="70" customWidth="1"/>
    <col min="12547" max="12547" width="14.5703125" style="70" bestFit="1" customWidth="1"/>
    <col min="12548" max="12548" width="6.42578125" style="70" customWidth="1"/>
    <col min="12549" max="12549" width="5.42578125" style="70" customWidth="1"/>
    <col min="12550" max="12550" width="8.42578125" style="70" bestFit="1" customWidth="1"/>
    <col min="12551" max="12551" width="8.5703125" style="70" bestFit="1" customWidth="1"/>
    <col min="12552" max="12553" width="8.5703125" style="70" customWidth="1"/>
    <col min="12554" max="12554" width="23.85546875" style="70" customWidth="1"/>
    <col min="12555" max="12555" width="19" style="70" customWidth="1"/>
    <col min="12556" max="12556" width="11" style="70" bestFit="1" customWidth="1"/>
    <col min="12557" max="12559" width="9.140625" style="70"/>
    <col min="12560" max="12560" width="11.7109375" style="70" customWidth="1"/>
    <col min="12561" max="12800" width="9.140625" style="70"/>
    <col min="12801" max="12801" width="4.42578125" style="70" customWidth="1"/>
    <col min="12802" max="12802" width="46.28515625" style="70" customWidth="1"/>
    <col min="12803" max="12803" width="14.5703125" style="70" bestFit="1" customWidth="1"/>
    <col min="12804" max="12804" width="6.42578125" style="70" customWidth="1"/>
    <col min="12805" max="12805" width="5.42578125" style="70" customWidth="1"/>
    <col min="12806" max="12806" width="8.42578125" style="70" bestFit="1" customWidth="1"/>
    <col min="12807" max="12807" width="8.5703125" style="70" bestFit="1" customWidth="1"/>
    <col min="12808" max="12809" width="8.5703125" style="70" customWidth="1"/>
    <col min="12810" max="12810" width="23.85546875" style="70" customWidth="1"/>
    <col min="12811" max="12811" width="19" style="70" customWidth="1"/>
    <col min="12812" max="12812" width="11" style="70" bestFit="1" customWidth="1"/>
    <col min="12813" max="12815" width="9.140625" style="70"/>
    <col min="12816" max="12816" width="11.7109375" style="70" customWidth="1"/>
    <col min="12817" max="13056" width="9.140625" style="70"/>
    <col min="13057" max="13057" width="4.42578125" style="70" customWidth="1"/>
    <col min="13058" max="13058" width="46.28515625" style="70" customWidth="1"/>
    <col min="13059" max="13059" width="14.5703125" style="70" bestFit="1" customWidth="1"/>
    <col min="13060" max="13060" width="6.42578125" style="70" customWidth="1"/>
    <col min="13061" max="13061" width="5.42578125" style="70" customWidth="1"/>
    <col min="13062" max="13062" width="8.42578125" style="70" bestFit="1" customWidth="1"/>
    <col min="13063" max="13063" width="8.5703125" style="70" bestFit="1" customWidth="1"/>
    <col min="13064" max="13065" width="8.5703125" style="70" customWidth="1"/>
    <col min="13066" max="13066" width="23.85546875" style="70" customWidth="1"/>
    <col min="13067" max="13067" width="19" style="70" customWidth="1"/>
    <col min="13068" max="13068" width="11" style="70" bestFit="1" customWidth="1"/>
    <col min="13069" max="13071" width="9.140625" style="70"/>
    <col min="13072" max="13072" width="11.7109375" style="70" customWidth="1"/>
    <col min="13073" max="13312" width="9.140625" style="70"/>
    <col min="13313" max="13313" width="4.42578125" style="70" customWidth="1"/>
    <col min="13314" max="13314" width="46.28515625" style="70" customWidth="1"/>
    <col min="13315" max="13315" width="14.5703125" style="70" bestFit="1" customWidth="1"/>
    <col min="13316" max="13316" width="6.42578125" style="70" customWidth="1"/>
    <col min="13317" max="13317" width="5.42578125" style="70" customWidth="1"/>
    <col min="13318" max="13318" width="8.42578125" style="70" bestFit="1" customWidth="1"/>
    <col min="13319" max="13319" width="8.5703125" style="70" bestFit="1" customWidth="1"/>
    <col min="13320" max="13321" width="8.5703125" style="70" customWidth="1"/>
    <col min="13322" max="13322" width="23.85546875" style="70" customWidth="1"/>
    <col min="13323" max="13323" width="19" style="70" customWidth="1"/>
    <col min="13324" max="13324" width="11" style="70" bestFit="1" customWidth="1"/>
    <col min="13325" max="13327" width="9.140625" style="70"/>
    <col min="13328" max="13328" width="11.7109375" style="70" customWidth="1"/>
    <col min="13329" max="13568" width="9.140625" style="70"/>
    <col min="13569" max="13569" width="4.42578125" style="70" customWidth="1"/>
    <col min="13570" max="13570" width="46.28515625" style="70" customWidth="1"/>
    <col min="13571" max="13571" width="14.5703125" style="70" bestFit="1" customWidth="1"/>
    <col min="13572" max="13572" width="6.42578125" style="70" customWidth="1"/>
    <col min="13573" max="13573" width="5.42578125" style="70" customWidth="1"/>
    <col min="13574" max="13574" width="8.42578125" style="70" bestFit="1" customWidth="1"/>
    <col min="13575" max="13575" width="8.5703125" style="70" bestFit="1" customWidth="1"/>
    <col min="13576" max="13577" width="8.5703125" style="70" customWidth="1"/>
    <col min="13578" max="13578" width="23.85546875" style="70" customWidth="1"/>
    <col min="13579" max="13579" width="19" style="70" customWidth="1"/>
    <col min="13580" max="13580" width="11" style="70" bestFit="1" customWidth="1"/>
    <col min="13581" max="13583" width="9.140625" style="70"/>
    <col min="13584" max="13584" width="11.7109375" style="70" customWidth="1"/>
    <col min="13585" max="13824" width="9.140625" style="70"/>
    <col min="13825" max="13825" width="4.42578125" style="70" customWidth="1"/>
    <col min="13826" max="13826" width="46.28515625" style="70" customWidth="1"/>
    <col min="13827" max="13827" width="14.5703125" style="70" bestFit="1" customWidth="1"/>
    <col min="13828" max="13828" width="6.42578125" style="70" customWidth="1"/>
    <col min="13829" max="13829" width="5.42578125" style="70" customWidth="1"/>
    <col min="13830" max="13830" width="8.42578125" style="70" bestFit="1" customWidth="1"/>
    <col min="13831" max="13831" width="8.5703125" style="70" bestFit="1" customWidth="1"/>
    <col min="13832" max="13833" width="8.5703125" style="70" customWidth="1"/>
    <col min="13834" max="13834" width="23.85546875" style="70" customWidth="1"/>
    <col min="13835" max="13835" width="19" style="70" customWidth="1"/>
    <col min="13836" max="13836" width="11" style="70" bestFit="1" customWidth="1"/>
    <col min="13837" max="13839" width="9.140625" style="70"/>
    <col min="13840" max="13840" width="11.7109375" style="70" customWidth="1"/>
    <col min="13841" max="14080" width="9.140625" style="70"/>
    <col min="14081" max="14081" width="4.42578125" style="70" customWidth="1"/>
    <col min="14082" max="14082" width="46.28515625" style="70" customWidth="1"/>
    <col min="14083" max="14083" width="14.5703125" style="70" bestFit="1" customWidth="1"/>
    <col min="14084" max="14084" width="6.42578125" style="70" customWidth="1"/>
    <col min="14085" max="14085" width="5.42578125" style="70" customWidth="1"/>
    <col min="14086" max="14086" width="8.42578125" style="70" bestFit="1" customWidth="1"/>
    <col min="14087" max="14087" width="8.5703125" style="70" bestFit="1" customWidth="1"/>
    <col min="14088" max="14089" width="8.5703125" style="70" customWidth="1"/>
    <col min="14090" max="14090" width="23.85546875" style="70" customWidth="1"/>
    <col min="14091" max="14091" width="19" style="70" customWidth="1"/>
    <col min="14092" max="14092" width="11" style="70" bestFit="1" customWidth="1"/>
    <col min="14093" max="14095" width="9.140625" style="70"/>
    <col min="14096" max="14096" width="11.7109375" style="70" customWidth="1"/>
    <col min="14097" max="14336" width="9.140625" style="70"/>
    <col min="14337" max="14337" width="4.42578125" style="70" customWidth="1"/>
    <col min="14338" max="14338" width="46.28515625" style="70" customWidth="1"/>
    <col min="14339" max="14339" width="14.5703125" style="70" bestFit="1" customWidth="1"/>
    <col min="14340" max="14340" width="6.42578125" style="70" customWidth="1"/>
    <col min="14341" max="14341" width="5.42578125" style="70" customWidth="1"/>
    <col min="14342" max="14342" width="8.42578125" style="70" bestFit="1" customWidth="1"/>
    <col min="14343" max="14343" width="8.5703125" style="70" bestFit="1" customWidth="1"/>
    <col min="14344" max="14345" width="8.5703125" style="70" customWidth="1"/>
    <col min="14346" max="14346" width="23.85546875" style="70" customWidth="1"/>
    <col min="14347" max="14347" width="19" style="70" customWidth="1"/>
    <col min="14348" max="14348" width="11" style="70" bestFit="1" customWidth="1"/>
    <col min="14349" max="14351" width="9.140625" style="70"/>
    <col min="14352" max="14352" width="11.7109375" style="70" customWidth="1"/>
    <col min="14353" max="14592" width="9.140625" style="70"/>
    <col min="14593" max="14593" width="4.42578125" style="70" customWidth="1"/>
    <col min="14594" max="14594" width="46.28515625" style="70" customWidth="1"/>
    <col min="14595" max="14595" width="14.5703125" style="70" bestFit="1" customWidth="1"/>
    <col min="14596" max="14596" width="6.42578125" style="70" customWidth="1"/>
    <col min="14597" max="14597" width="5.42578125" style="70" customWidth="1"/>
    <col min="14598" max="14598" width="8.42578125" style="70" bestFit="1" customWidth="1"/>
    <col min="14599" max="14599" width="8.5703125" style="70" bestFit="1" customWidth="1"/>
    <col min="14600" max="14601" width="8.5703125" style="70" customWidth="1"/>
    <col min="14602" max="14602" width="23.85546875" style="70" customWidth="1"/>
    <col min="14603" max="14603" width="19" style="70" customWidth="1"/>
    <col min="14604" max="14604" width="11" style="70" bestFit="1" customWidth="1"/>
    <col min="14605" max="14607" width="9.140625" style="70"/>
    <col min="14608" max="14608" width="11.7109375" style="70" customWidth="1"/>
    <col min="14609" max="14848" width="9.140625" style="70"/>
    <col min="14849" max="14849" width="4.42578125" style="70" customWidth="1"/>
    <col min="14850" max="14850" width="46.28515625" style="70" customWidth="1"/>
    <col min="14851" max="14851" width="14.5703125" style="70" bestFit="1" customWidth="1"/>
    <col min="14852" max="14852" width="6.42578125" style="70" customWidth="1"/>
    <col min="14853" max="14853" width="5.42578125" style="70" customWidth="1"/>
    <col min="14854" max="14854" width="8.42578125" style="70" bestFit="1" customWidth="1"/>
    <col min="14855" max="14855" width="8.5703125" style="70" bestFit="1" customWidth="1"/>
    <col min="14856" max="14857" width="8.5703125" style="70" customWidth="1"/>
    <col min="14858" max="14858" width="23.85546875" style="70" customWidth="1"/>
    <col min="14859" max="14859" width="19" style="70" customWidth="1"/>
    <col min="14860" max="14860" width="11" style="70" bestFit="1" customWidth="1"/>
    <col min="14861" max="14863" width="9.140625" style="70"/>
    <col min="14864" max="14864" width="11.7109375" style="70" customWidth="1"/>
    <col min="14865" max="15104" width="9.140625" style="70"/>
    <col min="15105" max="15105" width="4.42578125" style="70" customWidth="1"/>
    <col min="15106" max="15106" width="46.28515625" style="70" customWidth="1"/>
    <col min="15107" max="15107" width="14.5703125" style="70" bestFit="1" customWidth="1"/>
    <col min="15108" max="15108" width="6.42578125" style="70" customWidth="1"/>
    <col min="15109" max="15109" width="5.42578125" style="70" customWidth="1"/>
    <col min="15110" max="15110" width="8.42578125" style="70" bestFit="1" customWidth="1"/>
    <col min="15111" max="15111" width="8.5703125" style="70" bestFit="1" customWidth="1"/>
    <col min="15112" max="15113" width="8.5703125" style="70" customWidth="1"/>
    <col min="15114" max="15114" width="23.85546875" style="70" customWidth="1"/>
    <col min="15115" max="15115" width="19" style="70" customWidth="1"/>
    <col min="15116" max="15116" width="11" style="70" bestFit="1" customWidth="1"/>
    <col min="15117" max="15119" width="9.140625" style="70"/>
    <col min="15120" max="15120" width="11.7109375" style="70" customWidth="1"/>
    <col min="15121" max="15360" width="9.140625" style="70"/>
    <col min="15361" max="15361" width="4.42578125" style="70" customWidth="1"/>
    <col min="15362" max="15362" width="46.28515625" style="70" customWidth="1"/>
    <col min="15363" max="15363" width="14.5703125" style="70" bestFit="1" customWidth="1"/>
    <col min="15364" max="15364" width="6.42578125" style="70" customWidth="1"/>
    <col min="15365" max="15365" width="5.42578125" style="70" customWidth="1"/>
    <col min="15366" max="15366" width="8.42578125" style="70" bestFit="1" customWidth="1"/>
    <col min="15367" max="15367" width="8.5703125" style="70" bestFit="1" customWidth="1"/>
    <col min="15368" max="15369" width="8.5703125" style="70" customWidth="1"/>
    <col min="15370" max="15370" width="23.85546875" style="70" customWidth="1"/>
    <col min="15371" max="15371" width="19" style="70" customWidth="1"/>
    <col min="15372" max="15372" width="11" style="70" bestFit="1" customWidth="1"/>
    <col min="15373" max="15375" width="9.140625" style="70"/>
    <col min="15376" max="15376" width="11.7109375" style="70" customWidth="1"/>
    <col min="15377" max="15616" width="9.140625" style="70"/>
    <col min="15617" max="15617" width="4.42578125" style="70" customWidth="1"/>
    <col min="15618" max="15618" width="46.28515625" style="70" customWidth="1"/>
    <col min="15619" max="15619" width="14.5703125" style="70" bestFit="1" customWidth="1"/>
    <col min="15620" max="15620" width="6.42578125" style="70" customWidth="1"/>
    <col min="15621" max="15621" width="5.42578125" style="70" customWidth="1"/>
    <col min="15622" max="15622" width="8.42578125" style="70" bestFit="1" customWidth="1"/>
    <col min="15623" max="15623" width="8.5703125" style="70" bestFit="1" customWidth="1"/>
    <col min="15624" max="15625" width="8.5703125" style="70" customWidth="1"/>
    <col min="15626" max="15626" width="23.85546875" style="70" customWidth="1"/>
    <col min="15627" max="15627" width="19" style="70" customWidth="1"/>
    <col min="15628" max="15628" width="11" style="70" bestFit="1" customWidth="1"/>
    <col min="15629" max="15631" width="9.140625" style="70"/>
    <col min="15632" max="15632" width="11.7109375" style="70" customWidth="1"/>
    <col min="15633" max="15872" width="9.140625" style="70"/>
    <col min="15873" max="15873" width="4.42578125" style="70" customWidth="1"/>
    <col min="15874" max="15874" width="46.28515625" style="70" customWidth="1"/>
    <col min="15875" max="15875" width="14.5703125" style="70" bestFit="1" customWidth="1"/>
    <col min="15876" max="15876" width="6.42578125" style="70" customWidth="1"/>
    <col min="15877" max="15877" width="5.42578125" style="70" customWidth="1"/>
    <col min="15878" max="15878" width="8.42578125" style="70" bestFit="1" customWidth="1"/>
    <col min="15879" max="15879" width="8.5703125" style="70" bestFit="1" customWidth="1"/>
    <col min="15880" max="15881" width="8.5703125" style="70" customWidth="1"/>
    <col min="15882" max="15882" width="23.85546875" style="70" customWidth="1"/>
    <col min="15883" max="15883" width="19" style="70" customWidth="1"/>
    <col min="15884" max="15884" width="11" style="70" bestFit="1" customWidth="1"/>
    <col min="15885" max="15887" width="9.140625" style="70"/>
    <col min="15888" max="15888" width="11.7109375" style="70" customWidth="1"/>
    <col min="15889" max="16128" width="9.140625" style="70"/>
    <col min="16129" max="16129" width="4.42578125" style="70" customWidth="1"/>
    <col min="16130" max="16130" width="46.28515625" style="70" customWidth="1"/>
    <col min="16131" max="16131" width="14.5703125" style="70" bestFit="1" customWidth="1"/>
    <col min="16132" max="16132" width="6.42578125" style="70" customWidth="1"/>
    <col min="16133" max="16133" width="5.42578125" style="70" customWidth="1"/>
    <col min="16134" max="16134" width="8.42578125" style="70" bestFit="1" customWidth="1"/>
    <col min="16135" max="16135" width="8.5703125" style="70" bestFit="1" customWidth="1"/>
    <col min="16136" max="16137" width="8.5703125" style="70" customWidth="1"/>
    <col min="16138" max="16138" width="23.85546875" style="70" customWidth="1"/>
    <col min="16139" max="16139" width="19" style="70" customWidth="1"/>
    <col min="16140" max="16140" width="11" style="70" bestFit="1" customWidth="1"/>
    <col min="16141" max="16143" width="9.140625" style="70"/>
    <col min="16144" max="16144" width="11.7109375" style="70" customWidth="1"/>
    <col min="16145" max="16384" width="9.140625" style="70"/>
  </cols>
  <sheetData>
    <row r="1" spans="1:12" ht="18" customHeight="1">
      <c r="A1" s="1814"/>
      <c r="B1" s="3125" t="s">
        <v>2821</v>
      </c>
      <c r="C1" s="3125"/>
      <c r="D1" s="3125"/>
      <c r="E1" s="2008"/>
      <c r="F1" s="2116"/>
      <c r="G1" s="2116"/>
      <c r="H1" s="2116"/>
      <c r="I1" s="2116"/>
      <c r="J1" s="2116"/>
    </row>
    <row r="2" spans="1:12" ht="10.5" customHeight="1">
      <c r="A2" s="1814"/>
      <c r="B2" s="2662"/>
      <c r="C2" s="2662"/>
      <c r="D2" s="2662"/>
      <c r="E2" s="2008"/>
      <c r="F2" s="2116"/>
      <c r="G2" s="2116"/>
      <c r="H2" s="2116"/>
      <c r="I2" s="2116"/>
      <c r="J2" s="2116"/>
    </row>
    <row r="3" spans="1:12" ht="48.75" customHeight="1">
      <c r="A3" s="2665"/>
      <c r="B3" s="3507" t="s">
        <v>2822</v>
      </c>
      <c r="C3" s="3507"/>
      <c r="D3" s="3507"/>
      <c r="E3" s="3507"/>
      <c r="F3" s="3507"/>
      <c r="G3" s="3507"/>
      <c r="H3" s="2666"/>
      <c r="I3" s="2666"/>
      <c r="J3" s="2679"/>
    </row>
    <row r="4" spans="1:12" ht="11.25" customHeight="1">
      <c r="A4" s="2665"/>
      <c r="B4" s="2667"/>
      <c r="C4" s="2667"/>
      <c r="D4" s="2667"/>
      <c r="E4" s="2667"/>
      <c r="F4" s="2667"/>
      <c r="G4" s="2667"/>
      <c r="H4" s="2667"/>
      <c r="I4" s="2667"/>
      <c r="J4" s="2116"/>
    </row>
    <row r="5" spans="1:12" ht="15">
      <c r="A5" s="2665"/>
      <c r="B5" s="3390" t="s">
        <v>2823</v>
      </c>
      <c r="C5" s="3390"/>
      <c r="D5" s="373"/>
      <c r="E5" s="373"/>
      <c r="F5" s="373"/>
      <c r="G5" s="2657" t="s">
        <v>89</v>
      </c>
      <c r="H5" s="580"/>
      <c r="I5" s="580"/>
      <c r="J5" s="2116"/>
    </row>
    <row r="6" spans="1:12" ht="12" customHeight="1">
      <c r="A6" s="2665"/>
      <c r="B6" s="2008"/>
      <c r="C6" s="2008"/>
      <c r="D6" s="2008"/>
      <c r="E6" s="2008"/>
      <c r="F6" s="2008"/>
      <c r="G6" s="2008"/>
      <c r="H6" s="2008"/>
      <c r="I6" s="2008"/>
      <c r="J6" s="2116"/>
    </row>
    <row r="7" spans="1:12" ht="29.25" customHeight="1">
      <c r="A7" s="3117" t="s">
        <v>2</v>
      </c>
      <c r="B7" s="3117" t="s">
        <v>3</v>
      </c>
      <c r="C7" s="3117" t="s">
        <v>2716</v>
      </c>
      <c r="D7" s="3117" t="s">
        <v>5</v>
      </c>
      <c r="E7" s="3117" t="s">
        <v>95</v>
      </c>
      <c r="F7" s="3117" t="s">
        <v>2824</v>
      </c>
      <c r="G7" s="3117"/>
      <c r="H7" s="3117" t="s">
        <v>2825</v>
      </c>
      <c r="I7" s="3117"/>
      <c r="J7" s="2116"/>
    </row>
    <row r="8" spans="1:12" ht="15">
      <c r="A8" s="3117"/>
      <c r="B8" s="3117"/>
      <c r="C8" s="3117"/>
      <c r="D8" s="3117"/>
      <c r="E8" s="3117"/>
      <c r="F8" s="2644" t="s">
        <v>96</v>
      </c>
      <c r="G8" s="2644" t="s">
        <v>1668</v>
      </c>
      <c r="H8" s="2644" t="s">
        <v>96</v>
      </c>
      <c r="I8" s="2644" t="s">
        <v>1668</v>
      </c>
      <c r="J8" s="2668"/>
    </row>
    <row r="9" spans="1:12" ht="15">
      <c r="A9" s="2644">
        <v>1</v>
      </c>
      <c r="B9" s="2644">
        <v>2</v>
      </c>
      <c r="C9" s="2644">
        <v>3</v>
      </c>
      <c r="D9" s="2644">
        <v>4</v>
      </c>
      <c r="E9" s="2649">
        <v>5</v>
      </c>
      <c r="F9" s="2644">
        <v>6</v>
      </c>
      <c r="G9" s="2644">
        <v>7</v>
      </c>
      <c r="H9" s="2644">
        <v>8</v>
      </c>
      <c r="I9" s="2644">
        <v>9</v>
      </c>
      <c r="J9" s="2613"/>
      <c r="K9" s="2053"/>
    </row>
    <row r="10" spans="1:12" ht="30.75" customHeight="1">
      <c r="A10" s="2659">
        <v>1</v>
      </c>
      <c r="B10" s="1290" t="s">
        <v>2826</v>
      </c>
      <c r="C10" s="2660">
        <v>7131300500</v>
      </c>
      <c r="D10" s="2660" t="s">
        <v>12</v>
      </c>
      <c r="E10" s="2660">
        <v>1</v>
      </c>
      <c r="F10" s="1132">
        <f>VLOOKUP(C10,'[25]SOR RATE'!A:D,4,0)</f>
        <v>744.93</v>
      </c>
      <c r="G10" s="1202">
        <f t="shared" ref="G10:G18" si="0">F10*E10</f>
        <v>744.93</v>
      </c>
      <c r="H10" s="1202">
        <f>+F10</f>
        <v>744.93</v>
      </c>
      <c r="I10" s="1202">
        <f>E10*H10</f>
        <v>744.93</v>
      </c>
    </row>
    <row r="11" spans="1:12" ht="17.25" customHeight="1">
      <c r="A11" s="2660">
        <v>2</v>
      </c>
      <c r="B11" s="1290" t="s">
        <v>2827</v>
      </c>
      <c r="C11" s="1814">
        <v>7130311025</v>
      </c>
      <c r="D11" s="2660" t="s">
        <v>21</v>
      </c>
      <c r="E11" s="2660">
        <v>30</v>
      </c>
      <c r="F11" s="1132">
        <f>VLOOKUP(C11,'[25]SOR RATE'!A:D,4,0)</f>
        <v>50.8</v>
      </c>
      <c r="G11" s="1202">
        <f>F11*E11</f>
        <v>1524</v>
      </c>
      <c r="H11" s="1202"/>
      <c r="I11" s="1202"/>
      <c r="J11" s="1989"/>
      <c r="K11" s="1989"/>
    </row>
    <row r="12" spans="1:12" ht="17.25" customHeight="1">
      <c r="A12" s="2701">
        <v>3</v>
      </c>
      <c r="B12" s="1290" t="s">
        <v>2828</v>
      </c>
      <c r="C12" s="2660">
        <v>7130310039</v>
      </c>
      <c r="D12" s="2660" t="s">
        <v>21</v>
      </c>
      <c r="E12" s="2660">
        <v>30</v>
      </c>
      <c r="F12" s="1202"/>
      <c r="G12" s="1202"/>
      <c r="H12" s="1132">
        <f>VLOOKUP(C12,'[25]SOR RATE'!A:D,4,0)</f>
        <v>37.83</v>
      </c>
      <c r="I12" s="1202">
        <f>E12*H12</f>
        <v>1134.8999999999999</v>
      </c>
      <c r="J12" s="105"/>
    </row>
    <row r="13" spans="1:12" ht="17.25" customHeight="1">
      <c r="A13" s="2701">
        <v>4</v>
      </c>
      <c r="B13" s="1290" t="s">
        <v>2829</v>
      </c>
      <c r="C13" s="2660">
        <v>7130820101</v>
      </c>
      <c r="D13" s="2660" t="s">
        <v>12</v>
      </c>
      <c r="E13" s="2660">
        <v>2</v>
      </c>
      <c r="F13" s="1132">
        <f>VLOOKUP(C13,'[25]SOR RATE'!A:D,4,0)</f>
        <v>13.03</v>
      </c>
      <c r="G13" s="1202">
        <f>F13*E13</f>
        <v>26.06</v>
      </c>
      <c r="H13" s="1202">
        <f t="shared" ref="H13:H18" si="1">+F13</f>
        <v>13.03</v>
      </c>
      <c r="I13" s="1202">
        <f t="shared" ref="I13:I18" si="2">E13*H13</f>
        <v>26.06</v>
      </c>
      <c r="K13" s="807"/>
      <c r="L13" s="1956"/>
    </row>
    <row r="14" spans="1:12" ht="16.5" customHeight="1">
      <c r="A14" s="2701">
        <v>5</v>
      </c>
      <c r="B14" s="1290" t="s">
        <v>2830</v>
      </c>
      <c r="C14" s="2660">
        <v>7130820206</v>
      </c>
      <c r="D14" s="2660" t="s">
        <v>12</v>
      </c>
      <c r="E14" s="2660">
        <v>2</v>
      </c>
      <c r="F14" s="1132">
        <f>VLOOKUP(C14,'[25]SOR RATE'!A:D,4,0)</f>
        <v>45.81</v>
      </c>
      <c r="G14" s="1202">
        <f>F14*E14</f>
        <v>91.62</v>
      </c>
      <c r="H14" s="1202">
        <f t="shared" si="1"/>
        <v>45.81</v>
      </c>
      <c r="I14" s="1202">
        <f>E14*H14</f>
        <v>91.62</v>
      </c>
      <c r="K14" s="807"/>
      <c r="L14" s="1956"/>
    </row>
    <row r="15" spans="1:12" ht="31.5" customHeight="1">
      <c r="A15" s="2659">
        <v>6</v>
      </c>
      <c r="B15" s="1290" t="s">
        <v>1150</v>
      </c>
      <c r="C15" s="2660">
        <v>7132406022</v>
      </c>
      <c r="D15" s="2660" t="s">
        <v>12</v>
      </c>
      <c r="E15" s="2660">
        <v>1</v>
      </c>
      <c r="F15" s="1132">
        <f>VLOOKUP(C15,'[25]SOR RATE'!A:D,4,0)</f>
        <v>188.91</v>
      </c>
      <c r="G15" s="1202">
        <f t="shared" si="0"/>
        <v>188.91</v>
      </c>
      <c r="H15" s="1202">
        <f t="shared" si="1"/>
        <v>188.91</v>
      </c>
      <c r="I15" s="1202">
        <f t="shared" si="2"/>
        <v>188.91</v>
      </c>
      <c r="J15" s="2116"/>
      <c r="K15" s="2008"/>
      <c r="L15" s="2008"/>
    </row>
    <row r="16" spans="1:12" ht="17.25" customHeight="1">
      <c r="A16" s="2659">
        <v>7</v>
      </c>
      <c r="B16" s="1290" t="s">
        <v>2831</v>
      </c>
      <c r="C16" s="2660">
        <v>7132476007</v>
      </c>
      <c r="D16" s="2660" t="s">
        <v>1193</v>
      </c>
      <c r="E16" s="2660">
        <v>1</v>
      </c>
      <c r="F16" s="1132">
        <f>VLOOKUP(C16,'[25]SOR RATE'!A:D,4,0)</f>
        <v>17.59</v>
      </c>
      <c r="G16" s="1202">
        <f t="shared" si="0"/>
        <v>17.59</v>
      </c>
      <c r="H16" s="1202">
        <f t="shared" si="1"/>
        <v>17.59</v>
      </c>
      <c r="I16" s="1202">
        <f t="shared" si="2"/>
        <v>17.59</v>
      </c>
      <c r="J16" s="2669" t="s">
        <v>802</v>
      </c>
    </row>
    <row r="17" spans="1:11" ht="17.25" customHeight="1">
      <c r="A17" s="2660">
        <v>8</v>
      </c>
      <c r="B17" s="1290" t="s">
        <v>2832</v>
      </c>
      <c r="C17" s="2660"/>
      <c r="D17" s="2660" t="s">
        <v>2833</v>
      </c>
      <c r="E17" s="2660">
        <v>1</v>
      </c>
      <c r="F17" s="1202">
        <v>40</v>
      </c>
      <c r="G17" s="1202">
        <f t="shared" si="0"/>
        <v>40</v>
      </c>
      <c r="H17" s="1202">
        <f t="shared" si="1"/>
        <v>40</v>
      </c>
      <c r="I17" s="1202">
        <f t="shared" si="2"/>
        <v>40</v>
      </c>
      <c r="J17" s="2116"/>
    </row>
    <row r="18" spans="1:11" ht="15" customHeight="1">
      <c r="A18" s="2660">
        <v>9</v>
      </c>
      <c r="B18" s="1290" t="s">
        <v>2834</v>
      </c>
      <c r="C18" s="2660"/>
      <c r="D18" s="2660" t="s">
        <v>2833</v>
      </c>
      <c r="E18" s="2660">
        <v>1</v>
      </c>
      <c r="F18" s="1202">
        <v>30</v>
      </c>
      <c r="G18" s="1202">
        <f t="shared" si="0"/>
        <v>30</v>
      </c>
      <c r="H18" s="1202">
        <f t="shared" si="1"/>
        <v>30</v>
      </c>
      <c r="I18" s="1202">
        <f t="shared" si="2"/>
        <v>30</v>
      </c>
      <c r="J18" s="2116"/>
    </row>
    <row r="19" spans="1:11" ht="17.25" customHeight="1">
      <c r="A19" s="2644">
        <v>10</v>
      </c>
      <c r="B19" s="1639" t="s">
        <v>48</v>
      </c>
      <c r="C19" s="2559"/>
      <c r="D19" s="2559"/>
      <c r="E19" s="2559"/>
      <c r="F19" s="2559"/>
      <c r="G19" s="2651">
        <f>SUM(G10:G18)</f>
        <v>2663.1099999999997</v>
      </c>
      <c r="H19" s="2651"/>
      <c r="I19" s="2651">
        <f>I10+I12+I13+I14+I15+I16+I17+I18</f>
        <v>2274.0099999999998</v>
      </c>
      <c r="J19" s="85"/>
      <c r="K19" s="102"/>
    </row>
    <row r="20" spans="1:11" ht="16.5" customHeight="1">
      <c r="A20" s="2642">
        <v>11</v>
      </c>
      <c r="B20" s="1639" t="s">
        <v>49</v>
      </c>
      <c r="C20" s="2559"/>
      <c r="D20" s="2559"/>
      <c r="E20" s="2559"/>
      <c r="F20" s="2559"/>
      <c r="G20" s="2651">
        <f>G19/1.18</f>
        <v>2256.8728813559319</v>
      </c>
      <c r="H20" s="2651"/>
      <c r="I20" s="2651">
        <f>I19/1.18</f>
        <v>1927.1271186440677</v>
      </c>
      <c r="J20" s="85"/>
      <c r="K20" s="102"/>
    </row>
    <row r="21" spans="1:11" ht="18" customHeight="1">
      <c r="A21" s="2647">
        <v>12</v>
      </c>
      <c r="B21" s="1619" t="s">
        <v>50</v>
      </c>
      <c r="C21" s="1051"/>
      <c r="D21" s="1051"/>
      <c r="E21" s="1051"/>
      <c r="F21" s="1620" t="s">
        <v>120</v>
      </c>
      <c r="G21" s="1202">
        <f>G19*F21</f>
        <v>199.73324999999997</v>
      </c>
      <c r="H21" s="2558">
        <v>7.4999999999999997E-2</v>
      </c>
      <c r="I21" s="1202">
        <f>I19*H21</f>
        <v>170.55074999999997</v>
      </c>
      <c r="J21" s="803"/>
      <c r="K21" s="85"/>
    </row>
    <row r="22" spans="1:11" ht="16.5" customHeight="1">
      <c r="A22" s="2660">
        <v>13</v>
      </c>
      <c r="B22" s="3504" t="s">
        <v>2835</v>
      </c>
      <c r="C22" s="3505"/>
      <c r="D22" s="3504" t="s">
        <v>2836</v>
      </c>
      <c r="E22" s="3506"/>
      <c r="F22" s="3505"/>
      <c r="G22" s="1202">
        <v>465</v>
      </c>
      <c r="H22" s="1202"/>
      <c r="I22" s="1202">
        <v>465</v>
      </c>
      <c r="J22" s="2116"/>
    </row>
    <row r="23" spans="1:11" ht="17.25" customHeight="1">
      <c r="A23" s="2660">
        <v>14</v>
      </c>
      <c r="B23" s="1290" t="s">
        <v>2837</v>
      </c>
      <c r="C23" s="2680"/>
      <c r="D23" s="2308"/>
      <c r="E23" s="2681"/>
      <c r="F23" s="2660">
        <v>0.04</v>
      </c>
      <c r="G23" s="1202">
        <f>G20*F23</f>
        <v>90.274915254237271</v>
      </c>
      <c r="H23" s="1202">
        <v>0.04</v>
      </c>
      <c r="I23" s="1202">
        <f>I20*H23</f>
        <v>77.085084745762714</v>
      </c>
      <c r="J23" s="1939" t="s">
        <v>119</v>
      </c>
    </row>
    <row r="24" spans="1:11" ht="30" customHeight="1">
      <c r="A24" s="2659">
        <v>15</v>
      </c>
      <c r="B24" s="1626" t="s">
        <v>2838</v>
      </c>
      <c r="C24" s="2680"/>
      <c r="D24" s="1615"/>
      <c r="E24" s="1615"/>
      <c r="F24" s="1615"/>
      <c r="G24" s="1202">
        <f>(G19+G21+G22+G23)*0.125</f>
        <v>427.2647706567796</v>
      </c>
      <c r="H24" s="1202"/>
      <c r="I24" s="1202">
        <f>(I19+I21+I22+I23)*0.125</f>
        <v>373.3307293432203</v>
      </c>
      <c r="J24" s="2116"/>
    </row>
    <row r="25" spans="1:11" ht="16.5" customHeight="1">
      <c r="A25" s="2700">
        <v>16</v>
      </c>
      <c r="B25" s="1647" t="s">
        <v>2839</v>
      </c>
      <c r="C25" s="2680"/>
      <c r="D25" s="1615"/>
      <c r="E25" s="1615"/>
      <c r="F25" s="1615"/>
      <c r="G25" s="2651">
        <f>SUM(G20:G24)</f>
        <v>3439.1458172669486</v>
      </c>
      <c r="H25" s="1202"/>
      <c r="I25" s="2651">
        <f>SUM(I20:I24)</f>
        <v>3013.0936827330506</v>
      </c>
      <c r="J25" s="2116"/>
    </row>
    <row r="26" spans="1:11" ht="18" customHeight="1">
      <c r="A26" s="2660">
        <v>17</v>
      </c>
      <c r="B26" s="1619" t="s">
        <v>1644</v>
      </c>
      <c r="C26" s="2680"/>
      <c r="D26" s="1615"/>
      <c r="E26" s="1615"/>
      <c r="F26" s="2660">
        <v>0.09</v>
      </c>
      <c r="G26" s="1202">
        <f>F26*G25</f>
        <v>309.52312355402535</v>
      </c>
      <c r="H26" s="2660">
        <v>0.09</v>
      </c>
      <c r="I26" s="1202">
        <f>H26*I25</f>
        <v>271.17843144597452</v>
      </c>
      <c r="J26" s="2116"/>
    </row>
    <row r="27" spans="1:11" ht="18" customHeight="1">
      <c r="A27" s="2660">
        <v>18</v>
      </c>
      <c r="B27" s="1619" t="s">
        <v>1645</v>
      </c>
      <c r="C27" s="2680"/>
      <c r="D27" s="1615"/>
      <c r="E27" s="1615"/>
      <c r="F27" s="2660">
        <v>0.09</v>
      </c>
      <c r="G27" s="1202">
        <f>F27*G25</f>
        <v>309.52312355402535</v>
      </c>
      <c r="H27" s="2660">
        <v>0.09</v>
      </c>
      <c r="I27" s="1202">
        <f>H27*I25</f>
        <v>271.17843144597452</v>
      </c>
      <c r="J27" s="2116"/>
    </row>
    <row r="28" spans="1:11" ht="18" customHeight="1">
      <c r="A28" s="2660">
        <v>19</v>
      </c>
      <c r="B28" s="1619" t="s">
        <v>1646</v>
      </c>
      <c r="C28" s="2680"/>
      <c r="D28" s="1615"/>
      <c r="E28" s="1615"/>
      <c r="F28" s="2660"/>
      <c r="G28" s="1202">
        <f>G25+G26+G27</f>
        <v>4058.1920643749995</v>
      </c>
      <c r="H28" s="2660"/>
      <c r="I28" s="1202">
        <f>I25+I26+I27</f>
        <v>3555.4505456249999</v>
      </c>
      <c r="J28" s="2116"/>
    </row>
    <row r="29" spans="1:11" ht="17.25" customHeight="1">
      <c r="A29" s="2644">
        <v>20</v>
      </c>
      <c r="B29" s="3402" t="s">
        <v>2840</v>
      </c>
      <c r="C29" s="3402"/>
      <c r="D29" s="3402"/>
      <c r="E29" s="3402"/>
      <c r="F29" s="3402"/>
      <c r="G29" s="2651">
        <f>+G28</f>
        <v>4058.1920643749995</v>
      </c>
      <c r="H29" s="2651"/>
      <c r="I29" s="2651">
        <f>+I28</f>
        <v>3555.4505456249999</v>
      </c>
      <c r="J29" s="2116"/>
    </row>
    <row r="30" spans="1:11" ht="18" customHeight="1">
      <c r="A30" s="2644">
        <v>21</v>
      </c>
      <c r="B30" s="3402" t="s">
        <v>2841</v>
      </c>
      <c r="C30" s="3402"/>
      <c r="D30" s="3402"/>
      <c r="E30" s="3402"/>
      <c r="F30" s="3402"/>
      <c r="G30" s="2651">
        <f>ROUND(G29,0)</f>
        <v>4058</v>
      </c>
      <c r="H30" s="2651"/>
      <c r="I30" s="2651">
        <f>ROUND(I29,0)</f>
        <v>3555</v>
      </c>
      <c r="J30" s="2116"/>
    </row>
    <row r="31" spans="1:11" ht="15.75">
      <c r="A31" s="2670"/>
      <c r="B31" s="2641"/>
      <c r="C31" s="2641"/>
      <c r="D31" s="2641"/>
      <c r="E31" s="2641"/>
      <c r="F31" s="2641"/>
      <c r="G31" s="584"/>
      <c r="H31" s="584"/>
      <c r="I31" s="584"/>
      <c r="J31" s="2116"/>
    </row>
    <row r="32" spans="1:11" ht="15.75">
      <c r="A32" s="2670"/>
      <c r="B32" s="2641"/>
      <c r="C32" s="2641"/>
      <c r="D32" s="2641"/>
      <c r="E32" s="2641"/>
      <c r="F32" s="2641"/>
      <c r="G32" s="584"/>
      <c r="H32" s="584"/>
      <c r="I32" s="584"/>
      <c r="J32" s="2116"/>
    </row>
  </sheetData>
  <mergeCells count="14">
    <mergeCell ref="B1:D1"/>
    <mergeCell ref="B3:G3"/>
    <mergeCell ref="B5:C5"/>
    <mergeCell ref="A7:A8"/>
    <mergeCell ref="B7:B8"/>
    <mergeCell ref="C7:C8"/>
    <mergeCell ref="D7:D8"/>
    <mergeCell ref="E7:E8"/>
    <mergeCell ref="F7:G7"/>
    <mergeCell ref="H7:I7"/>
    <mergeCell ref="B22:C22"/>
    <mergeCell ref="D22:F22"/>
    <mergeCell ref="B29:F29"/>
    <mergeCell ref="B30:F30"/>
  </mergeCells>
  <conditionalFormatting sqref="B20">
    <cfRule type="cellIs" dxfId="12" priority="2" stopIfTrue="1" operator="equal">
      <formula>"?"</formula>
    </cfRule>
  </conditionalFormatting>
  <conditionalFormatting sqref="B19">
    <cfRule type="cellIs" dxfId="11" priority="1" stopIfTrue="1" operator="equal">
      <formula>"?"</formula>
    </cfRule>
  </conditionalFormatting>
  <pageMargins left="0.98425196850393704" right="0.35433070866141736" top="0.47244094488188981" bottom="0.62992125984251968" header="0.47244094488188981" footer="0.51181102362204722"/>
  <pageSetup scale="9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pane xSplit="2" ySplit="9" topLeftCell="C28" activePane="bottomRight" state="frozen"/>
      <selection pane="topRight" activeCell="C1" sqref="C1"/>
      <selection pane="bottomLeft" activeCell="A10" sqref="A10"/>
      <selection pane="bottomRight" activeCell="J9" sqref="J9"/>
    </sheetView>
  </sheetViews>
  <sheetFormatPr defaultRowHeight="12.75"/>
  <cols>
    <col min="1" max="1" width="4.7109375" style="137" customWidth="1"/>
    <col min="2" max="2" width="57" style="70" customWidth="1"/>
    <col min="3" max="3" width="12.7109375" style="70" customWidth="1"/>
    <col min="4" max="4" width="5.140625" style="70" bestFit="1" customWidth="1"/>
    <col min="5" max="5" width="4.42578125" style="70" bestFit="1" customWidth="1"/>
    <col min="6" max="6" width="9.7109375" style="70" customWidth="1"/>
    <col min="7" max="7" width="10.7109375" style="70" bestFit="1" customWidth="1"/>
    <col min="8" max="8" width="8.42578125" style="70" bestFit="1" customWidth="1"/>
    <col min="9" max="9" width="10.7109375" style="70" bestFit="1" customWidth="1"/>
    <col min="10" max="10" width="23.85546875" style="70" customWidth="1"/>
    <col min="11" max="11" width="12.140625" style="70" customWidth="1"/>
    <col min="12" max="256" width="9.140625" style="70"/>
    <col min="257" max="257" width="4.7109375" style="70" customWidth="1"/>
    <col min="258" max="258" width="57" style="70" customWidth="1"/>
    <col min="259" max="259" width="12.7109375" style="70" customWidth="1"/>
    <col min="260" max="260" width="5.140625" style="70" bestFit="1" customWidth="1"/>
    <col min="261" max="261" width="4.42578125" style="70" bestFit="1" customWidth="1"/>
    <col min="262" max="262" width="9.7109375" style="70" customWidth="1"/>
    <col min="263" max="263" width="10.7109375" style="70" bestFit="1" customWidth="1"/>
    <col min="264" max="264" width="8.42578125" style="70" bestFit="1" customWidth="1"/>
    <col min="265" max="265" width="10.7109375" style="70" bestFit="1" customWidth="1"/>
    <col min="266" max="266" width="23.85546875" style="70" customWidth="1"/>
    <col min="267" max="267" width="12.140625" style="70" customWidth="1"/>
    <col min="268" max="512" width="9.140625" style="70"/>
    <col min="513" max="513" width="4.7109375" style="70" customWidth="1"/>
    <col min="514" max="514" width="57" style="70" customWidth="1"/>
    <col min="515" max="515" width="12.7109375" style="70" customWidth="1"/>
    <col min="516" max="516" width="5.140625" style="70" bestFit="1" customWidth="1"/>
    <col min="517" max="517" width="4.42578125" style="70" bestFit="1" customWidth="1"/>
    <col min="518" max="518" width="9.7109375" style="70" customWidth="1"/>
    <col min="519" max="519" width="10.7109375" style="70" bestFit="1" customWidth="1"/>
    <col min="520" max="520" width="8.42578125" style="70" bestFit="1" customWidth="1"/>
    <col min="521" max="521" width="10.7109375" style="70" bestFit="1" customWidth="1"/>
    <col min="522" max="522" width="23.85546875" style="70" customWidth="1"/>
    <col min="523" max="523" width="12.140625" style="70" customWidth="1"/>
    <col min="524" max="768" width="9.140625" style="70"/>
    <col min="769" max="769" width="4.7109375" style="70" customWidth="1"/>
    <col min="770" max="770" width="57" style="70" customWidth="1"/>
    <col min="771" max="771" width="12.7109375" style="70" customWidth="1"/>
    <col min="772" max="772" width="5.140625" style="70" bestFit="1" customWidth="1"/>
    <col min="773" max="773" width="4.42578125" style="70" bestFit="1" customWidth="1"/>
    <col min="774" max="774" width="9.7109375" style="70" customWidth="1"/>
    <col min="775" max="775" width="10.7109375" style="70" bestFit="1" customWidth="1"/>
    <col min="776" max="776" width="8.42578125" style="70" bestFit="1" customWidth="1"/>
    <col min="777" max="777" width="10.7109375" style="70" bestFit="1" customWidth="1"/>
    <col min="778" max="778" width="23.85546875" style="70" customWidth="1"/>
    <col min="779" max="779" width="12.140625" style="70" customWidth="1"/>
    <col min="780" max="1024" width="9.140625" style="70"/>
    <col min="1025" max="1025" width="4.7109375" style="70" customWidth="1"/>
    <col min="1026" max="1026" width="57" style="70" customWidth="1"/>
    <col min="1027" max="1027" width="12.7109375" style="70" customWidth="1"/>
    <col min="1028" max="1028" width="5.140625" style="70" bestFit="1" customWidth="1"/>
    <col min="1029" max="1029" width="4.42578125" style="70" bestFit="1" customWidth="1"/>
    <col min="1030" max="1030" width="9.7109375" style="70" customWidth="1"/>
    <col min="1031" max="1031" width="10.7109375" style="70" bestFit="1" customWidth="1"/>
    <col min="1032" max="1032" width="8.42578125" style="70" bestFit="1" customWidth="1"/>
    <col min="1033" max="1033" width="10.7109375" style="70" bestFit="1" customWidth="1"/>
    <col min="1034" max="1034" width="23.85546875" style="70" customWidth="1"/>
    <col min="1035" max="1035" width="12.140625" style="70" customWidth="1"/>
    <col min="1036" max="1280" width="9.140625" style="70"/>
    <col min="1281" max="1281" width="4.7109375" style="70" customWidth="1"/>
    <col min="1282" max="1282" width="57" style="70" customWidth="1"/>
    <col min="1283" max="1283" width="12.7109375" style="70" customWidth="1"/>
    <col min="1284" max="1284" width="5.140625" style="70" bestFit="1" customWidth="1"/>
    <col min="1285" max="1285" width="4.42578125" style="70" bestFit="1" customWidth="1"/>
    <col min="1286" max="1286" width="9.7109375" style="70" customWidth="1"/>
    <col min="1287" max="1287" width="10.7109375" style="70" bestFit="1" customWidth="1"/>
    <col min="1288" max="1288" width="8.42578125" style="70" bestFit="1" customWidth="1"/>
    <col min="1289" max="1289" width="10.7109375" style="70" bestFit="1" customWidth="1"/>
    <col min="1290" max="1290" width="23.85546875" style="70" customWidth="1"/>
    <col min="1291" max="1291" width="12.140625" style="70" customWidth="1"/>
    <col min="1292" max="1536" width="9.140625" style="70"/>
    <col min="1537" max="1537" width="4.7109375" style="70" customWidth="1"/>
    <col min="1538" max="1538" width="57" style="70" customWidth="1"/>
    <col min="1539" max="1539" width="12.7109375" style="70" customWidth="1"/>
    <col min="1540" max="1540" width="5.140625" style="70" bestFit="1" customWidth="1"/>
    <col min="1541" max="1541" width="4.42578125" style="70" bestFit="1" customWidth="1"/>
    <col min="1542" max="1542" width="9.7109375" style="70" customWidth="1"/>
    <col min="1543" max="1543" width="10.7109375" style="70" bestFit="1" customWidth="1"/>
    <col min="1544" max="1544" width="8.42578125" style="70" bestFit="1" customWidth="1"/>
    <col min="1545" max="1545" width="10.7109375" style="70" bestFit="1" customWidth="1"/>
    <col min="1546" max="1546" width="23.85546875" style="70" customWidth="1"/>
    <col min="1547" max="1547" width="12.140625" style="70" customWidth="1"/>
    <col min="1548" max="1792" width="9.140625" style="70"/>
    <col min="1793" max="1793" width="4.7109375" style="70" customWidth="1"/>
    <col min="1794" max="1794" width="57" style="70" customWidth="1"/>
    <col min="1795" max="1795" width="12.7109375" style="70" customWidth="1"/>
    <col min="1796" max="1796" width="5.140625" style="70" bestFit="1" customWidth="1"/>
    <col min="1797" max="1797" width="4.42578125" style="70" bestFit="1" customWidth="1"/>
    <col min="1798" max="1798" width="9.7109375" style="70" customWidth="1"/>
    <col min="1799" max="1799" width="10.7109375" style="70" bestFit="1" customWidth="1"/>
    <col min="1800" max="1800" width="8.42578125" style="70" bestFit="1" customWidth="1"/>
    <col min="1801" max="1801" width="10.7109375" style="70" bestFit="1" customWidth="1"/>
    <col min="1802" max="1802" width="23.85546875" style="70" customWidth="1"/>
    <col min="1803" max="1803" width="12.140625" style="70" customWidth="1"/>
    <col min="1804" max="2048" width="9.140625" style="70"/>
    <col min="2049" max="2049" width="4.7109375" style="70" customWidth="1"/>
    <col min="2050" max="2050" width="57" style="70" customWidth="1"/>
    <col min="2051" max="2051" width="12.7109375" style="70" customWidth="1"/>
    <col min="2052" max="2052" width="5.140625" style="70" bestFit="1" customWidth="1"/>
    <col min="2053" max="2053" width="4.42578125" style="70" bestFit="1" customWidth="1"/>
    <col min="2054" max="2054" width="9.7109375" style="70" customWidth="1"/>
    <col min="2055" max="2055" width="10.7109375" style="70" bestFit="1" customWidth="1"/>
    <col min="2056" max="2056" width="8.42578125" style="70" bestFit="1" customWidth="1"/>
    <col min="2057" max="2057" width="10.7109375" style="70" bestFit="1" customWidth="1"/>
    <col min="2058" max="2058" width="23.85546875" style="70" customWidth="1"/>
    <col min="2059" max="2059" width="12.140625" style="70" customWidth="1"/>
    <col min="2060" max="2304" width="9.140625" style="70"/>
    <col min="2305" max="2305" width="4.7109375" style="70" customWidth="1"/>
    <col min="2306" max="2306" width="57" style="70" customWidth="1"/>
    <col min="2307" max="2307" width="12.7109375" style="70" customWidth="1"/>
    <col min="2308" max="2308" width="5.140625" style="70" bestFit="1" customWidth="1"/>
    <col min="2309" max="2309" width="4.42578125" style="70" bestFit="1" customWidth="1"/>
    <col min="2310" max="2310" width="9.7109375" style="70" customWidth="1"/>
    <col min="2311" max="2311" width="10.7109375" style="70" bestFit="1" customWidth="1"/>
    <col min="2312" max="2312" width="8.42578125" style="70" bestFit="1" customWidth="1"/>
    <col min="2313" max="2313" width="10.7109375" style="70" bestFit="1" customWidth="1"/>
    <col min="2314" max="2314" width="23.85546875" style="70" customWidth="1"/>
    <col min="2315" max="2315" width="12.140625" style="70" customWidth="1"/>
    <col min="2316" max="2560" width="9.140625" style="70"/>
    <col min="2561" max="2561" width="4.7109375" style="70" customWidth="1"/>
    <col min="2562" max="2562" width="57" style="70" customWidth="1"/>
    <col min="2563" max="2563" width="12.7109375" style="70" customWidth="1"/>
    <col min="2564" max="2564" width="5.140625" style="70" bestFit="1" customWidth="1"/>
    <col min="2565" max="2565" width="4.42578125" style="70" bestFit="1" customWidth="1"/>
    <col min="2566" max="2566" width="9.7109375" style="70" customWidth="1"/>
    <col min="2567" max="2567" width="10.7109375" style="70" bestFit="1" customWidth="1"/>
    <col min="2568" max="2568" width="8.42578125" style="70" bestFit="1" customWidth="1"/>
    <col min="2569" max="2569" width="10.7109375" style="70" bestFit="1" customWidth="1"/>
    <col min="2570" max="2570" width="23.85546875" style="70" customWidth="1"/>
    <col min="2571" max="2571" width="12.140625" style="70" customWidth="1"/>
    <col min="2572" max="2816" width="9.140625" style="70"/>
    <col min="2817" max="2817" width="4.7109375" style="70" customWidth="1"/>
    <col min="2818" max="2818" width="57" style="70" customWidth="1"/>
    <col min="2819" max="2819" width="12.7109375" style="70" customWidth="1"/>
    <col min="2820" max="2820" width="5.140625" style="70" bestFit="1" customWidth="1"/>
    <col min="2821" max="2821" width="4.42578125" style="70" bestFit="1" customWidth="1"/>
    <col min="2822" max="2822" width="9.7109375" style="70" customWidth="1"/>
    <col min="2823" max="2823" width="10.7109375" style="70" bestFit="1" customWidth="1"/>
    <col min="2824" max="2824" width="8.42578125" style="70" bestFit="1" customWidth="1"/>
    <col min="2825" max="2825" width="10.7109375" style="70" bestFit="1" customWidth="1"/>
    <col min="2826" max="2826" width="23.85546875" style="70" customWidth="1"/>
    <col min="2827" max="2827" width="12.140625" style="70" customWidth="1"/>
    <col min="2828" max="3072" width="9.140625" style="70"/>
    <col min="3073" max="3073" width="4.7109375" style="70" customWidth="1"/>
    <col min="3074" max="3074" width="57" style="70" customWidth="1"/>
    <col min="3075" max="3075" width="12.7109375" style="70" customWidth="1"/>
    <col min="3076" max="3076" width="5.140625" style="70" bestFit="1" customWidth="1"/>
    <col min="3077" max="3077" width="4.42578125" style="70" bestFit="1" customWidth="1"/>
    <col min="3078" max="3078" width="9.7109375" style="70" customWidth="1"/>
    <col min="3079" max="3079" width="10.7109375" style="70" bestFit="1" customWidth="1"/>
    <col min="3080" max="3080" width="8.42578125" style="70" bestFit="1" customWidth="1"/>
    <col min="3081" max="3081" width="10.7109375" style="70" bestFit="1" customWidth="1"/>
    <col min="3082" max="3082" width="23.85546875" style="70" customWidth="1"/>
    <col min="3083" max="3083" width="12.140625" style="70" customWidth="1"/>
    <col min="3084" max="3328" width="9.140625" style="70"/>
    <col min="3329" max="3329" width="4.7109375" style="70" customWidth="1"/>
    <col min="3330" max="3330" width="57" style="70" customWidth="1"/>
    <col min="3331" max="3331" width="12.7109375" style="70" customWidth="1"/>
    <col min="3332" max="3332" width="5.140625" style="70" bestFit="1" customWidth="1"/>
    <col min="3333" max="3333" width="4.42578125" style="70" bestFit="1" customWidth="1"/>
    <col min="3334" max="3334" width="9.7109375" style="70" customWidth="1"/>
    <col min="3335" max="3335" width="10.7109375" style="70" bestFit="1" customWidth="1"/>
    <col min="3336" max="3336" width="8.42578125" style="70" bestFit="1" customWidth="1"/>
    <col min="3337" max="3337" width="10.7109375" style="70" bestFit="1" customWidth="1"/>
    <col min="3338" max="3338" width="23.85546875" style="70" customWidth="1"/>
    <col min="3339" max="3339" width="12.140625" style="70" customWidth="1"/>
    <col min="3340" max="3584" width="9.140625" style="70"/>
    <col min="3585" max="3585" width="4.7109375" style="70" customWidth="1"/>
    <col min="3586" max="3586" width="57" style="70" customWidth="1"/>
    <col min="3587" max="3587" width="12.7109375" style="70" customWidth="1"/>
    <col min="3588" max="3588" width="5.140625" style="70" bestFit="1" customWidth="1"/>
    <col min="3589" max="3589" width="4.42578125" style="70" bestFit="1" customWidth="1"/>
    <col min="3590" max="3590" width="9.7109375" style="70" customWidth="1"/>
    <col min="3591" max="3591" width="10.7109375" style="70" bestFit="1" customWidth="1"/>
    <col min="3592" max="3592" width="8.42578125" style="70" bestFit="1" customWidth="1"/>
    <col min="3593" max="3593" width="10.7109375" style="70" bestFit="1" customWidth="1"/>
    <col min="3594" max="3594" width="23.85546875" style="70" customWidth="1"/>
    <col min="3595" max="3595" width="12.140625" style="70" customWidth="1"/>
    <col min="3596" max="3840" width="9.140625" style="70"/>
    <col min="3841" max="3841" width="4.7109375" style="70" customWidth="1"/>
    <col min="3842" max="3842" width="57" style="70" customWidth="1"/>
    <col min="3843" max="3843" width="12.7109375" style="70" customWidth="1"/>
    <col min="3844" max="3844" width="5.140625" style="70" bestFit="1" customWidth="1"/>
    <col min="3845" max="3845" width="4.42578125" style="70" bestFit="1" customWidth="1"/>
    <col min="3846" max="3846" width="9.7109375" style="70" customWidth="1"/>
    <col min="3847" max="3847" width="10.7109375" style="70" bestFit="1" customWidth="1"/>
    <col min="3848" max="3848" width="8.42578125" style="70" bestFit="1" customWidth="1"/>
    <col min="3849" max="3849" width="10.7109375" style="70" bestFit="1" customWidth="1"/>
    <col min="3850" max="3850" width="23.85546875" style="70" customWidth="1"/>
    <col min="3851" max="3851" width="12.140625" style="70" customWidth="1"/>
    <col min="3852" max="4096" width="9.140625" style="70"/>
    <col min="4097" max="4097" width="4.7109375" style="70" customWidth="1"/>
    <col min="4098" max="4098" width="57" style="70" customWidth="1"/>
    <col min="4099" max="4099" width="12.7109375" style="70" customWidth="1"/>
    <col min="4100" max="4100" width="5.140625" style="70" bestFit="1" customWidth="1"/>
    <col min="4101" max="4101" width="4.42578125" style="70" bestFit="1" customWidth="1"/>
    <col min="4102" max="4102" width="9.7109375" style="70" customWidth="1"/>
    <col min="4103" max="4103" width="10.7109375" style="70" bestFit="1" customWidth="1"/>
    <col min="4104" max="4104" width="8.42578125" style="70" bestFit="1" customWidth="1"/>
    <col min="4105" max="4105" width="10.7109375" style="70" bestFit="1" customWidth="1"/>
    <col min="4106" max="4106" width="23.85546875" style="70" customWidth="1"/>
    <col min="4107" max="4107" width="12.140625" style="70" customWidth="1"/>
    <col min="4108" max="4352" width="9.140625" style="70"/>
    <col min="4353" max="4353" width="4.7109375" style="70" customWidth="1"/>
    <col min="4354" max="4354" width="57" style="70" customWidth="1"/>
    <col min="4355" max="4355" width="12.7109375" style="70" customWidth="1"/>
    <col min="4356" max="4356" width="5.140625" style="70" bestFit="1" customWidth="1"/>
    <col min="4357" max="4357" width="4.42578125" style="70" bestFit="1" customWidth="1"/>
    <col min="4358" max="4358" width="9.7109375" style="70" customWidth="1"/>
    <col min="4359" max="4359" width="10.7109375" style="70" bestFit="1" customWidth="1"/>
    <col min="4360" max="4360" width="8.42578125" style="70" bestFit="1" customWidth="1"/>
    <col min="4361" max="4361" width="10.7109375" style="70" bestFit="1" customWidth="1"/>
    <col min="4362" max="4362" width="23.85546875" style="70" customWidth="1"/>
    <col min="4363" max="4363" width="12.140625" style="70" customWidth="1"/>
    <col min="4364" max="4608" width="9.140625" style="70"/>
    <col min="4609" max="4609" width="4.7109375" style="70" customWidth="1"/>
    <col min="4610" max="4610" width="57" style="70" customWidth="1"/>
    <col min="4611" max="4611" width="12.7109375" style="70" customWidth="1"/>
    <col min="4612" max="4612" width="5.140625" style="70" bestFit="1" customWidth="1"/>
    <col min="4613" max="4613" width="4.42578125" style="70" bestFit="1" customWidth="1"/>
    <col min="4614" max="4614" width="9.7109375" style="70" customWidth="1"/>
    <col min="4615" max="4615" width="10.7109375" style="70" bestFit="1" customWidth="1"/>
    <col min="4616" max="4616" width="8.42578125" style="70" bestFit="1" customWidth="1"/>
    <col min="4617" max="4617" width="10.7109375" style="70" bestFit="1" customWidth="1"/>
    <col min="4618" max="4618" width="23.85546875" style="70" customWidth="1"/>
    <col min="4619" max="4619" width="12.140625" style="70" customWidth="1"/>
    <col min="4620" max="4864" width="9.140625" style="70"/>
    <col min="4865" max="4865" width="4.7109375" style="70" customWidth="1"/>
    <col min="4866" max="4866" width="57" style="70" customWidth="1"/>
    <col min="4867" max="4867" width="12.7109375" style="70" customWidth="1"/>
    <col min="4868" max="4868" width="5.140625" style="70" bestFit="1" customWidth="1"/>
    <col min="4869" max="4869" width="4.42578125" style="70" bestFit="1" customWidth="1"/>
    <col min="4870" max="4870" width="9.7109375" style="70" customWidth="1"/>
    <col min="4871" max="4871" width="10.7109375" style="70" bestFit="1" customWidth="1"/>
    <col min="4872" max="4872" width="8.42578125" style="70" bestFit="1" customWidth="1"/>
    <col min="4873" max="4873" width="10.7109375" style="70" bestFit="1" customWidth="1"/>
    <col min="4874" max="4874" width="23.85546875" style="70" customWidth="1"/>
    <col min="4875" max="4875" width="12.140625" style="70" customWidth="1"/>
    <col min="4876" max="5120" width="9.140625" style="70"/>
    <col min="5121" max="5121" width="4.7109375" style="70" customWidth="1"/>
    <col min="5122" max="5122" width="57" style="70" customWidth="1"/>
    <col min="5123" max="5123" width="12.7109375" style="70" customWidth="1"/>
    <col min="5124" max="5124" width="5.140625" style="70" bestFit="1" customWidth="1"/>
    <col min="5125" max="5125" width="4.42578125" style="70" bestFit="1" customWidth="1"/>
    <col min="5126" max="5126" width="9.7109375" style="70" customWidth="1"/>
    <col min="5127" max="5127" width="10.7109375" style="70" bestFit="1" customWidth="1"/>
    <col min="5128" max="5128" width="8.42578125" style="70" bestFit="1" customWidth="1"/>
    <col min="5129" max="5129" width="10.7109375" style="70" bestFit="1" customWidth="1"/>
    <col min="5130" max="5130" width="23.85546875" style="70" customWidth="1"/>
    <col min="5131" max="5131" width="12.140625" style="70" customWidth="1"/>
    <col min="5132" max="5376" width="9.140625" style="70"/>
    <col min="5377" max="5377" width="4.7109375" style="70" customWidth="1"/>
    <col min="5378" max="5378" width="57" style="70" customWidth="1"/>
    <col min="5379" max="5379" width="12.7109375" style="70" customWidth="1"/>
    <col min="5380" max="5380" width="5.140625" style="70" bestFit="1" customWidth="1"/>
    <col min="5381" max="5381" width="4.42578125" style="70" bestFit="1" customWidth="1"/>
    <col min="5382" max="5382" width="9.7109375" style="70" customWidth="1"/>
    <col min="5383" max="5383" width="10.7109375" style="70" bestFit="1" customWidth="1"/>
    <col min="5384" max="5384" width="8.42578125" style="70" bestFit="1" customWidth="1"/>
    <col min="5385" max="5385" width="10.7109375" style="70" bestFit="1" customWidth="1"/>
    <col min="5386" max="5386" width="23.85546875" style="70" customWidth="1"/>
    <col min="5387" max="5387" width="12.140625" style="70" customWidth="1"/>
    <col min="5388" max="5632" width="9.140625" style="70"/>
    <col min="5633" max="5633" width="4.7109375" style="70" customWidth="1"/>
    <col min="5634" max="5634" width="57" style="70" customWidth="1"/>
    <col min="5635" max="5635" width="12.7109375" style="70" customWidth="1"/>
    <col min="5636" max="5636" width="5.140625" style="70" bestFit="1" customWidth="1"/>
    <col min="5637" max="5637" width="4.42578125" style="70" bestFit="1" customWidth="1"/>
    <col min="5638" max="5638" width="9.7109375" style="70" customWidth="1"/>
    <col min="5639" max="5639" width="10.7109375" style="70" bestFit="1" customWidth="1"/>
    <col min="5640" max="5640" width="8.42578125" style="70" bestFit="1" customWidth="1"/>
    <col min="5641" max="5641" width="10.7109375" style="70" bestFit="1" customWidth="1"/>
    <col min="5642" max="5642" width="23.85546875" style="70" customWidth="1"/>
    <col min="5643" max="5643" width="12.140625" style="70" customWidth="1"/>
    <col min="5644" max="5888" width="9.140625" style="70"/>
    <col min="5889" max="5889" width="4.7109375" style="70" customWidth="1"/>
    <col min="5890" max="5890" width="57" style="70" customWidth="1"/>
    <col min="5891" max="5891" width="12.7109375" style="70" customWidth="1"/>
    <col min="5892" max="5892" width="5.140625" style="70" bestFit="1" customWidth="1"/>
    <col min="5893" max="5893" width="4.42578125" style="70" bestFit="1" customWidth="1"/>
    <col min="5894" max="5894" width="9.7109375" style="70" customWidth="1"/>
    <col min="5895" max="5895" width="10.7109375" style="70" bestFit="1" customWidth="1"/>
    <col min="5896" max="5896" width="8.42578125" style="70" bestFit="1" customWidth="1"/>
    <col min="5897" max="5897" width="10.7109375" style="70" bestFit="1" customWidth="1"/>
    <col min="5898" max="5898" width="23.85546875" style="70" customWidth="1"/>
    <col min="5899" max="5899" width="12.140625" style="70" customWidth="1"/>
    <col min="5900" max="6144" width="9.140625" style="70"/>
    <col min="6145" max="6145" width="4.7109375" style="70" customWidth="1"/>
    <col min="6146" max="6146" width="57" style="70" customWidth="1"/>
    <col min="6147" max="6147" width="12.7109375" style="70" customWidth="1"/>
    <col min="6148" max="6148" width="5.140625" style="70" bestFit="1" customWidth="1"/>
    <col min="6149" max="6149" width="4.42578125" style="70" bestFit="1" customWidth="1"/>
    <col min="6150" max="6150" width="9.7109375" style="70" customWidth="1"/>
    <col min="6151" max="6151" width="10.7109375" style="70" bestFit="1" customWidth="1"/>
    <col min="6152" max="6152" width="8.42578125" style="70" bestFit="1" customWidth="1"/>
    <col min="6153" max="6153" width="10.7109375" style="70" bestFit="1" customWidth="1"/>
    <col min="6154" max="6154" width="23.85546875" style="70" customWidth="1"/>
    <col min="6155" max="6155" width="12.140625" style="70" customWidth="1"/>
    <col min="6156" max="6400" width="9.140625" style="70"/>
    <col min="6401" max="6401" width="4.7109375" style="70" customWidth="1"/>
    <col min="6402" max="6402" width="57" style="70" customWidth="1"/>
    <col min="6403" max="6403" width="12.7109375" style="70" customWidth="1"/>
    <col min="6404" max="6404" width="5.140625" style="70" bestFit="1" customWidth="1"/>
    <col min="6405" max="6405" width="4.42578125" style="70" bestFit="1" customWidth="1"/>
    <col min="6406" max="6406" width="9.7109375" style="70" customWidth="1"/>
    <col min="6407" max="6407" width="10.7109375" style="70" bestFit="1" customWidth="1"/>
    <col min="6408" max="6408" width="8.42578125" style="70" bestFit="1" customWidth="1"/>
    <col min="6409" max="6409" width="10.7109375" style="70" bestFit="1" customWidth="1"/>
    <col min="6410" max="6410" width="23.85546875" style="70" customWidth="1"/>
    <col min="6411" max="6411" width="12.140625" style="70" customWidth="1"/>
    <col min="6412" max="6656" width="9.140625" style="70"/>
    <col min="6657" max="6657" width="4.7109375" style="70" customWidth="1"/>
    <col min="6658" max="6658" width="57" style="70" customWidth="1"/>
    <col min="6659" max="6659" width="12.7109375" style="70" customWidth="1"/>
    <col min="6660" max="6660" width="5.140625" style="70" bestFit="1" customWidth="1"/>
    <col min="6661" max="6661" width="4.42578125" style="70" bestFit="1" customWidth="1"/>
    <col min="6662" max="6662" width="9.7109375" style="70" customWidth="1"/>
    <col min="6663" max="6663" width="10.7109375" style="70" bestFit="1" customWidth="1"/>
    <col min="6664" max="6664" width="8.42578125" style="70" bestFit="1" customWidth="1"/>
    <col min="6665" max="6665" width="10.7109375" style="70" bestFit="1" customWidth="1"/>
    <col min="6666" max="6666" width="23.85546875" style="70" customWidth="1"/>
    <col min="6667" max="6667" width="12.140625" style="70" customWidth="1"/>
    <col min="6668" max="6912" width="9.140625" style="70"/>
    <col min="6913" max="6913" width="4.7109375" style="70" customWidth="1"/>
    <col min="6914" max="6914" width="57" style="70" customWidth="1"/>
    <col min="6915" max="6915" width="12.7109375" style="70" customWidth="1"/>
    <col min="6916" max="6916" width="5.140625" style="70" bestFit="1" customWidth="1"/>
    <col min="6917" max="6917" width="4.42578125" style="70" bestFit="1" customWidth="1"/>
    <col min="6918" max="6918" width="9.7109375" style="70" customWidth="1"/>
    <col min="6919" max="6919" width="10.7109375" style="70" bestFit="1" customWidth="1"/>
    <col min="6920" max="6920" width="8.42578125" style="70" bestFit="1" customWidth="1"/>
    <col min="6921" max="6921" width="10.7109375" style="70" bestFit="1" customWidth="1"/>
    <col min="6922" max="6922" width="23.85546875" style="70" customWidth="1"/>
    <col min="6923" max="6923" width="12.140625" style="70" customWidth="1"/>
    <col min="6924" max="7168" width="9.140625" style="70"/>
    <col min="7169" max="7169" width="4.7109375" style="70" customWidth="1"/>
    <col min="7170" max="7170" width="57" style="70" customWidth="1"/>
    <col min="7171" max="7171" width="12.7109375" style="70" customWidth="1"/>
    <col min="7172" max="7172" width="5.140625" style="70" bestFit="1" customWidth="1"/>
    <col min="7173" max="7173" width="4.42578125" style="70" bestFit="1" customWidth="1"/>
    <col min="7174" max="7174" width="9.7109375" style="70" customWidth="1"/>
    <col min="7175" max="7175" width="10.7109375" style="70" bestFit="1" customWidth="1"/>
    <col min="7176" max="7176" width="8.42578125" style="70" bestFit="1" customWidth="1"/>
    <col min="7177" max="7177" width="10.7109375" style="70" bestFit="1" customWidth="1"/>
    <col min="7178" max="7178" width="23.85546875" style="70" customWidth="1"/>
    <col min="7179" max="7179" width="12.140625" style="70" customWidth="1"/>
    <col min="7180" max="7424" width="9.140625" style="70"/>
    <col min="7425" max="7425" width="4.7109375" style="70" customWidth="1"/>
    <col min="7426" max="7426" width="57" style="70" customWidth="1"/>
    <col min="7427" max="7427" width="12.7109375" style="70" customWidth="1"/>
    <col min="7428" max="7428" width="5.140625" style="70" bestFit="1" customWidth="1"/>
    <col min="7429" max="7429" width="4.42578125" style="70" bestFit="1" customWidth="1"/>
    <col min="7430" max="7430" width="9.7109375" style="70" customWidth="1"/>
    <col min="7431" max="7431" width="10.7109375" style="70" bestFit="1" customWidth="1"/>
    <col min="7432" max="7432" width="8.42578125" style="70" bestFit="1" customWidth="1"/>
    <col min="7433" max="7433" width="10.7109375" style="70" bestFit="1" customWidth="1"/>
    <col min="7434" max="7434" width="23.85546875" style="70" customWidth="1"/>
    <col min="7435" max="7435" width="12.140625" style="70" customWidth="1"/>
    <col min="7436" max="7680" width="9.140625" style="70"/>
    <col min="7681" max="7681" width="4.7109375" style="70" customWidth="1"/>
    <col min="7682" max="7682" width="57" style="70" customWidth="1"/>
    <col min="7683" max="7683" width="12.7109375" style="70" customWidth="1"/>
    <col min="7684" max="7684" width="5.140625" style="70" bestFit="1" customWidth="1"/>
    <col min="7685" max="7685" width="4.42578125" style="70" bestFit="1" customWidth="1"/>
    <col min="7686" max="7686" width="9.7109375" style="70" customWidth="1"/>
    <col min="7687" max="7687" width="10.7109375" style="70" bestFit="1" customWidth="1"/>
    <col min="7688" max="7688" width="8.42578125" style="70" bestFit="1" customWidth="1"/>
    <col min="7689" max="7689" width="10.7109375" style="70" bestFit="1" customWidth="1"/>
    <col min="7690" max="7690" width="23.85546875" style="70" customWidth="1"/>
    <col min="7691" max="7691" width="12.140625" style="70" customWidth="1"/>
    <col min="7692" max="7936" width="9.140625" style="70"/>
    <col min="7937" max="7937" width="4.7109375" style="70" customWidth="1"/>
    <col min="7938" max="7938" width="57" style="70" customWidth="1"/>
    <col min="7939" max="7939" width="12.7109375" style="70" customWidth="1"/>
    <col min="7940" max="7940" width="5.140625" style="70" bestFit="1" customWidth="1"/>
    <col min="7941" max="7941" width="4.42578125" style="70" bestFit="1" customWidth="1"/>
    <col min="7942" max="7942" width="9.7109375" style="70" customWidth="1"/>
    <col min="7943" max="7943" width="10.7109375" style="70" bestFit="1" customWidth="1"/>
    <col min="7944" max="7944" width="8.42578125" style="70" bestFit="1" customWidth="1"/>
    <col min="7945" max="7945" width="10.7109375" style="70" bestFit="1" customWidth="1"/>
    <col min="7946" max="7946" width="23.85546875" style="70" customWidth="1"/>
    <col min="7947" max="7947" width="12.140625" style="70" customWidth="1"/>
    <col min="7948" max="8192" width="9.140625" style="70"/>
    <col min="8193" max="8193" width="4.7109375" style="70" customWidth="1"/>
    <col min="8194" max="8194" width="57" style="70" customWidth="1"/>
    <col min="8195" max="8195" width="12.7109375" style="70" customWidth="1"/>
    <col min="8196" max="8196" width="5.140625" style="70" bestFit="1" customWidth="1"/>
    <col min="8197" max="8197" width="4.42578125" style="70" bestFit="1" customWidth="1"/>
    <col min="8198" max="8198" width="9.7109375" style="70" customWidth="1"/>
    <col min="8199" max="8199" width="10.7109375" style="70" bestFit="1" customWidth="1"/>
    <col min="8200" max="8200" width="8.42578125" style="70" bestFit="1" customWidth="1"/>
    <col min="8201" max="8201" width="10.7109375" style="70" bestFit="1" customWidth="1"/>
    <col min="8202" max="8202" width="23.85546875" style="70" customWidth="1"/>
    <col min="8203" max="8203" width="12.140625" style="70" customWidth="1"/>
    <col min="8204" max="8448" width="9.140625" style="70"/>
    <col min="8449" max="8449" width="4.7109375" style="70" customWidth="1"/>
    <col min="8450" max="8450" width="57" style="70" customWidth="1"/>
    <col min="8451" max="8451" width="12.7109375" style="70" customWidth="1"/>
    <col min="8452" max="8452" width="5.140625" style="70" bestFit="1" customWidth="1"/>
    <col min="8453" max="8453" width="4.42578125" style="70" bestFit="1" customWidth="1"/>
    <col min="8454" max="8454" width="9.7109375" style="70" customWidth="1"/>
    <col min="8455" max="8455" width="10.7109375" style="70" bestFit="1" customWidth="1"/>
    <col min="8456" max="8456" width="8.42578125" style="70" bestFit="1" customWidth="1"/>
    <col min="8457" max="8457" width="10.7109375" style="70" bestFit="1" customWidth="1"/>
    <col min="8458" max="8458" width="23.85546875" style="70" customWidth="1"/>
    <col min="8459" max="8459" width="12.140625" style="70" customWidth="1"/>
    <col min="8460" max="8704" width="9.140625" style="70"/>
    <col min="8705" max="8705" width="4.7109375" style="70" customWidth="1"/>
    <col min="8706" max="8706" width="57" style="70" customWidth="1"/>
    <col min="8707" max="8707" width="12.7109375" style="70" customWidth="1"/>
    <col min="8708" max="8708" width="5.140625" style="70" bestFit="1" customWidth="1"/>
    <col min="8709" max="8709" width="4.42578125" style="70" bestFit="1" customWidth="1"/>
    <col min="8710" max="8710" width="9.7109375" style="70" customWidth="1"/>
    <col min="8711" max="8711" width="10.7109375" style="70" bestFit="1" customWidth="1"/>
    <col min="8712" max="8712" width="8.42578125" style="70" bestFit="1" customWidth="1"/>
    <col min="8713" max="8713" width="10.7109375" style="70" bestFit="1" customWidth="1"/>
    <col min="8714" max="8714" width="23.85546875" style="70" customWidth="1"/>
    <col min="8715" max="8715" width="12.140625" style="70" customWidth="1"/>
    <col min="8716" max="8960" width="9.140625" style="70"/>
    <col min="8961" max="8961" width="4.7109375" style="70" customWidth="1"/>
    <col min="8962" max="8962" width="57" style="70" customWidth="1"/>
    <col min="8963" max="8963" width="12.7109375" style="70" customWidth="1"/>
    <col min="8964" max="8964" width="5.140625" style="70" bestFit="1" customWidth="1"/>
    <col min="8965" max="8965" width="4.42578125" style="70" bestFit="1" customWidth="1"/>
    <col min="8966" max="8966" width="9.7109375" style="70" customWidth="1"/>
    <col min="8967" max="8967" width="10.7109375" style="70" bestFit="1" customWidth="1"/>
    <col min="8968" max="8968" width="8.42578125" style="70" bestFit="1" customWidth="1"/>
    <col min="8969" max="8969" width="10.7109375" style="70" bestFit="1" customWidth="1"/>
    <col min="8970" max="8970" width="23.85546875" style="70" customWidth="1"/>
    <col min="8971" max="8971" width="12.140625" style="70" customWidth="1"/>
    <col min="8972" max="9216" width="9.140625" style="70"/>
    <col min="9217" max="9217" width="4.7109375" style="70" customWidth="1"/>
    <col min="9218" max="9218" width="57" style="70" customWidth="1"/>
    <col min="9219" max="9219" width="12.7109375" style="70" customWidth="1"/>
    <col min="9220" max="9220" width="5.140625" style="70" bestFit="1" customWidth="1"/>
    <col min="9221" max="9221" width="4.42578125" style="70" bestFit="1" customWidth="1"/>
    <col min="9222" max="9222" width="9.7109375" style="70" customWidth="1"/>
    <col min="9223" max="9223" width="10.7109375" style="70" bestFit="1" customWidth="1"/>
    <col min="9224" max="9224" width="8.42578125" style="70" bestFit="1" customWidth="1"/>
    <col min="9225" max="9225" width="10.7109375" style="70" bestFit="1" customWidth="1"/>
    <col min="9226" max="9226" width="23.85546875" style="70" customWidth="1"/>
    <col min="9227" max="9227" width="12.140625" style="70" customWidth="1"/>
    <col min="9228" max="9472" width="9.140625" style="70"/>
    <col min="9473" max="9473" width="4.7109375" style="70" customWidth="1"/>
    <col min="9474" max="9474" width="57" style="70" customWidth="1"/>
    <col min="9475" max="9475" width="12.7109375" style="70" customWidth="1"/>
    <col min="9476" max="9476" width="5.140625" style="70" bestFit="1" customWidth="1"/>
    <col min="9477" max="9477" width="4.42578125" style="70" bestFit="1" customWidth="1"/>
    <col min="9478" max="9478" width="9.7109375" style="70" customWidth="1"/>
    <col min="9479" max="9479" width="10.7109375" style="70" bestFit="1" customWidth="1"/>
    <col min="9480" max="9480" width="8.42578125" style="70" bestFit="1" customWidth="1"/>
    <col min="9481" max="9481" width="10.7109375" style="70" bestFit="1" customWidth="1"/>
    <col min="9482" max="9482" width="23.85546875" style="70" customWidth="1"/>
    <col min="9483" max="9483" width="12.140625" style="70" customWidth="1"/>
    <col min="9484" max="9728" width="9.140625" style="70"/>
    <col min="9729" max="9729" width="4.7109375" style="70" customWidth="1"/>
    <col min="9730" max="9730" width="57" style="70" customWidth="1"/>
    <col min="9731" max="9731" width="12.7109375" style="70" customWidth="1"/>
    <col min="9732" max="9732" width="5.140625" style="70" bestFit="1" customWidth="1"/>
    <col min="9733" max="9733" width="4.42578125" style="70" bestFit="1" customWidth="1"/>
    <col min="9734" max="9734" width="9.7109375" style="70" customWidth="1"/>
    <col min="9735" max="9735" width="10.7109375" style="70" bestFit="1" customWidth="1"/>
    <col min="9736" max="9736" width="8.42578125" style="70" bestFit="1" customWidth="1"/>
    <col min="9737" max="9737" width="10.7109375" style="70" bestFit="1" customWidth="1"/>
    <col min="9738" max="9738" width="23.85546875" style="70" customWidth="1"/>
    <col min="9739" max="9739" width="12.140625" style="70" customWidth="1"/>
    <col min="9740" max="9984" width="9.140625" style="70"/>
    <col min="9985" max="9985" width="4.7109375" style="70" customWidth="1"/>
    <col min="9986" max="9986" width="57" style="70" customWidth="1"/>
    <col min="9987" max="9987" width="12.7109375" style="70" customWidth="1"/>
    <col min="9988" max="9988" width="5.140625" style="70" bestFit="1" customWidth="1"/>
    <col min="9989" max="9989" width="4.42578125" style="70" bestFit="1" customWidth="1"/>
    <col min="9990" max="9990" width="9.7109375" style="70" customWidth="1"/>
    <col min="9991" max="9991" width="10.7109375" style="70" bestFit="1" customWidth="1"/>
    <col min="9992" max="9992" width="8.42578125" style="70" bestFit="1" customWidth="1"/>
    <col min="9993" max="9993" width="10.7109375" style="70" bestFit="1" customWidth="1"/>
    <col min="9994" max="9994" width="23.85546875" style="70" customWidth="1"/>
    <col min="9995" max="9995" width="12.140625" style="70" customWidth="1"/>
    <col min="9996" max="10240" width="9.140625" style="70"/>
    <col min="10241" max="10241" width="4.7109375" style="70" customWidth="1"/>
    <col min="10242" max="10242" width="57" style="70" customWidth="1"/>
    <col min="10243" max="10243" width="12.7109375" style="70" customWidth="1"/>
    <col min="10244" max="10244" width="5.140625" style="70" bestFit="1" customWidth="1"/>
    <col min="10245" max="10245" width="4.42578125" style="70" bestFit="1" customWidth="1"/>
    <col min="10246" max="10246" width="9.7109375" style="70" customWidth="1"/>
    <col min="10247" max="10247" width="10.7109375" style="70" bestFit="1" customWidth="1"/>
    <col min="10248" max="10248" width="8.42578125" style="70" bestFit="1" customWidth="1"/>
    <col min="10249" max="10249" width="10.7109375" style="70" bestFit="1" customWidth="1"/>
    <col min="10250" max="10250" width="23.85546875" style="70" customWidth="1"/>
    <col min="10251" max="10251" width="12.140625" style="70" customWidth="1"/>
    <col min="10252" max="10496" width="9.140625" style="70"/>
    <col min="10497" max="10497" width="4.7109375" style="70" customWidth="1"/>
    <col min="10498" max="10498" width="57" style="70" customWidth="1"/>
    <col min="10499" max="10499" width="12.7109375" style="70" customWidth="1"/>
    <col min="10500" max="10500" width="5.140625" style="70" bestFit="1" customWidth="1"/>
    <col min="10501" max="10501" width="4.42578125" style="70" bestFit="1" customWidth="1"/>
    <col min="10502" max="10502" width="9.7109375" style="70" customWidth="1"/>
    <col min="10503" max="10503" width="10.7109375" style="70" bestFit="1" customWidth="1"/>
    <col min="10504" max="10504" width="8.42578125" style="70" bestFit="1" customWidth="1"/>
    <col min="10505" max="10505" width="10.7109375" style="70" bestFit="1" customWidth="1"/>
    <col min="10506" max="10506" width="23.85546875" style="70" customWidth="1"/>
    <col min="10507" max="10507" width="12.140625" style="70" customWidth="1"/>
    <col min="10508" max="10752" width="9.140625" style="70"/>
    <col min="10753" max="10753" width="4.7109375" style="70" customWidth="1"/>
    <col min="10754" max="10754" width="57" style="70" customWidth="1"/>
    <col min="10755" max="10755" width="12.7109375" style="70" customWidth="1"/>
    <col min="10756" max="10756" width="5.140625" style="70" bestFit="1" customWidth="1"/>
    <col min="10757" max="10757" width="4.42578125" style="70" bestFit="1" customWidth="1"/>
    <col min="10758" max="10758" width="9.7109375" style="70" customWidth="1"/>
    <col min="10759" max="10759" width="10.7109375" style="70" bestFit="1" customWidth="1"/>
    <col min="10760" max="10760" width="8.42578125" style="70" bestFit="1" customWidth="1"/>
    <col min="10761" max="10761" width="10.7109375" style="70" bestFit="1" customWidth="1"/>
    <col min="10762" max="10762" width="23.85546875" style="70" customWidth="1"/>
    <col min="10763" max="10763" width="12.140625" style="70" customWidth="1"/>
    <col min="10764" max="11008" width="9.140625" style="70"/>
    <col min="11009" max="11009" width="4.7109375" style="70" customWidth="1"/>
    <col min="11010" max="11010" width="57" style="70" customWidth="1"/>
    <col min="11011" max="11011" width="12.7109375" style="70" customWidth="1"/>
    <col min="11012" max="11012" width="5.140625" style="70" bestFit="1" customWidth="1"/>
    <col min="11013" max="11013" width="4.42578125" style="70" bestFit="1" customWidth="1"/>
    <col min="11014" max="11014" width="9.7109375" style="70" customWidth="1"/>
    <col min="11015" max="11015" width="10.7109375" style="70" bestFit="1" customWidth="1"/>
    <col min="11016" max="11016" width="8.42578125" style="70" bestFit="1" customWidth="1"/>
    <col min="11017" max="11017" width="10.7109375" style="70" bestFit="1" customWidth="1"/>
    <col min="11018" max="11018" width="23.85546875" style="70" customWidth="1"/>
    <col min="11019" max="11019" width="12.140625" style="70" customWidth="1"/>
    <col min="11020" max="11264" width="9.140625" style="70"/>
    <col min="11265" max="11265" width="4.7109375" style="70" customWidth="1"/>
    <col min="11266" max="11266" width="57" style="70" customWidth="1"/>
    <col min="11267" max="11267" width="12.7109375" style="70" customWidth="1"/>
    <col min="11268" max="11268" width="5.140625" style="70" bestFit="1" customWidth="1"/>
    <col min="11269" max="11269" width="4.42578125" style="70" bestFit="1" customWidth="1"/>
    <col min="11270" max="11270" width="9.7109375" style="70" customWidth="1"/>
    <col min="11271" max="11271" width="10.7109375" style="70" bestFit="1" customWidth="1"/>
    <col min="11272" max="11272" width="8.42578125" style="70" bestFit="1" customWidth="1"/>
    <col min="11273" max="11273" width="10.7109375" style="70" bestFit="1" customWidth="1"/>
    <col min="11274" max="11274" width="23.85546875" style="70" customWidth="1"/>
    <col min="11275" max="11275" width="12.140625" style="70" customWidth="1"/>
    <col min="11276" max="11520" width="9.140625" style="70"/>
    <col min="11521" max="11521" width="4.7109375" style="70" customWidth="1"/>
    <col min="11522" max="11522" width="57" style="70" customWidth="1"/>
    <col min="11523" max="11523" width="12.7109375" style="70" customWidth="1"/>
    <col min="11524" max="11524" width="5.140625" style="70" bestFit="1" customWidth="1"/>
    <col min="11525" max="11525" width="4.42578125" style="70" bestFit="1" customWidth="1"/>
    <col min="11526" max="11526" width="9.7109375" style="70" customWidth="1"/>
    <col min="11527" max="11527" width="10.7109375" style="70" bestFit="1" customWidth="1"/>
    <col min="11528" max="11528" width="8.42578125" style="70" bestFit="1" customWidth="1"/>
    <col min="11529" max="11529" width="10.7109375" style="70" bestFit="1" customWidth="1"/>
    <col min="11530" max="11530" width="23.85546875" style="70" customWidth="1"/>
    <col min="11531" max="11531" width="12.140625" style="70" customWidth="1"/>
    <col min="11532" max="11776" width="9.140625" style="70"/>
    <col min="11777" max="11777" width="4.7109375" style="70" customWidth="1"/>
    <col min="11778" max="11778" width="57" style="70" customWidth="1"/>
    <col min="11779" max="11779" width="12.7109375" style="70" customWidth="1"/>
    <col min="11780" max="11780" width="5.140625" style="70" bestFit="1" customWidth="1"/>
    <col min="11781" max="11781" width="4.42578125" style="70" bestFit="1" customWidth="1"/>
    <col min="11782" max="11782" width="9.7109375" style="70" customWidth="1"/>
    <col min="11783" max="11783" width="10.7109375" style="70" bestFit="1" customWidth="1"/>
    <col min="11784" max="11784" width="8.42578125" style="70" bestFit="1" customWidth="1"/>
    <col min="11785" max="11785" width="10.7109375" style="70" bestFit="1" customWidth="1"/>
    <col min="11786" max="11786" width="23.85546875" style="70" customWidth="1"/>
    <col min="11787" max="11787" width="12.140625" style="70" customWidth="1"/>
    <col min="11788" max="12032" width="9.140625" style="70"/>
    <col min="12033" max="12033" width="4.7109375" style="70" customWidth="1"/>
    <col min="12034" max="12034" width="57" style="70" customWidth="1"/>
    <col min="12035" max="12035" width="12.7109375" style="70" customWidth="1"/>
    <col min="12036" max="12036" width="5.140625" style="70" bestFit="1" customWidth="1"/>
    <col min="12037" max="12037" width="4.42578125" style="70" bestFit="1" customWidth="1"/>
    <col min="12038" max="12038" width="9.7109375" style="70" customWidth="1"/>
    <col min="12039" max="12039" width="10.7109375" style="70" bestFit="1" customWidth="1"/>
    <col min="12040" max="12040" width="8.42578125" style="70" bestFit="1" customWidth="1"/>
    <col min="12041" max="12041" width="10.7109375" style="70" bestFit="1" customWidth="1"/>
    <col min="12042" max="12042" width="23.85546875" style="70" customWidth="1"/>
    <col min="12043" max="12043" width="12.140625" style="70" customWidth="1"/>
    <col min="12044" max="12288" width="9.140625" style="70"/>
    <col min="12289" max="12289" width="4.7109375" style="70" customWidth="1"/>
    <col min="12290" max="12290" width="57" style="70" customWidth="1"/>
    <col min="12291" max="12291" width="12.7109375" style="70" customWidth="1"/>
    <col min="12292" max="12292" width="5.140625" style="70" bestFit="1" customWidth="1"/>
    <col min="12293" max="12293" width="4.42578125" style="70" bestFit="1" customWidth="1"/>
    <col min="12294" max="12294" width="9.7109375" style="70" customWidth="1"/>
    <col min="12295" max="12295" width="10.7109375" style="70" bestFit="1" customWidth="1"/>
    <col min="12296" max="12296" width="8.42578125" style="70" bestFit="1" customWidth="1"/>
    <col min="12297" max="12297" width="10.7109375" style="70" bestFit="1" customWidth="1"/>
    <col min="12298" max="12298" width="23.85546875" style="70" customWidth="1"/>
    <col min="12299" max="12299" width="12.140625" style="70" customWidth="1"/>
    <col min="12300" max="12544" width="9.140625" style="70"/>
    <col min="12545" max="12545" width="4.7109375" style="70" customWidth="1"/>
    <col min="12546" max="12546" width="57" style="70" customWidth="1"/>
    <col min="12547" max="12547" width="12.7109375" style="70" customWidth="1"/>
    <col min="12548" max="12548" width="5.140625" style="70" bestFit="1" customWidth="1"/>
    <col min="12549" max="12549" width="4.42578125" style="70" bestFit="1" customWidth="1"/>
    <col min="12550" max="12550" width="9.7109375" style="70" customWidth="1"/>
    <col min="12551" max="12551" width="10.7109375" style="70" bestFit="1" customWidth="1"/>
    <col min="12552" max="12552" width="8.42578125" style="70" bestFit="1" customWidth="1"/>
    <col min="12553" max="12553" width="10.7109375" style="70" bestFit="1" customWidth="1"/>
    <col min="12554" max="12554" width="23.85546875" style="70" customWidth="1"/>
    <col min="12555" max="12555" width="12.140625" style="70" customWidth="1"/>
    <col min="12556" max="12800" width="9.140625" style="70"/>
    <col min="12801" max="12801" width="4.7109375" style="70" customWidth="1"/>
    <col min="12802" max="12802" width="57" style="70" customWidth="1"/>
    <col min="12803" max="12803" width="12.7109375" style="70" customWidth="1"/>
    <col min="12804" max="12804" width="5.140625" style="70" bestFit="1" customWidth="1"/>
    <col min="12805" max="12805" width="4.42578125" style="70" bestFit="1" customWidth="1"/>
    <col min="12806" max="12806" width="9.7109375" style="70" customWidth="1"/>
    <col min="12807" max="12807" width="10.7109375" style="70" bestFit="1" customWidth="1"/>
    <col min="12808" max="12808" width="8.42578125" style="70" bestFit="1" customWidth="1"/>
    <col min="12809" max="12809" width="10.7109375" style="70" bestFit="1" customWidth="1"/>
    <col min="12810" max="12810" width="23.85546875" style="70" customWidth="1"/>
    <col min="12811" max="12811" width="12.140625" style="70" customWidth="1"/>
    <col min="12812" max="13056" width="9.140625" style="70"/>
    <col min="13057" max="13057" width="4.7109375" style="70" customWidth="1"/>
    <col min="13058" max="13058" width="57" style="70" customWidth="1"/>
    <col min="13059" max="13059" width="12.7109375" style="70" customWidth="1"/>
    <col min="13060" max="13060" width="5.140625" style="70" bestFit="1" customWidth="1"/>
    <col min="13061" max="13061" width="4.42578125" style="70" bestFit="1" customWidth="1"/>
    <col min="13062" max="13062" width="9.7109375" style="70" customWidth="1"/>
    <col min="13063" max="13063" width="10.7109375" style="70" bestFit="1" customWidth="1"/>
    <col min="13064" max="13064" width="8.42578125" style="70" bestFit="1" customWidth="1"/>
    <col min="13065" max="13065" width="10.7109375" style="70" bestFit="1" customWidth="1"/>
    <col min="13066" max="13066" width="23.85546875" style="70" customWidth="1"/>
    <col min="13067" max="13067" width="12.140625" style="70" customWidth="1"/>
    <col min="13068" max="13312" width="9.140625" style="70"/>
    <col min="13313" max="13313" width="4.7109375" style="70" customWidth="1"/>
    <col min="13314" max="13314" width="57" style="70" customWidth="1"/>
    <col min="13315" max="13315" width="12.7109375" style="70" customWidth="1"/>
    <col min="13316" max="13316" width="5.140625" style="70" bestFit="1" customWidth="1"/>
    <col min="13317" max="13317" width="4.42578125" style="70" bestFit="1" customWidth="1"/>
    <col min="13318" max="13318" width="9.7109375" style="70" customWidth="1"/>
    <col min="13319" max="13319" width="10.7109375" style="70" bestFit="1" customWidth="1"/>
    <col min="13320" max="13320" width="8.42578125" style="70" bestFit="1" customWidth="1"/>
    <col min="13321" max="13321" width="10.7109375" style="70" bestFit="1" customWidth="1"/>
    <col min="13322" max="13322" width="23.85546875" style="70" customWidth="1"/>
    <col min="13323" max="13323" width="12.140625" style="70" customWidth="1"/>
    <col min="13324" max="13568" width="9.140625" style="70"/>
    <col min="13569" max="13569" width="4.7109375" style="70" customWidth="1"/>
    <col min="13570" max="13570" width="57" style="70" customWidth="1"/>
    <col min="13571" max="13571" width="12.7109375" style="70" customWidth="1"/>
    <col min="13572" max="13572" width="5.140625" style="70" bestFit="1" customWidth="1"/>
    <col min="13573" max="13573" width="4.42578125" style="70" bestFit="1" customWidth="1"/>
    <col min="13574" max="13574" width="9.7109375" style="70" customWidth="1"/>
    <col min="13575" max="13575" width="10.7109375" style="70" bestFit="1" customWidth="1"/>
    <col min="13576" max="13576" width="8.42578125" style="70" bestFit="1" customWidth="1"/>
    <col min="13577" max="13577" width="10.7109375" style="70" bestFit="1" customWidth="1"/>
    <col min="13578" max="13578" width="23.85546875" style="70" customWidth="1"/>
    <col min="13579" max="13579" width="12.140625" style="70" customWidth="1"/>
    <col min="13580" max="13824" width="9.140625" style="70"/>
    <col min="13825" max="13825" width="4.7109375" style="70" customWidth="1"/>
    <col min="13826" max="13826" width="57" style="70" customWidth="1"/>
    <col min="13827" max="13827" width="12.7109375" style="70" customWidth="1"/>
    <col min="13828" max="13828" width="5.140625" style="70" bestFit="1" customWidth="1"/>
    <col min="13829" max="13829" width="4.42578125" style="70" bestFit="1" customWidth="1"/>
    <col min="13830" max="13830" width="9.7109375" style="70" customWidth="1"/>
    <col min="13831" max="13831" width="10.7109375" style="70" bestFit="1" customWidth="1"/>
    <col min="13832" max="13832" width="8.42578125" style="70" bestFit="1" customWidth="1"/>
    <col min="13833" max="13833" width="10.7109375" style="70" bestFit="1" customWidth="1"/>
    <col min="13834" max="13834" width="23.85546875" style="70" customWidth="1"/>
    <col min="13835" max="13835" width="12.140625" style="70" customWidth="1"/>
    <col min="13836" max="14080" width="9.140625" style="70"/>
    <col min="14081" max="14081" width="4.7109375" style="70" customWidth="1"/>
    <col min="14082" max="14082" width="57" style="70" customWidth="1"/>
    <col min="14083" max="14083" width="12.7109375" style="70" customWidth="1"/>
    <col min="14084" max="14084" width="5.140625" style="70" bestFit="1" customWidth="1"/>
    <col min="14085" max="14085" width="4.42578125" style="70" bestFit="1" customWidth="1"/>
    <col min="14086" max="14086" width="9.7109375" style="70" customWidth="1"/>
    <col min="14087" max="14087" width="10.7109375" style="70" bestFit="1" customWidth="1"/>
    <col min="14088" max="14088" width="8.42578125" style="70" bestFit="1" customWidth="1"/>
    <col min="14089" max="14089" width="10.7109375" style="70" bestFit="1" customWidth="1"/>
    <col min="14090" max="14090" width="23.85546875" style="70" customWidth="1"/>
    <col min="14091" max="14091" width="12.140625" style="70" customWidth="1"/>
    <col min="14092" max="14336" width="9.140625" style="70"/>
    <col min="14337" max="14337" width="4.7109375" style="70" customWidth="1"/>
    <col min="14338" max="14338" width="57" style="70" customWidth="1"/>
    <col min="14339" max="14339" width="12.7109375" style="70" customWidth="1"/>
    <col min="14340" max="14340" width="5.140625" style="70" bestFit="1" customWidth="1"/>
    <col min="14341" max="14341" width="4.42578125" style="70" bestFit="1" customWidth="1"/>
    <col min="14342" max="14342" width="9.7109375" style="70" customWidth="1"/>
    <col min="14343" max="14343" width="10.7109375" style="70" bestFit="1" customWidth="1"/>
    <col min="14344" max="14344" width="8.42578125" style="70" bestFit="1" customWidth="1"/>
    <col min="14345" max="14345" width="10.7109375" style="70" bestFit="1" customWidth="1"/>
    <col min="14346" max="14346" width="23.85546875" style="70" customWidth="1"/>
    <col min="14347" max="14347" width="12.140625" style="70" customWidth="1"/>
    <col min="14348" max="14592" width="9.140625" style="70"/>
    <col min="14593" max="14593" width="4.7109375" style="70" customWidth="1"/>
    <col min="14594" max="14594" width="57" style="70" customWidth="1"/>
    <col min="14595" max="14595" width="12.7109375" style="70" customWidth="1"/>
    <col min="14596" max="14596" width="5.140625" style="70" bestFit="1" customWidth="1"/>
    <col min="14597" max="14597" width="4.42578125" style="70" bestFit="1" customWidth="1"/>
    <col min="14598" max="14598" width="9.7109375" style="70" customWidth="1"/>
    <col min="14599" max="14599" width="10.7109375" style="70" bestFit="1" customWidth="1"/>
    <col min="14600" max="14600" width="8.42578125" style="70" bestFit="1" customWidth="1"/>
    <col min="14601" max="14601" width="10.7109375" style="70" bestFit="1" customWidth="1"/>
    <col min="14602" max="14602" width="23.85546875" style="70" customWidth="1"/>
    <col min="14603" max="14603" width="12.140625" style="70" customWidth="1"/>
    <col min="14604" max="14848" width="9.140625" style="70"/>
    <col min="14849" max="14849" width="4.7109375" style="70" customWidth="1"/>
    <col min="14850" max="14850" width="57" style="70" customWidth="1"/>
    <col min="14851" max="14851" width="12.7109375" style="70" customWidth="1"/>
    <col min="14852" max="14852" width="5.140625" style="70" bestFit="1" customWidth="1"/>
    <col min="14853" max="14853" width="4.42578125" style="70" bestFit="1" customWidth="1"/>
    <col min="14854" max="14854" width="9.7109375" style="70" customWidth="1"/>
    <col min="14855" max="14855" width="10.7109375" style="70" bestFit="1" customWidth="1"/>
    <col min="14856" max="14856" width="8.42578125" style="70" bestFit="1" customWidth="1"/>
    <col min="14857" max="14857" width="10.7109375" style="70" bestFit="1" customWidth="1"/>
    <col min="14858" max="14858" width="23.85546875" style="70" customWidth="1"/>
    <col min="14859" max="14859" width="12.140625" style="70" customWidth="1"/>
    <col min="14860" max="15104" width="9.140625" style="70"/>
    <col min="15105" max="15105" width="4.7109375" style="70" customWidth="1"/>
    <col min="15106" max="15106" width="57" style="70" customWidth="1"/>
    <col min="15107" max="15107" width="12.7109375" style="70" customWidth="1"/>
    <col min="15108" max="15108" width="5.140625" style="70" bestFit="1" customWidth="1"/>
    <col min="15109" max="15109" width="4.42578125" style="70" bestFit="1" customWidth="1"/>
    <col min="15110" max="15110" width="9.7109375" style="70" customWidth="1"/>
    <col min="15111" max="15111" width="10.7109375" style="70" bestFit="1" customWidth="1"/>
    <col min="15112" max="15112" width="8.42578125" style="70" bestFit="1" customWidth="1"/>
    <col min="15113" max="15113" width="10.7109375" style="70" bestFit="1" customWidth="1"/>
    <col min="15114" max="15114" width="23.85546875" style="70" customWidth="1"/>
    <col min="15115" max="15115" width="12.140625" style="70" customWidth="1"/>
    <col min="15116" max="15360" width="9.140625" style="70"/>
    <col min="15361" max="15361" width="4.7109375" style="70" customWidth="1"/>
    <col min="15362" max="15362" width="57" style="70" customWidth="1"/>
    <col min="15363" max="15363" width="12.7109375" style="70" customWidth="1"/>
    <col min="15364" max="15364" width="5.140625" style="70" bestFit="1" customWidth="1"/>
    <col min="15365" max="15365" width="4.42578125" style="70" bestFit="1" customWidth="1"/>
    <col min="15366" max="15366" width="9.7109375" style="70" customWidth="1"/>
    <col min="15367" max="15367" width="10.7109375" style="70" bestFit="1" customWidth="1"/>
    <col min="15368" max="15368" width="8.42578125" style="70" bestFit="1" customWidth="1"/>
    <col min="15369" max="15369" width="10.7109375" style="70" bestFit="1" customWidth="1"/>
    <col min="15370" max="15370" width="23.85546875" style="70" customWidth="1"/>
    <col min="15371" max="15371" width="12.140625" style="70" customWidth="1"/>
    <col min="15372" max="15616" width="9.140625" style="70"/>
    <col min="15617" max="15617" width="4.7109375" style="70" customWidth="1"/>
    <col min="15618" max="15618" width="57" style="70" customWidth="1"/>
    <col min="15619" max="15619" width="12.7109375" style="70" customWidth="1"/>
    <col min="15620" max="15620" width="5.140625" style="70" bestFit="1" customWidth="1"/>
    <col min="15621" max="15621" width="4.42578125" style="70" bestFit="1" customWidth="1"/>
    <col min="15622" max="15622" width="9.7109375" style="70" customWidth="1"/>
    <col min="15623" max="15623" width="10.7109375" style="70" bestFit="1" customWidth="1"/>
    <col min="15624" max="15624" width="8.42578125" style="70" bestFit="1" customWidth="1"/>
    <col min="15625" max="15625" width="10.7109375" style="70" bestFit="1" customWidth="1"/>
    <col min="15626" max="15626" width="23.85546875" style="70" customWidth="1"/>
    <col min="15627" max="15627" width="12.140625" style="70" customWidth="1"/>
    <col min="15628" max="15872" width="9.140625" style="70"/>
    <col min="15873" max="15873" width="4.7109375" style="70" customWidth="1"/>
    <col min="15874" max="15874" width="57" style="70" customWidth="1"/>
    <col min="15875" max="15875" width="12.7109375" style="70" customWidth="1"/>
    <col min="15876" max="15876" width="5.140625" style="70" bestFit="1" customWidth="1"/>
    <col min="15877" max="15877" width="4.42578125" style="70" bestFit="1" customWidth="1"/>
    <col min="15878" max="15878" width="9.7109375" style="70" customWidth="1"/>
    <col min="15879" max="15879" width="10.7109375" style="70" bestFit="1" customWidth="1"/>
    <col min="15880" max="15880" width="8.42578125" style="70" bestFit="1" customWidth="1"/>
    <col min="15881" max="15881" width="10.7109375" style="70" bestFit="1" customWidth="1"/>
    <col min="15882" max="15882" width="23.85546875" style="70" customWidth="1"/>
    <col min="15883" max="15883" width="12.140625" style="70" customWidth="1"/>
    <col min="15884" max="16128" width="9.140625" style="70"/>
    <col min="16129" max="16129" width="4.7109375" style="70" customWidth="1"/>
    <col min="16130" max="16130" width="57" style="70" customWidth="1"/>
    <col min="16131" max="16131" width="12.7109375" style="70" customWidth="1"/>
    <col min="16132" max="16132" width="5.140625" style="70" bestFit="1" customWidth="1"/>
    <col min="16133" max="16133" width="4.42578125" style="70" bestFit="1" customWidth="1"/>
    <col min="16134" max="16134" width="9.7109375" style="70" customWidth="1"/>
    <col min="16135" max="16135" width="10.7109375" style="70" bestFit="1" customWidth="1"/>
    <col min="16136" max="16136" width="8.42578125" style="70" bestFit="1" customWidth="1"/>
    <col min="16137" max="16137" width="10.7109375" style="70" bestFit="1" customWidth="1"/>
    <col min="16138" max="16138" width="23.85546875" style="70" customWidth="1"/>
    <col min="16139" max="16139" width="12.140625" style="70" customWidth="1"/>
    <col min="16140" max="16384" width="9.140625" style="70"/>
  </cols>
  <sheetData>
    <row r="1" spans="1:13" ht="18">
      <c r="A1" s="2671"/>
      <c r="B1" s="3125" t="s">
        <v>2842</v>
      </c>
      <c r="C1" s="3125"/>
      <c r="D1" s="3125"/>
      <c r="E1" s="373"/>
      <c r="F1" s="2008"/>
      <c r="G1" s="2008"/>
      <c r="H1" s="2008"/>
      <c r="I1" s="2008"/>
      <c r="J1" s="2116"/>
    </row>
    <row r="2" spans="1:13" ht="10.5" customHeight="1">
      <c r="A2" s="2671"/>
      <c r="B2" s="2662"/>
      <c r="C2" s="2662"/>
      <c r="D2" s="2662"/>
      <c r="E2" s="373"/>
      <c r="F2" s="2008"/>
      <c r="G2" s="2008"/>
      <c r="H2" s="2008"/>
      <c r="I2" s="2008"/>
      <c r="J2" s="2116"/>
    </row>
    <row r="3" spans="1:13" ht="48" customHeight="1">
      <c r="A3" s="2671"/>
      <c r="B3" s="3507" t="s">
        <v>2822</v>
      </c>
      <c r="C3" s="3507"/>
      <c r="D3" s="3507"/>
      <c r="E3" s="3507"/>
      <c r="F3" s="3507"/>
      <c r="G3" s="3507"/>
      <c r="H3" s="2666"/>
      <c r="I3" s="2666"/>
      <c r="J3" s="2679"/>
    </row>
    <row r="4" spans="1:13" ht="15">
      <c r="A4" s="2665"/>
      <c r="B4" s="2667"/>
      <c r="C4" s="2667"/>
      <c r="D4" s="2667"/>
      <c r="E4" s="2667"/>
      <c r="F4" s="2667"/>
      <c r="G4" s="2667"/>
      <c r="H4" s="2667"/>
      <c r="I4" s="2667"/>
      <c r="J4" s="2008"/>
    </row>
    <row r="5" spans="1:13" ht="15">
      <c r="A5" s="2665"/>
      <c r="B5" s="3390" t="s">
        <v>2843</v>
      </c>
      <c r="C5" s="3390"/>
      <c r="D5" s="373"/>
      <c r="E5" s="373"/>
      <c r="F5" s="373"/>
      <c r="G5" s="2657" t="s">
        <v>89</v>
      </c>
      <c r="H5" s="580"/>
      <c r="I5" s="580"/>
      <c r="J5" s="2008"/>
    </row>
    <row r="6" spans="1:13" ht="11.25" customHeight="1">
      <c r="A6" s="2665"/>
      <c r="B6" s="580"/>
      <c r="C6" s="580"/>
      <c r="D6" s="373"/>
      <c r="E6" s="373"/>
      <c r="F6" s="373"/>
      <c r="G6" s="580"/>
      <c r="H6" s="580"/>
      <c r="I6" s="580"/>
      <c r="J6" s="2008"/>
    </row>
    <row r="7" spans="1:13" ht="30.75" customHeight="1">
      <c r="A7" s="3117" t="s">
        <v>2</v>
      </c>
      <c r="B7" s="3117" t="s">
        <v>3</v>
      </c>
      <c r="C7" s="3117" t="s">
        <v>2716</v>
      </c>
      <c r="D7" s="3117" t="s">
        <v>5</v>
      </c>
      <c r="E7" s="3117" t="s">
        <v>95</v>
      </c>
      <c r="F7" s="3117" t="s">
        <v>2824</v>
      </c>
      <c r="G7" s="3117"/>
      <c r="H7" s="3117" t="s">
        <v>2825</v>
      </c>
      <c r="I7" s="3117"/>
      <c r="J7" s="2116"/>
    </row>
    <row r="8" spans="1:13" ht="15">
      <c r="A8" s="3117"/>
      <c r="B8" s="3117"/>
      <c r="C8" s="3117"/>
      <c r="D8" s="3117"/>
      <c r="E8" s="3117"/>
      <c r="F8" s="2644" t="s">
        <v>96</v>
      </c>
      <c r="G8" s="2644" t="s">
        <v>1668</v>
      </c>
      <c r="H8" s="2644" t="s">
        <v>96</v>
      </c>
      <c r="I8" s="2644" t="s">
        <v>1668</v>
      </c>
      <c r="J8" s="2116"/>
    </row>
    <row r="9" spans="1:13" ht="15">
      <c r="A9" s="2644">
        <v>1</v>
      </c>
      <c r="B9" s="2650">
        <v>2</v>
      </c>
      <c r="C9" s="2644">
        <v>3</v>
      </c>
      <c r="D9" s="2644">
        <v>4</v>
      </c>
      <c r="E9" s="2644">
        <v>5</v>
      </c>
      <c r="F9" s="2643">
        <v>6</v>
      </c>
      <c r="G9" s="2643">
        <v>7</v>
      </c>
      <c r="H9" s="2644">
        <v>8</v>
      </c>
      <c r="I9" s="2644">
        <v>9</v>
      </c>
      <c r="J9" s="2613"/>
      <c r="K9" s="2053"/>
    </row>
    <row r="10" spans="1:13" ht="28.5">
      <c r="A10" s="2659">
        <v>1</v>
      </c>
      <c r="B10" s="2682" t="s">
        <v>2844</v>
      </c>
      <c r="C10" s="2660">
        <v>7131300046</v>
      </c>
      <c r="D10" s="2660" t="s">
        <v>68</v>
      </c>
      <c r="E10" s="2660">
        <v>1</v>
      </c>
      <c r="F10" s="1132">
        <f>VLOOKUP(C10,'[25]SOR RATE'!A:D,4,0)</f>
        <v>1592</v>
      </c>
      <c r="G10" s="2403">
        <f>E10*F10</f>
        <v>1592</v>
      </c>
      <c r="H10" s="1202">
        <f>+F10</f>
        <v>1592</v>
      </c>
      <c r="I10" s="1202">
        <f>E10*H10</f>
        <v>1592</v>
      </c>
      <c r="J10" s="130"/>
    </row>
    <row r="11" spans="1:13" ht="17.25" customHeight="1">
      <c r="A11" s="2660">
        <v>2</v>
      </c>
      <c r="B11" s="2383" t="s">
        <v>2845</v>
      </c>
      <c r="C11" s="2660">
        <v>7130311028</v>
      </c>
      <c r="D11" s="2660" t="s">
        <v>21</v>
      </c>
      <c r="E11" s="2660">
        <v>30</v>
      </c>
      <c r="F11" s="1132">
        <f>VLOOKUP(C11,'[25]SOR RATE'!A:D,4,0)</f>
        <v>88.55</v>
      </c>
      <c r="G11" s="1202">
        <f>F11*E11</f>
        <v>2656.5</v>
      </c>
      <c r="H11" s="1202"/>
      <c r="I11" s="1202"/>
      <c r="J11" s="802"/>
    </row>
    <row r="12" spans="1:13" ht="18" customHeight="1">
      <c r="A12" s="2660">
        <v>3</v>
      </c>
      <c r="B12" s="2383" t="s">
        <v>2846</v>
      </c>
      <c r="C12" s="2648">
        <v>7130310040</v>
      </c>
      <c r="D12" s="2660" t="s">
        <v>21</v>
      </c>
      <c r="E12" s="2660">
        <v>30</v>
      </c>
      <c r="F12" s="1202"/>
      <c r="G12" s="1202"/>
      <c r="H12" s="1132">
        <f>VLOOKUP(C12,'[25]SOR RATE'!A:D,4,0)</f>
        <v>78.39</v>
      </c>
      <c r="I12" s="1202">
        <f>E12*H12</f>
        <v>2351.6999999999998</v>
      </c>
      <c r="J12" s="2116"/>
    </row>
    <row r="13" spans="1:13" ht="18" customHeight="1">
      <c r="A13" s="2659">
        <v>4</v>
      </c>
      <c r="B13" s="1290" t="s">
        <v>2829</v>
      </c>
      <c r="C13" s="2660">
        <v>7130820101</v>
      </c>
      <c r="D13" s="2660" t="s">
        <v>68</v>
      </c>
      <c r="E13" s="2660">
        <v>2</v>
      </c>
      <c r="F13" s="1132">
        <f>VLOOKUP(C13,'[25]SOR RATE'!A:D,4,0)</f>
        <v>13.03</v>
      </c>
      <c r="G13" s="1202">
        <f>F13*E13</f>
        <v>26.06</v>
      </c>
      <c r="H13" s="1202">
        <f t="shared" ref="H13:H18" si="0">+F13</f>
        <v>13.03</v>
      </c>
      <c r="I13" s="1202">
        <f>E13*H13</f>
        <v>26.06</v>
      </c>
    </row>
    <row r="14" spans="1:13" ht="18" customHeight="1">
      <c r="A14" s="2659">
        <v>5</v>
      </c>
      <c r="B14" s="1290" t="s">
        <v>2830</v>
      </c>
      <c r="C14" s="2660">
        <v>7130820206</v>
      </c>
      <c r="D14" s="2660" t="s">
        <v>68</v>
      </c>
      <c r="E14" s="2660">
        <v>2</v>
      </c>
      <c r="F14" s="1132">
        <f>VLOOKUP(C14,'[25]SOR RATE'!A:D,4,0)</f>
        <v>45.81</v>
      </c>
      <c r="G14" s="1202">
        <f>F14*E14</f>
        <v>91.62</v>
      </c>
      <c r="H14" s="1202">
        <f t="shared" si="0"/>
        <v>45.81</v>
      </c>
      <c r="I14" s="1202">
        <f>E14*H14</f>
        <v>91.62</v>
      </c>
    </row>
    <row r="15" spans="1:13" ht="45.75" customHeight="1">
      <c r="A15" s="2659">
        <v>6</v>
      </c>
      <c r="B15" s="2383" t="s">
        <v>1178</v>
      </c>
      <c r="C15" s="2660">
        <v>7132455002</v>
      </c>
      <c r="D15" s="2660" t="s">
        <v>2847</v>
      </c>
      <c r="E15" s="2660">
        <v>1</v>
      </c>
      <c r="F15" s="1132">
        <f>VLOOKUP(C15,'[25]SOR RATE'!A:D,4,0)</f>
        <v>395.13</v>
      </c>
      <c r="G15" s="1202">
        <f t="shared" ref="G15:G18" si="1">F15*E15</f>
        <v>395.13</v>
      </c>
      <c r="H15" s="1202">
        <f t="shared" si="0"/>
        <v>395.13</v>
      </c>
      <c r="I15" s="1202">
        <f t="shared" ref="I15:I18" si="2">E15*H15</f>
        <v>395.13</v>
      </c>
      <c r="J15" s="2116"/>
      <c r="K15" s="2008"/>
      <c r="L15" s="2008"/>
      <c r="M15" s="2008"/>
    </row>
    <row r="16" spans="1:13" ht="17.25" customHeight="1">
      <c r="A16" s="2659">
        <v>7</v>
      </c>
      <c r="B16" s="2383" t="s">
        <v>2831</v>
      </c>
      <c r="C16" s="2660">
        <v>7132476007</v>
      </c>
      <c r="D16" s="2660" t="s">
        <v>1193</v>
      </c>
      <c r="E16" s="2660">
        <v>1</v>
      </c>
      <c r="F16" s="1132">
        <f>VLOOKUP(C16,'[25]SOR RATE'!A:D,4,0)</f>
        <v>17.59</v>
      </c>
      <c r="G16" s="1202">
        <f>F16*E16</f>
        <v>17.59</v>
      </c>
      <c r="H16" s="1202">
        <f t="shared" si="0"/>
        <v>17.59</v>
      </c>
      <c r="I16" s="1202">
        <f>E16*H16</f>
        <v>17.59</v>
      </c>
      <c r="J16" s="2669" t="s">
        <v>802</v>
      </c>
    </row>
    <row r="17" spans="1:11" ht="17.25" customHeight="1">
      <c r="A17" s="2660">
        <v>8</v>
      </c>
      <c r="B17" s="2383" t="s">
        <v>2848</v>
      </c>
      <c r="C17" s="2660"/>
      <c r="D17" s="2660" t="s">
        <v>2833</v>
      </c>
      <c r="E17" s="2660">
        <v>1</v>
      </c>
      <c r="F17" s="1202">
        <v>40</v>
      </c>
      <c r="G17" s="1202">
        <f t="shared" si="1"/>
        <v>40</v>
      </c>
      <c r="H17" s="1202">
        <f t="shared" si="0"/>
        <v>40</v>
      </c>
      <c r="I17" s="1202">
        <f t="shared" si="2"/>
        <v>40</v>
      </c>
      <c r="J17" s="2116"/>
    </row>
    <row r="18" spans="1:11" ht="17.25" customHeight="1">
      <c r="A18" s="2660">
        <v>9</v>
      </c>
      <c r="B18" s="2383" t="s">
        <v>2834</v>
      </c>
      <c r="C18" s="2683"/>
      <c r="D18" s="2660" t="s">
        <v>2833</v>
      </c>
      <c r="E18" s="2660">
        <v>1</v>
      </c>
      <c r="F18" s="1202">
        <v>30</v>
      </c>
      <c r="G18" s="1202">
        <f t="shared" si="1"/>
        <v>30</v>
      </c>
      <c r="H18" s="1202">
        <f t="shared" si="0"/>
        <v>30</v>
      </c>
      <c r="I18" s="1202">
        <f t="shared" si="2"/>
        <v>30</v>
      </c>
      <c r="J18" s="2116"/>
    </row>
    <row r="19" spans="1:11" ht="18.75" customHeight="1">
      <c r="A19" s="2644">
        <v>10</v>
      </c>
      <c r="B19" s="1639" t="s">
        <v>48</v>
      </c>
      <c r="C19" s="2559"/>
      <c r="D19" s="2559"/>
      <c r="E19" s="2559"/>
      <c r="F19" s="2559"/>
      <c r="G19" s="2651">
        <f>SUM(G10:G18)</f>
        <v>4848.9000000000005</v>
      </c>
      <c r="H19" s="2651"/>
      <c r="I19" s="2651">
        <f>I10+I12+I13+I14+I15+I16+I17+I18</f>
        <v>4544.0999999999995</v>
      </c>
      <c r="J19" s="85"/>
      <c r="K19" s="102"/>
    </row>
    <row r="20" spans="1:11" ht="18.75" customHeight="1">
      <c r="A20" s="2642">
        <v>11</v>
      </c>
      <c r="B20" s="1639" t="s">
        <v>49</v>
      </c>
      <c r="C20" s="2559"/>
      <c r="D20" s="2559"/>
      <c r="E20" s="2559"/>
      <c r="F20" s="2559"/>
      <c r="G20" s="2651">
        <f>G19/1.18</f>
        <v>4109.2372881355941</v>
      </c>
      <c r="H20" s="2651"/>
      <c r="I20" s="2651">
        <f>I19/1.18</f>
        <v>3850.9322033898302</v>
      </c>
      <c r="J20" s="85"/>
      <c r="K20" s="102"/>
    </row>
    <row r="21" spans="1:11" ht="15">
      <c r="A21" s="2647">
        <v>12</v>
      </c>
      <c r="B21" s="1619" t="s">
        <v>50</v>
      </c>
      <c r="C21" s="1051"/>
      <c r="D21" s="1051"/>
      <c r="E21" s="1051"/>
      <c r="F21" s="1620" t="s">
        <v>120</v>
      </c>
      <c r="G21" s="1202">
        <f>G19*F21</f>
        <v>363.66750000000002</v>
      </c>
      <c r="H21" s="2558">
        <v>7.4999999999999997E-2</v>
      </c>
      <c r="I21" s="1202">
        <f>I19*H21</f>
        <v>340.80749999999995</v>
      </c>
      <c r="J21" s="803"/>
      <c r="K21" s="85"/>
    </row>
    <row r="22" spans="1:11" ht="15.75" customHeight="1">
      <c r="A22" s="2659">
        <v>13</v>
      </c>
      <c r="B22" s="3504" t="s">
        <v>2849</v>
      </c>
      <c r="C22" s="3505"/>
      <c r="D22" s="3504" t="s">
        <v>2850</v>
      </c>
      <c r="E22" s="3506"/>
      <c r="F22" s="3505"/>
      <c r="G22" s="1202">
        <v>840</v>
      </c>
      <c r="H22" s="1202"/>
      <c r="I22" s="1202">
        <v>840</v>
      </c>
      <c r="J22" s="2116"/>
    </row>
    <row r="23" spans="1:11" ht="15.75" customHeight="1">
      <c r="A23" s="2659">
        <v>14</v>
      </c>
      <c r="B23" s="1290" t="s">
        <v>2837</v>
      </c>
      <c r="C23" s="2680"/>
      <c r="D23" s="1615"/>
      <c r="E23" s="1615"/>
      <c r="F23" s="2683">
        <v>0.04</v>
      </c>
      <c r="G23" s="1202">
        <f>G20*F23</f>
        <v>164.36949152542377</v>
      </c>
      <c r="H23" s="1202">
        <v>0.04</v>
      </c>
      <c r="I23" s="1202">
        <f>I20*H23</f>
        <v>154.0372881355932</v>
      </c>
      <c r="J23" s="1939" t="s">
        <v>119</v>
      </c>
    </row>
    <row r="24" spans="1:11" ht="32.25" customHeight="1">
      <c r="A24" s="2659">
        <v>15</v>
      </c>
      <c r="B24" s="1626" t="s">
        <v>2838</v>
      </c>
      <c r="C24" s="1615"/>
      <c r="D24" s="1615"/>
      <c r="E24" s="1615"/>
      <c r="F24" s="1615"/>
      <c r="G24" s="1132">
        <f>(G19+G21+G22+G23)*0.125</f>
        <v>777.11712394067808</v>
      </c>
      <c r="H24" s="1132"/>
      <c r="I24" s="1132">
        <f>(I19+I21+I22+I23)*0.125</f>
        <v>734.86809851694909</v>
      </c>
      <c r="J24" s="2116"/>
    </row>
    <row r="25" spans="1:11" ht="31.5" customHeight="1">
      <c r="A25" s="2644">
        <v>16</v>
      </c>
      <c r="B25" s="2320" t="s">
        <v>2839</v>
      </c>
      <c r="C25" s="1615"/>
      <c r="D25" s="1615"/>
      <c r="E25" s="1615"/>
      <c r="F25" s="1615"/>
      <c r="G25" s="2651">
        <f>G20+G21+G22+G23+G24</f>
        <v>6254.3914036016959</v>
      </c>
      <c r="H25" s="1202"/>
      <c r="I25" s="2651">
        <f>I20+I21+I22+I23+I24</f>
        <v>5920.6450900423733</v>
      </c>
      <c r="J25" s="2116"/>
    </row>
    <row r="26" spans="1:11" ht="16.5" customHeight="1">
      <c r="A26" s="2660">
        <v>17</v>
      </c>
      <c r="B26" s="1619" t="s">
        <v>1644</v>
      </c>
      <c r="C26" s="1615"/>
      <c r="D26" s="1615"/>
      <c r="E26" s="1615"/>
      <c r="F26" s="2660">
        <v>0.09</v>
      </c>
      <c r="G26" s="1202">
        <f>F26*G25</f>
        <v>562.89522632415265</v>
      </c>
      <c r="H26" s="2660">
        <v>0.09</v>
      </c>
      <c r="I26" s="1202">
        <f>H26*I25</f>
        <v>532.85805810381362</v>
      </c>
      <c r="J26" s="2116"/>
    </row>
    <row r="27" spans="1:11" ht="16.5" customHeight="1">
      <c r="A27" s="2660">
        <v>18</v>
      </c>
      <c r="B27" s="1619" t="s">
        <v>1645</v>
      </c>
      <c r="C27" s="1615"/>
      <c r="D27" s="1615"/>
      <c r="E27" s="1615"/>
      <c r="F27" s="2660">
        <v>0.09</v>
      </c>
      <c r="G27" s="1202">
        <f>F27*G25</f>
        <v>562.89522632415265</v>
      </c>
      <c r="H27" s="2660">
        <v>0.09</v>
      </c>
      <c r="I27" s="1202">
        <f>H27*I25</f>
        <v>532.85805810381362</v>
      </c>
      <c r="J27" s="2116"/>
    </row>
    <row r="28" spans="1:11" ht="18" customHeight="1">
      <c r="A28" s="2660">
        <v>19</v>
      </c>
      <c r="B28" s="1619" t="s">
        <v>1646</v>
      </c>
      <c r="C28" s="1615"/>
      <c r="D28" s="1615"/>
      <c r="E28" s="1615"/>
      <c r="F28" s="1615"/>
      <c r="G28" s="1202">
        <f>G25+G26+G27</f>
        <v>7380.1818562500011</v>
      </c>
      <c r="H28" s="1202"/>
      <c r="I28" s="1202">
        <f>I25+I26+I27</f>
        <v>6986.3612062499997</v>
      </c>
      <c r="J28" s="2116"/>
    </row>
    <row r="29" spans="1:11" ht="15.75">
      <c r="A29" s="2658">
        <v>20</v>
      </c>
      <c r="B29" s="3508" t="s">
        <v>2851</v>
      </c>
      <c r="C29" s="3509"/>
      <c r="D29" s="3509"/>
      <c r="E29" s="3509"/>
      <c r="F29" s="3510"/>
      <c r="G29" s="2651">
        <f>+G28</f>
        <v>7380.1818562500011</v>
      </c>
      <c r="H29" s="2651"/>
      <c r="I29" s="2651">
        <f>+I28</f>
        <v>6986.3612062499997</v>
      </c>
      <c r="J29" s="2116"/>
    </row>
    <row r="30" spans="1:11" ht="15.75">
      <c r="A30" s="2658">
        <v>21</v>
      </c>
      <c r="B30" s="3508" t="s">
        <v>2852</v>
      </c>
      <c r="C30" s="3509"/>
      <c r="D30" s="3509"/>
      <c r="E30" s="3509"/>
      <c r="F30" s="3510"/>
      <c r="G30" s="2684">
        <f>ROUND(G29,0)</f>
        <v>7380</v>
      </c>
      <c r="H30" s="2684"/>
      <c r="I30" s="2684">
        <f>ROUND(I29,0)</f>
        <v>6986</v>
      </c>
      <c r="J30" s="2116"/>
    </row>
    <row r="31" spans="1:11" ht="15">
      <c r="A31" s="2685"/>
      <c r="B31" s="1051" t="s">
        <v>2853</v>
      </c>
      <c r="C31" s="1051"/>
      <c r="D31" s="2041"/>
      <c r="E31" s="2182">
        <v>100</v>
      </c>
      <c r="F31" s="2686"/>
      <c r="G31" s="2686"/>
      <c r="H31" s="2686"/>
      <c r="I31" s="2686"/>
      <c r="J31" s="2116"/>
    </row>
    <row r="32" spans="1:11" ht="15.75">
      <c r="A32" s="2685"/>
      <c r="B32" s="1082" t="s">
        <v>2854</v>
      </c>
      <c r="C32" s="1082"/>
      <c r="D32" s="1618"/>
      <c r="E32" s="2686"/>
      <c r="F32" s="2686"/>
      <c r="G32" s="2651">
        <f>E31*G29</f>
        <v>738018.18562500016</v>
      </c>
      <c r="H32" s="2651"/>
      <c r="I32" s="2651">
        <f>E31*I29</f>
        <v>698636.12062499998</v>
      </c>
      <c r="J32" s="2116"/>
    </row>
    <row r="33" spans="1:10" ht="15.75">
      <c r="A33" s="2685"/>
      <c r="B33" s="1082" t="s">
        <v>2855</v>
      </c>
      <c r="C33" s="1082"/>
      <c r="D33" s="1618"/>
      <c r="E33" s="2686"/>
      <c r="F33" s="2686"/>
      <c r="G33" s="2651">
        <f>ROUND(G32,0)</f>
        <v>738018</v>
      </c>
      <c r="H33" s="2651"/>
      <c r="I33" s="2651">
        <f>ROUND(I32,0)</f>
        <v>698636</v>
      </c>
      <c r="J33" s="2116"/>
    </row>
    <row r="34" spans="1:10" ht="15.75">
      <c r="A34" s="2671"/>
      <c r="B34" s="1969"/>
      <c r="C34" s="1969"/>
      <c r="D34" s="584"/>
      <c r="E34" s="2672"/>
      <c r="F34" s="2672"/>
      <c r="G34" s="2672"/>
      <c r="H34" s="2672"/>
      <c r="I34" s="2672"/>
      <c r="J34" s="2116"/>
    </row>
  </sheetData>
  <mergeCells count="14">
    <mergeCell ref="B1:D1"/>
    <mergeCell ref="B3:G3"/>
    <mergeCell ref="B5:C5"/>
    <mergeCell ref="A7:A8"/>
    <mergeCell ref="B7:B8"/>
    <mergeCell ref="C7:C8"/>
    <mergeCell ref="D7:D8"/>
    <mergeCell ref="E7:E8"/>
    <mergeCell ref="F7:G7"/>
    <mergeCell ref="H7:I7"/>
    <mergeCell ref="B22:C22"/>
    <mergeCell ref="D22:F22"/>
    <mergeCell ref="B29:F29"/>
    <mergeCell ref="B30:F30"/>
  </mergeCells>
  <conditionalFormatting sqref="D31 D34 G32:I33">
    <cfRule type="cellIs" dxfId="10" priority="3" stopIfTrue="1" operator="equal">
      <formula>"?"</formula>
    </cfRule>
  </conditionalFormatting>
  <conditionalFormatting sqref="B20">
    <cfRule type="cellIs" dxfId="9" priority="2" stopIfTrue="1" operator="equal">
      <formula>"?"</formula>
    </cfRule>
  </conditionalFormatting>
  <conditionalFormatting sqref="B19">
    <cfRule type="cellIs" dxfId="8" priority="1" stopIfTrue="1" operator="equal">
      <formula>"?"</formula>
    </cfRule>
  </conditionalFormatting>
  <pageMargins left="0.86614173228346458" right="0.15748031496062992" top="0.86614173228346458" bottom="0.39370078740157483" header="0.6692913385826772" footer="0.23622047244094491"/>
  <pageSetup scale="102" orientation="landscape" r:id="rId1"/>
  <headerFooter alignWithMargins="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5"/>
  <sheetViews>
    <sheetView workbookViewId="0">
      <pane xSplit="2" ySplit="7" topLeftCell="C23" activePane="bottomRight" state="frozen"/>
      <selection pane="topRight" activeCell="C1" sqref="C1"/>
      <selection pane="bottomLeft" activeCell="A8" sqref="A8"/>
      <selection pane="bottomRight" activeCell="F29" sqref="F29"/>
    </sheetView>
  </sheetViews>
  <sheetFormatPr defaultRowHeight="12.75"/>
  <cols>
    <col min="1" max="1" width="4.7109375" style="137" customWidth="1"/>
    <col min="2" max="2" width="52.28515625" style="70" customWidth="1"/>
    <col min="3" max="3" width="14.5703125" style="70" bestFit="1" customWidth="1"/>
    <col min="4" max="4" width="10.140625" style="70" customWidth="1"/>
    <col min="5" max="5" width="8.140625" style="70" customWidth="1"/>
    <col min="6" max="6" width="9.5703125" style="70" bestFit="1" customWidth="1"/>
    <col min="7" max="7" width="13.7109375" style="70" customWidth="1"/>
    <col min="8" max="8" width="23.7109375" style="70" customWidth="1"/>
    <col min="9" max="9" width="17.5703125" style="70" customWidth="1"/>
    <col min="10" max="10" width="17" style="70" customWidth="1"/>
    <col min="11" max="256" width="9.140625" style="70"/>
    <col min="257" max="257" width="4.7109375" style="70" customWidth="1"/>
    <col min="258" max="258" width="46.28515625" style="70" customWidth="1"/>
    <col min="259" max="259" width="14.5703125" style="70" bestFit="1" customWidth="1"/>
    <col min="260" max="260" width="10.140625" style="70" customWidth="1"/>
    <col min="261" max="261" width="8.140625" style="70" customWidth="1"/>
    <col min="262" max="262" width="9.5703125" style="70" bestFit="1" customWidth="1"/>
    <col min="263" max="263" width="13.7109375" style="70" customWidth="1"/>
    <col min="264" max="264" width="23.7109375" style="70" customWidth="1"/>
    <col min="265" max="265" width="17.5703125" style="70" customWidth="1"/>
    <col min="266" max="266" width="17" style="70" customWidth="1"/>
    <col min="267" max="512" width="9.140625" style="70"/>
    <col min="513" max="513" width="4.7109375" style="70" customWidth="1"/>
    <col min="514" max="514" width="46.28515625" style="70" customWidth="1"/>
    <col min="515" max="515" width="14.5703125" style="70" bestFit="1" customWidth="1"/>
    <col min="516" max="516" width="10.140625" style="70" customWidth="1"/>
    <col min="517" max="517" width="8.140625" style="70" customWidth="1"/>
    <col min="518" max="518" width="9.5703125" style="70" bestFit="1" customWidth="1"/>
    <col min="519" max="519" width="13.7109375" style="70" customWidth="1"/>
    <col min="520" max="520" width="23.7109375" style="70" customWidth="1"/>
    <col min="521" max="521" width="17.5703125" style="70" customWidth="1"/>
    <col min="522" max="522" width="17" style="70" customWidth="1"/>
    <col min="523" max="768" width="9.140625" style="70"/>
    <col min="769" max="769" width="4.7109375" style="70" customWidth="1"/>
    <col min="770" max="770" width="46.28515625" style="70" customWidth="1"/>
    <col min="771" max="771" width="14.5703125" style="70" bestFit="1" customWidth="1"/>
    <col min="772" max="772" width="10.140625" style="70" customWidth="1"/>
    <col min="773" max="773" width="8.140625" style="70" customWidth="1"/>
    <col min="774" max="774" width="9.5703125" style="70" bestFit="1" customWidth="1"/>
    <col min="775" max="775" width="13.7109375" style="70" customWidth="1"/>
    <col min="776" max="776" width="23.7109375" style="70" customWidth="1"/>
    <col min="777" max="777" width="17.5703125" style="70" customWidth="1"/>
    <col min="778" max="778" width="17" style="70" customWidth="1"/>
    <col min="779" max="1024" width="9.140625" style="70"/>
    <col min="1025" max="1025" width="4.7109375" style="70" customWidth="1"/>
    <col min="1026" max="1026" width="46.28515625" style="70" customWidth="1"/>
    <col min="1027" max="1027" width="14.5703125" style="70" bestFit="1" customWidth="1"/>
    <col min="1028" max="1028" width="10.140625" style="70" customWidth="1"/>
    <col min="1029" max="1029" width="8.140625" style="70" customWidth="1"/>
    <col min="1030" max="1030" width="9.5703125" style="70" bestFit="1" customWidth="1"/>
    <col min="1031" max="1031" width="13.7109375" style="70" customWidth="1"/>
    <col min="1032" max="1032" width="23.7109375" style="70" customWidth="1"/>
    <col min="1033" max="1033" width="17.5703125" style="70" customWidth="1"/>
    <col min="1034" max="1034" width="17" style="70" customWidth="1"/>
    <col min="1035" max="1280" width="9.140625" style="70"/>
    <col min="1281" max="1281" width="4.7109375" style="70" customWidth="1"/>
    <col min="1282" max="1282" width="46.28515625" style="70" customWidth="1"/>
    <col min="1283" max="1283" width="14.5703125" style="70" bestFit="1" customWidth="1"/>
    <col min="1284" max="1284" width="10.140625" style="70" customWidth="1"/>
    <col min="1285" max="1285" width="8.140625" style="70" customWidth="1"/>
    <col min="1286" max="1286" width="9.5703125" style="70" bestFit="1" customWidth="1"/>
    <col min="1287" max="1287" width="13.7109375" style="70" customWidth="1"/>
    <col min="1288" max="1288" width="23.7109375" style="70" customWidth="1"/>
    <col min="1289" max="1289" width="17.5703125" style="70" customWidth="1"/>
    <col min="1290" max="1290" width="17" style="70" customWidth="1"/>
    <col min="1291" max="1536" width="9.140625" style="70"/>
    <col min="1537" max="1537" width="4.7109375" style="70" customWidth="1"/>
    <col min="1538" max="1538" width="46.28515625" style="70" customWidth="1"/>
    <col min="1539" max="1539" width="14.5703125" style="70" bestFit="1" customWidth="1"/>
    <col min="1540" max="1540" width="10.140625" style="70" customWidth="1"/>
    <col min="1541" max="1541" width="8.140625" style="70" customWidth="1"/>
    <col min="1542" max="1542" width="9.5703125" style="70" bestFit="1" customWidth="1"/>
    <col min="1543" max="1543" width="13.7109375" style="70" customWidth="1"/>
    <col min="1544" max="1544" width="23.7109375" style="70" customWidth="1"/>
    <col min="1545" max="1545" width="17.5703125" style="70" customWidth="1"/>
    <col min="1546" max="1546" width="17" style="70" customWidth="1"/>
    <col min="1547" max="1792" width="9.140625" style="70"/>
    <col min="1793" max="1793" width="4.7109375" style="70" customWidth="1"/>
    <col min="1794" max="1794" width="46.28515625" style="70" customWidth="1"/>
    <col min="1795" max="1795" width="14.5703125" style="70" bestFit="1" customWidth="1"/>
    <col min="1796" max="1796" width="10.140625" style="70" customWidth="1"/>
    <col min="1797" max="1797" width="8.140625" style="70" customWidth="1"/>
    <col min="1798" max="1798" width="9.5703125" style="70" bestFit="1" customWidth="1"/>
    <col min="1799" max="1799" width="13.7109375" style="70" customWidth="1"/>
    <col min="1800" max="1800" width="23.7109375" style="70" customWidth="1"/>
    <col min="1801" max="1801" width="17.5703125" style="70" customWidth="1"/>
    <col min="1802" max="1802" width="17" style="70" customWidth="1"/>
    <col min="1803" max="2048" width="9.140625" style="70"/>
    <col min="2049" max="2049" width="4.7109375" style="70" customWidth="1"/>
    <col min="2050" max="2050" width="46.28515625" style="70" customWidth="1"/>
    <col min="2051" max="2051" width="14.5703125" style="70" bestFit="1" customWidth="1"/>
    <col min="2052" max="2052" width="10.140625" style="70" customWidth="1"/>
    <col min="2053" max="2053" width="8.140625" style="70" customWidth="1"/>
    <col min="2054" max="2054" width="9.5703125" style="70" bestFit="1" customWidth="1"/>
    <col min="2055" max="2055" width="13.7109375" style="70" customWidth="1"/>
    <col min="2056" max="2056" width="23.7109375" style="70" customWidth="1"/>
    <col min="2057" max="2057" width="17.5703125" style="70" customWidth="1"/>
    <col min="2058" max="2058" width="17" style="70" customWidth="1"/>
    <col min="2059" max="2304" width="9.140625" style="70"/>
    <col min="2305" max="2305" width="4.7109375" style="70" customWidth="1"/>
    <col min="2306" max="2306" width="46.28515625" style="70" customWidth="1"/>
    <col min="2307" max="2307" width="14.5703125" style="70" bestFit="1" customWidth="1"/>
    <col min="2308" max="2308" width="10.140625" style="70" customWidth="1"/>
    <col min="2309" max="2309" width="8.140625" style="70" customWidth="1"/>
    <col min="2310" max="2310" width="9.5703125" style="70" bestFit="1" customWidth="1"/>
    <col min="2311" max="2311" width="13.7109375" style="70" customWidth="1"/>
    <col min="2312" max="2312" width="23.7109375" style="70" customWidth="1"/>
    <col min="2313" max="2313" width="17.5703125" style="70" customWidth="1"/>
    <col min="2314" max="2314" width="17" style="70" customWidth="1"/>
    <col min="2315" max="2560" width="9.140625" style="70"/>
    <col min="2561" max="2561" width="4.7109375" style="70" customWidth="1"/>
    <col min="2562" max="2562" width="46.28515625" style="70" customWidth="1"/>
    <col min="2563" max="2563" width="14.5703125" style="70" bestFit="1" customWidth="1"/>
    <col min="2564" max="2564" width="10.140625" style="70" customWidth="1"/>
    <col min="2565" max="2565" width="8.140625" style="70" customWidth="1"/>
    <col min="2566" max="2566" width="9.5703125" style="70" bestFit="1" customWidth="1"/>
    <col min="2567" max="2567" width="13.7109375" style="70" customWidth="1"/>
    <col min="2568" max="2568" width="23.7109375" style="70" customWidth="1"/>
    <col min="2569" max="2569" width="17.5703125" style="70" customWidth="1"/>
    <col min="2570" max="2570" width="17" style="70" customWidth="1"/>
    <col min="2571" max="2816" width="9.140625" style="70"/>
    <col min="2817" max="2817" width="4.7109375" style="70" customWidth="1"/>
    <col min="2818" max="2818" width="46.28515625" style="70" customWidth="1"/>
    <col min="2819" max="2819" width="14.5703125" style="70" bestFit="1" customWidth="1"/>
    <col min="2820" max="2820" width="10.140625" style="70" customWidth="1"/>
    <col min="2821" max="2821" width="8.140625" style="70" customWidth="1"/>
    <col min="2822" max="2822" width="9.5703125" style="70" bestFit="1" customWidth="1"/>
    <col min="2823" max="2823" width="13.7109375" style="70" customWidth="1"/>
    <col min="2824" max="2824" width="23.7109375" style="70" customWidth="1"/>
    <col min="2825" max="2825" width="17.5703125" style="70" customWidth="1"/>
    <col min="2826" max="2826" width="17" style="70" customWidth="1"/>
    <col min="2827" max="3072" width="9.140625" style="70"/>
    <col min="3073" max="3073" width="4.7109375" style="70" customWidth="1"/>
    <col min="3074" max="3074" width="46.28515625" style="70" customWidth="1"/>
    <col min="3075" max="3075" width="14.5703125" style="70" bestFit="1" customWidth="1"/>
    <col min="3076" max="3076" width="10.140625" style="70" customWidth="1"/>
    <col min="3077" max="3077" width="8.140625" style="70" customWidth="1"/>
    <col min="3078" max="3078" width="9.5703125" style="70" bestFit="1" customWidth="1"/>
    <col min="3079" max="3079" width="13.7109375" style="70" customWidth="1"/>
    <col min="3080" max="3080" width="23.7109375" style="70" customWidth="1"/>
    <col min="3081" max="3081" width="17.5703125" style="70" customWidth="1"/>
    <col min="3082" max="3082" width="17" style="70" customWidth="1"/>
    <col min="3083" max="3328" width="9.140625" style="70"/>
    <col min="3329" max="3329" width="4.7109375" style="70" customWidth="1"/>
    <col min="3330" max="3330" width="46.28515625" style="70" customWidth="1"/>
    <col min="3331" max="3331" width="14.5703125" style="70" bestFit="1" customWidth="1"/>
    <col min="3332" max="3332" width="10.140625" style="70" customWidth="1"/>
    <col min="3333" max="3333" width="8.140625" style="70" customWidth="1"/>
    <col min="3334" max="3334" width="9.5703125" style="70" bestFit="1" customWidth="1"/>
    <col min="3335" max="3335" width="13.7109375" style="70" customWidth="1"/>
    <col min="3336" max="3336" width="23.7109375" style="70" customWidth="1"/>
    <col min="3337" max="3337" width="17.5703125" style="70" customWidth="1"/>
    <col min="3338" max="3338" width="17" style="70" customWidth="1"/>
    <col min="3339" max="3584" width="9.140625" style="70"/>
    <col min="3585" max="3585" width="4.7109375" style="70" customWidth="1"/>
    <col min="3586" max="3586" width="46.28515625" style="70" customWidth="1"/>
    <col min="3587" max="3587" width="14.5703125" style="70" bestFit="1" customWidth="1"/>
    <col min="3588" max="3588" width="10.140625" style="70" customWidth="1"/>
    <col min="3589" max="3589" width="8.140625" style="70" customWidth="1"/>
    <col min="3590" max="3590" width="9.5703125" style="70" bestFit="1" customWidth="1"/>
    <col min="3591" max="3591" width="13.7109375" style="70" customWidth="1"/>
    <col min="3592" max="3592" width="23.7109375" style="70" customWidth="1"/>
    <col min="3593" max="3593" width="17.5703125" style="70" customWidth="1"/>
    <col min="3594" max="3594" width="17" style="70" customWidth="1"/>
    <col min="3595" max="3840" width="9.140625" style="70"/>
    <col min="3841" max="3841" width="4.7109375" style="70" customWidth="1"/>
    <col min="3842" max="3842" width="46.28515625" style="70" customWidth="1"/>
    <col min="3843" max="3843" width="14.5703125" style="70" bestFit="1" customWidth="1"/>
    <col min="3844" max="3844" width="10.140625" style="70" customWidth="1"/>
    <col min="3845" max="3845" width="8.140625" style="70" customWidth="1"/>
    <col min="3846" max="3846" width="9.5703125" style="70" bestFit="1" customWidth="1"/>
    <col min="3847" max="3847" width="13.7109375" style="70" customWidth="1"/>
    <col min="3848" max="3848" width="23.7109375" style="70" customWidth="1"/>
    <col min="3849" max="3849" width="17.5703125" style="70" customWidth="1"/>
    <col min="3850" max="3850" width="17" style="70" customWidth="1"/>
    <col min="3851" max="4096" width="9.140625" style="70"/>
    <col min="4097" max="4097" width="4.7109375" style="70" customWidth="1"/>
    <col min="4098" max="4098" width="46.28515625" style="70" customWidth="1"/>
    <col min="4099" max="4099" width="14.5703125" style="70" bestFit="1" customWidth="1"/>
    <col min="4100" max="4100" width="10.140625" style="70" customWidth="1"/>
    <col min="4101" max="4101" width="8.140625" style="70" customWidth="1"/>
    <col min="4102" max="4102" width="9.5703125" style="70" bestFit="1" customWidth="1"/>
    <col min="4103" max="4103" width="13.7109375" style="70" customWidth="1"/>
    <col min="4104" max="4104" width="23.7109375" style="70" customWidth="1"/>
    <col min="4105" max="4105" width="17.5703125" style="70" customWidth="1"/>
    <col min="4106" max="4106" width="17" style="70" customWidth="1"/>
    <col min="4107" max="4352" width="9.140625" style="70"/>
    <col min="4353" max="4353" width="4.7109375" style="70" customWidth="1"/>
    <col min="4354" max="4354" width="46.28515625" style="70" customWidth="1"/>
    <col min="4355" max="4355" width="14.5703125" style="70" bestFit="1" customWidth="1"/>
    <col min="4356" max="4356" width="10.140625" style="70" customWidth="1"/>
    <col min="4357" max="4357" width="8.140625" style="70" customWidth="1"/>
    <col min="4358" max="4358" width="9.5703125" style="70" bestFit="1" customWidth="1"/>
    <col min="4359" max="4359" width="13.7109375" style="70" customWidth="1"/>
    <col min="4360" max="4360" width="23.7109375" style="70" customWidth="1"/>
    <col min="4361" max="4361" width="17.5703125" style="70" customWidth="1"/>
    <col min="4362" max="4362" width="17" style="70" customWidth="1"/>
    <col min="4363" max="4608" width="9.140625" style="70"/>
    <col min="4609" max="4609" width="4.7109375" style="70" customWidth="1"/>
    <col min="4610" max="4610" width="46.28515625" style="70" customWidth="1"/>
    <col min="4611" max="4611" width="14.5703125" style="70" bestFit="1" customWidth="1"/>
    <col min="4612" max="4612" width="10.140625" style="70" customWidth="1"/>
    <col min="4613" max="4613" width="8.140625" style="70" customWidth="1"/>
    <col min="4614" max="4614" width="9.5703125" style="70" bestFit="1" customWidth="1"/>
    <col min="4615" max="4615" width="13.7109375" style="70" customWidth="1"/>
    <col min="4616" max="4616" width="23.7109375" style="70" customWidth="1"/>
    <col min="4617" max="4617" width="17.5703125" style="70" customWidth="1"/>
    <col min="4618" max="4618" width="17" style="70" customWidth="1"/>
    <col min="4619" max="4864" width="9.140625" style="70"/>
    <col min="4865" max="4865" width="4.7109375" style="70" customWidth="1"/>
    <col min="4866" max="4866" width="46.28515625" style="70" customWidth="1"/>
    <col min="4867" max="4867" width="14.5703125" style="70" bestFit="1" customWidth="1"/>
    <col min="4868" max="4868" width="10.140625" style="70" customWidth="1"/>
    <col min="4869" max="4869" width="8.140625" style="70" customWidth="1"/>
    <col min="4870" max="4870" width="9.5703125" style="70" bestFit="1" customWidth="1"/>
    <col min="4871" max="4871" width="13.7109375" style="70" customWidth="1"/>
    <col min="4872" max="4872" width="23.7109375" style="70" customWidth="1"/>
    <col min="4873" max="4873" width="17.5703125" style="70" customWidth="1"/>
    <col min="4874" max="4874" width="17" style="70" customWidth="1"/>
    <col min="4875" max="5120" width="9.140625" style="70"/>
    <col min="5121" max="5121" width="4.7109375" style="70" customWidth="1"/>
    <col min="5122" max="5122" width="46.28515625" style="70" customWidth="1"/>
    <col min="5123" max="5123" width="14.5703125" style="70" bestFit="1" customWidth="1"/>
    <col min="5124" max="5124" width="10.140625" style="70" customWidth="1"/>
    <col min="5125" max="5125" width="8.140625" style="70" customWidth="1"/>
    <col min="5126" max="5126" width="9.5703125" style="70" bestFit="1" customWidth="1"/>
    <col min="5127" max="5127" width="13.7109375" style="70" customWidth="1"/>
    <col min="5128" max="5128" width="23.7109375" style="70" customWidth="1"/>
    <col min="5129" max="5129" width="17.5703125" style="70" customWidth="1"/>
    <col min="5130" max="5130" width="17" style="70" customWidth="1"/>
    <col min="5131" max="5376" width="9.140625" style="70"/>
    <col min="5377" max="5377" width="4.7109375" style="70" customWidth="1"/>
    <col min="5378" max="5378" width="46.28515625" style="70" customWidth="1"/>
    <col min="5379" max="5379" width="14.5703125" style="70" bestFit="1" customWidth="1"/>
    <col min="5380" max="5380" width="10.140625" style="70" customWidth="1"/>
    <col min="5381" max="5381" width="8.140625" style="70" customWidth="1"/>
    <col min="5382" max="5382" width="9.5703125" style="70" bestFit="1" customWidth="1"/>
    <col min="5383" max="5383" width="13.7109375" style="70" customWidth="1"/>
    <col min="5384" max="5384" width="23.7109375" style="70" customWidth="1"/>
    <col min="5385" max="5385" width="17.5703125" style="70" customWidth="1"/>
    <col min="5386" max="5386" width="17" style="70" customWidth="1"/>
    <col min="5387" max="5632" width="9.140625" style="70"/>
    <col min="5633" max="5633" width="4.7109375" style="70" customWidth="1"/>
    <col min="5634" max="5634" width="46.28515625" style="70" customWidth="1"/>
    <col min="5635" max="5635" width="14.5703125" style="70" bestFit="1" customWidth="1"/>
    <col min="5636" max="5636" width="10.140625" style="70" customWidth="1"/>
    <col min="5637" max="5637" width="8.140625" style="70" customWidth="1"/>
    <col min="5638" max="5638" width="9.5703125" style="70" bestFit="1" customWidth="1"/>
    <col min="5639" max="5639" width="13.7109375" style="70" customWidth="1"/>
    <col min="5640" max="5640" width="23.7109375" style="70" customWidth="1"/>
    <col min="5641" max="5641" width="17.5703125" style="70" customWidth="1"/>
    <col min="5642" max="5642" width="17" style="70" customWidth="1"/>
    <col min="5643" max="5888" width="9.140625" style="70"/>
    <col min="5889" max="5889" width="4.7109375" style="70" customWidth="1"/>
    <col min="5890" max="5890" width="46.28515625" style="70" customWidth="1"/>
    <col min="5891" max="5891" width="14.5703125" style="70" bestFit="1" customWidth="1"/>
    <col min="5892" max="5892" width="10.140625" style="70" customWidth="1"/>
    <col min="5893" max="5893" width="8.140625" style="70" customWidth="1"/>
    <col min="5894" max="5894" width="9.5703125" style="70" bestFit="1" customWidth="1"/>
    <col min="5895" max="5895" width="13.7109375" style="70" customWidth="1"/>
    <col min="5896" max="5896" width="23.7109375" style="70" customWidth="1"/>
    <col min="5897" max="5897" width="17.5703125" style="70" customWidth="1"/>
    <col min="5898" max="5898" width="17" style="70" customWidth="1"/>
    <col min="5899" max="6144" width="9.140625" style="70"/>
    <col min="6145" max="6145" width="4.7109375" style="70" customWidth="1"/>
    <col min="6146" max="6146" width="46.28515625" style="70" customWidth="1"/>
    <col min="6147" max="6147" width="14.5703125" style="70" bestFit="1" customWidth="1"/>
    <col min="6148" max="6148" width="10.140625" style="70" customWidth="1"/>
    <col min="6149" max="6149" width="8.140625" style="70" customWidth="1"/>
    <col min="6150" max="6150" width="9.5703125" style="70" bestFit="1" customWidth="1"/>
    <col min="6151" max="6151" width="13.7109375" style="70" customWidth="1"/>
    <col min="6152" max="6152" width="23.7109375" style="70" customWidth="1"/>
    <col min="6153" max="6153" width="17.5703125" style="70" customWidth="1"/>
    <col min="6154" max="6154" width="17" style="70" customWidth="1"/>
    <col min="6155" max="6400" width="9.140625" style="70"/>
    <col min="6401" max="6401" width="4.7109375" style="70" customWidth="1"/>
    <col min="6402" max="6402" width="46.28515625" style="70" customWidth="1"/>
    <col min="6403" max="6403" width="14.5703125" style="70" bestFit="1" customWidth="1"/>
    <col min="6404" max="6404" width="10.140625" style="70" customWidth="1"/>
    <col min="6405" max="6405" width="8.140625" style="70" customWidth="1"/>
    <col min="6406" max="6406" width="9.5703125" style="70" bestFit="1" customWidth="1"/>
    <col min="6407" max="6407" width="13.7109375" style="70" customWidth="1"/>
    <col min="6408" max="6408" width="23.7109375" style="70" customWidth="1"/>
    <col min="6409" max="6409" width="17.5703125" style="70" customWidth="1"/>
    <col min="6410" max="6410" width="17" style="70" customWidth="1"/>
    <col min="6411" max="6656" width="9.140625" style="70"/>
    <col min="6657" max="6657" width="4.7109375" style="70" customWidth="1"/>
    <col min="6658" max="6658" width="46.28515625" style="70" customWidth="1"/>
    <col min="6659" max="6659" width="14.5703125" style="70" bestFit="1" customWidth="1"/>
    <col min="6660" max="6660" width="10.140625" style="70" customWidth="1"/>
    <col min="6661" max="6661" width="8.140625" style="70" customWidth="1"/>
    <col min="6662" max="6662" width="9.5703125" style="70" bestFit="1" customWidth="1"/>
    <col min="6663" max="6663" width="13.7109375" style="70" customWidth="1"/>
    <col min="6664" max="6664" width="23.7109375" style="70" customWidth="1"/>
    <col min="6665" max="6665" width="17.5703125" style="70" customWidth="1"/>
    <col min="6666" max="6666" width="17" style="70" customWidth="1"/>
    <col min="6667" max="6912" width="9.140625" style="70"/>
    <col min="6913" max="6913" width="4.7109375" style="70" customWidth="1"/>
    <col min="6914" max="6914" width="46.28515625" style="70" customWidth="1"/>
    <col min="6915" max="6915" width="14.5703125" style="70" bestFit="1" customWidth="1"/>
    <col min="6916" max="6916" width="10.140625" style="70" customWidth="1"/>
    <col min="6917" max="6917" width="8.140625" style="70" customWidth="1"/>
    <col min="6918" max="6918" width="9.5703125" style="70" bestFit="1" customWidth="1"/>
    <col min="6919" max="6919" width="13.7109375" style="70" customWidth="1"/>
    <col min="6920" max="6920" width="23.7109375" style="70" customWidth="1"/>
    <col min="6921" max="6921" width="17.5703125" style="70" customWidth="1"/>
    <col min="6922" max="6922" width="17" style="70" customWidth="1"/>
    <col min="6923" max="7168" width="9.140625" style="70"/>
    <col min="7169" max="7169" width="4.7109375" style="70" customWidth="1"/>
    <col min="7170" max="7170" width="46.28515625" style="70" customWidth="1"/>
    <col min="7171" max="7171" width="14.5703125" style="70" bestFit="1" customWidth="1"/>
    <col min="7172" max="7172" width="10.140625" style="70" customWidth="1"/>
    <col min="7173" max="7173" width="8.140625" style="70" customWidth="1"/>
    <col min="7174" max="7174" width="9.5703125" style="70" bestFit="1" customWidth="1"/>
    <col min="7175" max="7175" width="13.7109375" style="70" customWidth="1"/>
    <col min="7176" max="7176" width="23.7109375" style="70" customWidth="1"/>
    <col min="7177" max="7177" width="17.5703125" style="70" customWidth="1"/>
    <col min="7178" max="7178" width="17" style="70" customWidth="1"/>
    <col min="7179" max="7424" width="9.140625" style="70"/>
    <col min="7425" max="7425" width="4.7109375" style="70" customWidth="1"/>
    <col min="7426" max="7426" width="46.28515625" style="70" customWidth="1"/>
    <col min="7427" max="7427" width="14.5703125" style="70" bestFit="1" customWidth="1"/>
    <col min="7428" max="7428" width="10.140625" style="70" customWidth="1"/>
    <col min="7429" max="7429" width="8.140625" style="70" customWidth="1"/>
    <col min="7430" max="7430" width="9.5703125" style="70" bestFit="1" customWidth="1"/>
    <col min="7431" max="7431" width="13.7109375" style="70" customWidth="1"/>
    <col min="7432" max="7432" width="23.7109375" style="70" customWidth="1"/>
    <col min="7433" max="7433" width="17.5703125" style="70" customWidth="1"/>
    <col min="7434" max="7434" width="17" style="70" customWidth="1"/>
    <col min="7435" max="7680" width="9.140625" style="70"/>
    <col min="7681" max="7681" width="4.7109375" style="70" customWidth="1"/>
    <col min="7682" max="7682" width="46.28515625" style="70" customWidth="1"/>
    <col min="7683" max="7683" width="14.5703125" style="70" bestFit="1" customWidth="1"/>
    <col min="7684" max="7684" width="10.140625" style="70" customWidth="1"/>
    <col min="7685" max="7685" width="8.140625" style="70" customWidth="1"/>
    <col min="7686" max="7686" width="9.5703125" style="70" bestFit="1" customWidth="1"/>
    <col min="7687" max="7687" width="13.7109375" style="70" customWidth="1"/>
    <col min="7688" max="7688" width="23.7109375" style="70" customWidth="1"/>
    <col min="7689" max="7689" width="17.5703125" style="70" customWidth="1"/>
    <col min="7690" max="7690" width="17" style="70" customWidth="1"/>
    <col min="7691" max="7936" width="9.140625" style="70"/>
    <col min="7937" max="7937" width="4.7109375" style="70" customWidth="1"/>
    <col min="7938" max="7938" width="46.28515625" style="70" customWidth="1"/>
    <col min="7939" max="7939" width="14.5703125" style="70" bestFit="1" customWidth="1"/>
    <col min="7940" max="7940" width="10.140625" style="70" customWidth="1"/>
    <col min="7941" max="7941" width="8.140625" style="70" customWidth="1"/>
    <col min="7942" max="7942" width="9.5703125" style="70" bestFit="1" customWidth="1"/>
    <col min="7943" max="7943" width="13.7109375" style="70" customWidth="1"/>
    <col min="7944" max="7944" width="23.7109375" style="70" customWidth="1"/>
    <col min="7945" max="7945" width="17.5703125" style="70" customWidth="1"/>
    <col min="7946" max="7946" width="17" style="70" customWidth="1"/>
    <col min="7947" max="8192" width="9.140625" style="70"/>
    <col min="8193" max="8193" width="4.7109375" style="70" customWidth="1"/>
    <col min="8194" max="8194" width="46.28515625" style="70" customWidth="1"/>
    <col min="8195" max="8195" width="14.5703125" style="70" bestFit="1" customWidth="1"/>
    <col min="8196" max="8196" width="10.140625" style="70" customWidth="1"/>
    <col min="8197" max="8197" width="8.140625" style="70" customWidth="1"/>
    <col min="8198" max="8198" width="9.5703125" style="70" bestFit="1" customWidth="1"/>
    <col min="8199" max="8199" width="13.7109375" style="70" customWidth="1"/>
    <col min="8200" max="8200" width="23.7109375" style="70" customWidth="1"/>
    <col min="8201" max="8201" width="17.5703125" style="70" customWidth="1"/>
    <col min="8202" max="8202" width="17" style="70" customWidth="1"/>
    <col min="8203" max="8448" width="9.140625" style="70"/>
    <col min="8449" max="8449" width="4.7109375" style="70" customWidth="1"/>
    <col min="8450" max="8450" width="46.28515625" style="70" customWidth="1"/>
    <col min="8451" max="8451" width="14.5703125" style="70" bestFit="1" customWidth="1"/>
    <col min="8452" max="8452" width="10.140625" style="70" customWidth="1"/>
    <col min="8453" max="8453" width="8.140625" style="70" customWidth="1"/>
    <col min="8454" max="8454" width="9.5703125" style="70" bestFit="1" customWidth="1"/>
    <col min="8455" max="8455" width="13.7109375" style="70" customWidth="1"/>
    <col min="8456" max="8456" width="23.7109375" style="70" customWidth="1"/>
    <col min="8457" max="8457" width="17.5703125" style="70" customWidth="1"/>
    <col min="8458" max="8458" width="17" style="70" customWidth="1"/>
    <col min="8459" max="8704" width="9.140625" style="70"/>
    <col min="8705" max="8705" width="4.7109375" style="70" customWidth="1"/>
    <col min="8706" max="8706" width="46.28515625" style="70" customWidth="1"/>
    <col min="8707" max="8707" width="14.5703125" style="70" bestFit="1" customWidth="1"/>
    <col min="8708" max="8708" width="10.140625" style="70" customWidth="1"/>
    <col min="8709" max="8709" width="8.140625" style="70" customWidth="1"/>
    <col min="8710" max="8710" width="9.5703125" style="70" bestFit="1" customWidth="1"/>
    <col min="8711" max="8711" width="13.7109375" style="70" customWidth="1"/>
    <col min="8712" max="8712" width="23.7109375" style="70" customWidth="1"/>
    <col min="8713" max="8713" width="17.5703125" style="70" customWidth="1"/>
    <col min="8714" max="8714" width="17" style="70" customWidth="1"/>
    <col min="8715" max="8960" width="9.140625" style="70"/>
    <col min="8961" max="8961" width="4.7109375" style="70" customWidth="1"/>
    <col min="8962" max="8962" width="46.28515625" style="70" customWidth="1"/>
    <col min="8963" max="8963" width="14.5703125" style="70" bestFit="1" customWidth="1"/>
    <col min="8964" max="8964" width="10.140625" style="70" customWidth="1"/>
    <col min="8965" max="8965" width="8.140625" style="70" customWidth="1"/>
    <col min="8966" max="8966" width="9.5703125" style="70" bestFit="1" customWidth="1"/>
    <col min="8967" max="8967" width="13.7109375" style="70" customWidth="1"/>
    <col min="8968" max="8968" width="23.7109375" style="70" customWidth="1"/>
    <col min="8969" max="8969" width="17.5703125" style="70" customWidth="1"/>
    <col min="8970" max="8970" width="17" style="70" customWidth="1"/>
    <col min="8971" max="9216" width="9.140625" style="70"/>
    <col min="9217" max="9217" width="4.7109375" style="70" customWidth="1"/>
    <col min="9218" max="9218" width="46.28515625" style="70" customWidth="1"/>
    <col min="9219" max="9219" width="14.5703125" style="70" bestFit="1" customWidth="1"/>
    <col min="9220" max="9220" width="10.140625" style="70" customWidth="1"/>
    <col min="9221" max="9221" width="8.140625" style="70" customWidth="1"/>
    <col min="9222" max="9222" width="9.5703125" style="70" bestFit="1" customWidth="1"/>
    <col min="9223" max="9223" width="13.7109375" style="70" customWidth="1"/>
    <col min="9224" max="9224" width="23.7109375" style="70" customWidth="1"/>
    <col min="9225" max="9225" width="17.5703125" style="70" customWidth="1"/>
    <col min="9226" max="9226" width="17" style="70" customWidth="1"/>
    <col min="9227" max="9472" width="9.140625" style="70"/>
    <col min="9473" max="9473" width="4.7109375" style="70" customWidth="1"/>
    <col min="9474" max="9474" width="46.28515625" style="70" customWidth="1"/>
    <col min="9475" max="9475" width="14.5703125" style="70" bestFit="1" customWidth="1"/>
    <col min="9476" max="9476" width="10.140625" style="70" customWidth="1"/>
    <col min="9477" max="9477" width="8.140625" style="70" customWidth="1"/>
    <col min="9478" max="9478" width="9.5703125" style="70" bestFit="1" customWidth="1"/>
    <col min="9479" max="9479" width="13.7109375" style="70" customWidth="1"/>
    <col min="9480" max="9480" width="23.7109375" style="70" customWidth="1"/>
    <col min="9481" max="9481" width="17.5703125" style="70" customWidth="1"/>
    <col min="9482" max="9482" width="17" style="70" customWidth="1"/>
    <col min="9483" max="9728" width="9.140625" style="70"/>
    <col min="9729" max="9729" width="4.7109375" style="70" customWidth="1"/>
    <col min="9730" max="9730" width="46.28515625" style="70" customWidth="1"/>
    <col min="9731" max="9731" width="14.5703125" style="70" bestFit="1" customWidth="1"/>
    <col min="9732" max="9732" width="10.140625" style="70" customWidth="1"/>
    <col min="9733" max="9733" width="8.140625" style="70" customWidth="1"/>
    <col min="9734" max="9734" width="9.5703125" style="70" bestFit="1" customWidth="1"/>
    <col min="9735" max="9735" width="13.7109375" style="70" customWidth="1"/>
    <col min="9736" max="9736" width="23.7109375" style="70" customWidth="1"/>
    <col min="9737" max="9737" width="17.5703125" style="70" customWidth="1"/>
    <col min="9738" max="9738" width="17" style="70" customWidth="1"/>
    <col min="9739" max="9984" width="9.140625" style="70"/>
    <col min="9985" max="9985" width="4.7109375" style="70" customWidth="1"/>
    <col min="9986" max="9986" width="46.28515625" style="70" customWidth="1"/>
    <col min="9987" max="9987" width="14.5703125" style="70" bestFit="1" customWidth="1"/>
    <col min="9988" max="9988" width="10.140625" style="70" customWidth="1"/>
    <col min="9989" max="9989" width="8.140625" style="70" customWidth="1"/>
    <col min="9990" max="9990" width="9.5703125" style="70" bestFit="1" customWidth="1"/>
    <col min="9991" max="9991" width="13.7109375" style="70" customWidth="1"/>
    <col min="9992" max="9992" width="23.7109375" style="70" customWidth="1"/>
    <col min="9993" max="9993" width="17.5703125" style="70" customWidth="1"/>
    <col min="9994" max="9994" width="17" style="70" customWidth="1"/>
    <col min="9995" max="10240" width="9.140625" style="70"/>
    <col min="10241" max="10241" width="4.7109375" style="70" customWidth="1"/>
    <col min="10242" max="10242" width="46.28515625" style="70" customWidth="1"/>
    <col min="10243" max="10243" width="14.5703125" style="70" bestFit="1" customWidth="1"/>
    <col min="10244" max="10244" width="10.140625" style="70" customWidth="1"/>
    <col min="10245" max="10245" width="8.140625" style="70" customWidth="1"/>
    <col min="10246" max="10246" width="9.5703125" style="70" bestFit="1" customWidth="1"/>
    <col min="10247" max="10247" width="13.7109375" style="70" customWidth="1"/>
    <col min="10248" max="10248" width="23.7109375" style="70" customWidth="1"/>
    <col min="10249" max="10249" width="17.5703125" style="70" customWidth="1"/>
    <col min="10250" max="10250" width="17" style="70" customWidth="1"/>
    <col min="10251" max="10496" width="9.140625" style="70"/>
    <col min="10497" max="10497" width="4.7109375" style="70" customWidth="1"/>
    <col min="10498" max="10498" width="46.28515625" style="70" customWidth="1"/>
    <col min="10499" max="10499" width="14.5703125" style="70" bestFit="1" customWidth="1"/>
    <col min="10500" max="10500" width="10.140625" style="70" customWidth="1"/>
    <col min="10501" max="10501" width="8.140625" style="70" customWidth="1"/>
    <col min="10502" max="10502" width="9.5703125" style="70" bestFit="1" customWidth="1"/>
    <col min="10503" max="10503" width="13.7109375" style="70" customWidth="1"/>
    <col min="10504" max="10504" width="23.7109375" style="70" customWidth="1"/>
    <col min="10505" max="10505" width="17.5703125" style="70" customWidth="1"/>
    <col min="10506" max="10506" width="17" style="70" customWidth="1"/>
    <col min="10507" max="10752" width="9.140625" style="70"/>
    <col min="10753" max="10753" width="4.7109375" style="70" customWidth="1"/>
    <col min="10754" max="10754" width="46.28515625" style="70" customWidth="1"/>
    <col min="10755" max="10755" width="14.5703125" style="70" bestFit="1" customWidth="1"/>
    <col min="10756" max="10756" width="10.140625" style="70" customWidth="1"/>
    <col min="10757" max="10757" width="8.140625" style="70" customWidth="1"/>
    <col min="10758" max="10758" width="9.5703125" style="70" bestFit="1" customWidth="1"/>
    <col min="10759" max="10759" width="13.7109375" style="70" customWidth="1"/>
    <col min="10760" max="10760" width="23.7109375" style="70" customWidth="1"/>
    <col min="10761" max="10761" width="17.5703125" style="70" customWidth="1"/>
    <col min="10762" max="10762" width="17" style="70" customWidth="1"/>
    <col min="10763" max="11008" width="9.140625" style="70"/>
    <col min="11009" max="11009" width="4.7109375" style="70" customWidth="1"/>
    <col min="11010" max="11010" width="46.28515625" style="70" customWidth="1"/>
    <col min="11011" max="11011" width="14.5703125" style="70" bestFit="1" customWidth="1"/>
    <col min="11012" max="11012" width="10.140625" style="70" customWidth="1"/>
    <col min="11013" max="11013" width="8.140625" style="70" customWidth="1"/>
    <col min="11014" max="11014" width="9.5703125" style="70" bestFit="1" customWidth="1"/>
    <col min="11015" max="11015" width="13.7109375" style="70" customWidth="1"/>
    <col min="11016" max="11016" width="23.7109375" style="70" customWidth="1"/>
    <col min="11017" max="11017" width="17.5703125" style="70" customWidth="1"/>
    <col min="11018" max="11018" width="17" style="70" customWidth="1"/>
    <col min="11019" max="11264" width="9.140625" style="70"/>
    <col min="11265" max="11265" width="4.7109375" style="70" customWidth="1"/>
    <col min="11266" max="11266" width="46.28515625" style="70" customWidth="1"/>
    <col min="11267" max="11267" width="14.5703125" style="70" bestFit="1" customWidth="1"/>
    <col min="11268" max="11268" width="10.140625" style="70" customWidth="1"/>
    <col min="11269" max="11269" width="8.140625" style="70" customWidth="1"/>
    <col min="11270" max="11270" width="9.5703125" style="70" bestFit="1" customWidth="1"/>
    <col min="11271" max="11271" width="13.7109375" style="70" customWidth="1"/>
    <col min="11272" max="11272" width="23.7109375" style="70" customWidth="1"/>
    <col min="11273" max="11273" width="17.5703125" style="70" customWidth="1"/>
    <col min="11274" max="11274" width="17" style="70" customWidth="1"/>
    <col min="11275" max="11520" width="9.140625" style="70"/>
    <col min="11521" max="11521" width="4.7109375" style="70" customWidth="1"/>
    <col min="11522" max="11522" width="46.28515625" style="70" customWidth="1"/>
    <col min="11523" max="11523" width="14.5703125" style="70" bestFit="1" customWidth="1"/>
    <col min="11524" max="11524" width="10.140625" style="70" customWidth="1"/>
    <col min="11525" max="11525" width="8.140625" style="70" customWidth="1"/>
    <col min="11526" max="11526" width="9.5703125" style="70" bestFit="1" customWidth="1"/>
    <col min="11527" max="11527" width="13.7109375" style="70" customWidth="1"/>
    <col min="11528" max="11528" width="23.7109375" style="70" customWidth="1"/>
    <col min="11529" max="11529" width="17.5703125" style="70" customWidth="1"/>
    <col min="11530" max="11530" width="17" style="70" customWidth="1"/>
    <col min="11531" max="11776" width="9.140625" style="70"/>
    <col min="11777" max="11777" width="4.7109375" style="70" customWidth="1"/>
    <col min="11778" max="11778" width="46.28515625" style="70" customWidth="1"/>
    <col min="11779" max="11779" width="14.5703125" style="70" bestFit="1" customWidth="1"/>
    <col min="11780" max="11780" width="10.140625" style="70" customWidth="1"/>
    <col min="11781" max="11781" width="8.140625" style="70" customWidth="1"/>
    <col min="11782" max="11782" width="9.5703125" style="70" bestFit="1" customWidth="1"/>
    <col min="11783" max="11783" width="13.7109375" style="70" customWidth="1"/>
    <col min="11784" max="11784" width="23.7109375" style="70" customWidth="1"/>
    <col min="11785" max="11785" width="17.5703125" style="70" customWidth="1"/>
    <col min="11786" max="11786" width="17" style="70" customWidth="1"/>
    <col min="11787" max="12032" width="9.140625" style="70"/>
    <col min="12033" max="12033" width="4.7109375" style="70" customWidth="1"/>
    <col min="12034" max="12034" width="46.28515625" style="70" customWidth="1"/>
    <col min="12035" max="12035" width="14.5703125" style="70" bestFit="1" customWidth="1"/>
    <col min="12036" max="12036" width="10.140625" style="70" customWidth="1"/>
    <col min="12037" max="12037" width="8.140625" style="70" customWidth="1"/>
    <col min="12038" max="12038" width="9.5703125" style="70" bestFit="1" customWidth="1"/>
    <col min="12039" max="12039" width="13.7109375" style="70" customWidth="1"/>
    <col min="12040" max="12040" width="23.7109375" style="70" customWidth="1"/>
    <col min="12041" max="12041" width="17.5703125" style="70" customWidth="1"/>
    <col min="12042" max="12042" width="17" style="70" customWidth="1"/>
    <col min="12043" max="12288" width="9.140625" style="70"/>
    <col min="12289" max="12289" width="4.7109375" style="70" customWidth="1"/>
    <col min="12290" max="12290" width="46.28515625" style="70" customWidth="1"/>
    <col min="12291" max="12291" width="14.5703125" style="70" bestFit="1" customWidth="1"/>
    <col min="12292" max="12292" width="10.140625" style="70" customWidth="1"/>
    <col min="12293" max="12293" width="8.140625" style="70" customWidth="1"/>
    <col min="12294" max="12294" width="9.5703125" style="70" bestFit="1" customWidth="1"/>
    <col min="12295" max="12295" width="13.7109375" style="70" customWidth="1"/>
    <col min="12296" max="12296" width="23.7109375" style="70" customWidth="1"/>
    <col min="12297" max="12297" width="17.5703125" style="70" customWidth="1"/>
    <col min="12298" max="12298" width="17" style="70" customWidth="1"/>
    <col min="12299" max="12544" width="9.140625" style="70"/>
    <col min="12545" max="12545" width="4.7109375" style="70" customWidth="1"/>
    <col min="12546" max="12546" width="46.28515625" style="70" customWidth="1"/>
    <col min="12547" max="12547" width="14.5703125" style="70" bestFit="1" customWidth="1"/>
    <col min="12548" max="12548" width="10.140625" style="70" customWidth="1"/>
    <col min="12549" max="12549" width="8.140625" style="70" customWidth="1"/>
    <col min="12550" max="12550" width="9.5703125" style="70" bestFit="1" customWidth="1"/>
    <col min="12551" max="12551" width="13.7109375" style="70" customWidth="1"/>
    <col min="12552" max="12552" width="23.7109375" style="70" customWidth="1"/>
    <col min="12553" max="12553" width="17.5703125" style="70" customWidth="1"/>
    <col min="12554" max="12554" width="17" style="70" customWidth="1"/>
    <col min="12555" max="12800" width="9.140625" style="70"/>
    <col min="12801" max="12801" width="4.7109375" style="70" customWidth="1"/>
    <col min="12802" max="12802" width="46.28515625" style="70" customWidth="1"/>
    <col min="12803" max="12803" width="14.5703125" style="70" bestFit="1" customWidth="1"/>
    <col min="12804" max="12804" width="10.140625" style="70" customWidth="1"/>
    <col min="12805" max="12805" width="8.140625" style="70" customWidth="1"/>
    <col min="12806" max="12806" width="9.5703125" style="70" bestFit="1" customWidth="1"/>
    <col min="12807" max="12807" width="13.7109375" style="70" customWidth="1"/>
    <col min="12808" max="12808" width="23.7109375" style="70" customWidth="1"/>
    <col min="12809" max="12809" width="17.5703125" style="70" customWidth="1"/>
    <col min="12810" max="12810" width="17" style="70" customWidth="1"/>
    <col min="12811" max="13056" width="9.140625" style="70"/>
    <col min="13057" max="13057" width="4.7109375" style="70" customWidth="1"/>
    <col min="13058" max="13058" width="46.28515625" style="70" customWidth="1"/>
    <col min="13059" max="13059" width="14.5703125" style="70" bestFit="1" customWidth="1"/>
    <col min="13060" max="13060" width="10.140625" style="70" customWidth="1"/>
    <col min="13061" max="13061" width="8.140625" style="70" customWidth="1"/>
    <col min="13062" max="13062" width="9.5703125" style="70" bestFit="1" customWidth="1"/>
    <col min="13063" max="13063" width="13.7109375" style="70" customWidth="1"/>
    <col min="13064" max="13064" width="23.7109375" style="70" customWidth="1"/>
    <col min="13065" max="13065" width="17.5703125" style="70" customWidth="1"/>
    <col min="13066" max="13066" width="17" style="70" customWidth="1"/>
    <col min="13067" max="13312" width="9.140625" style="70"/>
    <col min="13313" max="13313" width="4.7109375" style="70" customWidth="1"/>
    <col min="13314" max="13314" width="46.28515625" style="70" customWidth="1"/>
    <col min="13315" max="13315" width="14.5703125" style="70" bestFit="1" customWidth="1"/>
    <col min="13316" max="13316" width="10.140625" style="70" customWidth="1"/>
    <col min="13317" max="13317" width="8.140625" style="70" customWidth="1"/>
    <col min="13318" max="13318" width="9.5703125" style="70" bestFit="1" customWidth="1"/>
    <col min="13319" max="13319" width="13.7109375" style="70" customWidth="1"/>
    <col min="13320" max="13320" width="23.7109375" style="70" customWidth="1"/>
    <col min="13321" max="13321" width="17.5703125" style="70" customWidth="1"/>
    <col min="13322" max="13322" width="17" style="70" customWidth="1"/>
    <col min="13323" max="13568" width="9.140625" style="70"/>
    <col min="13569" max="13569" width="4.7109375" style="70" customWidth="1"/>
    <col min="13570" max="13570" width="46.28515625" style="70" customWidth="1"/>
    <col min="13571" max="13571" width="14.5703125" style="70" bestFit="1" customWidth="1"/>
    <col min="13572" max="13572" width="10.140625" style="70" customWidth="1"/>
    <col min="13573" max="13573" width="8.140625" style="70" customWidth="1"/>
    <col min="13574" max="13574" width="9.5703125" style="70" bestFit="1" customWidth="1"/>
    <col min="13575" max="13575" width="13.7109375" style="70" customWidth="1"/>
    <col min="13576" max="13576" width="23.7109375" style="70" customWidth="1"/>
    <col min="13577" max="13577" width="17.5703125" style="70" customWidth="1"/>
    <col min="13578" max="13578" width="17" style="70" customWidth="1"/>
    <col min="13579" max="13824" width="9.140625" style="70"/>
    <col min="13825" max="13825" width="4.7109375" style="70" customWidth="1"/>
    <col min="13826" max="13826" width="46.28515625" style="70" customWidth="1"/>
    <col min="13827" max="13827" width="14.5703125" style="70" bestFit="1" customWidth="1"/>
    <col min="13828" max="13828" width="10.140625" style="70" customWidth="1"/>
    <col min="13829" max="13829" width="8.140625" style="70" customWidth="1"/>
    <col min="13830" max="13830" width="9.5703125" style="70" bestFit="1" customWidth="1"/>
    <col min="13831" max="13831" width="13.7109375" style="70" customWidth="1"/>
    <col min="13832" max="13832" width="23.7109375" style="70" customWidth="1"/>
    <col min="13833" max="13833" width="17.5703125" style="70" customWidth="1"/>
    <col min="13834" max="13834" width="17" style="70" customWidth="1"/>
    <col min="13835" max="14080" width="9.140625" style="70"/>
    <col min="14081" max="14081" width="4.7109375" style="70" customWidth="1"/>
    <col min="14082" max="14082" width="46.28515625" style="70" customWidth="1"/>
    <col min="14083" max="14083" width="14.5703125" style="70" bestFit="1" customWidth="1"/>
    <col min="14084" max="14084" width="10.140625" style="70" customWidth="1"/>
    <col min="14085" max="14085" width="8.140625" style="70" customWidth="1"/>
    <col min="14086" max="14086" width="9.5703125" style="70" bestFit="1" customWidth="1"/>
    <col min="14087" max="14087" width="13.7109375" style="70" customWidth="1"/>
    <col min="14088" max="14088" width="23.7109375" style="70" customWidth="1"/>
    <col min="14089" max="14089" width="17.5703125" style="70" customWidth="1"/>
    <col min="14090" max="14090" width="17" style="70" customWidth="1"/>
    <col min="14091" max="14336" width="9.140625" style="70"/>
    <col min="14337" max="14337" width="4.7109375" style="70" customWidth="1"/>
    <col min="14338" max="14338" width="46.28515625" style="70" customWidth="1"/>
    <col min="14339" max="14339" width="14.5703125" style="70" bestFit="1" customWidth="1"/>
    <col min="14340" max="14340" width="10.140625" style="70" customWidth="1"/>
    <col min="14341" max="14341" width="8.140625" style="70" customWidth="1"/>
    <col min="14342" max="14342" width="9.5703125" style="70" bestFit="1" customWidth="1"/>
    <col min="14343" max="14343" width="13.7109375" style="70" customWidth="1"/>
    <col min="14344" max="14344" width="23.7109375" style="70" customWidth="1"/>
    <col min="14345" max="14345" width="17.5703125" style="70" customWidth="1"/>
    <col min="14346" max="14346" width="17" style="70" customWidth="1"/>
    <col min="14347" max="14592" width="9.140625" style="70"/>
    <col min="14593" max="14593" width="4.7109375" style="70" customWidth="1"/>
    <col min="14594" max="14594" width="46.28515625" style="70" customWidth="1"/>
    <col min="14595" max="14595" width="14.5703125" style="70" bestFit="1" customWidth="1"/>
    <col min="14596" max="14596" width="10.140625" style="70" customWidth="1"/>
    <col min="14597" max="14597" width="8.140625" style="70" customWidth="1"/>
    <col min="14598" max="14598" width="9.5703125" style="70" bestFit="1" customWidth="1"/>
    <col min="14599" max="14599" width="13.7109375" style="70" customWidth="1"/>
    <col min="14600" max="14600" width="23.7109375" style="70" customWidth="1"/>
    <col min="14601" max="14601" width="17.5703125" style="70" customWidth="1"/>
    <col min="14602" max="14602" width="17" style="70" customWidth="1"/>
    <col min="14603" max="14848" width="9.140625" style="70"/>
    <col min="14849" max="14849" width="4.7109375" style="70" customWidth="1"/>
    <col min="14850" max="14850" width="46.28515625" style="70" customWidth="1"/>
    <col min="14851" max="14851" width="14.5703125" style="70" bestFit="1" customWidth="1"/>
    <col min="14852" max="14852" width="10.140625" style="70" customWidth="1"/>
    <col min="14853" max="14853" width="8.140625" style="70" customWidth="1"/>
    <col min="14854" max="14854" width="9.5703125" style="70" bestFit="1" customWidth="1"/>
    <col min="14855" max="14855" width="13.7109375" style="70" customWidth="1"/>
    <col min="14856" max="14856" width="23.7109375" style="70" customWidth="1"/>
    <col min="14857" max="14857" width="17.5703125" style="70" customWidth="1"/>
    <col min="14858" max="14858" width="17" style="70" customWidth="1"/>
    <col min="14859" max="15104" width="9.140625" style="70"/>
    <col min="15105" max="15105" width="4.7109375" style="70" customWidth="1"/>
    <col min="15106" max="15106" width="46.28515625" style="70" customWidth="1"/>
    <col min="15107" max="15107" width="14.5703125" style="70" bestFit="1" customWidth="1"/>
    <col min="15108" max="15108" width="10.140625" style="70" customWidth="1"/>
    <col min="15109" max="15109" width="8.140625" style="70" customWidth="1"/>
    <col min="15110" max="15110" width="9.5703125" style="70" bestFit="1" customWidth="1"/>
    <col min="15111" max="15111" width="13.7109375" style="70" customWidth="1"/>
    <col min="15112" max="15112" width="23.7109375" style="70" customWidth="1"/>
    <col min="15113" max="15113" width="17.5703125" style="70" customWidth="1"/>
    <col min="15114" max="15114" width="17" style="70" customWidth="1"/>
    <col min="15115" max="15360" width="9.140625" style="70"/>
    <col min="15361" max="15361" width="4.7109375" style="70" customWidth="1"/>
    <col min="15362" max="15362" width="46.28515625" style="70" customWidth="1"/>
    <col min="15363" max="15363" width="14.5703125" style="70" bestFit="1" customWidth="1"/>
    <col min="15364" max="15364" width="10.140625" style="70" customWidth="1"/>
    <col min="15365" max="15365" width="8.140625" style="70" customWidth="1"/>
    <col min="15366" max="15366" width="9.5703125" style="70" bestFit="1" customWidth="1"/>
    <col min="15367" max="15367" width="13.7109375" style="70" customWidth="1"/>
    <col min="15368" max="15368" width="23.7109375" style="70" customWidth="1"/>
    <col min="15369" max="15369" width="17.5703125" style="70" customWidth="1"/>
    <col min="15370" max="15370" width="17" style="70" customWidth="1"/>
    <col min="15371" max="15616" width="9.140625" style="70"/>
    <col min="15617" max="15617" width="4.7109375" style="70" customWidth="1"/>
    <col min="15618" max="15618" width="46.28515625" style="70" customWidth="1"/>
    <col min="15619" max="15619" width="14.5703125" style="70" bestFit="1" customWidth="1"/>
    <col min="15620" max="15620" width="10.140625" style="70" customWidth="1"/>
    <col min="15621" max="15621" width="8.140625" style="70" customWidth="1"/>
    <col min="15622" max="15622" width="9.5703125" style="70" bestFit="1" customWidth="1"/>
    <col min="15623" max="15623" width="13.7109375" style="70" customWidth="1"/>
    <col min="15624" max="15624" width="23.7109375" style="70" customWidth="1"/>
    <col min="15625" max="15625" width="17.5703125" style="70" customWidth="1"/>
    <col min="15626" max="15626" width="17" style="70" customWidth="1"/>
    <col min="15627" max="15872" width="9.140625" style="70"/>
    <col min="15873" max="15873" width="4.7109375" style="70" customWidth="1"/>
    <col min="15874" max="15874" width="46.28515625" style="70" customWidth="1"/>
    <col min="15875" max="15875" width="14.5703125" style="70" bestFit="1" customWidth="1"/>
    <col min="15876" max="15876" width="10.140625" style="70" customWidth="1"/>
    <col min="15877" max="15877" width="8.140625" style="70" customWidth="1"/>
    <col min="15878" max="15878" width="9.5703125" style="70" bestFit="1" customWidth="1"/>
    <col min="15879" max="15879" width="13.7109375" style="70" customWidth="1"/>
    <col min="15880" max="15880" width="23.7109375" style="70" customWidth="1"/>
    <col min="15881" max="15881" width="17.5703125" style="70" customWidth="1"/>
    <col min="15882" max="15882" width="17" style="70" customWidth="1"/>
    <col min="15883" max="16128" width="9.140625" style="70"/>
    <col min="16129" max="16129" width="4.7109375" style="70" customWidth="1"/>
    <col min="16130" max="16130" width="46.28515625" style="70" customWidth="1"/>
    <col min="16131" max="16131" width="14.5703125" style="70" bestFit="1" customWidth="1"/>
    <col min="16132" max="16132" width="10.140625" style="70" customWidth="1"/>
    <col min="16133" max="16133" width="8.140625" style="70" customWidth="1"/>
    <col min="16134" max="16134" width="9.5703125" style="70" bestFit="1" customWidth="1"/>
    <col min="16135" max="16135" width="13.7109375" style="70" customWidth="1"/>
    <col min="16136" max="16136" width="23.7109375" style="70" customWidth="1"/>
    <col min="16137" max="16137" width="17.5703125" style="70" customWidth="1"/>
    <col min="16138" max="16138" width="17" style="70" customWidth="1"/>
    <col min="16139" max="16384" width="9.140625" style="70"/>
  </cols>
  <sheetData>
    <row r="1" spans="1:12" ht="18">
      <c r="A1" s="2671"/>
      <c r="B1" s="3125" t="s">
        <v>2856</v>
      </c>
      <c r="C1" s="3125"/>
      <c r="D1" s="3125"/>
      <c r="E1" s="2672"/>
      <c r="F1" s="2672"/>
      <c r="G1" s="2672"/>
      <c r="H1" s="2116"/>
    </row>
    <row r="2" spans="1:12" ht="8.25" customHeight="1">
      <c r="A2" s="2671"/>
      <c r="B2" s="2672"/>
      <c r="C2" s="2672"/>
      <c r="D2" s="3512"/>
      <c r="E2" s="3512"/>
      <c r="F2" s="2672"/>
      <c r="G2" s="2672"/>
      <c r="H2" s="2116"/>
    </row>
    <row r="3" spans="1:12" ht="50.25" customHeight="1">
      <c r="A3" s="2671"/>
      <c r="B3" s="3507" t="s">
        <v>2822</v>
      </c>
      <c r="C3" s="3507"/>
      <c r="D3" s="3507"/>
      <c r="E3" s="3507"/>
      <c r="F3" s="3507"/>
      <c r="G3" s="3507"/>
      <c r="H3" s="2679"/>
    </row>
    <row r="4" spans="1:12" ht="15">
      <c r="A4" s="2671"/>
      <c r="B4" s="2667"/>
      <c r="C4" s="2667"/>
      <c r="D4" s="2667"/>
      <c r="E4" s="2667"/>
      <c r="F4" s="2667"/>
      <c r="G4" s="2667"/>
      <c r="H4" s="2116"/>
    </row>
    <row r="5" spans="1:12" ht="18.75" customHeight="1">
      <c r="A5" s="2671"/>
      <c r="B5" s="3390" t="s">
        <v>2857</v>
      </c>
      <c r="C5" s="3390"/>
      <c r="D5" s="3390"/>
      <c r="E5" s="373"/>
      <c r="F5" s="373"/>
      <c r="G5" s="2657" t="s">
        <v>89</v>
      </c>
      <c r="H5" s="2116"/>
    </row>
    <row r="6" spans="1:12" ht="14.25">
      <c r="A6" s="2671"/>
      <c r="B6" s="2116"/>
      <c r="C6" s="2116"/>
      <c r="D6" s="2116"/>
      <c r="E6" s="2116"/>
      <c r="F6" s="2116"/>
      <c r="G6" s="2116"/>
      <c r="H6" s="2116"/>
    </row>
    <row r="7" spans="1:12" ht="30">
      <c r="A7" s="2644" t="s">
        <v>2</v>
      </c>
      <c r="B7" s="2644" t="s">
        <v>3</v>
      </c>
      <c r="C7" s="2644" t="s">
        <v>2716</v>
      </c>
      <c r="D7" s="2644" t="s">
        <v>5</v>
      </c>
      <c r="E7" s="2644" t="s">
        <v>95</v>
      </c>
      <c r="F7" s="2644" t="s">
        <v>96</v>
      </c>
      <c r="G7" s="2644" t="s">
        <v>1668</v>
      </c>
      <c r="H7" s="2116"/>
    </row>
    <row r="8" spans="1:12" ht="32.25" customHeight="1">
      <c r="A8" s="2659">
        <v>1</v>
      </c>
      <c r="B8" s="2687" t="s">
        <v>825</v>
      </c>
      <c r="C8" s="2688">
        <v>7131310997</v>
      </c>
      <c r="D8" s="2660" t="s">
        <v>68</v>
      </c>
      <c r="E8" s="2660">
        <v>1</v>
      </c>
      <c r="F8" s="1132">
        <f>VLOOKUP(C8,'[25]SOR RATE'!A:D,4,0)</f>
        <v>1800</v>
      </c>
      <c r="G8" s="1202">
        <f>F8*E8</f>
        <v>1800</v>
      </c>
      <c r="H8" s="2661" t="s">
        <v>1799</v>
      </c>
      <c r="J8" s="840"/>
      <c r="K8" s="3511"/>
      <c r="L8" s="3511"/>
    </row>
    <row r="9" spans="1:12" ht="17.25" customHeight="1">
      <c r="A9" s="2660">
        <v>2</v>
      </c>
      <c r="B9" s="1290" t="s">
        <v>2831</v>
      </c>
      <c r="C9" s="2648">
        <v>7132476007</v>
      </c>
      <c r="D9" s="2660" t="s">
        <v>1193</v>
      </c>
      <c r="E9" s="2660">
        <v>1</v>
      </c>
      <c r="F9" s="1132">
        <f>VLOOKUP(C9,'[25]SOR RATE'!A:D,4,0)</f>
        <v>17.59</v>
      </c>
      <c r="G9" s="1202">
        <f>F9*E9</f>
        <v>17.59</v>
      </c>
      <c r="H9" s="2669" t="s">
        <v>802</v>
      </c>
    </row>
    <row r="10" spans="1:12" ht="17.25" customHeight="1">
      <c r="A10" s="2660">
        <v>3</v>
      </c>
      <c r="B10" s="1290" t="s">
        <v>2848</v>
      </c>
      <c r="C10" s="2660"/>
      <c r="D10" s="2660" t="s">
        <v>2833</v>
      </c>
      <c r="E10" s="2660">
        <v>1</v>
      </c>
      <c r="F10" s="1202">
        <v>40</v>
      </c>
      <c r="G10" s="1202">
        <f>F10*E10</f>
        <v>40</v>
      </c>
      <c r="H10" s="2116"/>
    </row>
    <row r="11" spans="1:12" ht="17.25" customHeight="1">
      <c r="A11" s="2660">
        <v>4</v>
      </c>
      <c r="B11" s="1290" t="s">
        <v>2834</v>
      </c>
      <c r="C11" s="2660"/>
      <c r="D11" s="2660" t="s">
        <v>2833</v>
      </c>
      <c r="E11" s="2660">
        <v>1</v>
      </c>
      <c r="F11" s="1202">
        <v>30</v>
      </c>
      <c r="G11" s="1202">
        <f>F11*E11</f>
        <v>30</v>
      </c>
      <c r="H11" s="2116"/>
    </row>
    <row r="12" spans="1:12" ht="16.5" customHeight="1">
      <c r="A12" s="2644">
        <v>5</v>
      </c>
      <c r="B12" s="1639" t="s">
        <v>48</v>
      </c>
      <c r="C12" s="2559"/>
      <c r="D12" s="2559"/>
      <c r="E12" s="2559"/>
      <c r="F12" s="2689"/>
      <c r="G12" s="2651">
        <f>SUM(G8:G11)</f>
        <v>1887.59</v>
      </c>
      <c r="H12" s="130"/>
      <c r="I12" s="102"/>
    </row>
    <row r="13" spans="1:12" ht="16.5" customHeight="1">
      <c r="A13" s="2642">
        <v>6</v>
      </c>
      <c r="B13" s="1639" t="s">
        <v>49</v>
      </c>
      <c r="C13" s="2559"/>
      <c r="D13" s="2559"/>
      <c r="E13" s="2559"/>
      <c r="F13" s="2689"/>
      <c r="G13" s="2651">
        <f>G12/1.18</f>
        <v>1599.6525423728813</v>
      </c>
      <c r="H13" s="85"/>
      <c r="I13" s="102"/>
    </row>
    <row r="14" spans="1:12" ht="19.5" customHeight="1">
      <c r="A14" s="2647">
        <v>7</v>
      </c>
      <c r="B14" s="1619" t="s">
        <v>50</v>
      </c>
      <c r="C14" s="1051"/>
      <c r="D14" s="1051"/>
      <c r="E14" s="1051"/>
      <c r="F14" s="2690" t="s">
        <v>120</v>
      </c>
      <c r="G14" s="2691">
        <f>G12*F14</f>
        <v>141.56924999999998</v>
      </c>
      <c r="H14" s="803"/>
      <c r="I14" s="85"/>
    </row>
    <row r="15" spans="1:12" ht="19.5" customHeight="1">
      <c r="A15" s="2660">
        <v>8</v>
      </c>
      <c r="B15" s="1290" t="s">
        <v>2858</v>
      </c>
      <c r="C15" s="2383"/>
      <c r="D15" s="3504" t="s">
        <v>2850</v>
      </c>
      <c r="E15" s="3506"/>
      <c r="F15" s="3505"/>
      <c r="G15" s="1202">
        <v>1329</v>
      </c>
      <c r="H15" s="2116"/>
    </row>
    <row r="16" spans="1:12" ht="15.75" customHeight="1">
      <c r="A16" s="2660">
        <v>9</v>
      </c>
      <c r="B16" s="1290" t="s">
        <v>1808</v>
      </c>
      <c r="C16" s="2383"/>
      <c r="D16" s="1615"/>
      <c r="E16" s="1615"/>
      <c r="F16" s="2660">
        <v>0.04</v>
      </c>
      <c r="G16" s="1202">
        <f>G13*F16</f>
        <v>63.986101694915256</v>
      </c>
      <c r="H16" s="1939" t="s">
        <v>119</v>
      </c>
    </row>
    <row r="17" spans="1:8" ht="32.25" customHeight="1">
      <c r="A17" s="2660">
        <v>10</v>
      </c>
      <c r="B17" s="1619" t="s">
        <v>1809</v>
      </c>
      <c r="C17" s="2680"/>
      <c r="D17" s="1615"/>
      <c r="E17" s="1615"/>
      <c r="F17" s="1615"/>
      <c r="G17" s="1202">
        <f>(G12+G14+G15+G16)*0.125</f>
        <v>427.76816896186438</v>
      </c>
      <c r="H17" s="2116"/>
    </row>
    <row r="18" spans="1:8" ht="30.75" customHeight="1">
      <c r="A18" s="2659">
        <v>11</v>
      </c>
      <c r="B18" s="2320" t="s">
        <v>1813</v>
      </c>
      <c r="C18" s="2680"/>
      <c r="D18" s="1615"/>
      <c r="E18" s="1615"/>
      <c r="F18" s="1615"/>
      <c r="G18" s="2651">
        <f>SUM(G13:G17)</f>
        <v>3561.976063029661</v>
      </c>
      <c r="H18" s="2116"/>
    </row>
    <row r="19" spans="1:8" ht="16.5" customHeight="1">
      <c r="A19" s="2659">
        <v>12</v>
      </c>
      <c r="B19" s="1619" t="s">
        <v>1810</v>
      </c>
      <c r="C19" s="2680"/>
      <c r="D19" s="1615"/>
      <c r="E19" s="1615"/>
      <c r="F19" s="2660">
        <v>0.09</v>
      </c>
      <c r="G19" s="1202">
        <f>F19*G18</f>
        <v>320.57784567266947</v>
      </c>
      <c r="H19" s="2116"/>
    </row>
    <row r="20" spans="1:8" ht="16.5" customHeight="1">
      <c r="A20" s="2659">
        <v>13</v>
      </c>
      <c r="B20" s="1619" t="s">
        <v>1811</v>
      </c>
      <c r="C20" s="2680"/>
      <c r="D20" s="1615"/>
      <c r="E20" s="1615"/>
      <c r="F20" s="2660">
        <v>0.09</v>
      </c>
      <c r="G20" s="1202">
        <f>F20*G18</f>
        <v>320.57784567266947</v>
      </c>
      <c r="H20" s="2116"/>
    </row>
    <row r="21" spans="1:8" ht="20.25" customHeight="1">
      <c r="A21" s="2660">
        <v>14</v>
      </c>
      <c r="B21" s="1619" t="s">
        <v>1812</v>
      </c>
      <c r="C21" s="2680"/>
      <c r="D21" s="1615"/>
      <c r="E21" s="1615"/>
      <c r="F21" s="1615"/>
      <c r="G21" s="1202">
        <f>G18+G19+G20</f>
        <v>4203.1317543750001</v>
      </c>
      <c r="H21" s="2116"/>
    </row>
    <row r="22" spans="1:8" ht="32.25" customHeight="1">
      <c r="A22" s="2644">
        <v>15</v>
      </c>
      <c r="B22" s="1082" t="s">
        <v>2859</v>
      </c>
      <c r="C22" s="1082"/>
      <c r="D22" s="1082"/>
      <c r="E22" s="1082"/>
      <c r="F22" s="1082"/>
      <c r="G22" s="2651">
        <f>+G21</f>
        <v>4203.1317543750001</v>
      </c>
      <c r="H22" s="2116"/>
    </row>
    <row r="23" spans="1:8" ht="34.5" customHeight="1">
      <c r="A23" s="2644">
        <v>16</v>
      </c>
      <c r="B23" s="1082" t="s">
        <v>2860</v>
      </c>
      <c r="C23" s="1082"/>
      <c r="D23" s="1082"/>
      <c r="E23" s="1082"/>
      <c r="F23" s="1082"/>
      <c r="G23" s="2651">
        <f>ROUND(G22,0)</f>
        <v>4203</v>
      </c>
      <c r="H23" s="2116"/>
    </row>
    <row r="24" spans="1:8">
      <c r="A24" s="596"/>
      <c r="B24" s="598"/>
      <c r="C24" s="598"/>
      <c r="D24" s="598"/>
      <c r="E24" s="598"/>
      <c r="F24" s="598"/>
      <c r="G24" s="598"/>
      <c r="H24" s="598"/>
    </row>
    <row r="25" spans="1:8">
      <c r="A25" s="596"/>
      <c r="B25" s="598"/>
      <c r="C25" s="598"/>
      <c r="D25" s="598"/>
      <c r="E25" s="598"/>
      <c r="F25" s="598"/>
      <c r="G25" s="598"/>
      <c r="H25" s="598"/>
    </row>
  </sheetData>
  <mergeCells count="6">
    <mergeCell ref="K8:L8"/>
    <mergeCell ref="D15:F15"/>
    <mergeCell ref="B1:D1"/>
    <mergeCell ref="D2:E2"/>
    <mergeCell ref="B3:G3"/>
    <mergeCell ref="B5:D5"/>
  </mergeCells>
  <conditionalFormatting sqref="B12">
    <cfRule type="cellIs" dxfId="7" priority="2" stopIfTrue="1" operator="equal">
      <formula>"?"</formula>
    </cfRule>
  </conditionalFormatting>
  <conditionalFormatting sqref="B13">
    <cfRule type="cellIs" dxfId="6" priority="1" stopIfTrue="1" operator="equal">
      <formula>"?"</formula>
    </cfRule>
  </conditionalFormatting>
  <pageMargins left="0.98425196850393704" right="0.15748031496062992" top="0.78740157480314965" bottom="0.78740157480314965" header="0.51181102362204722" footer="0.51181102362204722"/>
  <pageSetup orientation="landscape" r:id="rId1"/>
  <headerFooter alignWithMargins="0"/>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pane xSplit="2" ySplit="9" topLeftCell="C26" activePane="bottomRight" state="frozen"/>
      <selection pane="topRight" activeCell="C1" sqref="C1"/>
      <selection pane="bottomLeft" activeCell="A10" sqref="A10"/>
      <selection pane="bottomRight" activeCell="M17" sqref="M17"/>
    </sheetView>
  </sheetViews>
  <sheetFormatPr defaultRowHeight="12.75"/>
  <cols>
    <col min="1" max="1" width="7.140625" style="137" customWidth="1"/>
    <col min="2" max="2" width="45.85546875" style="70" customWidth="1"/>
    <col min="3" max="3" width="14" style="70" customWidth="1"/>
    <col min="4" max="4" width="5.140625" style="70" bestFit="1" customWidth="1"/>
    <col min="5" max="5" width="5" style="70" bestFit="1" customWidth="1"/>
    <col min="6" max="6" width="8.5703125" style="70" bestFit="1" customWidth="1"/>
    <col min="7" max="9" width="10.85546875" style="70" customWidth="1"/>
    <col min="10" max="10" width="23.85546875" style="70" customWidth="1"/>
    <col min="11" max="11" width="13.42578125" style="70" customWidth="1"/>
    <col min="12" max="256" width="9.140625" style="70"/>
    <col min="257" max="257" width="7.140625" style="70" customWidth="1"/>
    <col min="258" max="258" width="43" style="70" customWidth="1"/>
    <col min="259" max="259" width="14" style="70" customWidth="1"/>
    <col min="260" max="260" width="5.140625" style="70" bestFit="1" customWidth="1"/>
    <col min="261" max="261" width="5" style="70" bestFit="1" customWidth="1"/>
    <col min="262" max="262" width="8.5703125" style="70" bestFit="1" customWidth="1"/>
    <col min="263" max="265" width="10.85546875" style="70" customWidth="1"/>
    <col min="266" max="266" width="23.85546875" style="70" customWidth="1"/>
    <col min="267" max="267" width="13.42578125" style="70" customWidth="1"/>
    <col min="268" max="512" width="9.140625" style="70"/>
    <col min="513" max="513" width="7.140625" style="70" customWidth="1"/>
    <col min="514" max="514" width="43" style="70" customWidth="1"/>
    <col min="515" max="515" width="14" style="70" customWidth="1"/>
    <col min="516" max="516" width="5.140625" style="70" bestFit="1" customWidth="1"/>
    <col min="517" max="517" width="5" style="70" bestFit="1" customWidth="1"/>
    <col min="518" max="518" width="8.5703125" style="70" bestFit="1" customWidth="1"/>
    <col min="519" max="521" width="10.85546875" style="70" customWidth="1"/>
    <col min="522" max="522" width="23.85546875" style="70" customWidth="1"/>
    <col min="523" max="523" width="13.42578125" style="70" customWidth="1"/>
    <col min="524" max="768" width="9.140625" style="70"/>
    <col min="769" max="769" width="7.140625" style="70" customWidth="1"/>
    <col min="770" max="770" width="43" style="70" customWidth="1"/>
    <col min="771" max="771" width="14" style="70" customWidth="1"/>
    <col min="772" max="772" width="5.140625" style="70" bestFit="1" customWidth="1"/>
    <col min="773" max="773" width="5" style="70" bestFit="1" customWidth="1"/>
    <col min="774" max="774" width="8.5703125" style="70" bestFit="1" customWidth="1"/>
    <col min="775" max="777" width="10.85546875" style="70" customWidth="1"/>
    <col min="778" max="778" width="23.85546875" style="70" customWidth="1"/>
    <col min="779" max="779" width="13.42578125" style="70" customWidth="1"/>
    <col min="780" max="1024" width="9.140625" style="70"/>
    <col min="1025" max="1025" width="7.140625" style="70" customWidth="1"/>
    <col min="1026" max="1026" width="43" style="70" customWidth="1"/>
    <col min="1027" max="1027" width="14" style="70" customWidth="1"/>
    <col min="1028" max="1028" width="5.140625" style="70" bestFit="1" customWidth="1"/>
    <col min="1029" max="1029" width="5" style="70" bestFit="1" customWidth="1"/>
    <col min="1030" max="1030" width="8.5703125" style="70" bestFit="1" customWidth="1"/>
    <col min="1031" max="1033" width="10.85546875" style="70" customWidth="1"/>
    <col min="1034" max="1034" width="23.85546875" style="70" customWidth="1"/>
    <col min="1035" max="1035" width="13.42578125" style="70" customWidth="1"/>
    <col min="1036" max="1280" width="9.140625" style="70"/>
    <col min="1281" max="1281" width="7.140625" style="70" customWidth="1"/>
    <col min="1282" max="1282" width="43" style="70" customWidth="1"/>
    <col min="1283" max="1283" width="14" style="70" customWidth="1"/>
    <col min="1284" max="1284" width="5.140625" style="70" bestFit="1" customWidth="1"/>
    <col min="1285" max="1285" width="5" style="70" bestFit="1" customWidth="1"/>
    <col min="1286" max="1286" width="8.5703125" style="70" bestFit="1" customWidth="1"/>
    <col min="1287" max="1289" width="10.85546875" style="70" customWidth="1"/>
    <col min="1290" max="1290" width="23.85546875" style="70" customWidth="1"/>
    <col min="1291" max="1291" width="13.42578125" style="70" customWidth="1"/>
    <col min="1292" max="1536" width="9.140625" style="70"/>
    <col min="1537" max="1537" width="7.140625" style="70" customWidth="1"/>
    <col min="1538" max="1538" width="43" style="70" customWidth="1"/>
    <col min="1539" max="1539" width="14" style="70" customWidth="1"/>
    <col min="1540" max="1540" width="5.140625" style="70" bestFit="1" customWidth="1"/>
    <col min="1541" max="1541" width="5" style="70" bestFit="1" customWidth="1"/>
    <col min="1542" max="1542" width="8.5703125" style="70" bestFit="1" customWidth="1"/>
    <col min="1543" max="1545" width="10.85546875" style="70" customWidth="1"/>
    <col min="1546" max="1546" width="23.85546875" style="70" customWidth="1"/>
    <col min="1547" max="1547" width="13.42578125" style="70" customWidth="1"/>
    <col min="1548" max="1792" width="9.140625" style="70"/>
    <col min="1793" max="1793" width="7.140625" style="70" customWidth="1"/>
    <col min="1794" max="1794" width="43" style="70" customWidth="1"/>
    <col min="1795" max="1795" width="14" style="70" customWidth="1"/>
    <col min="1796" max="1796" width="5.140625" style="70" bestFit="1" customWidth="1"/>
    <col min="1797" max="1797" width="5" style="70" bestFit="1" customWidth="1"/>
    <col min="1798" max="1798" width="8.5703125" style="70" bestFit="1" customWidth="1"/>
    <col min="1799" max="1801" width="10.85546875" style="70" customWidth="1"/>
    <col min="1802" max="1802" width="23.85546875" style="70" customWidth="1"/>
    <col min="1803" max="1803" width="13.42578125" style="70" customWidth="1"/>
    <col min="1804" max="2048" width="9.140625" style="70"/>
    <col min="2049" max="2049" width="7.140625" style="70" customWidth="1"/>
    <col min="2050" max="2050" width="43" style="70" customWidth="1"/>
    <col min="2051" max="2051" width="14" style="70" customWidth="1"/>
    <col min="2052" max="2052" width="5.140625" style="70" bestFit="1" customWidth="1"/>
    <col min="2053" max="2053" width="5" style="70" bestFit="1" customWidth="1"/>
    <col min="2054" max="2054" width="8.5703125" style="70" bestFit="1" customWidth="1"/>
    <col min="2055" max="2057" width="10.85546875" style="70" customWidth="1"/>
    <col min="2058" max="2058" width="23.85546875" style="70" customWidth="1"/>
    <col min="2059" max="2059" width="13.42578125" style="70" customWidth="1"/>
    <col min="2060" max="2304" width="9.140625" style="70"/>
    <col min="2305" max="2305" width="7.140625" style="70" customWidth="1"/>
    <col min="2306" max="2306" width="43" style="70" customWidth="1"/>
    <col min="2307" max="2307" width="14" style="70" customWidth="1"/>
    <col min="2308" max="2308" width="5.140625" style="70" bestFit="1" customWidth="1"/>
    <col min="2309" max="2309" width="5" style="70" bestFit="1" customWidth="1"/>
    <col min="2310" max="2310" width="8.5703125" style="70" bestFit="1" customWidth="1"/>
    <col min="2311" max="2313" width="10.85546875" style="70" customWidth="1"/>
    <col min="2314" max="2314" width="23.85546875" style="70" customWidth="1"/>
    <col min="2315" max="2315" width="13.42578125" style="70" customWidth="1"/>
    <col min="2316" max="2560" width="9.140625" style="70"/>
    <col min="2561" max="2561" width="7.140625" style="70" customWidth="1"/>
    <col min="2562" max="2562" width="43" style="70" customWidth="1"/>
    <col min="2563" max="2563" width="14" style="70" customWidth="1"/>
    <col min="2564" max="2564" width="5.140625" style="70" bestFit="1" customWidth="1"/>
    <col min="2565" max="2565" width="5" style="70" bestFit="1" customWidth="1"/>
    <col min="2566" max="2566" width="8.5703125" style="70" bestFit="1" customWidth="1"/>
    <col min="2567" max="2569" width="10.85546875" style="70" customWidth="1"/>
    <col min="2570" max="2570" width="23.85546875" style="70" customWidth="1"/>
    <col min="2571" max="2571" width="13.42578125" style="70" customWidth="1"/>
    <col min="2572" max="2816" width="9.140625" style="70"/>
    <col min="2817" max="2817" width="7.140625" style="70" customWidth="1"/>
    <col min="2818" max="2818" width="43" style="70" customWidth="1"/>
    <col min="2819" max="2819" width="14" style="70" customWidth="1"/>
    <col min="2820" max="2820" width="5.140625" style="70" bestFit="1" customWidth="1"/>
    <col min="2821" max="2821" width="5" style="70" bestFit="1" customWidth="1"/>
    <col min="2822" max="2822" width="8.5703125" style="70" bestFit="1" customWidth="1"/>
    <col min="2823" max="2825" width="10.85546875" style="70" customWidth="1"/>
    <col min="2826" max="2826" width="23.85546875" style="70" customWidth="1"/>
    <col min="2827" max="2827" width="13.42578125" style="70" customWidth="1"/>
    <col min="2828" max="3072" width="9.140625" style="70"/>
    <col min="3073" max="3073" width="7.140625" style="70" customWidth="1"/>
    <col min="3074" max="3074" width="43" style="70" customWidth="1"/>
    <col min="3075" max="3075" width="14" style="70" customWidth="1"/>
    <col min="3076" max="3076" width="5.140625" style="70" bestFit="1" customWidth="1"/>
    <col min="3077" max="3077" width="5" style="70" bestFit="1" customWidth="1"/>
    <col min="3078" max="3078" width="8.5703125" style="70" bestFit="1" customWidth="1"/>
    <col min="3079" max="3081" width="10.85546875" style="70" customWidth="1"/>
    <col min="3082" max="3082" width="23.85546875" style="70" customWidth="1"/>
    <col min="3083" max="3083" width="13.42578125" style="70" customWidth="1"/>
    <col min="3084" max="3328" width="9.140625" style="70"/>
    <col min="3329" max="3329" width="7.140625" style="70" customWidth="1"/>
    <col min="3330" max="3330" width="43" style="70" customWidth="1"/>
    <col min="3331" max="3331" width="14" style="70" customWidth="1"/>
    <col min="3332" max="3332" width="5.140625" style="70" bestFit="1" customWidth="1"/>
    <col min="3333" max="3333" width="5" style="70" bestFit="1" customWidth="1"/>
    <col min="3334" max="3334" width="8.5703125" style="70" bestFit="1" customWidth="1"/>
    <col min="3335" max="3337" width="10.85546875" style="70" customWidth="1"/>
    <col min="3338" max="3338" width="23.85546875" style="70" customWidth="1"/>
    <col min="3339" max="3339" width="13.42578125" style="70" customWidth="1"/>
    <col min="3340" max="3584" width="9.140625" style="70"/>
    <col min="3585" max="3585" width="7.140625" style="70" customWidth="1"/>
    <col min="3586" max="3586" width="43" style="70" customWidth="1"/>
    <col min="3587" max="3587" width="14" style="70" customWidth="1"/>
    <col min="3588" max="3588" width="5.140625" style="70" bestFit="1" customWidth="1"/>
    <col min="3589" max="3589" width="5" style="70" bestFit="1" customWidth="1"/>
    <col min="3590" max="3590" width="8.5703125" style="70" bestFit="1" customWidth="1"/>
    <col min="3591" max="3593" width="10.85546875" style="70" customWidth="1"/>
    <col min="3594" max="3594" width="23.85546875" style="70" customWidth="1"/>
    <col min="3595" max="3595" width="13.42578125" style="70" customWidth="1"/>
    <col min="3596" max="3840" width="9.140625" style="70"/>
    <col min="3841" max="3841" width="7.140625" style="70" customWidth="1"/>
    <col min="3842" max="3842" width="43" style="70" customWidth="1"/>
    <col min="3843" max="3843" width="14" style="70" customWidth="1"/>
    <col min="3844" max="3844" width="5.140625" style="70" bestFit="1" customWidth="1"/>
    <col min="3845" max="3845" width="5" style="70" bestFit="1" customWidth="1"/>
    <col min="3846" max="3846" width="8.5703125" style="70" bestFit="1" customWidth="1"/>
    <col min="3847" max="3849" width="10.85546875" style="70" customWidth="1"/>
    <col min="3850" max="3850" width="23.85546875" style="70" customWidth="1"/>
    <col min="3851" max="3851" width="13.42578125" style="70" customWidth="1"/>
    <col min="3852" max="4096" width="9.140625" style="70"/>
    <col min="4097" max="4097" width="7.140625" style="70" customWidth="1"/>
    <col min="4098" max="4098" width="43" style="70" customWidth="1"/>
    <col min="4099" max="4099" width="14" style="70" customWidth="1"/>
    <col min="4100" max="4100" width="5.140625" style="70" bestFit="1" customWidth="1"/>
    <col min="4101" max="4101" width="5" style="70" bestFit="1" customWidth="1"/>
    <col min="4102" max="4102" width="8.5703125" style="70" bestFit="1" customWidth="1"/>
    <col min="4103" max="4105" width="10.85546875" style="70" customWidth="1"/>
    <col min="4106" max="4106" width="23.85546875" style="70" customWidth="1"/>
    <col min="4107" max="4107" width="13.42578125" style="70" customWidth="1"/>
    <col min="4108" max="4352" width="9.140625" style="70"/>
    <col min="4353" max="4353" width="7.140625" style="70" customWidth="1"/>
    <col min="4354" max="4354" width="43" style="70" customWidth="1"/>
    <col min="4355" max="4355" width="14" style="70" customWidth="1"/>
    <col min="4356" max="4356" width="5.140625" style="70" bestFit="1" customWidth="1"/>
    <col min="4357" max="4357" width="5" style="70" bestFit="1" customWidth="1"/>
    <col min="4358" max="4358" width="8.5703125" style="70" bestFit="1" customWidth="1"/>
    <col min="4359" max="4361" width="10.85546875" style="70" customWidth="1"/>
    <col min="4362" max="4362" width="23.85546875" style="70" customWidth="1"/>
    <col min="4363" max="4363" width="13.42578125" style="70" customWidth="1"/>
    <col min="4364" max="4608" width="9.140625" style="70"/>
    <col min="4609" max="4609" width="7.140625" style="70" customWidth="1"/>
    <col min="4610" max="4610" width="43" style="70" customWidth="1"/>
    <col min="4611" max="4611" width="14" style="70" customWidth="1"/>
    <col min="4612" max="4612" width="5.140625" style="70" bestFit="1" customWidth="1"/>
    <col min="4613" max="4613" width="5" style="70" bestFit="1" customWidth="1"/>
    <col min="4614" max="4614" width="8.5703125" style="70" bestFit="1" customWidth="1"/>
    <col min="4615" max="4617" width="10.85546875" style="70" customWidth="1"/>
    <col min="4618" max="4618" width="23.85546875" style="70" customWidth="1"/>
    <col min="4619" max="4619" width="13.42578125" style="70" customWidth="1"/>
    <col min="4620" max="4864" width="9.140625" style="70"/>
    <col min="4865" max="4865" width="7.140625" style="70" customWidth="1"/>
    <col min="4866" max="4866" width="43" style="70" customWidth="1"/>
    <col min="4867" max="4867" width="14" style="70" customWidth="1"/>
    <col min="4868" max="4868" width="5.140625" style="70" bestFit="1" customWidth="1"/>
    <col min="4869" max="4869" width="5" style="70" bestFit="1" customWidth="1"/>
    <col min="4870" max="4870" width="8.5703125" style="70" bestFit="1" customWidth="1"/>
    <col min="4871" max="4873" width="10.85546875" style="70" customWidth="1"/>
    <col min="4874" max="4874" width="23.85546875" style="70" customWidth="1"/>
    <col min="4875" max="4875" width="13.42578125" style="70" customWidth="1"/>
    <col min="4876" max="5120" width="9.140625" style="70"/>
    <col min="5121" max="5121" width="7.140625" style="70" customWidth="1"/>
    <col min="5122" max="5122" width="43" style="70" customWidth="1"/>
    <col min="5123" max="5123" width="14" style="70" customWidth="1"/>
    <col min="5124" max="5124" width="5.140625" style="70" bestFit="1" customWidth="1"/>
    <col min="5125" max="5125" width="5" style="70" bestFit="1" customWidth="1"/>
    <col min="5126" max="5126" width="8.5703125" style="70" bestFit="1" customWidth="1"/>
    <col min="5127" max="5129" width="10.85546875" style="70" customWidth="1"/>
    <col min="5130" max="5130" width="23.85546875" style="70" customWidth="1"/>
    <col min="5131" max="5131" width="13.42578125" style="70" customWidth="1"/>
    <col min="5132" max="5376" width="9.140625" style="70"/>
    <col min="5377" max="5377" width="7.140625" style="70" customWidth="1"/>
    <col min="5378" max="5378" width="43" style="70" customWidth="1"/>
    <col min="5379" max="5379" width="14" style="70" customWidth="1"/>
    <col min="5380" max="5380" width="5.140625" style="70" bestFit="1" customWidth="1"/>
    <col min="5381" max="5381" width="5" style="70" bestFit="1" customWidth="1"/>
    <col min="5382" max="5382" width="8.5703125" style="70" bestFit="1" customWidth="1"/>
    <col min="5383" max="5385" width="10.85546875" style="70" customWidth="1"/>
    <col min="5386" max="5386" width="23.85546875" style="70" customWidth="1"/>
    <col min="5387" max="5387" width="13.42578125" style="70" customWidth="1"/>
    <col min="5388" max="5632" width="9.140625" style="70"/>
    <col min="5633" max="5633" width="7.140625" style="70" customWidth="1"/>
    <col min="5634" max="5634" width="43" style="70" customWidth="1"/>
    <col min="5635" max="5635" width="14" style="70" customWidth="1"/>
    <col min="5636" max="5636" width="5.140625" style="70" bestFit="1" customWidth="1"/>
    <col min="5637" max="5637" width="5" style="70" bestFit="1" customWidth="1"/>
    <col min="5638" max="5638" width="8.5703125" style="70" bestFit="1" customWidth="1"/>
    <col min="5639" max="5641" width="10.85546875" style="70" customWidth="1"/>
    <col min="5642" max="5642" width="23.85546875" style="70" customWidth="1"/>
    <col min="5643" max="5643" width="13.42578125" style="70" customWidth="1"/>
    <col min="5644" max="5888" width="9.140625" style="70"/>
    <col min="5889" max="5889" width="7.140625" style="70" customWidth="1"/>
    <col min="5890" max="5890" width="43" style="70" customWidth="1"/>
    <col min="5891" max="5891" width="14" style="70" customWidth="1"/>
    <col min="5892" max="5892" width="5.140625" style="70" bestFit="1" customWidth="1"/>
    <col min="5893" max="5893" width="5" style="70" bestFit="1" customWidth="1"/>
    <col min="5894" max="5894" width="8.5703125" style="70" bestFit="1" customWidth="1"/>
    <col min="5895" max="5897" width="10.85546875" style="70" customWidth="1"/>
    <col min="5898" max="5898" width="23.85546875" style="70" customWidth="1"/>
    <col min="5899" max="5899" width="13.42578125" style="70" customWidth="1"/>
    <col min="5900" max="6144" width="9.140625" style="70"/>
    <col min="6145" max="6145" width="7.140625" style="70" customWidth="1"/>
    <col min="6146" max="6146" width="43" style="70" customWidth="1"/>
    <col min="6147" max="6147" width="14" style="70" customWidth="1"/>
    <col min="6148" max="6148" width="5.140625" style="70" bestFit="1" customWidth="1"/>
    <col min="6149" max="6149" width="5" style="70" bestFit="1" customWidth="1"/>
    <col min="6150" max="6150" width="8.5703125" style="70" bestFit="1" customWidth="1"/>
    <col min="6151" max="6153" width="10.85546875" style="70" customWidth="1"/>
    <col min="6154" max="6154" width="23.85546875" style="70" customWidth="1"/>
    <col min="6155" max="6155" width="13.42578125" style="70" customWidth="1"/>
    <col min="6156" max="6400" width="9.140625" style="70"/>
    <col min="6401" max="6401" width="7.140625" style="70" customWidth="1"/>
    <col min="6402" max="6402" width="43" style="70" customWidth="1"/>
    <col min="6403" max="6403" width="14" style="70" customWidth="1"/>
    <col min="6404" max="6404" width="5.140625" style="70" bestFit="1" customWidth="1"/>
    <col min="6405" max="6405" width="5" style="70" bestFit="1" customWidth="1"/>
    <col min="6406" max="6406" width="8.5703125" style="70" bestFit="1" customWidth="1"/>
    <col min="6407" max="6409" width="10.85546875" style="70" customWidth="1"/>
    <col min="6410" max="6410" width="23.85546875" style="70" customWidth="1"/>
    <col min="6411" max="6411" width="13.42578125" style="70" customWidth="1"/>
    <col min="6412" max="6656" width="9.140625" style="70"/>
    <col min="6657" max="6657" width="7.140625" style="70" customWidth="1"/>
    <col min="6658" max="6658" width="43" style="70" customWidth="1"/>
    <col min="6659" max="6659" width="14" style="70" customWidth="1"/>
    <col min="6660" max="6660" width="5.140625" style="70" bestFit="1" customWidth="1"/>
    <col min="6661" max="6661" width="5" style="70" bestFit="1" customWidth="1"/>
    <col min="6662" max="6662" width="8.5703125" style="70" bestFit="1" customWidth="1"/>
    <col min="6663" max="6665" width="10.85546875" style="70" customWidth="1"/>
    <col min="6666" max="6666" width="23.85546875" style="70" customWidth="1"/>
    <col min="6667" max="6667" width="13.42578125" style="70" customWidth="1"/>
    <col min="6668" max="6912" width="9.140625" style="70"/>
    <col min="6913" max="6913" width="7.140625" style="70" customWidth="1"/>
    <col min="6914" max="6914" width="43" style="70" customWidth="1"/>
    <col min="6915" max="6915" width="14" style="70" customWidth="1"/>
    <col min="6916" max="6916" width="5.140625" style="70" bestFit="1" customWidth="1"/>
    <col min="6917" max="6917" width="5" style="70" bestFit="1" customWidth="1"/>
    <col min="6918" max="6918" width="8.5703125" style="70" bestFit="1" customWidth="1"/>
    <col min="6919" max="6921" width="10.85546875" style="70" customWidth="1"/>
    <col min="6922" max="6922" width="23.85546875" style="70" customWidth="1"/>
    <col min="6923" max="6923" width="13.42578125" style="70" customWidth="1"/>
    <col min="6924" max="7168" width="9.140625" style="70"/>
    <col min="7169" max="7169" width="7.140625" style="70" customWidth="1"/>
    <col min="7170" max="7170" width="43" style="70" customWidth="1"/>
    <col min="7171" max="7171" width="14" style="70" customWidth="1"/>
    <col min="7172" max="7172" width="5.140625" style="70" bestFit="1" customWidth="1"/>
    <col min="7173" max="7173" width="5" style="70" bestFit="1" customWidth="1"/>
    <col min="7174" max="7174" width="8.5703125" style="70" bestFit="1" customWidth="1"/>
    <col min="7175" max="7177" width="10.85546875" style="70" customWidth="1"/>
    <col min="7178" max="7178" width="23.85546875" style="70" customWidth="1"/>
    <col min="7179" max="7179" width="13.42578125" style="70" customWidth="1"/>
    <col min="7180" max="7424" width="9.140625" style="70"/>
    <col min="7425" max="7425" width="7.140625" style="70" customWidth="1"/>
    <col min="7426" max="7426" width="43" style="70" customWidth="1"/>
    <col min="7427" max="7427" width="14" style="70" customWidth="1"/>
    <col min="7428" max="7428" width="5.140625" style="70" bestFit="1" customWidth="1"/>
    <col min="7429" max="7429" width="5" style="70" bestFit="1" customWidth="1"/>
    <col min="7430" max="7430" width="8.5703125" style="70" bestFit="1" customWidth="1"/>
    <col min="7431" max="7433" width="10.85546875" style="70" customWidth="1"/>
    <col min="7434" max="7434" width="23.85546875" style="70" customWidth="1"/>
    <col min="7435" max="7435" width="13.42578125" style="70" customWidth="1"/>
    <col min="7436" max="7680" width="9.140625" style="70"/>
    <col min="7681" max="7681" width="7.140625" style="70" customWidth="1"/>
    <col min="7682" max="7682" width="43" style="70" customWidth="1"/>
    <col min="7683" max="7683" width="14" style="70" customWidth="1"/>
    <col min="7684" max="7684" width="5.140625" style="70" bestFit="1" customWidth="1"/>
    <col min="7685" max="7685" width="5" style="70" bestFit="1" customWidth="1"/>
    <col min="7686" max="7686" width="8.5703125" style="70" bestFit="1" customWidth="1"/>
    <col min="7687" max="7689" width="10.85546875" style="70" customWidth="1"/>
    <col min="7690" max="7690" width="23.85546875" style="70" customWidth="1"/>
    <col min="7691" max="7691" width="13.42578125" style="70" customWidth="1"/>
    <col min="7692" max="7936" width="9.140625" style="70"/>
    <col min="7937" max="7937" width="7.140625" style="70" customWidth="1"/>
    <col min="7938" max="7938" width="43" style="70" customWidth="1"/>
    <col min="7939" max="7939" width="14" style="70" customWidth="1"/>
    <col min="7940" max="7940" width="5.140625" style="70" bestFit="1" customWidth="1"/>
    <col min="7941" max="7941" width="5" style="70" bestFit="1" customWidth="1"/>
    <col min="7942" max="7942" width="8.5703125" style="70" bestFit="1" customWidth="1"/>
    <col min="7943" max="7945" width="10.85546875" style="70" customWidth="1"/>
    <col min="7946" max="7946" width="23.85546875" style="70" customWidth="1"/>
    <col min="7947" max="7947" width="13.42578125" style="70" customWidth="1"/>
    <col min="7948" max="8192" width="9.140625" style="70"/>
    <col min="8193" max="8193" width="7.140625" style="70" customWidth="1"/>
    <col min="8194" max="8194" width="43" style="70" customWidth="1"/>
    <col min="8195" max="8195" width="14" style="70" customWidth="1"/>
    <col min="8196" max="8196" width="5.140625" style="70" bestFit="1" customWidth="1"/>
    <col min="8197" max="8197" width="5" style="70" bestFit="1" customWidth="1"/>
    <col min="8198" max="8198" width="8.5703125" style="70" bestFit="1" customWidth="1"/>
    <col min="8199" max="8201" width="10.85546875" style="70" customWidth="1"/>
    <col min="8202" max="8202" width="23.85546875" style="70" customWidth="1"/>
    <col min="8203" max="8203" width="13.42578125" style="70" customWidth="1"/>
    <col min="8204" max="8448" width="9.140625" style="70"/>
    <col min="8449" max="8449" width="7.140625" style="70" customWidth="1"/>
    <col min="8450" max="8450" width="43" style="70" customWidth="1"/>
    <col min="8451" max="8451" width="14" style="70" customWidth="1"/>
    <col min="8452" max="8452" width="5.140625" style="70" bestFit="1" customWidth="1"/>
    <col min="8453" max="8453" width="5" style="70" bestFit="1" customWidth="1"/>
    <col min="8454" max="8454" width="8.5703125" style="70" bestFit="1" customWidth="1"/>
    <col min="8455" max="8457" width="10.85546875" style="70" customWidth="1"/>
    <col min="8458" max="8458" width="23.85546875" style="70" customWidth="1"/>
    <col min="8459" max="8459" width="13.42578125" style="70" customWidth="1"/>
    <col min="8460" max="8704" width="9.140625" style="70"/>
    <col min="8705" max="8705" width="7.140625" style="70" customWidth="1"/>
    <col min="8706" max="8706" width="43" style="70" customWidth="1"/>
    <col min="8707" max="8707" width="14" style="70" customWidth="1"/>
    <col min="8708" max="8708" width="5.140625" style="70" bestFit="1" customWidth="1"/>
    <col min="8709" max="8709" width="5" style="70" bestFit="1" customWidth="1"/>
    <col min="8710" max="8710" width="8.5703125" style="70" bestFit="1" customWidth="1"/>
    <col min="8711" max="8713" width="10.85546875" style="70" customWidth="1"/>
    <col min="8714" max="8714" width="23.85546875" style="70" customWidth="1"/>
    <col min="8715" max="8715" width="13.42578125" style="70" customWidth="1"/>
    <col min="8716" max="8960" width="9.140625" style="70"/>
    <col min="8961" max="8961" width="7.140625" style="70" customWidth="1"/>
    <col min="8962" max="8962" width="43" style="70" customWidth="1"/>
    <col min="8963" max="8963" width="14" style="70" customWidth="1"/>
    <col min="8964" max="8964" width="5.140625" style="70" bestFit="1" customWidth="1"/>
    <col min="8965" max="8965" width="5" style="70" bestFit="1" customWidth="1"/>
    <col min="8966" max="8966" width="8.5703125" style="70" bestFit="1" customWidth="1"/>
    <col min="8967" max="8969" width="10.85546875" style="70" customWidth="1"/>
    <col min="8970" max="8970" width="23.85546875" style="70" customWidth="1"/>
    <col min="8971" max="8971" width="13.42578125" style="70" customWidth="1"/>
    <col min="8972" max="9216" width="9.140625" style="70"/>
    <col min="9217" max="9217" width="7.140625" style="70" customWidth="1"/>
    <col min="9218" max="9218" width="43" style="70" customWidth="1"/>
    <col min="9219" max="9219" width="14" style="70" customWidth="1"/>
    <col min="9220" max="9220" width="5.140625" style="70" bestFit="1" customWidth="1"/>
    <col min="9221" max="9221" width="5" style="70" bestFit="1" customWidth="1"/>
    <col min="9222" max="9222" width="8.5703125" style="70" bestFit="1" customWidth="1"/>
    <col min="9223" max="9225" width="10.85546875" style="70" customWidth="1"/>
    <col min="9226" max="9226" width="23.85546875" style="70" customWidth="1"/>
    <col min="9227" max="9227" width="13.42578125" style="70" customWidth="1"/>
    <col min="9228" max="9472" width="9.140625" style="70"/>
    <col min="9473" max="9473" width="7.140625" style="70" customWidth="1"/>
    <col min="9474" max="9474" width="43" style="70" customWidth="1"/>
    <col min="9475" max="9475" width="14" style="70" customWidth="1"/>
    <col min="9476" max="9476" width="5.140625" style="70" bestFit="1" customWidth="1"/>
    <col min="9477" max="9477" width="5" style="70" bestFit="1" customWidth="1"/>
    <col min="9478" max="9478" width="8.5703125" style="70" bestFit="1" customWidth="1"/>
    <col min="9479" max="9481" width="10.85546875" style="70" customWidth="1"/>
    <col min="9482" max="9482" width="23.85546875" style="70" customWidth="1"/>
    <col min="9483" max="9483" width="13.42578125" style="70" customWidth="1"/>
    <col min="9484" max="9728" width="9.140625" style="70"/>
    <col min="9729" max="9729" width="7.140625" style="70" customWidth="1"/>
    <col min="9730" max="9730" width="43" style="70" customWidth="1"/>
    <col min="9731" max="9731" width="14" style="70" customWidth="1"/>
    <col min="9732" max="9732" width="5.140625" style="70" bestFit="1" customWidth="1"/>
    <col min="9733" max="9733" width="5" style="70" bestFit="1" customWidth="1"/>
    <col min="9734" max="9734" width="8.5703125" style="70" bestFit="1" customWidth="1"/>
    <col min="9735" max="9737" width="10.85546875" style="70" customWidth="1"/>
    <col min="9738" max="9738" width="23.85546875" style="70" customWidth="1"/>
    <col min="9739" max="9739" width="13.42578125" style="70" customWidth="1"/>
    <col min="9740" max="9984" width="9.140625" style="70"/>
    <col min="9985" max="9985" width="7.140625" style="70" customWidth="1"/>
    <col min="9986" max="9986" width="43" style="70" customWidth="1"/>
    <col min="9987" max="9987" width="14" style="70" customWidth="1"/>
    <col min="9988" max="9988" width="5.140625" style="70" bestFit="1" customWidth="1"/>
    <col min="9989" max="9989" width="5" style="70" bestFit="1" customWidth="1"/>
    <col min="9990" max="9990" width="8.5703125" style="70" bestFit="1" customWidth="1"/>
    <col min="9991" max="9993" width="10.85546875" style="70" customWidth="1"/>
    <col min="9994" max="9994" width="23.85546875" style="70" customWidth="1"/>
    <col min="9995" max="9995" width="13.42578125" style="70" customWidth="1"/>
    <col min="9996" max="10240" width="9.140625" style="70"/>
    <col min="10241" max="10241" width="7.140625" style="70" customWidth="1"/>
    <col min="10242" max="10242" width="43" style="70" customWidth="1"/>
    <col min="10243" max="10243" width="14" style="70" customWidth="1"/>
    <col min="10244" max="10244" width="5.140625" style="70" bestFit="1" customWidth="1"/>
    <col min="10245" max="10245" width="5" style="70" bestFit="1" customWidth="1"/>
    <col min="10246" max="10246" width="8.5703125" style="70" bestFit="1" customWidth="1"/>
    <col min="10247" max="10249" width="10.85546875" style="70" customWidth="1"/>
    <col min="10250" max="10250" width="23.85546875" style="70" customWidth="1"/>
    <col min="10251" max="10251" width="13.42578125" style="70" customWidth="1"/>
    <col min="10252" max="10496" width="9.140625" style="70"/>
    <col min="10497" max="10497" width="7.140625" style="70" customWidth="1"/>
    <col min="10498" max="10498" width="43" style="70" customWidth="1"/>
    <col min="10499" max="10499" width="14" style="70" customWidth="1"/>
    <col min="10500" max="10500" width="5.140625" style="70" bestFit="1" customWidth="1"/>
    <col min="10501" max="10501" width="5" style="70" bestFit="1" customWidth="1"/>
    <col min="10502" max="10502" width="8.5703125" style="70" bestFit="1" customWidth="1"/>
    <col min="10503" max="10505" width="10.85546875" style="70" customWidth="1"/>
    <col min="10506" max="10506" width="23.85546875" style="70" customWidth="1"/>
    <col min="10507" max="10507" width="13.42578125" style="70" customWidth="1"/>
    <col min="10508" max="10752" width="9.140625" style="70"/>
    <col min="10753" max="10753" width="7.140625" style="70" customWidth="1"/>
    <col min="10754" max="10754" width="43" style="70" customWidth="1"/>
    <col min="10755" max="10755" width="14" style="70" customWidth="1"/>
    <col min="10756" max="10756" width="5.140625" style="70" bestFit="1" customWidth="1"/>
    <col min="10757" max="10757" width="5" style="70" bestFit="1" customWidth="1"/>
    <col min="10758" max="10758" width="8.5703125" style="70" bestFit="1" customWidth="1"/>
    <col min="10759" max="10761" width="10.85546875" style="70" customWidth="1"/>
    <col min="10762" max="10762" width="23.85546875" style="70" customWidth="1"/>
    <col min="10763" max="10763" width="13.42578125" style="70" customWidth="1"/>
    <col min="10764" max="11008" width="9.140625" style="70"/>
    <col min="11009" max="11009" width="7.140625" style="70" customWidth="1"/>
    <col min="11010" max="11010" width="43" style="70" customWidth="1"/>
    <col min="11011" max="11011" width="14" style="70" customWidth="1"/>
    <col min="11012" max="11012" width="5.140625" style="70" bestFit="1" customWidth="1"/>
    <col min="11013" max="11013" width="5" style="70" bestFit="1" customWidth="1"/>
    <col min="11014" max="11014" width="8.5703125" style="70" bestFit="1" customWidth="1"/>
    <col min="11015" max="11017" width="10.85546875" style="70" customWidth="1"/>
    <col min="11018" max="11018" width="23.85546875" style="70" customWidth="1"/>
    <col min="11019" max="11019" width="13.42578125" style="70" customWidth="1"/>
    <col min="11020" max="11264" width="9.140625" style="70"/>
    <col min="11265" max="11265" width="7.140625" style="70" customWidth="1"/>
    <col min="11266" max="11266" width="43" style="70" customWidth="1"/>
    <col min="11267" max="11267" width="14" style="70" customWidth="1"/>
    <col min="11268" max="11268" width="5.140625" style="70" bestFit="1" customWidth="1"/>
    <col min="11269" max="11269" width="5" style="70" bestFit="1" customWidth="1"/>
    <col min="11270" max="11270" width="8.5703125" style="70" bestFit="1" customWidth="1"/>
    <col min="11271" max="11273" width="10.85546875" style="70" customWidth="1"/>
    <col min="11274" max="11274" width="23.85546875" style="70" customWidth="1"/>
    <col min="11275" max="11275" width="13.42578125" style="70" customWidth="1"/>
    <col min="11276" max="11520" width="9.140625" style="70"/>
    <col min="11521" max="11521" width="7.140625" style="70" customWidth="1"/>
    <col min="11522" max="11522" width="43" style="70" customWidth="1"/>
    <col min="11523" max="11523" width="14" style="70" customWidth="1"/>
    <col min="11524" max="11524" width="5.140625" style="70" bestFit="1" customWidth="1"/>
    <col min="11525" max="11525" width="5" style="70" bestFit="1" customWidth="1"/>
    <col min="11526" max="11526" width="8.5703125" style="70" bestFit="1" customWidth="1"/>
    <col min="11527" max="11529" width="10.85546875" style="70" customWidth="1"/>
    <col min="11530" max="11530" width="23.85546875" style="70" customWidth="1"/>
    <col min="11531" max="11531" width="13.42578125" style="70" customWidth="1"/>
    <col min="11532" max="11776" width="9.140625" style="70"/>
    <col min="11777" max="11777" width="7.140625" style="70" customWidth="1"/>
    <col min="11778" max="11778" width="43" style="70" customWidth="1"/>
    <col min="11779" max="11779" width="14" style="70" customWidth="1"/>
    <col min="11780" max="11780" width="5.140625" style="70" bestFit="1" customWidth="1"/>
    <col min="11781" max="11781" width="5" style="70" bestFit="1" customWidth="1"/>
    <col min="11782" max="11782" width="8.5703125" style="70" bestFit="1" customWidth="1"/>
    <col min="11783" max="11785" width="10.85546875" style="70" customWidth="1"/>
    <col min="11786" max="11786" width="23.85546875" style="70" customWidth="1"/>
    <col min="11787" max="11787" width="13.42578125" style="70" customWidth="1"/>
    <col min="11788" max="12032" width="9.140625" style="70"/>
    <col min="12033" max="12033" width="7.140625" style="70" customWidth="1"/>
    <col min="12034" max="12034" width="43" style="70" customWidth="1"/>
    <col min="12035" max="12035" width="14" style="70" customWidth="1"/>
    <col min="12036" max="12036" width="5.140625" style="70" bestFit="1" customWidth="1"/>
    <col min="12037" max="12037" width="5" style="70" bestFit="1" customWidth="1"/>
    <col min="12038" max="12038" width="8.5703125" style="70" bestFit="1" customWidth="1"/>
    <col min="12039" max="12041" width="10.85546875" style="70" customWidth="1"/>
    <col min="12042" max="12042" width="23.85546875" style="70" customWidth="1"/>
    <col min="12043" max="12043" width="13.42578125" style="70" customWidth="1"/>
    <col min="12044" max="12288" width="9.140625" style="70"/>
    <col min="12289" max="12289" width="7.140625" style="70" customWidth="1"/>
    <col min="12290" max="12290" width="43" style="70" customWidth="1"/>
    <col min="12291" max="12291" width="14" style="70" customWidth="1"/>
    <col min="12292" max="12292" width="5.140625" style="70" bestFit="1" customWidth="1"/>
    <col min="12293" max="12293" width="5" style="70" bestFit="1" customWidth="1"/>
    <col min="12294" max="12294" width="8.5703125" style="70" bestFit="1" customWidth="1"/>
    <col min="12295" max="12297" width="10.85546875" style="70" customWidth="1"/>
    <col min="12298" max="12298" width="23.85546875" style="70" customWidth="1"/>
    <col min="12299" max="12299" width="13.42578125" style="70" customWidth="1"/>
    <col min="12300" max="12544" width="9.140625" style="70"/>
    <col min="12545" max="12545" width="7.140625" style="70" customWidth="1"/>
    <col min="12546" max="12546" width="43" style="70" customWidth="1"/>
    <col min="12547" max="12547" width="14" style="70" customWidth="1"/>
    <col min="12548" max="12548" width="5.140625" style="70" bestFit="1" customWidth="1"/>
    <col min="12549" max="12549" width="5" style="70" bestFit="1" customWidth="1"/>
    <col min="12550" max="12550" width="8.5703125" style="70" bestFit="1" customWidth="1"/>
    <col min="12551" max="12553" width="10.85546875" style="70" customWidth="1"/>
    <col min="12554" max="12554" width="23.85546875" style="70" customWidth="1"/>
    <col min="12555" max="12555" width="13.42578125" style="70" customWidth="1"/>
    <col min="12556" max="12800" width="9.140625" style="70"/>
    <col min="12801" max="12801" width="7.140625" style="70" customWidth="1"/>
    <col min="12802" max="12802" width="43" style="70" customWidth="1"/>
    <col min="12803" max="12803" width="14" style="70" customWidth="1"/>
    <col min="12804" max="12804" width="5.140625" style="70" bestFit="1" customWidth="1"/>
    <col min="12805" max="12805" width="5" style="70" bestFit="1" customWidth="1"/>
    <col min="12806" max="12806" width="8.5703125" style="70" bestFit="1" customWidth="1"/>
    <col min="12807" max="12809" width="10.85546875" style="70" customWidth="1"/>
    <col min="12810" max="12810" width="23.85546875" style="70" customWidth="1"/>
    <col min="12811" max="12811" width="13.42578125" style="70" customWidth="1"/>
    <col min="12812" max="13056" width="9.140625" style="70"/>
    <col min="13057" max="13057" width="7.140625" style="70" customWidth="1"/>
    <col min="13058" max="13058" width="43" style="70" customWidth="1"/>
    <col min="13059" max="13059" width="14" style="70" customWidth="1"/>
    <col min="13060" max="13060" width="5.140625" style="70" bestFit="1" customWidth="1"/>
    <col min="13061" max="13061" width="5" style="70" bestFit="1" customWidth="1"/>
    <col min="13062" max="13062" width="8.5703125" style="70" bestFit="1" customWidth="1"/>
    <col min="13063" max="13065" width="10.85546875" style="70" customWidth="1"/>
    <col min="13066" max="13066" width="23.85546875" style="70" customWidth="1"/>
    <col min="13067" max="13067" width="13.42578125" style="70" customWidth="1"/>
    <col min="13068" max="13312" width="9.140625" style="70"/>
    <col min="13313" max="13313" width="7.140625" style="70" customWidth="1"/>
    <col min="13314" max="13314" width="43" style="70" customWidth="1"/>
    <col min="13315" max="13315" width="14" style="70" customWidth="1"/>
    <col min="13316" max="13316" width="5.140625" style="70" bestFit="1" customWidth="1"/>
    <col min="13317" max="13317" width="5" style="70" bestFit="1" customWidth="1"/>
    <col min="13318" max="13318" width="8.5703125" style="70" bestFit="1" customWidth="1"/>
    <col min="13319" max="13321" width="10.85546875" style="70" customWidth="1"/>
    <col min="13322" max="13322" width="23.85546875" style="70" customWidth="1"/>
    <col min="13323" max="13323" width="13.42578125" style="70" customWidth="1"/>
    <col min="13324" max="13568" width="9.140625" style="70"/>
    <col min="13569" max="13569" width="7.140625" style="70" customWidth="1"/>
    <col min="13570" max="13570" width="43" style="70" customWidth="1"/>
    <col min="13571" max="13571" width="14" style="70" customWidth="1"/>
    <col min="13572" max="13572" width="5.140625" style="70" bestFit="1" customWidth="1"/>
    <col min="13573" max="13573" width="5" style="70" bestFit="1" customWidth="1"/>
    <col min="13574" max="13574" width="8.5703125" style="70" bestFit="1" customWidth="1"/>
    <col min="13575" max="13577" width="10.85546875" style="70" customWidth="1"/>
    <col min="13578" max="13578" width="23.85546875" style="70" customWidth="1"/>
    <col min="13579" max="13579" width="13.42578125" style="70" customWidth="1"/>
    <col min="13580" max="13824" width="9.140625" style="70"/>
    <col min="13825" max="13825" width="7.140625" style="70" customWidth="1"/>
    <col min="13826" max="13826" width="43" style="70" customWidth="1"/>
    <col min="13827" max="13827" width="14" style="70" customWidth="1"/>
    <col min="13828" max="13828" width="5.140625" style="70" bestFit="1" customWidth="1"/>
    <col min="13829" max="13829" width="5" style="70" bestFit="1" customWidth="1"/>
    <col min="13830" max="13830" width="8.5703125" style="70" bestFit="1" customWidth="1"/>
    <col min="13831" max="13833" width="10.85546875" style="70" customWidth="1"/>
    <col min="13834" max="13834" width="23.85546875" style="70" customWidth="1"/>
    <col min="13835" max="13835" width="13.42578125" style="70" customWidth="1"/>
    <col min="13836" max="14080" width="9.140625" style="70"/>
    <col min="14081" max="14081" width="7.140625" style="70" customWidth="1"/>
    <col min="14082" max="14082" width="43" style="70" customWidth="1"/>
    <col min="14083" max="14083" width="14" style="70" customWidth="1"/>
    <col min="14084" max="14084" width="5.140625" style="70" bestFit="1" customWidth="1"/>
    <col min="14085" max="14085" width="5" style="70" bestFit="1" customWidth="1"/>
    <col min="14086" max="14086" width="8.5703125" style="70" bestFit="1" customWidth="1"/>
    <col min="14087" max="14089" width="10.85546875" style="70" customWidth="1"/>
    <col min="14090" max="14090" width="23.85546875" style="70" customWidth="1"/>
    <col min="14091" max="14091" width="13.42578125" style="70" customWidth="1"/>
    <col min="14092" max="14336" width="9.140625" style="70"/>
    <col min="14337" max="14337" width="7.140625" style="70" customWidth="1"/>
    <col min="14338" max="14338" width="43" style="70" customWidth="1"/>
    <col min="14339" max="14339" width="14" style="70" customWidth="1"/>
    <col min="14340" max="14340" width="5.140625" style="70" bestFit="1" customWidth="1"/>
    <col min="14341" max="14341" width="5" style="70" bestFit="1" customWidth="1"/>
    <col min="14342" max="14342" width="8.5703125" style="70" bestFit="1" customWidth="1"/>
    <col min="14343" max="14345" width="10.85546875" style="70" customWidth="1"/>
    <col min="14346" max="14346" width="23.85546875" style="70" customWidth="1"/>
    <col min="14347" max="14347" width="13.42578125" style="70" customWidth="1"/>
    <col min="14348" max="14592" width="9.140625" style="70"/>
    <col min="14593" max="14593" width="7.140625" style="70" customWidth="1"/>
    <col min="14594" max="14594" width="43" style="70" customWidth="1"/>
    <col min="14595" max="14595" width="14" style="70" customWidth="1"/>
    <col min="14596" max="14596" width="5.140625" style="70" bestFit="1" customWidth="1"/>
    <col min="14597" max="14597" width="5" style="70" bestFit="1" customWidth="1"/>
    <col min="14598" max="14598" width="8.5703125" style="70" bestFit="1" customWidth="1"/>
    <col min="14599" max="14601" width="10.85546875" style="70" customWidth="1"/>
    <col min="14602" max="14602" width="23.85546875" style="70" customWidth="1"/>
    <col min="14603" max="14603" width="13.42578125" style="70" customWidth="1"/>
    <col min="14604" max="14848" width="9.140625" style="70"/>
    <col min="14849" max="14849" width="7.140625" style="70" customWidth="1"/>
    <col min="14850" max="14850" width="43" style="70" customWidth="1"/>
    <col min="14851" max="14851" width="14" style="70" customWidth="1"/>
    <col min="14852" max="14852" width="5.140625" style="70" bestFit="1" customWidth="1"/>
    <col min="14853" max="14853" width="5" style="70" bestFit="1" customWidth="1"/>
    <col min="14854" max="14854" width="8.5703125" style="70" bestFit="1" customWidth="1"/>
    <col min="14855" max="14857" width="10.85546875" style="70" customWidth="1"/>
    <col min="14858" max="14858" width="23.85546875" style="70" customWidth="1"/>
    <col min="14859" max="14859" width="13.42578125" style="70" customWidth="1"/>
    <col min="14860" max="15104" width="9.140625" style="70"/>
    <col min="15105" max="15105" width="7.140625" style="70" customWidth="1"/>
    <col min="15106" max="15106" width="43" style="70" customWidth="1"/>
    <col min="15107" max="15107" width="14" style="70" customWidth="1"/>
    <col min="15108" max="15108" width="5.140625" style="70" bestFit="1" customWidth="1"/>
    <col min="15109" max="15109" width="5" style="70" bestFit="1" customWidth="1"/>
    <col min="15110" max="15110" width="8.5703125" style="70" bestFit="1" customWidth="1"/>
    <col min="15111" max="15113" width="10.85546875" style="70" customWidth="1"/>
    <col min="15114" max="15114" width="23.85546875" style="70" customWidth="1"/>
    <col min="15115" max="15115" width="13.42578125" style="70" customWidth="1"/>
    <col min="15116" max="15360" width="9.140625" style="70"/>
    <col min="15361" max="15361" width="7.140625" style="70" customWidth="1"/>
    <col min="15362" max="15362" width="43" style="70" customWidth="1"/>
    <col min="15363" max="15363" width="14" style="70" customWidth="1"/>
    <col min="15364" max="15364" width="5.140625" style="70" bestFit="1" customWidth="1"/>
    <col min="15365" max="15365" width="5" style="70" bestFit="1" customWidth="1"/>
    <col min="15366" max="15366" width="8.5703125" style="70" bestFit="1" customWidth="1"/>
    <col min="15367" max="15369" width="10.85546875" style="70" customWidth="1"/>
    <col min="15370" max="15370" width="23.85546875" style="70" customWidth="1"/>
    <col min="15371" max="15371" width="13.42578125" style="70" customWidth="1"/>
    <col min="15372" max="15616" width="9.140625" style="70"/>
    <col min="15617" max="15617" width="7.140625" style="70" customWidth="1"/>
    <col min="15618" max="15618" width="43" style="70" customWidth="1"/>
    <col min="15619" max="15619" width="14" style="70" customWidth="1"/>
    <col min="15620" max="15620" width="5.140625" style="70" bestFit="1" customWidth="1"/>
    <col min="15621" max="15621" width="5" style="70" bestFit="1" customWidth="1"/>
    <col min="15622" max="15622" width="8.5703125" style="70" bestFit="1" customWidth="1"/>
    <col min="15623" max="15625" width="10.85546875" style="70" customWidth="1"/>
    <col min="15626" max="15626" width="23.85546875" style="70" customWidth="1"/>
    <col min="15627" max="15627" width="13.42578125" style="70" customWidth="1"/>
    <col min="15628" max="15872" width="9.140625" style="70"/>
    <col min="15873" max="15873" width="7.140625" style="70" customWidth="1"/>
    <col min="15874" max="15874" width="43" style="70" customWidth="1"/>
    <col min="15875" max="15875" width="14" style="70" customWidth="1"/>
    <col min="15876" max="15876" width="5.140625" style="70" bestFit="1" customWidth="1"/>
    <col min="15877" max="15877" width="5" style="70" bestFit="1" customWidth="1"/>
    <col min="15878" max="15878" width="8.5703125" style="70" bestFit="1" customWidth="1"/>
    <col min="15879" max="15881" width="10.85546875" style="70" customWidth="1"/>
    <col min="15882" max="15882" width="23.85546875" style="70" customWidth="1"/>
    <col min="15883" max="15883" width="13.42578125" style="70" customWidth="1"/>
    <col min="15884" max="16128" width="9.140625" style="70"/>
    <col min="16129" max="16129" width="7.140625" style="70" customWidth="1"/>
    <col min="16130" max="16130" width="43" style="70" customWidth="1"/>
    <col min="16131" max="16131" width="14" style="70" customWidth="1"/>
    <col min="16132" max="16132" width="5.140625" style="70" bestFit="1" customWidth="1"/>
    <col min="16133" max="16133" width="5" style="70" bestFit="1" customWidth="1"/>
    <col min="16134" max="16134" width="8.5703125" style="70" bestFit="1" customWidth="1"/>
    <col min="16135" max="16137" width="10.85546875" style="70" customWidth="1"/>
    <col min="16138" max="16138" width="23.85546875" style="70" customWidth="1"/>
    <col min="16139" max="16139" width="13.42578125" style="70" customWidth="1"/>
    <col min="16140" max="16384" width="9.140625" style="70"/>
  </cols>
  <sheetData>
    <row r="1" spans="1:14" ht="24.75" customHeight="1">
      <c r="A1" s="2673"/>
      <c r="B1" s="3516" t="s">
        <v>2861</v>
      </c>
      <c r="C1" s="3516"/>
      <c r="D1" s="3516"/>
      <c r="E1" s="3516"/>
      <c r="F1" s="105"/>
      <c r="G1" s="105"/>
      <c r="H1" s="105"/>
      <c r="I1" s="105"/>
      <c r="J1" s="100"/>
    </row>
    <row r="2" spans="1:14" ht="9.75" customHeight="1">
      <c r="A2" s="2673"/>
      <c r="B2" s="2674"/>
      <c r="C2" s="2674"/>
      <c r="D2" s="2674"/>
      <c r="E2" s="2674"/>
      <c r="F2" s="105"/>
      <c r="G2" s="105"/>
      <c r="H2" s="105"/>
      <c r="I2" s="105"/>
      <c r="J2" s="100"/>
    </row>
    <row r="3" spans="1:14" ht="35.25">
      <c r="A3" s="2673"/>
      <c r="B3" s="3095" t="s">
        <v>2862</v>
      </c>
      <c r="C3" s="3095"/>
      <c r="D3" s="3095"/>
      <c r="E3" s="3095"/>
      <c r="F3" s="3095"/>
      <c r="G3" s="3095"/>
      <c r="H3" s="580"/>
      <c r="I3" s="580"/>
      <c r="J3" s="2679"/>
    </row>
    <row r="4" spans="1:14" ht="16.5" customHeight="1">
      <c r="A4" s="2673"/>
      <c r="B4" s="580"/>
      <c r="C4" s="580"/>
      <c r="D4" s="580"/>
      <c r="E4" s="580"/>
      <c r="F4" s="580"/>
      <c r="G4" s="580"/>
      <c r="H4" s="580"/>
      <c r="I4" s="580"/>
      <c r="J4" s="105"/>
    </row>
    <row r="5" spans="1:14" ht="18" customHeight="1">
      <c r="A5" s="2673"/>
      <c r="B5" s="3390" t="s">
        <v>2823</v>
      </c>
      <c r="C5" s="3390"/>
      <c r="D5" s="3390"/>
      <c r="E5" s="373"/>
      <c r="G5" s="373"/>
      <c r="H5" s="2657" t="s">
        <v>89</v>
      </c>
      <c r="I5" s="373"/>
      <c r="J5" s="373"/>
    </row>
    <row r="6" spans="1:14" ht="18" customHeight="1">
      <c r="A6" s="2673"/>
      <c r="B6" s="580"/>
      <c r="C6" s="580"/>
      <c r="D6" s="580"/>
      <c r="E6" s="373"/>
      <c r="F6" s="580"/>
      <c r="G6" s="373"/>
      <c r="H6" s="373"/>
      <c r="I6" s="373"/>
      <c r="J6" s="373"/>
    </row>
    <row r="7" spans="1:14" ht="30" customHeight="1">
      <c r="A7" s="3117" t="s">
        <v>2</v>
      </c>
      <c r="B7" s="3117" t="s">
        <v>3</v>
      </c>
      <c r="C7" s="3117" t="s">
        <v>2716</v>
      </c>
      <c r="D7" s="3117" t="s">
        <v>5</v>
      </c>
      <c r="E7" s="3117" t="s">
        <v>143</v>
      </c>
      <c r="F7" s="3117" t="s">
        <v>2824</v>
      </c>
      <c r="G7" s="3117"/>
      <c r="H7" s="3117" t="s">
        <v>2825</v>
      </c>
      <c r="I7" s="3117"/>
      <c r="J7" s="105"/>
      <c r="L7" s="580"/>
      <c r="M7" s="580"/>
      <c r="N7" s="605"/>
    </row>
    <row r="8" spans="1:14" ht="15">
      <c r="A8" s="3117"/>
      <c r="B8" s="3117"/>
      <c r="C8" s="3117"/>
      <c r="D8" s="3117"/>
      <c r="E8" s="3117"/>
      <c r="F8" s="2644" t="s">
        <v>96</v>
      </c>
      <c r="G8" s="2644" t="s">
        <v>1668</v>
      </c>
      <c r="H8" s="2644" t="s">
        <v>96</v>
      </c>
      <c r="I8" s="2644" t="s">
        <v>1668</v>
      </c>
      <c r="J8" s="105"/>
    </row>
    <row r="9" spans="1:14" ht="15">
      <c r="A9" s="2644">
        <v>1</v>
      </c>
      <c r="B9" s="2642">
        <v>2</v>
      </c>
      <c r="C9" s="2644">
        <v>3</v>
      </c>
      <c r="D9" s="2642">
        <v>4</v>
      </c>
      <c r="E9" s="2642">
        <v>5</v>
      </c>
      <c r="F9" s="2642">
        <v>6</v>
      </c>
      <c r="G9" s="2644">
        <v>7</v>
      </c>
      <c r="H9" s="2644">
        <v>8</v>
      </c>
      <c r="I9" s="2644">
        <v>9</v>
      </c>
      <c r="J9" s="2613"/>
      <c r="K9" s="2053"/>
    </row>
    <row r="10" spans="1:14" ht="34.5" customHeight="1">
      <c r="A10" s="1650">
        <v>1</v>
      </c>
      <c r="B10" s="1807" t="s">
        <v>2863</v>
      </c>
      <c r="C10" s="1814">
        <v>7130311025</v>
      </c>
      <c r="D10" s="2645" t="s">
        <v>21</v>
      </c>
      <c r="E10" s="2645">
        <v>30</v>
      </c>
      <c r="F10" s="1132">
        <f>VLOOKUP(C10,'[25]SOR RATE'!A:D,4,0)</f>
        <v>50.8</v>
      </c>
      <c r="G10" s="1132">
        <f>F10*E10</f>
        <v>1524</v>
      </c>
      <c r="H10" s="1132"/>
      <c r="I10" s="1132"/>
      <c r="J10" s="1989"/>
      <c r="K10" s="1989"/>
      <c r="L10" s="1989"/>
    </row>
    <row r="11" spans="1:14" ht="32.25" customHeight="1">
      <c r="A11" s="1650">
        <v>2</v>
      </c>
      <c r="B11" s="1290" t="s">
        <v>2828</v>
      </c>
      <c r="C11" s="2660">
        <v>7130310039</v>
      </c>
      <c r="D11" s="2645" t="s">
        <v>21</v>
      </c>
      <c r="E11" s="2645">
        <v>30</v>
      </c>
      <c r="F11" s="1132"/>
      <c r="G11" s="1132"/>
      <c r="H11" s="1132">
        <f>VLOOKUP(C11,'[25]SOR RATE'!A:D,4,0)</f>
        <v>37.83</v>
      </c>
      <c r="I11" s="1132">
        <f>E11*H11</f>
        <v>1134.8999999999999</v>
      </c>
      <c r="J11" s="105"/>
    </row>
    <row r="12" spans="1:14" ht="18" customHeight="1">
      <c r="A12" s="1650">
        <v>3</v>
      </c>
      <c r="B12" s="1290" t="s">
        <v>2829</v>
      </c>
      <c r="C12" s="2660">
        <v>7130820101</v>
      </c>
      <c r="D12" s="2648" t="s">
        <v>68</v>
      </c>
      <c r="E12" s="2648">
        <v>2</v>
      </c>
      <c r="F12" s="1132">
        <f>VLOOKUP(C12,'[25]SOR RATE'!A:D,4,0)</f>
        <v>13.03</v>
      </c>
      <c r="G12" s="1132">
        <f>F12*E12</f>
        <v>26.06</v>
      </c>
      <c r="H12" s="1132">
        <f t="shared" ref="H12:H17" si="0">+F12</f>
        <v>13.03</v>
      </c>
      <c r="I12" s="1132">
        <f t="shared" ref="I12:I17" si="1">E12*H12</f>
        <v>26.06</v>
      </c>
    </row>
    <row r="13" spans="1:14" ht="18" customHeight="1">
      <c r="A13" s="1650">
        <v>4</v>
      </c>
      <c r="B13" s="1290" t="s">
        <v>2830</v>
      </c>
      <c r="C13" s="2660">
        <v>7130820206</v>
      </c>
      <c r="D13" s="2648" t="s">
        <v>68</v>
      </c>
      <c r="E13" s="2648">
        <v>2</v>
      </c>
      <c r="F13" s="1132">
        <f>VLOOKUP(C13,'[25]SOR RATE'!A:D,4,0)</f>
        <v>45.81</v>
      </c>
      <c r="G13" s="1132">
        <f>F13*E13</f>
        <v>91.62</v>
      </c>
      <c r="H13" s="1132">
        <f t="shared" si="0"/>
        <v>45.81</v>
      </c>
      <c r="I13" s="1132">
        <f>E13*H13</f>
        <v>91.62</v>
      </c>
    </row>
    <row r="14" spans="1:14" ht="33.75" customHeight="1">
      <c r="A14" s="1650">
        <v>5</v>
      </c>
      <c r="B14" s="1290" t="s">
        <v>1150</v>
      </c>
      <c r="C14" s="2660">
        <v>7132406022</v>
      </c>
      <c r="D14" s="2646" t="s">
        <v>2847</v>
      </c>
      <c r="E14" s="2646">
        <v>1</v>
      </c>
      <c r="F14" s="1132">
        <f>VLOOKUP(C14,'[25]SOR RATE'!A:D,4,0)</f>
        <v>188.91</v>
      </c>
      <c r="G14" s="2298">
        <f>F14*E14</f>
        <v>188.91</v>
      </c>
      <c r="H14" s="1132">
        <f t="shared" si="0"/>
        <v>188.91</v>
      </c>
      <c r="I14" s="1132">
        <f t="shared" si="1"/>
        <v>188.91</v>
      </c>
      <c r="J14" s="105"/>
      <c r="K14" s="2008"/>
      <c r="L14" s="2008"/>
      <c r="M14" s="2008"/>
    </row>
    <row r="15" spans="1:14" ht="18" customHeight="1">
      <c r="A15" s="1650">
        <v>6</v>
      </c>
      <c r="B15" s="1290" t="s">
        <v>2831</v>
      </c>
      <c r="C15" s="2648">
        <v>7132476007</v>
      </c>
      <c r="D15" s="2660" t="s">
        <v>1193</v>
      </c>
      <c r="E15" s="2648">
        <v>1</v>
      </c>
      <c r="F15" s="1132">
        <f>VLOOKUP(C15,'[25]SOR RATE'!A:D,4,0)</f>
        <v>17.59</v>
      </c>
      <c r="G15" s="1132">
        <f>F15*E15</f>
        <v>17.59</v>
      </c>
      <c r="H15" s="1132">
        <f t="shared" si="0"/>
        <v>17.59</v>
      </c>
      <c r="I15" s="1132">
        <f t="shared" si="1"/>
        <v>17.59</v>
      </c>
      <c r="J15" s="2669" t="s">
        <v>802</v>
      </c>
    </row>
    <row r="16" spans="1:14" ht="18" customHeight="1">
      <c r="A16" s="1650">
        <v>7</v>
      </c>
      <c r="B16" s="1290" t="s">
        <v>2832</v>
      </c>
      <c r="C16" s="2660"/>
      <c r="D16" s="2648" t="s">
        <v>2833</v>
      </c>
      <c r="E16" s="2648">
        <v>1</v>
      </c>
      <c r="F16" s="1132">
        <v>40</v>
      </c>
      <c r="G16" s="1132">
        <f t="shared" ref="G16:G17" si="2">F16*E16</f>
        <v>40</v>
      </c>
      <c r="H16" s="1132">
        <f t="shared" si="0"/>
        <v>40</v>
      </c>
      <c r="I16" s="1132">
        <f t="shared" si="1"/>
        <v>40</v>
      </c>
      <c r="J16" s="105"/>
    </row>
    <row r="17" spans="1:11" ht="15" customHeight="1">
      <c r="A17" s="1650">
        <v>8</v>
      </c>
      <c r="B17" s="1633" t="s">
        <v>2834</v>
      </c>
      <c r="C17" s="2648"/>
      <c r="D17" s="2648" t="s">
        <v>2833</v>
      </c>
      <c r="E17" s="2648">
        <v>1</v>
      </c>
      <c r="F17" s="1132">
        <v>30</v>
      </c>
      <c r="G17" s="1132">
        <f t="shared" si="2"/>
        <v>30</v>
      </c>
      <c r="H17" s="1132">
        <f t="shared" si="0"/>
        <v>30</v>
      </c>
      <c r="I17" s="1132">
        <f t="shared" si="1"/>
        <v>30</v>
      </c>
      <c r="J17" s="105"/>
    </row>
    <row r="18" spans="1:11" ht="17.25" customHeight="1">
      <c r="A18" s="120">
        <v>9</v>
      </c>
      <c r="B18" s="1639" t="s">
        <v>48</v>
      </c>
      <c r="C18" s="2692"/>
      <c r="D18" s="2692"/>
      <c r="E18" s="2692"/>
      <c r="F18" s="2692"/>
      <c r="G18" s="1642">
        <f>SUM(G10:G17)</f>
        <v>1918.1799999999998</v>
      </c>
      <c r="H18" s="1642"/>
      <c r="I18" s="1642">
        <f>I11+I12+I13+I14+I15+I16+I17</f>
        <v>1529.08</v>
      </c>
      <c r="J18" s="85"/>
      <c r="K18" s="102"/>
    </row>
    <row r="19" spans="1:11" ht="31.5" customHeight="1">
      <c r="A19" s="2652">
        <v>10</v>
      </c>
      <c r="B19" s="1639" t="s">
        <v>49</v>
      </c>
      <c r="C19" s="2692"/>
      <c r="D19" s="2692"/>
      <c r="E19" s="2692"/>
      <c r="F19" s="2692"/>
      <c r="G19" s="1642">
        <f>G18/1.18</f>
        <v>1625.5762711864406</v>
      </c>
      <c r="H19" s="1642"/>
      <c r="I19" s="1642">
        <f>I18/1.18</f>
        <v>1295.8305084745764</v>
      </c>
      <c r="J19" s="85"/>
      <c r="K19" s="102"/>
    </row>
    <row r="20" spans="1:11" ht="18" customHeight="1">
      <c r="A20" s="1667">
        <v>11</v>
      </c>
      <c r="B20" s="1619" t="s">
        <v>50</v>
      </c>
      <c r="C20" s="2693"/>
      <c r="D20" s="2693"/>
      <c r="E20" s="2693"/>
      <c r="F20" s="2694" t="s">
        <v>120</v>
      </c>
      <c r="G20" s="1132">
        <f>G18*F20</f>
        <v>143.86349999999999</v>
      </c>
      <c r="H20" s="2402">
        <v>7.4999999999999997E-2</v>
      </c>
      <c r="I20" s="1132">
        <f>I18*H20</f>
        <v>114.681</v>
      </c>
      <c r="J20" s="803"/>
      <c r="K20" s="85"/>
    </row>
    <row r="21" spans="1:11" ht="18" customHeight="1">
      <c r="A21" s="1650">
        <v>12</v>
      </c>
      <c r="B21" s="2296" t="s">
        <v>2864</v>
      </c>
      <c r="C21" s="2695"/>
      <c r="D21" s="3513" t="s">
        <v>2850</v>
      </c>
      <c r="E21" s="3514"/>
      <c r="F21" s="3514"/>
      <c r="G21" s="1132">
        <v>465</v>
      </c>
      <c r="H21" s="1132"/>
      <c r="I21" s="1132">
        <v>465</v>
      </c>
      <c r="J21" s="105"/>
    </row>
    <row r="22" spans="1:11" ht="19.5" customHeight="1">
      <c r="A22" s="1650">
        <v>13</v>
      </c>
      <c r="B22" s="1290" t="s">
        <v>1636</v>
      </c>
      <c r="C22" s="2695"/>
      <c r="D22" s="1634"/>
      <c r="E22" s="2696"/>
      <c r="F22" s="2648">
        <v>0.04</v>
      </c>
      <c r="G22" s="1132">
        <f>G19*F22</f>
        <v>65.023050847457625</v>
      </c>
      <c r="H22" s="1132">
        <v>0.04</v>
      </c>
      <c r="I22" s="1132">
        <f>I19*H22</f>
        <v>51.833220338983054</v>
      </c>
      <c r="J22" s="1939" t="s">
        <v>119</v>
      </c>
    </row>
    <row r="23" spans="1:11" ht="44.25" customHeight="1">
      <c r="A23" s="1760">
        <v>14</v>
      </c>
      <c r="B23" s="1626" t="s">
        <v>2865</v>
      </c>
      <c r="C23" s="2697"/>
      <c r="D23" s="1634"/>
      <c r="E23" s="2696"/>
      <c r="F23" s="2696"/>
      <c r="G23" s="1132">
        <f>(G18+G20+G21+G22)*0.125</f>
        <v>324.0083188559322</v>
      </c>
      <c r="H23" s="1132"/>
      <c r="I23" s="1132">
        <f>(I18+I20+I21+I22)*0.125</f>
        <v>270.0742775423729</v>
      </c>
      <c r="J23" s="105"/>
    </row>
    <row r="24" spans="1:11" ht="30" customHeight="1">
      <c r="A24" s="1662">
        <v>15</v>
      </c>
      <c r="B24" s="2320" t="s">
        <v>2866</v>
      </c>
      <c r="C24" s="2697"/>
      <c r="D24" s="1634"/>
      <c r="E24" s="2696"/>
      <c r="F24" s="2696"/>
      <c r="G24" s="1642">
        <f>SUM(G19:G23)</f>
        <v>2623.4711408898302</v>
      </c>
      <c r="H24" s="1132"/>
      <c r="I24" s="1642">
        <f>SUM(I19:I23)</f>
        <v>2197.4190063559322</v>
      </c>
      <c r="J24" s="105"/>
    </row>
    <row r="25" spans="1:11" ht="17.25" customHeight="1">
      <c r="A25" s="1650">
        <v>16</v>
      </c>
      <c r="B25" s="1619" t="s">
        <v>1637</v>
      </c>
      <c r="C25" s="2697"/>
      <c r="D25" s="1634"/>
      <c r="E25" s="2696"/>
      <c r="F25" s="2660">
        <v>0.09</v>
      </c>
      <c r="G25" s="1132">
        <f>F25*G24</f>
        <v>236.1124026800847</v>
      </c>
      <c r="H25" s="2660">
        <v>0.09</v>
      </c>
      <c r="I25" s="1132">
        <f>H25*I24</f>
        <v>197.76771057203388</v>
      </c>
      <c r="J25" s="105"/>
    </row>
    <row r="26" spans="1:11" ht="17.25" customHeight="1">
      <c r="A26" s="1650">
        <v>17</v>
      </c>
      <c r="B26" s="1619" t="s">
        <v>1638</v>
      </c>
      <c r="C26" s="2697"/>
      <c r="D26" s="1634"/>
      <c r="E26" s="2696"/>
      <c r="F26" s="2660">
        <v>0.09</v>
      </c>
      <c r="G26" s="1132">
        <f>F26*G24</f>
        <v>236.1124026800847</v>
      </c>
      <c r="H26" s="2660">
        <v>0.09</v>
      </c>
      <c r="I26" s="1132">
        <f>H26*I24</f>
        <v>197.76771057203388</v>
      </c>
      <c r="J26" s="105"/>
    </row>
    <row r="27" spans="1:11" ht="30.75" customHeight="1">
      <c r="A27" s="1760">
        <v>18</v>
      </c>
      <c r="B27" s="1619" t="s">
        <v>1639</v>
      </c>
      <c r="C27" s="2697"/>
      <c r="D27" s="1634"/>
      <c r="E27" s="2696"/>
      <c r="F27" s="2696"/>
      <c r="G27" s="1132">
        <f>G24+G25+G26</f>
        <v>3095.6959462499999</v>
      </c>
      <c r="H27" s="1132"/>
      <c r="I27" s="1132">
        <f>I24+I25+I26</f>
        <v>2592.9544275000003</v>
      </c>
      <c r="J27" s="105"/>
    </row>
    <row r="28" spans="1:11" ht="17.25" customHeight="1">
      <c r="A28" s="120">
        <v>19</v>
      </c>
      <c r="B28" s="3515" t="s">
        <v>2867</v>
      </c>
      <c r="C28" s="3515"/>
      <c r="D28" s="3515"/>
      <c r="E28" s="3515"/>
      <c r="F28" s="3515"/>
      <c r="G28" s="1642">
        <f>+G27</f>
        <v>3095.6959462499999</v>
      </c>
      <c r="H28" s="1642"/>
      <c r="I28" s="1642">
        <f>+I27</f>
        <v>2592.9544275000003</v>
      </c>
      <c r="J28" s="105"/>
    </row>
    <row r="29" spans="1:11" ht="19.5" customHeight="1">
      <c r="A29" s="120">
        <v>20</v>
      </c>
      <c r="B29" s="3515" t="s">
        <v>2868</v>
      </c>
      <c r="C29" s="3515"/>
      <c r="D29" s="3515"/>
      <c r="E29" s="3515"/>
      <c r="F29" s="3515"/>
      <c r="G29" s="1642">
        <f>ROUND(G28,0)</f>
        <v>3096</v>
      </c>
      <c r="H29" s="1642"/>
      <c r="I29" s="1642">
        <f>ROUND(I28,0)</f>
        <v>2593</v>
      </c>
      <c r="J29" s="105"/>
    </row>
    <row r="30" spans="1:11" ht="17.25" customHeight="1">
      <c r="A30" s="2673"/>
      <c r="B30" s="2675"/>
      <c r="C30" s="2675"/>
      <c r="D30" s="2675"/>
      <c r="E30" s="2675"/>
      <c r="F30" s="2675"/>
      <c r="G30" s="624"/>
      <c r="H30" s="624"/>
      <c r="I30" s="624"/>
      <c r="J30" s="105"/>
    </row>
    <row r="31" spans="1:11" ht="17.25" customHeight="1">
      <c r="A31" s="2673"/>
      <c r="B31" s="2675"/>
      <c r="C31" s="2675"/>
      <c r="D31" s="2675"/>
      <c r="E31" s="2675"/>
      <c r="F31" s="2675"/>
      <c r="G31" s="624"/>
      <c r="H31" s="624"/>
      <c r="I31" s="624"/>
      <c r="J31" s="105"/>
    </row>
  </sheetData>
  <mergeCells count="13">
    <mergeCell ref="A7:A8"/>
    <mergeCell ref="B7:B8"/>
    <mergeCell ref="C7:C8"/>
    <mergeCell ref="D7:D8"/>
    <mergeCell ref="E7:E8"/>
    <mergeCell ref="H7:I7"/>
    <mergeCell ref="D21:F21"/>
    <mergeCell ref="B28:F28"/>
    <mergeCell ref="B29:F29"/>
    <mergeCell ref="B1:E1"/>
    <mergeCell ref="B3:G3"/>
    <mergeCell ref="B5:D5"/>
    <mergeCell ref="F7:G7"/>
  </mergeCells>
  <conditionalFormatting sqref="C11 C16 B14:B16 B10:B11">
    <cfRule type="cellIs" dxfId="5" priority="3" stopIfTrue="1" operator="equal">
      <formula>"?"</formula>
    </cfRule>
  </conditionalFormatting>
  <conditionalFormatting sqref="B18">
    <cfRule type="cellIs" dxfId="4" priority="2" stopIfTrue="1" operator="equal">
      <formula>"?"</formula>
    </cfRule>
  </conditionalFormatting>
  <conditionalFormatting sqref="B19">
    <cfRule type="cellIs" dxfId="3" priority="1" stopIfTrue="1" operator="equal">
      <formula>"?"</formula>
    </cfRule>
  </conditionalFormatting>
  <pageMargins left="0.74803149606299213" right="0.15748031496062992" top="0.6692913385826772" bottom="0.39370078740157483" header="0.35433070866141736" footer="0.15748031496062992"/>
  <pageSetup scale="110" orientation="landscape"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L59"/>
  <sheetViews>
    <sheetView zoomScaleNormal="100" workbookViewId="0">
      <pane xSplit="2" ySplit="8" topLeftCell="C48" activePane="bottomRight" state="frozen"/>
      <selection pane="topRight" activeCell="C1" sqref="C1"/>
      <selection pane="bottomLeft" activeCell="A9" sqref="A9"/>
      <selection pane="bottomRight" activeCell="E12" sqref="E12"/>
    </sheetView>
  </sheetViews>
  <sheetFormatPr defaultRowHeight="12.75"/>
  <cols>
    <col min="1" max="1" width="4.42578125" style="137" customWidth="1"/>
    <col min="2" max="2" width="50.42578125" style="70" customWidth="1"/>
    <col min="3" max="3" width="12.28515625" style="137" customWidth="1"/>
    <col min="4" max="4" width="6" style="70" customWidth="1"/>
    <col min="5" max="5" width="5.7109375" style="70" customWidth="1"/>
    <col min="6" max="6" width="9.85546875" style="70" customWidth="1"/>
    <col min="7" max="7" width="12.28515625" style="70" customWidth="1"/>
    <col min="8" max="8" width="20.85546875" style="70" customWidth="1"/>
    <col min="9" max="9" width="10.7109375" style="70" customWidth="1"/>
    <col min="10" max="10" width="16.140625" style="70" customWidth="1"/>
    <col min="11" max="11" width="7.7109375" style="70" customWidth="1"/>
    <col min="12" max="12" width="9.5703125" style="70" customWidth="1"/>
    <col min="13" max="256" width="9.140625" style="70"/>
    <col min="257" max="257" width="4.42578125" style="70" customWidth="1"/>
    <col min="258" max="258" width="50.42578125" style="70" customWidth="1"/>
    <col min="259" max="259" width="12.28515625" style="70" customWidth="1"/>
    <col min="260" max="260" width="6" style="70" customWidth="1"/>
    <col min="261" max="261" width="5.7109375" style="70" customWidth="1"/>
    <col min="262" max="262" width="9.85546875" style="70" customWidth="1"/>
    <col min="263" max="263" width="12.28515625" style="70" customWidth="1"/>
    <col min="264" max="264" width="20.85546875" style="70" customWidth="1"/>
    <col min="265" max="265" width="10.7109375" style="70" customWidth="1"/>
    <col min="266" max="266" width="16.140625" style="70" customWidth="1"/>
    <col min="267" max="512" width="9.140625" style="70"/>
    <col min="513" max="513" width="4.42578125" style="70" customWidth="1"/>
    <col min="514" max="514" width="50.42578125" style="70" customWidth="1"/>
    <col min="515" max="515" width="12.28515625" style="70" customWidth="1"/>
    <col min="516" max="516" width="6" style="70" customWidth="1"/>
    <col min="517" max="517" width="5.7109375" style="70" customWidth="1"/>
    <col min="518" max="518" width="9.85546875" style="70" customWidth="1"/>
    <col min="519" max="519" width="12.28515625" style="70" customWidth="1"/>
    <col min="520" max="520" width="20.85546875" style="70" customWidth="1"/>
    <col min="521" max="521" width="10.7109375" style="70" customWidth="1"/>
    <col min="522" max="522" width="16.140625" style="70" customWidth="1"/>
    <col min="523" max="768" width="9.140625" style="70"/>
    <col min="769" max="769" width="4.42578125" style="70" customWidth="1"/>
    <col min="770" max="770" width="50.42578125" style="70" customWidth="1"/>
    <col min="771" max="771" width="12.28515625" style="70" customWidth="1"/>
    <col min="772" max="772" width="6" style="70" customWidth="1"/>
    <col min="773" max="773" width="5.7109375" style="70" customWidth="1"/>
    <col min="774" max="774" width="9.85546875" style="70" customWidth="1"/>
    <col min="775" max="775" width="12.28515625" style="70" customWidth="1"/>
    <col min="776" max="776" width="20.85546875" style="70" customWidth="1"/>
    <col min="777" max="777" width="10.7109375" style="70" customWidth="1"/>
    <col min="778" max="778" width="16.140625" style="70" customWidth="1"/>
    <col min="779" max="1024" width="9.140625" style="70"/>
    <col min="1025" max="1025" width="4.42578125" style="70" customWidth="1"/>
    <col min="1026" max="1026" width="50.42578125" style="70" customWidth="1"/>
    <col min="1027" max="1027" width="12.28515625" style="70" customWidth="1"/>
    <col min="1028" max="1028" width="6" style="70" customWidth="1"/>
    <col min="1029" max="1029" width="5.7109375" style="70" customWidth="1"/>
    <col min="1030" max="1030" width="9.85546875" style="70" customWidth="1"/>
    <col min="1031" max="1031" width="12.28515625" style="70" customWidth="1"/>
    <col min="1032" max="1032" width="20.85546875" style="70" customWidth="1"/>
    <col min="1033" max="1033" width="10.7109375" style="70" customWidth="1"/>
    <col min="1034" max="1034" width="16.140625" style="70" customWidth="1"/>
    <col min="1035" max="1280" width="9.140625" style="70"/>
    <col min="1281" max="1281" width="4.42578125" style="70" customWidth="1"/>
    <col min="1282" max="1282" width="50.42578125" style="70" customWidth="1"/>
    <col min="1283" max="1283" width="12.28515625" style="70" customWidth="1"/>
    <col min="1284" max="1284" width="6" style="70" customWidth="1"/>
    <col min="1285" max="1285" width="5.7109375" style="70" customWidth="1"/>
    <col min="1286" max="1286" width="9.85546875" style="70" customWidth="1"/>
    <col min="1287" max="1287" width="12.28515625" style="70" customWidth="1"/>
    <col min="1288" max="1288" width="20.85546875" style="70" customWidth="1"/>
    <col min="1289" max="1289" width="10.7109375" style="70" customWidth="1"/>
    <col min="1290" max="1290" width="16.140625" style="70" customWidth="1"/>
    <col min="1291" max="1536" width="9.140625" style="70"/>
    <col min="1537" max="1537" width="4.42578125" style="70" customWidth="1"/>
    <col min="1538" max="1538" width="50.42578125" style="70" customWidth="1"/>
    <col min="1539" max="1539" width="12.28515625" style="70" customWidth="1"/>
    <col min="1540" max="1540" width="6" style="70" customWidth="1"/>
    <col min="1541" max="1541" width="5.7109375" style="70" customWidth="1"/>
    <col min="1542" max="1542" width="9.85546875" style="70" customWidth="1"/>
    <col min="1543" max="1543" width="12.28515625" style="70" customWidth="1"/>
    <col min="1544" max="1544" width="20.85546875" style="70" customWidth="1"/>
    <col min="1545" max="1545" width="10.7109375" style="70" customWidth="1"/>
    <col min="1546" max="1546" width="16.140625" style="70" customWidth="1"/>
    <col min="1547" max="1792" width="9.140625" style="70"/>
    <col min="1793" max="1793" width="4.42578125" style="70" customWidth="1"/>
    <col min="1794" max="1794" width="50.42578125" style="70" customWidth="1"/>
    <col min="1795" max="1795" width="12.28515625" style="70" customWidth="1"/>
    <col min="1796" max="1796" width="6" style="70" customWidth="1"/>
    <col min="1797" max="1797" width="5.7109375" style="70" customWidth="1"/>
    <col min="1798" max="1798" width="9.85546875" style="70" customWidth="1"/>
    <col min="1799" max="1799" width="12.28515625" style="70" customWidth="1"/>
    <col min="1800" max="1800" width="20.85546875" style="70" customWidth="1"/>
    <col min="1801" max="1801" width="10.7109375" style="70" customWidth="1"/>
    <col min="1802" max="1802" width="16.140625" style="70" customWidth="1"/>
    <col min="1803" max="2048" width="9.140625" style="70"/>
    <col min="2049" max="2049" width="4.42578125" style="70" customWidth="1"/>
    <col min="2050" max="2050" width="50.42578125" style="70" customWidth="1"/>
    <col min="2051" max="2051" width="12.28515625" style="70" customWidth="1"/>
    <col min="2052" max="2052" width="6" style="70" customWidth="1"/>
    <col min="2053" max="2053" width="5.7109375" style="70" customWidth="1"/>
    <col min="2054" max="2054" width="9.85546875" style="70" customWidth="1"/>
    <col min="2055" max="2055" width="12.28515625" style="70" customWidth="1"/>
    <col min="2056" max="2056" width="20.85546875" style="70" customWidth="1"/>
    <col min="2057" max="2057" width="10.7109375" style="70" customWidth="1"/>
    <col min="2058" max="2058" width="16.140625" style="70" customWidth="1"/>
    <col min="2059" max="2304" width="9.140625" style="70"/>
    <col min="2305" max="2305" width="4.42578125" style="70" customWidth="1"/>
    <col min="2306" max="2306" width="50.42578125" style="70" customWidth="1"/>
    <col min="2307" max="2307" width="12.28515625" style="70" customWidth="1"/>
    <col min="2308" max="2308" width="6" style="70" customWidth="1"/>
    <col min="2309" max="2309" width="5.7109375" style="70" customWidth="1"/>
    <col min="2310" max="2310" width="9.85546875" style="70" customWidth="1"/>
    <col min="2311" max="2311" width="12.28515625" style="70" customWidth="1"/>
    <col min="2312" max="2312" width="20.85546875" style="70" customWidth="1"/>
    <col min="2313" max="2313" width="10.7109375" style="70" customWidth="1"/>
    <col min="2314" max="2314" width="16.140625" style="70" customWidth="1"/>
    <col min="2315" max="2560" width="9.140625" style="70"/>
    <col min="2561" max="2561" width="4.42578125" style="70" customWidth="1"/>
    <col min="2562" max="2562" width="50.42578125" style="70" customWidth="1"/>
    <col min="2563" max="2563" width="12.28515625" style="70" customWidth="1"/>
    <col min="2564" max="2564" width="6" style="70" customWidth="1"/>
    <col min="2565" max="2565" width="5.7109375" style="70" customWidth="1"/>
    <col min="2566" max="2566" width="9.85546875" style="70" customWidth="1"/>
    <col min="2567" max="2567" width="12.28515625" style="70" customWidth="1"/>
    <col min="2568" max="2568" width="20.85546875" style="70" customWidth="1"/>
    <col min="2569" max="2569" width="10.7109375" style="70" customWidth="1"/>
    <col min="2570" max="2570" width="16.140625" style="70" customWidth="1"/>
    <col min="2571" max="2816" width="9.140625" style="70"/>
    <col min="2817" max="2817" width="4.42578125" style="70" customWidth="1"/>
    <col min="2818" max="2818" width="50.42578125" style="70" customWidth="1"/>
    <col min="2819" max="2819" width="12.28515625" style="70" customWidth="1"/>
    <col min="2820" max="2820" width="6" style="70" customWidth="1"/>
    <col min="2821" max="2821" width="5.7109375" style="70" customWidth="1"/>
    <col min="2822" max="2822" width="9.85546875" style="70" customWidth="1"/>
    <col min="2823" max="2823" width="12.28515625" style="70" customWidth="1"/>
    <col min="2824" max="2824" width="20.85546875" style="70" customWidth="1"/>
    <col min="2825" max="2825" width="10.7109375" style="70" customWidth="1"/>
    <col min="2826" max="2826" width="16.140625" style="70" customWidth="1"/>
    <col min="2827" max="3072" width="9.140625" style="70"/>
    <col min="3073" max="3073" width="4.42578125" style="70" customWidth="1"/>
    <col min="3074" max="3074" width="50.42578125" style="70" customWidth="1"/>
    <col min="3075" max="3075" width="12.28515625" style="70" customWidth="1"/>
    <col min="3076" max="3076" width="6" style="70" customWidth="1"/>
    <col min="3077" max="3077" width="5.7109375" style="70" customWidth="1"/>
    <col min="3078" max="3078" width="9.85546875" style="70" customWidth="1"/>
    <col min="3079" max="3079" width="12.28515625" style="70" customWidth="1"/>
    <col min="3080" max="3080" width="20.85546875" style="70" customWidth="1"/>
    <col min="3081" max="3081" width="10.7109375" style="70" customWidth="1"/>
    <col min="3082" max="3082" width="16.140625" style="70" customWidth="1"/>
    <col min="3083" max="3328" width="9.140625" style="70"/>
    <col min="3329" max="3329" width="4.42578125" style="70" customWidth="1"/>
    <col min="3330" max="3330" width="50.42578125" style="70" customWidth="1"/>
    <col min="3331" max="3331" width="12.28515625" style="70" customWidth="1"/>
    <col min="3332" max="3332" width="6" style="70" customWidth="1"/>
    <col min="3333" max="3333" width="5.7109375" style="70" customWidth="1"/>
    <col min="3334" max="3334" width="9.85546875" style="70" customWidth="1"/>
    <col min="3335" max="3335" width="12.28515625" style="70" customWidth="1"/>
    <col min="3336" max="3336" width="20.85546875" style="70" customWidth="1"/>
    <col min="3337" max="3337" width="10.7109375" style="70" customWidth="1"/>
    <col min="3338" max="3338" width="16.140625" style="70" customWidth="1"/>
    <col min="3339" max="3584" width="9.140625" style="70"/>
    <col min="3585" max="3585" width="4.42578125" style="70" customWidth="1"/>
    <col min="3586" max="3586" width="50.42578125" style="70" customWidth="1"/>
    <col min="3587" max="3587" width="12.28515625" style="70" customWidth="1"/>
    <col min="3588" max="3588" width="6" style="70" customWidth="1"/>
    <col min="3589" max="3589" width="5.7109375" style="70" customWidth="1"/>
    <col min="3590" max="3590" width="9.85546875" style="70" customWidth="1"/>
    <col min="3591" max="3591" width="12.28515625" style="70" customWidth="1"/>
    <col min="3592" max="3592" width="20.85546875" style="70" customWidth="1"/>
    <col min="3593" max="3593" width="10.7109375" style="70" customWidth="1"/>
    <col min="3594" max="3594" width="16.140625" style="70" customWidth="1"/>
    <col min="3595" max="3840" width="9.140625" style="70"/>
    <col min="3841" max="3841" width="4.42578125" style="70" customWidth="1"/>
    <col min="3842" max="3842" width="50.42578125" style="70" customWidth="1"/>
    <col min="3843" max="3843" width="12.28515625" style="70" customWidth="1"/>
    <col min="3844" max="3844" width="6" style="70" customWidth="1"/>
    <col min="3845" max="3845" width="5.7109375" style="70" customWidth="1"/>
    <col min="3846" max="3846" width="9.85546875" style="70" customWidth="1"/>
    <col min="3847" max="3847" width="12.28515625" style="70" customWidth="1"/>
    <col min="3848" max="3848" width="20.85546875" style="70" customWidth="1"/>
    <col min="3849" max="3849" width="10.7109375" style="70" customWidth="1"/>
    <col min="3850" max="3850" width="16.140625" style="70" customWidth="1"/>
    <col min="3851" max="4096" width="9.140625" style="70"/>
    <col min="4097" max="4097" width="4.42578125" style="70" customWidth="1"/>
    <col min="4098" max="4098" width="50.42578125" style="70" customWidth="1"/>
    <col min="4099" max="4099" width="12.28515625" style="70" customWidth="1"/>
    <col min="4100" max="4100" width="6" style="70" customWidth="1"/>
    <col min="4101" max="4101" width="5.7109375" style="70" customWidth="1"/>
    <col min="4102" max="4102" width="9.85546875" style="70" customWidth="1"/>
    <col min="4103" max="4103" width="12.28515625" style="70" customWidth="1"/>
    <col min="4104" max="4104" width="20.85546875" style="70" customWidth="1"/>
    <col min="4105" max="4105" width="10.7109375" style="70" customWidth="1"/>
    <col min="4106" max="4106" width="16.140625" style="70" customWidth="1"/>
    <col min="4107" max="4352" width="9.140625" style="70"/>
    <col min="4353" max="4353" width="4.42578125" style="70" customWidth="1"/>
    <col min="4354" max="4354" width="50.42578125" style="70" customWidth="1"/>
    <col min="4355" max="4355" width="12.28515625" style="70" customWidth="1"/>
    <col min="4356" max="4356" width="6" style="70" customWidth="1"/>
    <col min="4357" max="4357" width="5.7109375" style="70" customWidth="1"/>
    <col min="4358" max="4358" width="9.85546875" style="70" customWidth="1"/>
    <col min="4359" max="4359" width="12.28515625" style="70" customWidth="1"/>
    <col min="4360" max="4360" width="20.85546875" style="70" customWidth="1"/>
    <col min="4361" max="4361" width="10.7109375" style="70" customWidth="1"/>
    <col min="4362" max="4362" width="16.140625" style="70" customWidth="1"/>
    <col min="4363" max="4608" width="9.140625" style="70"/>
    <col min="4609" max="4609" width="4.42578125" style="70" customWidth="1"/>
    <col min="4610" max="4610" width="50.42578125" style="70" customWidth="1"/>
    <col min="4611" max="4611" width="12.28515625" style="70" customWidth="1"/>
    <col min="4612" max="4612" width="6" style="70" customWidth="1"/>
    <col min="4613" max="4613" width="5.7109375" style="70" customWidth="1"/>
    <col min="4614" max="4614" width="9.85546875" style="70" customWidth="1"/>
    <col min="4615" max="4615" width="12.28515625" style="70" customWidth="1"/>
    <col min="4616" max="4616" width="20.85546875" style="70" customWidth="1"/>
    <col min="4617" max="4617" width="10.7109375" style="70" customWidth="1"/>
    <col min="4618" max="4618" width="16.140625" style="70" customWidth="1"/>
    <col min="4619" max="4864" width="9.140625" style="70"/>
    <col min="4865" max="4865" width="4.42578125" style="70" customWidth="1"/>
    <col min="4866" max="4866" width="50.42578125" style="70" customWidth="1"/>
    <col min="4867" max="4867" width="12.28515625" style="70" customWidth="1"/>
    <col min="4868" max="4868" width="6" style="70" customWidth="1"/>
    <col min="4869" max="4869" width="5.7109375" style="70" customWidth="1"/>
    <col min="4870" max="4870" width="9.85546875" style="70" customWidth="1"/>
    <col min="4871" max="4871" width="12.28515625" style="70" customWidth="1"/>
    <col min="4872" max="4872" width="20.85546875" style="70" customWidth="1"/>
    <col min="4873" max="4873" width="10.7109375" style="70" customWidth="1"/>
    <col min="4874" max="4874" width="16.140625" style="70" customWidth="1"/>
    <col min="4875" max="5120" width="9.140625" style="70"/>
    <col min="5121" max="5121" width="4.42578125" style="70" customWidth="1"/>
    <col min="5122" max="5122" width="50.42578125" style="70" customWidth="1"/>
    <col min="5123" max="5123" width="12.28515625" style="70" customWidth="1"/>
    <col min="5124" max="5124" width="6" style="70" customWidth="1"/>
    <col min="5125" max="5125" width="5.7109375" style="70" customWidth="1"/>
    <col min="5126" max="5126" width="9.85546875" style="70" customWidth="1"/>
    <col min="5127" max="5127" width="12.28515625" style="70" customWidth="1"/>
    <col min="5128" max="5128" width="20.85546875" style="70" customWidth="1"/>
    <col min="5129" max="5129" width="10.7109375" style="70" customWidth="1"/>
    <col min="5130" max="5130" width="16.140625" style="70" customWidth="1"/>
    <col min="5131" max="5376" width="9.140625" style="70"/>
    <col min="5377" max="5377" width="4.42578125" style="70" customWidth="1"/>
    <col min="5378" max="5378" width="50.42578125" style="70" customWidth="1"/>
    <col min="5379" max="5379" width="12.28515625" style="70" customWidth="1"/>
    <col min="5380" max="5380" width="6" style="70" customWidth="1"/>
    <col min="5381" max="5381" width="5.7109375" style="70" customWidth="1"/>
    <col min="5382" max="5382" width="9.85546875" style="70" customWidth="1"/>
    <col min="5383" max="5383" width="12.28515625" style="70" customWidth="1"/>
    <col min="5384" max="5384" width="20.85546875" style="70" customWidth="1"/>
    <col min="5385" max="5385" width="10.7109375" style="70" customWidth="1"/>
    <col min="5386" max="5386" width="16.140625" style="70" customWidth="1"/>
    <col min="5387" max="5632" width="9.140625" style="70"/>
    <col min="5633" max="5633" width="4.42578125" style="70" customWidth="1"/>
    <col min="5634" max="5634" width="50.42578125" style="70" customWidth="1"/>
    <col min="5635" max="5635" width="12.28515625" style="70" customWidth="1"/>
    <col min="5636" max="5636" width="6" style="70" customWidth="1"/>
    <col min="5637" max="5637" width="5.7109375" style="70" customWidth="1"/>
    <col min="5638" max="5638" width="9.85546875" style="70" customWidth="1"/>
    <col min="5639" max="5639" width="12.28515625" style="70" customWidth="1"/>
    <col min="5640" max="5640" width="20.85546875" style="70" customWidth="1"/>
    <col min="5641" max="5641" width="10.7109375" style="70" customWidth="1"/>
    <col min="5642" max="5642" width="16.140625" style="70" customWidth="1"/>
    <col min="5643" max="5888" width="9.140625" style="70"/>
    <col min="5889" max="5889" width="4.42578125" style="70" customWidth="1"/>
    <col min="5890" max="5890" width="50.42578125" style="70" customWidth="1"/>
    <col min="5891" max="5891" width="12.28515625" style="70" customWidth="1"/>
    <col min="5892" max="5892" width="6" style="70" customWidth="1"/>
    <col min="5893" max="5893" width="5.7109375" style="70" customWidth="1"/>
    <col min="5894" max="5894" width="9.85546875" style="70" customWidth="1"/>
    <col min="5895" max="5895" width="12.28515625" style="70" customWidth="1"/>
    <col min="5896" max="5896" width="20.85546875" style="70" customWidth="1"/>
    <col min="5897" max="5897" width="10.7109375" style="70" customWidth="1"/>
    <col min="5898" max="5898" width="16.140625" style="70" customWidth="1"/>
    <col min="5899" max="6144" width="9.140625" style="70"/>
    <col min="6145" max="6145" width="4.42578125" style="70" customWidth="1"/>
    <col min="6146" max="6146" width="50.42578125" style="70" customWidth="1"/>
    <col min="6147" max="6147" width="12.28515625" style="70" customWidth="1"/>
    <col min="6148" max="6148" width="6" style="70" customWidth="1"/>
    <col min="6149" max="6149" width="5.7109375" style="70" customWidth="1"/>
    <col min="6150" max="6150" width="9.85546875" style="70" customWidth="1"/>
    <col min="6151" max="6151" width="12.28515625" style="70" customWidth="1"/>
    <col min="6152" max="6152" width="20.85546875" style="70" customWidth="1"/>
    <col min="6153" max="6153" width="10.7109375" style="70" customWidth="1"/>
    <col min="6154" max="6154" width="16.140625" style="70" customWidth="1"/>
    <col min="6155" max="6400" width="9.140625" style="70"/>
    <col min="6401" max="6401" width="4.42578125" style="70" customWidth="1"/>
    <col min="6402" max="6402" width="50.42578125" style="70" customWidth="1"/>
    <col min="6403" max="6403" width="12.28515625" style="70" customWidth="1"/>
    <col min="6404" max="6404" width="6" style="70" customWidth="1"/>
    <col min="6405" max="6405" width="5.7109375" style="70" customWidth="1"/>
    <col min="6406" max="6406" width="9.85546875" style="70" customWidth="1"/>
    <col min="6407" max="6407" width="12.28515625" style="70" customWidth="1"/>
    <col min="6408" max="6408" width="20.85546875" style="70" customWidth="1"/>
    <col min="6409" max="6409" width="10.7109375" style="70" customWidth="1"/>
    <col min="6410" max="6410" width="16.140625" style="70" customWidth="1"/>
    <col min="6411" max="6656" width="9.140625" style="70"/>
    <col min="6657" max="6657" width="4.42578125" style="70" customWidth="1"/>
    <col min="6658" max="6658" width="50.42578125" style="70" customWidth="1"/>
    <col min="6659" max="6659" width="12.28515625" style="70" customWidth="1"/>
    <col min="6660" max="6660" width="6" style="70" customWidth="1"/>
    <col min="6661" max="6661" width="5.7109375" style="70" customWidth="1"/>
    <col min="6662" max="6662" width="9.85546875" style="70" customWidth="1"/>
    <col min="6663" max="6663" width="12.28515625" style="70" customWidth="1"/>
    <col min="6664" max="6664" width="20.85546875" style="70" customWidth="1"/>
    <col min="6665" max="6665" width="10.7109375" style="70" customWidth="1"/>
    <col min="6666" max="6666" width="16.140625" style="70" customWidth="1"/>
    <col min="6667" max="6912" width="9.140625" style="70"/>
    <col min="6913" max="6913" width="4.42578125" style="70" customWidth="1"/>
    <col min="6914" max="6914" width="50.42578125" style="70" customWidth="1"/>
    <col min="6915" max="6915" width="12.28515625" style="70" customWidth="1"/>
    <col min="6916" max="6916" width="6" style="70" customWidth="1"/>
    <col min="6917" max="6917" width="5.7109375" style="70" customWidth="1"/>
    <col min="6918" max="6918" width="9.85546875" style="70" customWidth="1"/>
    <col min="6919" max="6919" width="12.28515625" style="70" customWidth="1"/>
    <col min="6920" max="6920" width="20.85546875" style="70" customWidth="1"/>
    <col min="6921" max="6921" width="10.7109375" style="70" customWidth="1"/>
    <col min="6922" max="6922" width="16.140625" style="70" customWidth="1"/>
    <col min="6923" max="7168" width="9.140625" style="70"/>
    <col min="7169" max="7169" width="4.42578125" style="70" customWidth="1"/>
    <col min="7170" max="7170" width="50.42578125" style="70" customWidth="1"/>
    <col min="7171" max="7171" width="12.28515625" style="70" customWidth="1"/>
    <col min="7172" max="7172" width="6" style="70" customWidth="1"/>
    <col min="7173" max="7173" width="5.7109375" style="70" customWidth="1"/>
    <col min="7174" max="7174" width="9.85546875" style="70" customWidth="1"/>
    <col min="7175" max="7175" width="12.28515625" style="70" customWidth="1"/>
    <col min="7176" max="7176" width="20.85546875" style="70" customWidth="1"/>
    <col min="7177" max="7177" width="10.7109375" style="70" customWidth="1"/>
    <col min="7178" max="7178" width="16.140625" style="70" customWidth="1"/>
    <col min="7179" max="7424" width="9.140625" style="70"/>
    <col min="7425" max="7425" width="4.42578125" style="70" customWidth="1"/>
    <col min="7426" max="7426" width="50.42578125" style="70" customWidth="1"/>
    <col min="7427" max="7427" width="12.28515625" style="70" customWidth="1"/>
    <col min="7428" max="7428" width="6" style="70" customWidth="1"/>
    <col min="7429" max="7429" width="5.7109375" style="70" customWidth="1"/>
    <col min="7430" max="7430" width="9.85546875" style="70" customWidth="1"/>
    <col min="7431" max="7431" width="12.28515625" style="70" customWidth="1"/>
    <col min="7432" max="7432" width="20.85546875" style="70" customWidth="1"/>
    <col min="7433" max="7433" width="10.7109375" style="70" customWidth="1"/>
    <col min="7434" max="7434" width="16.140625" style="70" customWidth="1"/>
    <col min="7435" max="7680" width="9.140625" style="70"/>
    <col min="7681" max="7681" width="4.42578125" style="70" customWidth="1"/>
    <col min="7682" max="7682" width="50.42578125" style="70" customWidth="1"/>
    <col min="7683" max="7683" width="12.28515625" style="70" customWidth="1"/>
    <col min="7684" max="7684" width="6" style="70" customWidth="1"/>
    <col min="7685" max="7685" width="5.7109375" style="70" customWidth="1"/>
    <col min="7686" max="7686" width="9.85546875" style="70" customWidth="1"/>
    <col min="7687" max="7687" width="12.28515625" style="70" customWidth="1"/>
    <col min="7688" max="7688" width="20.85546875" style="70" customWidth="1"/>
    <col min="7689" max="7689" width="10.7109375" style="70" customWidth="1"/>
    <col min="7690" max="7690" width="16.140625" style="70" customWidth="1"/>
    <col min="7691" max="7936" width="9.140625" style="70"/>
    <col min="7937" max="7937" width="4.42578125" style="70" customWidth="1"/>
    <col min="7938" max="7938" width="50.42578125" style="70" customWidth="1"/>
    <col min="7939" max="7939" width="12.28515625" style="70" customWidth="1"/>
    <col min="7940" max="7940" width="6" style="70" customWidth="1"/>
    <col min="7941" max="7941" width="5.7109375" style="70" customWidth="1"/>
    <col min="7942" max="7942" width="9.85546875" style="70" customWidth="1"/>
    <col min="7943" max="7943" width="12.28515625" style="70" customWidth="1"/>
    <col min="7944" max="7944" width="20.85546875" style="70" customWidth="1"/>
    <col min="7945" max="7945" width="10.7109375" style="70" customWidth="1"/>
    <col min="7946" max="7946" width="16.140625" style="70" customWidth="1"/>
    <col min="7947" max="8192" width="9.140625" style="70"/>
    <col min="8193" max="8193" width="4.42578125" style="70" customWidth="1"/>
    <col min="8194" max="8194" width="50.42578125" style="70" customWidth="1"/>
    <col min="8195" max="8195" width="12.28515625" style="70" customWidth="1"/>
    <col min="8196" max="8196" width="6" style="70" customWidth="1"/>
    <col min="8197" max="8197" width="5.7109375" style="70" customWidth="1"/>
    <col min="8198" max="8198" width="9.85546875" style="70" customWidth="1"/>
    <col min="8199" max="8199" width="12.28515625" style="70" customWidth="1"/>
    <col min="8200" max="8200" width="20.85546875" style="70" customWidth="1"/>
    <col min="8201" max="8201" width="10.7109375" style="70" customWidth="1"/>
    <col min="8202" max="8202" width="16.140625" style="70" customWidth="1"/>
    <col min="8203" max="8448" width="9.140625" style="70"/>
    <col min="8449" max="8449" width="4.42578125" style="70" customWidth="1"/>
    <col min="8450" max="8450" width="50.42578125" style="70" customWidth="1"/>
    <col min="8451" max="8451" width="12.28515625" style="70" customWidth="1"/>
    <col min="8452" max="8452" width="6" style="70" customWidth="1"/>
    <col min="8453" max="8453" width="5.7109375" style="70" customWidth="1"/>
    <col min="8454" max="8454" width="9.85546875" style="70" customWidth="1"/>
    <col min="8455" max="8455" width="12.28515625" style="70" customWidth="1"/>
    <col min="8456" max="8456" width="20.85546875" style="70" customWidth="1"/>
    <col min="8457" max="8457" width="10.7109375" style="70" customWidth="1"/>
    <col min="8458" max="8458" width="16.140625" style="70" customWidth="1"/>
    <col min="8459" max="8704" width="9.140625" style="70"/>
    <col min="8705" max="8705" width="4.42578125" style="70" customWidth="1"/>
    <col min="8706" max="8706" width="50.42578125" style="70" customWidth="1"/>
    <col min="8707" max="8707" width="12.28515625" style="70" customWidth="1"/>
    <col min="8708" max="8708" width="6" style="70" customWidth="1"/>
    <col min="8709" max="8709" width="5.7109375" style="70" customWidth="1"/>
    <col min="8710" max="8710" width="9.85546875" style="70" customWidth="1"/>
    <col min="8711" max="8711" width="12.28515625" style="70" customWidth="1"/>
    <col min="8712" max="8712" width="20.85546875" style="70" customWidth="1"/>
    <col min="8713" max="8713" width="10.7109375" style="70" customWidth="1"/>
    <col min="8714" max="8714" width="16.140625" style="70" customWidth="1"/>
    <col min="8715" max="8960" width="9.140625" style="70"/>
    <col min="8961" max="8961" width="4.42578125" style="70" customWidth="1"/>
    <col min="8962" max="8962" width="50.42578125" style="70" customWidth="1"/>
    <col min="8963" max="8963" width="12.28515625" style="70" customWidth="1"/>
    <col min="8964" max="8964" width="6" style="70" customWidth="1"/>
    <col min="8965" max="8965" width="5.7109375" style="70" customWidth="1"/>
    <col min="8966" max="8966" width="9.85546875" style="70" customWidth="1"/>
    <col min="8967" max="8967" width="12.28515625" style="70" customWidth="1"/>
    <col min="8968" max="8968" width="20.85546875" style="70" customWidth="1"/>
    <col min="8969" max="8969" width="10.7109375" style="70" customWidth="1"/>
    <col min="8970" max="8970" width="16.140625" style="70" customWidth="1"/>
    <col min="8971" max="9216" width="9.140625" style="70"/>
    <col min="9217" max="9217" width="4.42578125" style="70" customWidth="1"/>
    <col min="9218" max="9218" width="50.42578125" style="70" customWidth="1"/>
    <col min="9219" max="9219" width="12.28515625" style="70" customWidth="1"/>
    <col min="9220" max="9220" width="6" style="70" customWidth="1"/>
    <col min="9221" max="9221" width="5.7109375" style="70" customWidth="1"/>
    <col min="9222" max="9222" width="9.85546875" style="70" customWidth="1"/>
    <col min="9223" max="9223" width="12.28515625" style="70" customWidth="1"/>
    <col min="9224" max="9224" width="20.85546875" style="70" customWidth="1"/>
    <col min="9225" max="9225" width="10.7109375" style="70" customWidth="1"/>
    <col min="9226" max="9226" width="16.140625" style="70" customWidth="1"/>
    <col min="9227" max="9472" width="9.140625" style="70"/>
    <col min="9473" max="9473" width="4.42578125" style="70" customWidth="1"/>
    <col min="9474" max="9474" width="50.42578125" style="70" customWidth="1"/>
    <col min="9475" max="9475" width="12.28515625" style="70" customWidth="1"/>
    <col min="9476" max="9476" width="6" style="70" customWidth="1"/>
    <col min="9477" max="9477" width="5.7109375" style="70" customWidth="1"/>
    <col min="9478" max="9478" width="9.85546875" style="70" customWidth="1"/>
    <col min="9479" max="9479" width="12.28515625" style="70" customWidth="1"/>
    <col min="9480" max="9480" width="20.85546875" style="70" customWidth="1"/>
    <col min="9481" max="9481" width="10.7109375" style="70" customWidth="1"/>
    <col min="9482" max="9482" width="16.140625" style="70" customWidth="1"/>
    <col min="9483" max="9728" width="9.140625" style="70"/>
    <col min="9729" max="9729" width="4.42578125" style="70" customWidth="1"/>
    <col min="9730" max="9730" width="50.42578125" style="70" customWidth="1"/>
    <col min="9731" max="9731" width="12.28515625" style="70" customWidth="1"/>
    <col min="9732" max="9732" width="6" style="70" customWidth="1"/>
    <col min="9733" max="9733" width="5.7109375" style="70" customWidth="1"/>
    <col min="9734" max="9734" width="9.85546875" style="70" customWidth="1"/>
    <col min="9735" max="9735" width="12.28515625" style="70" customWidth="1"/>
    <col min="9736" max="9736" width="20.85546875" style="70" customWidth="1"/>
    <col min="9737" max="9737" width="10.7109375" style="70" customWidth="1"/>
    <col min="9738" max="9738" width="16.140625" style="70" customWidth="1"/>
    <col min="9739" max="9984" width="9.140625" style="70"/>
    <col min="9985" max="9985" width="4.42578125" style="70" customWidth="1"/>
    <col min="9986" max="9986" width="50.42578125" style="70" customWidth="1"/>
    <col min="9987" max="9987" width="12.28515625" style="70" customWidth="1"/>
    <col min="9988" max="9988" width="6" style="70" customWidth="1"/>
    <col min="9989" max="9989" width="5.7109375" style="70" customWidth="1"/>
    <col min="9990" max="9990" width="9.85546875" style="70" customWidth="1"/>
    <col min="9991" max="9991" width="12.28515625" style="70" customWidth="1"/>
    <col min="9992" max="9992" width="20.85546875" style="70" customWidth="1"/>
    <col min="9993" max="9993" width="10.7109375" style="70" customWidth="1"/>
    <col min="9994" max="9994" width="16.140625" style="70" customWidth="1"/>
    <col min="9995" max="10240" width="9.140625" style="70"/>
    <col min="10241" max="10241" width="4.42578125" style="70" customWidth="1"/>
    <col min="10242" max="10242" width="50.42578125" style="70" customWidth="1"/>
    <col min="10243" max="10243" width="12.28515625" style="70" customWidth="1"/>
    <col min="10244" max="10244" width="6" style="70" customWidth="1"/>
    <col min="10245" max="10245" width="5.7109375" style="70" customWidth="1"/>
    <col min="10246" max="10246" width="9.85546875" style="70" customWidth="1"/>
    <col min="10247" max="10247" width="12.28515625" style="70" customWidth="1"/>
    <col min="10248" max="10248" width="20.85546875" style="70" customWidth="1"/>
    <col min="10249" max="10249" width="10.7109375" style="70" customWidth="1"/>
    <col min="10250" max="10250" width="16.140625" style="70" customWidth="1"/>
    <col min="10251" max="10496" width="9.140625" style="70"/>
    <col min="10497" max="10497" width="4.42578125" style="70" customWidth="1"/>
    <col min="10498" max="10498" width="50.42578125" style="70" customWidth="1"/>
    <col min="10499" max="10499" width="12.28515625" style="70" customWidth="1"/>
    <col min="10500" max="10500" width="6" style="70" customWidth="1"/>
    <col min="10501" max="10501" width="5.7109375" style="70" customWidth="1"/>
    <col min="10502" max="10502" width="9.85546875" style="70" customWidth="1"/>
    <col min="10503" max="10503" width="12.28515625" style="70" customWidth="1"/>
    <col min="10504" max="10504" width="20.85546875" style="70" customWidth="1"/>
    <col min="10505" max="10505" width="10.7109375" style="70" customWidth="1"/>
    <col min="10506" max="10506" width="16.140625" style="70" customWidth="1"/>
    <col min="10507" max="10752" width="9.140625" style="70"/>
    <col min="10753" max="10753" width="4.42578125" style="70" customWidth="1"/>
    <col min="10754" max="10754" width="50.42578125" style="70" customWidth="1"/>
    <col min="10755" max="10755" width="12.28515625" style="70" customWidth="1"/>
    <col min="10756" max="10756" width="6" style="70" customWidth="1"/>
    <col min="10757" max="10757" width="5.7109375" style="70" customWidth="1"/>
    <col min="10758" max="10758" width="9.85546875" style="70" customWidth="1"/>
    <col min="10759" max="10759" width="12.28515625" style="70" customWidth="1"/>
    <col min="10760" max="10760" width="20.85546875" style="70" customWidth="1"/>
    <col min="10761" max="10761" width="10.7109375" style="70" customWidth="1"/>
    <col min="10762" max="10762" width="16.140625" style="70" customWidth="1"/>
    <col min="10763" max="11008" width="9.140625" style="70"/>
    <col min="11009" max="11009" width="4.42578125" style="70" customWidth="1"/>
    <col min="11010" max="11010" width="50.42578125" style="70" customWidth="1"/>
    <col min="11011" max="11011" width="12.28515625" style="70" customWidth="1"/>
    <col min="11012" max="11012" width="6" style="70" customWidth="1"/>
    <col min="11013" max="11013" width="5.7109375" style="70" customWidth="1"/>
    <col min="11014" max="11014" width="9.85546875" style="70" customWidth="1"/>
    <col min="11015" max="11015" width="12.28515625" style="70" customWidth="1"/>
    <col min="11016" max="11016" width="20.85546875" style="70" customWidth="1"/>
    <col min="11017" max="11017" width="10.7109375" style="70" customWidth="1"/>
    <col min="11018" max="11018" width="16.140625" style="70" customWidth="1"/>
    <col min="11019" max="11264" width="9.140625" style="70"/>
    <col min="11265" max="11265" width="4.42578125" style="70" customWidth="1"/>
    <col min="11266" max="11266" width="50.42578125" style="70" customWidth="1"/>
    <col min="11267" max="11267" width="12.28515625" style="70" customWidth="1"/>
    <col min="11268" max="11268" width="6" style="70" customWidth="1"/>
    <col min="11269" max="11269" width="5.7109375" style="70" customWidth="1"/>
    <col min="11270" max="11270" width="9.85546875" style="70" customWidth="1"/>
    <col min="11271" max="11271" width="12.28515625" style="70" customWidth="1"/>
    <col min="11272" max="11272" width="20.85546875" style="70" customWidth="1"/>
    <col min="11273" max="11273" width="10.7109375" style="70" customWidth="1"/>
    <col min="11274" max="11274" width="16.140625" style="70" customWidth="1"/>
    <col min="11275" max="11520" width="9.140625" style="70"/>
    <col min="11521" max="11521" width="4.42578125" style="70" customWidth="1"/>
    <col min="11522" max="11522" width="50.42578125" style="70" customWidth="1"/>
    <col min="11523" max="11523" width="12.28515625" style="70" customWidth="1"/>
    <col min="11524" max="11524" width="6" style="70" customWidth="1"/>
    <col min="11525" max="11525" width="5.7109375" style="70" customWidth="1"/>
    <col min="11526" max="11526" width="9.85546875" style="70" customWidth="1"/>
    <col min="11527" max="11527" width="12.28515625" style="70" customWidth="1"/>
    <col min="11528" max="11528" width="20.85546875" style="70" customWidth="1"/>
    <col min="11529" max="11529" width="10.7109375" style="70" customWidth="1"/>
    <col min="11530" max="11530" width="16.140625" style="70" customWidth="1"/>
    <col min="11531" max="11776" width="9.140625" style="70"/>
    <col min="11777" max="11777" width="4.42578125" style="70" customWidth="1"/>
    <col min="11778" max="11778" width="50.42578125" style="70" customWidth="1"/>
    <col min="11779" max="11779" width="12.28515625" style="70" customWidth="1"/>
    <col min="11780" max="11780" width="6" style="70" customWidth="1"/>
    <col min="11781" max="11781" width="5.7109375" style="70" customWidth="1"/>
    <col min="11782" max="11782" width="9.85546875" style="70" customWidth="1"/>
    <col min="11783" max="11783" width="12.28515625" style="70" customWidth="1"/>
    <col min="11784" max="11784" width="20.85546875" style="70" customWidth="1"/>
    <col min="11785" max="11785" width="10.7109375" style="70" customWidth="1"/>
    <col min="11786" max="11786" width="16.140625" style="70" customWidth="1"/>
    <col min="11787" max="12032" width="9.140625" style="70"/>
    <col min="12033" max="12033" width="4.42578125" style="70" customWidth="1"/>
    <col min="12034" max="12034" width="50.42578125" style="70" customWidth="1"/>
    <col min="12035" max="12035" width="12.28515625" style="70" customWidth="1"/>
    <col min="12036" max="12036" width="6" style="70" customWidth="1"/>
    <col min="12037" max="12037" width="5.7109375" style="70" customWidth="1"/>
    <col min="12038" max="12038" width="9.85546875" style="70" customWidth="1"/>
    <col min="12039" max="12039" width="12.28515625" style="70" customWidth="1"/>
    <col min="12040" max="12040" width="20.85546875" style="70" customWidth="1"/>
    <col min="12041" max="12041" width="10.7109375" style="70" customWidth="1"/>
    <col min="12042" max="12042" width="16.140625" style="70" customWidth="1"/>
    <col min="12043" max="12288" width="9.140625" style="70"/>
    <col min="12289" max="12289" width="4.42578125" style="70" customWidth="1"/>
    <col min="12290" max="12290" width="50.42578125" style="70" customWidth="1"/>
    <col min="12291" max="12291" width="12.28515625" style="70" customWidth="1"/>
    <col min="12292" max="12292" width="6" style="70" customWidth="1"/>
    <col min="12293" max="12293" width="5.7109375" style="70" customWidth="1"/>
    <col min="12294" max="12294" width="9.85546875" style="70" customWidth="1"/>
    <col min="12295" max="12295" width="12.28515625" style="70" customWidth="1"/>
    <col min="12296" max="12296" width="20.85546875" style="70" customWidth="1"/>
    <col min="12297" max="12297" width="10.7109375" style="70" customWidth="1"/>
    <col min="12298" max="12298" width="16.140625" style="70" customWidth="1"/>
    <col min="12299" max="12544" width="9.140625" style="70"/>
    <col min="12545" max="12545" width="4.42578125" style="70" customWidth="1"/>
    <col min="12546" max="12546" width="50.42578125" style="70" customWidth="1"/>
    <col min="12547" max="12547" width="12.28515625" style="70" customWidth="1"/>
    <col min="12548" max="12548" width="6" style="70" customWidth="1"/>
    <col min="12549" max="12549" width="5.7109375" style="70" customWidth="1"/>
    <col min="12550" max="12550" width="9.85546875" style="70" customWidth="1"/>
    <col min="12551" max="12551" width="12.28515625" style="70" customWidth="1"/>
    <col min="12552" max="12552" width="20.85546875" style="70" customWidth="1"/>
    <col min="12553" max="12553" width="10.7109375" style="70" customWidth="1"/>
    <col min="12554" max="12554" width="16.140625" style="70" customWidth="1"/>
    <col min="12555" max="12800" width="9.140625" style="70"/>
    <col min="12801" max="12801" width="4.42578125" style="70" customWidth="1"/>
    <col min="12802" max="12802" width="50.42578125" style="70" customWidth="1"/>
    <col min="12803" max="12803" width="12.28515625" style="70" customWidth="1"/>
    <col min="12804" max="12804" width="6" style="70" customWidth="1"/>
    <col min="12805" max="12805" width="5.7109375" style="70" customWidth="1"/>
    <col min="12806" max="12806" width="9.85546875" style="70" customWidth="1"/>
    <col min="12807" max="12807" width="12.28515625" style="70" customWidth="1"/>
    <col min="12808" max="12808" width="20.85546875" style="70" customWidth="1"/>
    <col min="12809" max="12809" width="10.7109375" style="70" customWidth="1"/>
    <col min="12810" max="12810" width="16.140625" style="70" customWidth="1"/>
    <col min="12811" max="13056" width="9.140625" style="70"/>
    <col min="13057" max="13057" width="4.42578125" style="70" customWidth="1"/>
    <col min="13058" max="13058" width="50.42578125" style="70" customWidth="1"/>
    <col min="13059" max="13059" width="12.28515625" style="70" customWidth="1"/>
    <col min="13060" max="13060" width="6" style="70" customWidth="1"/>
    <col min="13061" max="13061" width="5.7109375" style="70" customWidth="1"/>
    <col min="13062" max="13062" width="9.85546875" style="70" customWidth="1"/>
    <col min="13063" max="13063" width="12.28515625" style="70" customWidth="1"/>
    <col min="13064" max="13064" width="20.85546875" style="70" customWidth="1"/>
    <col min="13065" max="13065" width="10.7109375" style="70" customWidth="1"/>
    <col min="13066" max="13066" width="16.140625" style="70" customWidth="1"/>
    <col min="13067" max="13312" width="9.140625" style="70"/>
    <col min="13313" max="13313" width="4.42578125" style="70" customWidth="1"/>
    <col min="13314" max="13314" width="50.42578125" style="70" customWidth="1"/>
    <col min="13315" max="13315" width="12.28515625" style="70" customWidth="1"/>
    <col min="13316" max="13316" width="6" style="70" customWidth="1"/>
    <col min="13317" max="13317" width="5.7109375" style="70" customWidth="1"/>
    <col min="13318" max="13318" width="9.85546875" style="70" customWidth="1"/>
    <col min="13319" max="13319" width="12.28515625" style="70" customWidth="1"/>
    <col min="13320" max="13320" width="20.85546875" style="70" customWidth="1"/>
    <col min="13321" max="13321" width="10.7109375" style="70" customWidth="1"/>
    <col min="13322" max="13322" width="16.140625" style="70" customWidth="1"/>
    <col min="13323" max="13568" width="9.140625" style="70"/>
    <col min="13569" max="13569" width="4.42578125" style="70" customWidth="1"/>
    <col min="13570" max="13570" width="50.42578125" style="70" customWidth="1"/>
    <col min="13571" max="13571" width="12.28515625" style="70" customWidth="1"/>
    <col min="13572" max="13572" width="6" style="70" customWidth="1"/>
    <col min="13573" max="13573" width="5.7109375" style="70" customWidth="1"/>
    <col min="13574" max="13574" width="9.85546875" style="70" customWidth="1"/>
    <col min="13575" max="13575" width="12.28515625" style="70" customWidth="1"/>
    <col min="13576" max="13576" width="20.85546875" style="70" customWidth="1"/>
    <col min="13577" max="13577" width="10.7109375" style="70" customWidth="1"/>
    <col min="13578" max="13578" width="16.140625" style="70" customWidth="1"/>
    <col min="13579" max="13824" width="9.140625" style="70"/>
    <col min="13825" max="13825" width="4.42578125" style="70" customWidth="1"/>
    <col min="13826" max="13826" width="50.42578125" style="70" customWidth="1"/>
    <col min="13827" max="13827" width="12.28515625" style="70" customWidth="1"/>
    <col min="13828" max="13828" width="6" style="70" customWidth="1"/>
    <col min="13829" max="13829" width="5.7109375" style="70" customWidth="1"/>
    <col min="13830" max="13830" width="9.85546875" style="70" customWidth="1"/>
    <col min="13831" max="13831" width="12.28515625" style="70" customWidth="1"/>
    <col min="13832" max="13832" width="20.85546875" style="70" customWidth="1"/>
    <col min="13833" max="13833" width="10.7109375" style="70" customWidth="1"/>
    <col min="13834" max="13834" width="16.140625" style="70" customWidth="1"/>
    <col min="13835" max="14080" width="9.140625" style="70"/>
    <col min="14081" max="14081" width="4.42578125" style="70" customWidth="1"/>
    <col min="14082" max="14082" width="50.42578125" style="70" customWidth="1"/>
    <col min="14083" max="14083" width="12.28515625" style="70" customWidth="1"/>
    <col min="14084" max="14084" width="6" style="70" customWidth="1"/>
    <col min="14085" max="14085" width="5.7109375" style="70" customWidth="1"/>
    <col min="14086" max="14086" width="9.85546875" style="70" customWidth="1"/>
    <col min="14087" max="14087" width="12.28515625" style="70" customWidth="1"/>
    <col min="14088" max="14088" width="20.85546875" style="70" customWidth="1"/>
    <col min="14089" max="14089" width="10.7109375" style="70" customWidth="1"/>
    <col min="14090" max="14090" width="16.140625" style="70" customWidth="1"/>
    <col min="14091" max="14336" width="9.140625" style="70"/>
    <col min="14337" max="14337" width="4.42578125" style="70" customWidth="1"/>
    <col min="14338" max="14338" width="50.42578125" style="70" customWidth="1"/>
    <col min="14339" max="14339" width="12.28515625" style="70" customWidth="1"/>
    <col min="14340" max="14340" width="6" style="70" customWidth="1"/>
    <col min="14341" max="14341" width="5.7109375" style="70" customWidth="1"/>
    <col min="14342" max="14342" width="9.85546875" style="70" customWidth="1"/>
    <col min="14343" max="14343" width="12.28515625" style="70" customWidth="1"/>
    <col min="14344" max="14344" width="20.85546875" style="70" customWidth="1"/>
    <col min="14345" max="14345" width="10.7109375" style="70" customWidth="1"/>
    <col min="14346" max="14346" width="16.140625" style="70" customWidth="1"/>
    <col min="14347" max="14592" width="9.140625" style="70"/>
    <col min="14593" max="14593" width="4.42578125" style="70" customWidth="1"/>
    <col min="14594" max="14594" width="50.42578125" style="70" customWidth="1"/>
    <col min="14595" max="14595" width="12.28515625" style="70" customWidth="1"/>
    <col min="14596" max="14596" width="6" style="70" customWidth="1"/>
    <col min="14597" max="14597" width="5.7109375" style="70" customWidth="1"/>
    <col min="14598" max="14598" width="9.85546875" style="70" customWidth="1"/>
    <col min="14599" max="14599" width="12.28515625" style="70" customWidth="1"/>
    <col min="14600" max="14600" width="20.85546875" style="70" customWidth="1"/>
    <col min="14601" max="14601" width="10.7109375" style="70" customWidth="1"/>
    <col min="14602" max="14602" width="16.140625" style="70" customWidth="1"/>
    <col min="14603" max="14848" width="9.140625" style="70"/>
    <col min="14849" max="14849" width="4.42578125" style="70" customWidth="1"/>
    <col min="14850" max="14850" width="50.42578125" style="70" customWidth="1"/>
    <col min="14851" max="14851" width="12.28515625" style="70" customWidth="1"/>
    <col min="14852" max="14852" width="6" style="70" customWidth="1"/>
    <col min="14853" max="14853" width="5.7109375" style="70" customWidth="1"/>
    <col min="14854" max="14854" width="9.85546875" style="70" customWidth="1"/>
    <col min="14855" max="14855" width="12.28515625" style="70" customWidth="1"/>
    <col min="14856" max="14856" width="20.85546875" style="70" customWidth="1"/>
    <col min="14857" max="14857" width="10.7109375" style="70" customWidth="1"/>
    <col min="14858" max="14858" width="16.140625" style="70" customWidth="1"/>
    <col min="14859" max="15104" width="9.140625" style="70"/>
    <col min="15105" max="15105" width="4.42578125" style="70" customWidth="1"/>
    <col min="15106" max="15106" width="50.42578125" style="70" customWidth="1"/>
    <col min="15107" max="15107" width="12.28515625" style="70" customWidth="1"/>
    <col min="15108" max="15108" width="6" style="70" customWidth="1"/>
    <col min="15109" max="15109" width="5.7109375" style="70" customWidth="1"/>
    <col min="15110" max="15110" width="9.85546875" style="70" customWidth="1"/>
    <col min="15111" max="15111" width="12.28515625" style="70" customWidth="1"/>
    <col min="15112" max="15112" width="20.85546875" style="70" customWidth="1"/>
    <col min="15113" max="15113" width="10.7109375" style="70" customWidth="1"/>
    <col min="15114" max="15114" width="16.140625" style="70" customWidth="1"/>
    <col min="15115" max="15360" width="9.140625" style="70"/>
    <col min="15361" max="15361" width="4.42578125" style="70" customWidth="1"/>
    <col min="15362" max="15362" width="50.42578125" style="70" customWidth="1"/>
    <col min="15363" max="15363" width="12.28515625" style="70" customWidth="1"/>
    <col min="15364" max="15364" width="6" style="70" customWidth="1"/>
    <col min="15365" max="15365" width="5.7109375" style="70" customWidth="1"/>
    <col min="15366" max="15366" width="9.85546875" style="70" customWidth="1"/>
    <col min="15367" max="15367" width="12.28515625" style="70" customWidth="1"/>
    <col min="15368" max="15368" width="20.85546875" style="70" customWidth="1"/>
    <col min="15369" max="15369" width="10.7109375" style="70" customWidth="1"/>
    <col min="15370" max="15370" width="16.140625" style="70" customWidth="1"/>
    <col min="15371" max="15616" width="9.140625" style="70"/>
    <col min="15617" max="15617" width="4.42578125" style="70" customWidth="1"/>
    <col min="15618" max="15618" width="50.42578125" style="70" customWidth="1"/>
    <col min="15619" max="15619" width="12.28515625" style="70" customWidth="1"/>
    <col min="15620" max="15620" width="6" style="70" customWidth="1"/>
    <col min="15621" max="15621" width="5.7109375" style="70" customWidth="1"/>
    <col min="15622" max="15622" width="9.85546875" style="70" customWidth="1"/>
    <col min="15623" max="15623" width="12.28515625" style="70" customWidth="1"/>
    <col min="15624" max="15624" width="20.85546875" style="70" customWidth="1"/>
    <col min="15625" max="15625" width="10.7109375" style="70" customWidth="1"/>
    <col min="15626" max="15626" width="16.140625" style="70" customWidth="1"/>
    <col min="15627" max="15872" width="9.140625" style="70"/>
    <col min="15873" max="15873" width="4.42578125" style="70" customWidth="1"/>
    <col min="15874" max="15874" width="50.42578125" style="70" customWidth="1"/>
    <col min="15875" max="15875" width="12.28515625" style="70" customWidth="1"/>
    <col min="15876" max="15876" width="6" style="70" customWidth="1"/>
    <col min="15877" max="15877" width="5.7109375" style="70" customWidth="1"/>
    <col min="15878" max="15878" width="9.85546875" style="70" customWidth="1"/>
    <col min="15879" max="15879" width="12.28515625" style="70" customWidth="1"/>
    <col min="15880" max="15880" width="20.85546875" style="70" customWidth="1"/>
    <col min="15881" max="15881" width="10.7109375" style="70" customWidth="1"/>
    <col min="15882" max="15882" width="16.140625" style="70" customWidth="1"/>
    <col min="15883" max="16128" width="9.140625" style="70"/>
    <col min="16129" max="16129" width="4.42578125" style="70" customWidth="1"/>
    <col min="16130" max="16130" width="50.42578125" style="70" customWidth="1"/>
    <col min="16131" max="16131" width="12.28515625" style="70" customWidth="1"/>
    <col min="16132" max="16132" width="6" style="70" customWidth="1"/>
    <col min="16133" max="16133" width="5.7109375" style="70" customWidth="1"/>
    <col min="16134" max="16134" width="9.85546875" style="70" customWidth="1"/>
    <col min="16135" max="16135" width="12.28515625" style="70" customWidth="1"/>
    <col min="16136" max="16136" width="20.85546875" style="70" customWidth="1"/>
    <col min="16137" max="16137" width="10.7109375" style="70" customWidth="1"/>
    <col min="16138" max="16138" width="16.140625" style="70" customWidth="1"/>
    <col min="16139" max="16384" width="9.140625" style="70"/>
  </cols>
  <sheetData>
    <row r="1" spans="1:11" ht="19.5" customHeight="1">
      <c r="B1" s="3094" t="s">
        <v>2488</v>
      </c>
      <c r="C1" s="3094"/>
      <c r="D1" s="3094"/>
      <c r="E1" s="2037"/>
      <c r="F1" s="2037"/>
      <c r="G1" s="2037"/>
    </row>
    <row r="2" spans="1:11" ht="7.5" customHeight="1">
      <c r="B2" s="2038"/>
      <c r="C2" s="2039"/>
      <c r="D2" s="2039"/>
      <c r="E2" s="2039"/>
      <c r="F2" s="2039"/>
      <c r="G2" s="2038"/>
    </row>
    <row r="3" spans="1:11" ht="33.75" customHeight="1">
      <c r="B3" s="3095" t="s">
        <v>2489</v>
      </c>
      <c r="C3" s="3095"/>
      <c r="D3" s="3095"/>
      <c r="E3" s="3095"/>
      <c r="F3" s="3095"/>
      <c r="G3" s="3095"/>
      <c r="K3" s="605"/>
    </row>
    <row r="4" spans="1:11" ht="8.25" customHeight="1">
      <c r="A4" s="2040"/>
      <c r="B4" s="2040"/>
      <c r="C4" s="2040"/>
      <c r="D4" s="2040"/>
      <c r="E4" s="2040"/>
      <c r="F4" s="2040"/>
      <c r="G4" s="2040"/>
      <c r="K4" s="605"/>
    </row>
    <row r="5" spans="1:11" ht="17.25" customHeight="1">
      <c r="A5" s="853"/>
      <c r="B5" s="853"/>
      <c r="C5" s="853"/>
      <c r="D5" s="853"/>
      <c r="E5" s="853"/>
      <c r="F5" s="3096" t="s">
        <v>89</v>
      </c>
      <c r="G5" s="3096"/>
    </row>
    <row r="6" spans="1:11" ht="31.5" customHeight="1">
      <c r="A6" s="3097" t="s">
        <v>1568</v>
      </c>
      <c r="B6" s="3097" t="s">
        <v>2490</v>
      </c>
      <c r="C6" s="3097" t="s">
        <v>1569</v>
      </c>
      <c r="D6" s="3097" t="s">
        <v>1570</v>
      </c>
      <c r="E6" s="3099" t="s">
        <v>1571</v>
      </c>
      <c r="F6" s="3099"/>
      <c r="G6" s="3099"/>
    </row>
    <row r="7" spans="1:11" ht="15" customHeight="1">
      <c r="A7" s="3098"/>
      <c r="B7" s="3098"/>
      <c r="C7" s="3098"/>
      <c r="D7" s="3098"/>
      <c r="E7" s="1896" t="s">
        <v>95</v>
      </c>
      <c r="F7" s="1896" t="s">
        <v>9</v>
      </c>
      <c r="G7" s="1896" t="s">
        <v>10</v>
      </c>
    </row>
    <row r="8" spans="1:11" ht="14.25">
      <c r="A8" s="1897">
        <v>1</v>
      </c>
      <c r="B8" s="1897">
        <v>2</v>
      </c>
      <c r="C8" s="1291">
        <v>3</v>
      </c>
      <c r="D8" s="1291">
        <v>4</v>
      </c>
      <c r="E8" s="1291">
        <v>5</v>
      </c>
      <c r="F8" s="2041">
        <v>6</v>
      </c>
      <c r="G8" s="1291">
        <v>7</v>
      </c>
    </row>
    <row r="9" spans="1:11" ht="27.75" customHeight="1">
      <c r="A9" s="1561">
        <v>1</v>
      </c>
      <c r="B9" s="1572" t="s">
        <v>2491</v>
      </c>
      <c r="C9" s="2143">
        <v>7130601958</v>
      </c>
      <c r="D9" s="2144" t="s">
        <v>26</v>
      </c>
      <c r="E9" s="2144" t="s">
        <v>2492</v>
      </c>
      <c r="F9" s="2145">
        <f>VLOOKUP(C9,'[25]SOR RATE'!A:D,4,0)/1000</f>
        <v>64.326520000000002</v>
      </c>
      <c r="G9" s="2146">
        <f t="shared" ref="G9:G21" si="0">E9*F9</f>
        <v>620493.61192000005</v>
      </c>
      <c r="H9" s="480"/>
    </row>
    <row r="10" spans="1:11" ht="27" customHeight="1">
      <c r="A10" s="1561">
        <v>2</v>
      </c>
      <c r="B10" s="1566" t="s">
        <v>2493</v>
      </c>
      <c r="C10" s="2143">
        <v>7130810512</v>
      </c>
      <c r="D10" s="1561" t="s">
        <v>40</v>
      </c>
      <c r="E10" s="1561">
        <v>30</v>
      </c>
      <c r="F10" s="2145">
        <f>VLOOKUP(C10,'[25]SOR RATE'!A218:D218,4,0)</f>
        <v>5188.4799999999996</v>
      </c>
      <c r="G10" s="2146">
        <f t="shared" si="0"/>
        <v>155654.39999999999</v>
      </c>
    </row>
    <row r="11" spans="1:11" ht="27" customHeight="1">
      <c r="A11" s="1561">
        <v>3</v>
      </c>
      <c r="B11" s="2147" t="s">
        <v>2494</v>
      </c>
      <c r="C11" s="2143">
        <v>7130820312</v>
      </c>
      <c r="D11" s="1561" t="s">
        <v>40</v>
      </c>
      <c r="E11" s="1561">
        <v>60</v>
      </c>
      <c r="F11" s="2145">
        <f>VLOOKUP(C11,'[25]SOR RATE'!A:D,4,0)</f>
        <v>2732.4</v>
      </c>
      <c r="G11" s="2146">
        <f t="shared" si="0"/>
        <v>163944</v>
      </c>
    </row>
    <row r="12" spans="1:11" ht="17.25" customHeight="1">
      <c r="A12" s="1561">
        <v>4</v>
      </c>
      <c r="B12" s="1948" t="s">
        <v>2495</v>
      </c>
      <c r="C12" s="2148">
        <v>7130820013</v>
      </c>
      <c r="D12" s="1561" t="s">
        <v>68</v>
      </c>
      <c r="E12" s="1561">
        <v>60</v>
      </c>
      <c r="F12" s="2145">
        <f>VLOOKUP(C12,'[25]SOR RATE'!A:D,4,0)</f>
        <v>216.4</v>
      </c>
      <c r="G12" s="2146">
        <f>E12*F12</f>
        <v>12984</v>
      </c>
      <c r="H12" s="2042"/>
      <c r="I12" s="2043"/>
      <c r="J12" s="806"/>
    </row>
    <row r="13" spans="1:11" ht="17.25" customHeight="1">
      <c r="A13" s="1561">
        <v>5</v>
      </c>
      <c r="B13" s="2149" t="s">
        <v>1572</v>
      </c>
      <c r="C13" s="2143">
        <v>7130870013</v>
      </c>
      <c r="D13" s="1561" t="s">
        <v>68</v>
      </c>
      <c r="E13" s="1561">
        <v>20</v>
      </c>
      <c r="F13" s="2145">
        <f>VLOOKUP(C13,'[25]SOR RATE'!A:D,4,0)</f>
        <v>152.88999999999999</v>
      </c>
      <c r="G13" s="2146">
        <f t="shared" si="0"/>
        <v>3057.7999999999997</v>
      </c>
    </row>
    <row r="14" spans="1:11" ht="15" customHeight="1">
      <c r="A14" s="1561">
        <v>6</v>
      </c>
      <c r="B14" s="1566" t="s">
        <v>2496</v>
      </c>
      <c r="C14" s="2143">
        <v>7130830070</v>
      </c>
      <c r="D14" s="1561" t="s">
        <v>190</v>
      </c>
      <c r="E14" s="1561">
        <v>3150</v>
      </c>
      <c r="F14" s="2145">
        <f>VLOOKUP(C14,'[25]SOR RATE'!A:D,4,0)/1000</f>
        <v>208.40755999999999</v>
      </c>
      <c r="G14" s="2146">
        <f t="shared" si="0"/>
        <v>656483.81400000001</v>
      </c>
    </row>
    <row r="15" spans="1:11" ht="16.5" customHeight="1">
      <c r="A15" s="1561">
        <v>7</v>
      </c>
      <c r="B15" s="2149" t="s">
        <v>2497</v>
      </c>
      <c r="C15" s="2143">
        <v>7130830971</v>
      </c>
      <c r="D15" s="1561" t="s">
        <v>68</v>
      </c>
      <c r="E15" s="1561">
        <v>6</v>
      </c>
      <c r="F15" s="2145">
        <f>VLOOKUP(C15,'[25]SOR RATE'!A:D,4,0)</f>
        <v>282.61</v>
      </c>
      <c r="G15" s="2146">
        <f t="shared" si="0"/>
        <v>1695.66</v>
      </c>
    </row>
    <row r="16" spans="1:11" ht="16.5" customHeight="1">
      <c r="A16" s="1561">
        <v>8</v>
      </c>
      <c r="B16" s="1566" t="s">
        <v>2498</v>
      </c>
      <c r="C16" s="2143">
        <v>7130860033</v>
      </c>
      <c r="D16" s="1561" t="s">
        <v>1573</v>
      </c>
      <c r="E16" s="1561">
        <v>12</v>
      </c>
      <c r="F16" s="2145">
        <f>VLOOKUP(C16,'[25]SOR RATE'!A:D,4,0)</f>
        <v>1031.6600000000001</v>
      </c>
      <c r="G16" s="2146">
        <f t="shared" si="0"/>
        <v>12379.920000000002</v>
      </c>
    </row>
    <row r="17" spans="1:9" ht="16.5" customHeight="1">
      <c r="A17" s="1561">
        <v>9</v>
      </c>
      <c r="B17" s="1572" t="s">
        <v>1574</v>
      </c>
      <c r="C17" s="2148">
        <v>7130810692</v>
      </c>
      <c r="D17" s="2144" t="s">
        <v>15</v>
      </c>
      <c r="E17" s="1561">
        <v>100</v>
      </c>
      <c r="F17" s="2145">
        <f>VLOOKUP(C17,'[25]SOR RATE'!A:D,4,0)</f>
        <v>410.25</v>
      </c>
      <c r="G17" s="2146">
        <f t="shared" si="0"/>
        <v>41025</v>
      </c>
    </row>
    <row r="18" spans="1:9" ht="16.5" customHeight="1">
      <c r="A18" s="1561">
        <v>10</v>
      </c>
      <c r="B18" s="1566" t="s">
        <v>2499</v>
      </c>
      <c r="C18" s="2143">
        <v>7130860076</v>
      </c>
      <c r="D18" s="1561" t="s">
        <v>1575</v>
      </c>
      <c r="E18" s="1561">
        <v>170</v>
      </c>
      <c r="F18" s="2145">
        <f>VLOOKUP(C18,'[25]SOR RATE'!A:D,4,0)/1000</f>
        <v>92.856940000000009</v>
      </c>
      <c r="G18" s="2146">
        <f t="shared" si="0"/>
        <v>15785.679800000002</v>
      </c>
    </row>
    <row r="19" spans="1:9" ht="41.25" customHeight="1">
      <c r="A19" s="2150">
        <v>11</v>
      </c>
      <c r="B19" s="2147" t="s">
        <v>2500</v>
      </c>
      <c r="C19" s="2143">
        <v>7130200202</v>
      </c>
      <c r="D19" s="1561" t="s">
        <v>1576</v>
      </c>
      <c r="E19" s="1561">
        <f>(0.65*20)+(0.3*14)</f>
        <v>17.2</v>
      </c>
      <c r="F19" s="2145">
        <f>VLOOKUP(C19,'[25]SOR RATE'!A:D,4,0)</f>
        <v>2970</v>
      </c>
      <c r="G19" s="2146">
        <f t="shared" si="0"/>
        <v>51084</v>
      </c>
      <c r="H19" s="2044" t="s">
        <v>47</v>
      </c>
    </row>
    <row r="20" spans="1:9" ht="15" customHeight="1">
      <c r="A20" s="2151">
        <v>12</v>
      </c>
      <c r="B20" s="2147" t="s">
        <v>28</v>
      </c>
      <c r="C20" s="2143">
        <v>7130211158</v>
      </c>
      <c r="D20" s="1561" t="s">
        <v>261</v>
      </c>
      <c r="E20" s="1561">
        <v>26</v>
      </c>
      <c r="F20" s="2145">
        <f>VLOOKUP(C20,'[25]SOR RATE'!A:D,4,0)</f>
        <v>193.62</v>
      </c>
      <c r="G20" s="2146">
        <f t="shared" si="0"/>
        <v>5034.12</v>
      </c>
    </row>
    <row r="21" spans="1:9" ht="15" customHeight="1">
      <c r="A21" s="2151">
        <v>13</v>
      </c>
      <c r="B21" s="2147" t="s">
        <v>30</v>
      </c>
      <c r="C21" s="2143">
        <v>7130210809</v>
      </c>
      <c r="D21" s="1561" t="s">
        <v>261</v>
      </c>
      <c r="E21" s="1561">
        <v>26</v>
      </c>
      <c r="F21" s="2145">
        <f>VLOOKUP(C21,'[25]SOR RATE'!A:D,4,0)</f>
        <v>432.63</v>
      </c>
      <c r="G21" s="2146">
        <f t="shared" si="0"/>
        <v>11248.38</v>
      </c>
    </row>
    <row r="22" spans="1:9" ht="15" customHeight="1">
      <c r="A22" s="2151">
        <v>14</v>
      </c>
      <c r="B22" s="1572" t="s">
        <v>1441</v>
      </c>
      <c r="C22" s="2148">
        <v>7130610206</v>
      </c>
      <c r="D22" s="1561" t="s">
        <v>1575</v>
      </c>
      <c r="E22" s="1561">
        <v>40</v>
      </c>
      <c r="F22" s="2145">
        <f>VLOOKUP(C22,'[25]SOR RATE'!A:D,4,0)/1000</f>
        <v>97.233429999999998</v>
      </c>
      <c r="G22" s="2146">
        <f>E22*F22</f>
        <v>3889.3371999999999</v>
      </c>
      <c r="H22" s="95"/>
      <c r="I22" s="806"/>
    </row>
    <row r="23" spans="1:9" ht="15" customHeight="1">
      <c r="A23" s="2151">
        <v>15</v>
      </c>
      <c r="B23" s="2147" t="s">
        <v>1525</v>
      </c>
      <c r="C23" s="2143">
        <v>7130880041</v>
      </c>
      <c r="D23" s="1561" t="s">
        <v>68</v>
      </c>
      <c r="E23" s="1561">
        <v>20</v>
      </c>
      <c r="F23" s="2145">
        <f>VLOOKUP(C23,'[25]SOR RATE'!A:D,4,0)</f>
        <v>113.77</v>
      </c>
      <c r="G23" s="2146">
        <f>E23*F23</f>
        <v>2275.4</v>
      </c>
    </row>
    <row r="24" spans="1:9" ht="16.5" customHeight="1">
      <c r="A24" s="1561">
        <v>16</v>
      </c>
      <c r="B24" s="1566" t="s">
        <v>2501</v>
      </c>
      <c r="C24" s="2143">
        <v>7130830006</v>
      </c>
      <c r="D24" s="1561" t="s">
        <v>1575</v>
      </c>
      <c r="E24" s="1561">
        <v>8</v>
      </c>
      <c r="F24" s="2145">
        <f>VLOOKUP(C24,'[25]SOR RATE'!A:D,4,0)</f>
        <v>201.5</v>
      </c>
      <c r="G24" s="2146">
        <f>E24*F24</f>
        <v>1612</v>
      </c>
    </row>
    <row r="25" spans="1:9" ht="15" customHeight="1">
      <c r="A25" s="3088">
        <v>17</v>
      </c>
      <c r="B25" s="2147" t="s">
        <v>1577</v>
      </c>
      <c r="C25" s="2143"/>
      <c r="D25" s="1561" t="s">
        <v>1575</v>
      </c>
      <c r="E25" s="1561">
        <f>SUM(E26:E32)</f>
        <v>123</v>
      </c>
      <c r="F25" s="2146"/>
      <c r="G25" s="2146"/>
    </row>
    <row r="26" spans="1:9" ht="15" customHeight="1">
      <c r="A26" s="3089"/>
      <c r="B26" s="2147" t="s">
        <v>79</v>
      </c>
      <c r="C26" s="2143">
        <v>7130620609</v>
      </c>
      <c r="D26" s="1561" t="s">
        <v>1575</v>
      </c>
      <c r="E26" s="1561">
        <v>2</v>
      </c>
      <c r="F26" s="2145">
        <f>VLOOKUP(C26,'[25]SOR RATE'!A:D,4,0)</f>
        <v>87.23</v>
      </c>
      <c r="G26" s="2146">
        <f>E26*F26</f>
        <v>174.46</v>
      </c>
    </row>
    <row r="27" spans="1:9" ht="15" customHeight="1">
      <c r="A27" s="3089"/>
      <c r="B27" s="2147" t="s">
        <v>1578</v>
      </c>
      <c r="C27" s="2143">
        <v>7130620614</v>
      </c>
      <c r="D27" s="1561" t="s">
        <v>1575</v>
      </c>
      <c r="E27" s="1561">
        <v>30</v>
      </c>
      <c r="F27" s="2145">
        <f>VLOOKUP(C27,'[25]SOR RATE'!A:D,4,0)</f>
        <v>85.77</v>
      </c>
      <c r="G27" s="2146">
        <f>E27*F27</f>
        <v>2573.1</v>
      </c>
    </row>
    <row r="28" spans="1:9" ht="15" customHeight="1">
      <c r="A28" s="3089"/>
      <c r="B28" s="2147" t="s">
        <v>1579</v>
      </c>
      <c r="C28" s="2143">
        <v>7130620619</v>
      </c>
      <c r="D28" s="1561" t="s">
        <v>1575</v>
      </c>
      <c r="E28" s="1561">
        <v>20</v>
      </c>
      <c r="F28" s="2145">
        <f>VLOOKUP(C28,'[25]SOR RATE'!A:D,4,0)</f>
        <v>85.77</v>
      </c>
      <c r="G28" s="2146">
        <f>E28*F28</f>
        <v>1715.3999999999999</v>
      </c>
    </row>
    <row r="29" spans="1:9" ht="15" customHeight="1">
      <c r="A29" s="3089"/>
      <c r="B29" s="2147" t="s">
        <v>1580</v>
      </c>
      <c r="C29" s="2143">
        <v>7130620625</v>
      </c>
      <c r="D29" s="1561" t="s">
        <v>1575</v>
      </c>
      <c r="E29" s="1561"/>
      <c r="F29" s="2145">
        <f>VLOOKUP(C29,'[25]SOR RATE'!A:D,4,0)</f>
        <v>84.32</v>
      </c>
      <c r="G29" s="2146"/>
    </row>
    <row r="30" spans="1:9" ht="15" customHeight="1">
      <c r="A30" s="3089"/>
      <c r="B30" s="2147" t="s">
        <v>1581</v>
      </c>
      <c r="C30" s="2143">
        <v>7130620627</v>
      </c>
      <c r="D30" s="1561" t="s">
        <v>1575</v>
      </c>
      <c r="E30" s="1561">
        <v>1</v>
      </c>
      <c r="F30" s="2145">
        <f>VLOOKUP(C30,'[25]SOR RATE'!A:D,4,0)</f>
        <v>84.32</v>
      </c>
      <c r="G30" s="2146">
        <f>E30*F30</f>
        <v>84.32</v>
      </c>
    </row>
    <row r="31" spans="1:9" ht="15" customHeight="1">
      <c r="A31" s="3089"/>
      <c r="B31" s="2147" t="s">
        <v>1582</v>
      </c>
      <c r="C31" s="2143">
        <v>7130620631</v>
      </c>
      <c r="D31" s="1561" t="s">
        <v>1575</v>
      </c>
      <c r="E31" s="1561"/>
      <c r="F31" s="2145">
        <f>VLOOKUP(C31,'[25]SOR RATE'!A:D,4,0)</f>
        <v>84.32</v>
      </c>
      <c r="G31" s="2146"/>
    </row>
    <row r="32" spans="1:9" ht="15" customHeight="1">
      <c r="A32" s="3090"/>
      <c r="B32" s="2147" t="s">
        <v>1583</v>
      </c>
      <c r="C32" s="2143">
        <v>7130620637</v>
      </c>
      <c r="D32" s="1561" t="s">
        <v>1575</v>
      </c>
      <c r="E32" s="1561">
        <v>70</v>
      </c>
      <c r="F32" s="2145">
        <f>VLOOKUP(C32,'[25]SOR RATE'!A:D,4,0)</f>
        <v>84.32</v>
      </c>
      <c r="G32" s="2146">
        <f>E32*F32</f>
        <v>5902.4</v>
      </c>
    </row>
    <row r="33" spans="1:12" ht="15" customHeight="1">
      <c r="A33" s="1561">
        <v>18</v>
      </c>
      <c r="B33" s="1566" t="s">
        <v>2502</v>
      </c>
      <c r="C33" s="2143">
        <v>7130600032</v>
      </c>
      <c r="D33" s="1561" t="s">
        <v>1575</v>
      </c>
      <c r="E33" s="1561">
        <v>435</v>
      </c>
      <c r="F33" s="2145">
        <f>VLOOKUP(C33,'[25]SOR RATE'!A:D,4,0)/1000</f>
        <v>54.512970000000003</v>
      </c>
      <c r="G33" s="2146">
        <f>E33*F33</f>
        <v>23713.141950000001</v>
      </c>
    </row>
    <row r="34" spans="1:12" ht="15" customHeight="1">
      <c r="A34" s="2151">
        <v>19</v>
      </c>
      <c r="B34" s="2147" t="s">
        <v>1584</v>
      </c>
      <c r="C34" s="2143">
        <v>7130810624</v>
      </c>
      <c r="D34" s="1561" t="s">
        <v>68</v>
      </c>
      <c r="E34" s="1561">
        <v>120</v>
      </c>
      <c r="F34" s="2145">
        <f>VLOOKUP(C34,'[25]SOR RATE'!A:D,4,0)</f>
        <v>114.38</v>
      </c>
      <c r="G34" s="2146">
        <f>E34*F34</f>
        <v>13725.599999999999</v>
      </c>
    </row>
    <row r="35" spans="1:12" ht="15" customHeight="1">
      <c r="A35" s="3091">
        <v>20</v>
      </c>
      <c r="B35" s="1547" t="s">
        <v>2503</v>
      </c>
      <c r="C35" s="2152"/>
      <c r="D35" s="2153"/>
      <c r="E35" s="2153"/>
      <c r="F35" s="2153"/>
      <c r="G35" s="2154"/>
    </row>
    <row r="36" spans="1:12" ht="15" customHeight="1">
      <c r="A36" s="3092"/>
      <c r="B36" s="2147" t="s">
        <v>2504</v>
      </c>
      <c r="C36" s="2143">
        <v>7130870045</v>
      </c>
      <c r="D36" s="1561" t="s">
        <v>1575</v>
      </c>
      <c r="E36" s="1561">
        <v>40</v>
      </c>
      <c r="F36" s="2145">
        <f>VLOOKUP(C36,'[25]SOR RATE'!A:D,4,0)/1000</f>
        <v>80.521839999999997</v>
      </c>
      <c r="G36" s="2146">
        <f>E36*F36</f>
        <v>3220.8735999999999</v>
      </c>
    </row>
    <row r="37" spans="1:12" ht="15" customHeight="1">
      <c r="A37" s="3092"/>
      <c r="B37" s="2147" t="s">
        <v>41</v>
      </c>
      <c r="C37" s="2143">
        <v>7130870043</v>
      </c>
      <c r="D37" s="1561" t="s">
        <v>1575</v>
      </c>
      <c r="E37" s="1561">
        <v>20</v>
      </c>
      <c r="F37" s="2145">
        <f>VLOOKUP(C37,'[25]SOR RATE'!A:D,4,0)/1000</f>
        <v>80.521839999999997</v>
      </c>
      <c r="G37" s="2146">
        <f>E37*F37</f>
        <v>1610.4367999999999</v>
      </c>
    </row>
    <row r="38" spans="1:12" ht="15" customHeight="1">
      <c r="A38" s="3092"/>
      <c r="B38" s="2147" t="s">
        <v>2505</v>
      </c>
      <c r="C38" s="2143">
        <v>7130897759</v>
      </c>
      <c r="D38" s="1561" t="s">
        <v>40</v>
      </c>
      <c r="E38" s="1561">
        <v>2</v>
      </c>
      <c r="F38" s="2145">
        <f>VLOOKUP(C38,'[25]SOR RATE'!A:D,4,0)</f>
        <v>4365.4399999999996</v>
      </c>
      <c r="G38" s="2146">
        <f t="shared" ref="G38:G43" si="1">E38*F38</f>
        <v>8730.8799999999992</v>
      </c>
    </row>
    <row r="39" spans="1:12" ht="15" customHeight="1">
      <c r="A39" s="3092"/>
      <c r="B39" s="2147" t="s">
        <v>2506</v>
      </c>
      <c r="C39" s="2143">
        <v>7130620637</v>
      </c>
      <c r="D39" s="1561" t="s">
        <v>1575</v>
      </c>
      <c r="E39" s="1561">
        <v>5</v>
      </c>
      <c r="F39" s="2145">
        <f>VLOOKUP(C39,'[25]SOR RATE'!A:D,4,0)</f>
        <v>84.32</v>
      </c>
      <c r="G39" s="2146">
        <f>E39*F39</f>
        <v>421.59999999999997</v>
      </c>
    </row>
    <row r="40" spans="1:12" ht="15" customHeight="1">
      <c r="A40" s="3092"/>
      <c r="B40" s="2147" t="s">
        <v>1548</v>
      </c>
      <c r="C40" s="1973">
        <v>7130620013</v>
      </c>
      <c r="D40" s="1561" t="s">
        <v>12</v>
      </c>
      <c r="E40" s="1561">
        <v>4</v>
      </c>
      <c r="F40" s="2145">
        <f>VLOOKUP(C40,'[25]SOR RATE'!A:D,4,0)</f>
        <v>156.05000000000001</v>
      </c>
      <c r="G40" s="2146">
        <f t="shared" si="1"/>
        <v>624.20000000000005</v>
      </c>
    </row>
    <row r="41" spans="1:12" ht="15" customHeight="1">
      <c r="A41" s="3092"/>
      <c r="B41" s="2147" t="s">
        <v>1549</v>
      </c>
      <c r="C41" s="1561">
        <v>7130860033</v>
      </c>
      <c r="D41" s="1561" t="s">
        <v>12</v>
      </c>
      <c r="E41" s="1561">
        <v>2</v>
      </c>
      <c r="F41" s="2145">
        <f>VLOOKUP(C41,'[25]SOR RATE'!A:D,4,0)</f>
        <v>1031.6600000000001</v>
      </c>
      <c r="G41" s="2146">
        <f t="shared" si="1"/>
        <v>2063.3200000000002</v>
      </c>
    </row>
    <row r="42" spans="1:12" ht="15" customHeight="1">
      <c r="A42" s="3092"/>
      <c r="B42" s="2147" t="s">
        <v>2507</v>
      </c>
      <c r="C42" s="2143">
        <v>7130860076</v>
      </c>
      <c r="D42" s="1561" t="s">
        <v>1575</v>
      </c>
      <c r="E42" s="1561">
        <v>17</v>
      </c>
      <c r="F42" s="2145">
        <f>VLOOKUP(C42,'[25]SOR RATE'!A:D,4,0)/1000</f>
        <v>92.856940000000009</v>
      </c>
      <c r="G42" s="2146">
        <f t="shared" si="1"/>
        <v>1578.5679800000003</v>
      </c>
    </row>
    <row r="43" spans="1:12" ht="15" customHeight="1">
      <c r="A43" s="3092"/>
      <c r="B43" s="2147" t="s">
        <v>2508</v>
      </c>
      <c r="C43" s="2148">
        <v>7130810692</v>
      </c>
      <c r="D43" s="2144" t="s">
        <v>15</v>
      </c>
      <c r="E43" s="1561">
        <v>2</v>
      </c>
      <c r="F43" s="2145">
        <f>VLOOKUP(C43,'[25]SOR RATE'!A:D,4,0)</f>
        <v>410.25</v>
      </c>
      <c r="G43" s="2146">
        <f t="shared" si="1"/>
        <v>820.5</v>
      </c>
    </row>
    <row r="44" spans="1:12" ht="15" customHeight="1">
      <c r="A44" s="3093"/>
      <c r="B44" s="2147" t="s">
        <v>2509</v>
      </c>
      <c r="C44" s="2143">
        <v>7130620619</v>
      </c>
      <c r="D44" s="1561" t="s">
        <v>1575</v>
      </c>
      <c r="E44" s="1561">
        <v>1</v>
      </c>
      <c r="F44" s="2145">
        <f>VLOOKUP(C44,'[25]SOR RATE'!A:D,4,0)</f>
        <v>85.77</v>
      </c>
      <c r="G44" s="2146">
        <f>E44*F44</f>
        <v>85.77</v>
      </c>
    </row>
    <row r="45" spans="1:12" ht="15" customHeight="1">
      <c r="A45" s="1932">
        <v>21</v>
      </c>
      <c r="B45" s="1568" t="s">
        <v>48</v>
      </c>
      <c r="C45" s="2143"/>
      <c r="D45" s="1561"/>
      <c r="E45" s="1561"/>
      <c r="F45" s="2146"/>
      <c r="G45" s="2155">
        <f>SUM(G9:G44)</f>
        <v>1825691.69325</v>
      </c>
      <c r="K45" s="2162"/>
    </row>
    <row r="46" spans="1:12" ht="15" customHeight="1">
      <c r="A46" s="2156">
        <v>22</v>
      </c>
      <c r="B46" s="1568" t="s">
        <v>49</v>
      </c>
      <c r="C46" s="2143"/>
      <c r="D46" s="1561"/>
      <c r="E46" s="1561"/>
      <c r="F46" s="2146"/>
      <c r="G46" s="2155">
        <f>G45/1.18</f>
        <v>1547196.3502118646</v>
      </c>
      <c r="H46" s="87"/>
    </row>
    <row r="47" spans="1:12" ht="15" customHeight="1">
      <c r="A47" s="2150">
        <v>23</v>
      </c>
      <c r="B47" s="1572" t="s">
        <v>50</v>
      </c>
      <c r="C47" s="2157"/>
      <c r="D47" s="2157"/>
      <c r="E47" s="2157"/>
      <c r="F47" s="2158">
        <v>7.4999999999999997E-2</v>
      </c>
      <c r="G47" s="2146">
        <f>G45*F47</f>
        <v>136926.87699374999</v>
      </c>
      <c r="H47" s="89"/>
    </row>
    <row r="48" spans="1:12" ht="16.5" customHeight="1">
      <c r="A48" s="1561">
        <v>24</v>
      </c>
      <c r="B48" s="1948" t="s">
        <v>82</v>
      </c>
      <c r="C48" s="2143"/>
      <c r="D48" s="1561" t="s">
        <v>76</v>
      </c>
      <c r="E48" s="1561">
        <v>17.2</v>
      </c>
      <c r="F48" s="1522">
        <f>665.173187113158*1.043</f>
        <v>693.77563415902364</v>
      </c>
      <c r="G48" s="2146">
        <f>E48*F48</f>
        <v>11932.940907535207</v>
      </c>
      <c r="H48" s="91"/>
      <c r="I48" s="598"/>
      <c r="J48" s="1084"/>
      <c r="K48" s="633"/>
      <c r="L48" s="803"/>
    </row>
    <row r="49" spans="1:12" ht="15" customHeight="1">
      <c r="A49" s="1561">
        <v>25</v>
      </c>
      <c r="B49" s="2149" t="s">
        <v>2510</v>
      </c>
      <c r="C49" s="2143"/>
      <c r="D49" s="1561" t="s">
        <v>147</v>
      </c>
      <c r="E49" s="1561">
        <v>1</v>
      </c>
      <c r="F49" s="2146"/>
      <c r="G49" s="2146">
        <v>163439.16</v>
      </c>
      <c r="J49" s="605"/>
      <c r="K49" s="633"/>
      <c r="L49" s="2161"/>
    </row>
    <row r="50" spans="1:12" ht="16.5" customHeight="1">
      <c r="A50" s="1561">
        <v>26</v>
      </c>
      <c r="B50" s="1558" t="s">
        <v>2511</v>
      </c>
      <c r="C50" s="2143"/>
      <c r="D50" s="1561"/>
      <c r="E50" s="1561"/>
      <c r="F50" s="2146"/>
      <c r="G50" s="1571">
        <f>G46*0.04</f>
        <v>61887.854008474584</v>
      </c>
      <c r="H50" s="2045" t="s">
        <v>1827</v>
      </c>
      <c r="J50" s="82"/>
      <c r="K50" s="633"/>
      <c r="L50" s="804"/>
    </row>
    <row r="51" spans="1:12" ht="29.25" customHeight="1">
      <c r="A51" s="1561">
        <v>27</v>
      </c>
      <c r="B51" s="1572" t="s">
        <v>2512</v>
      </c>
      <c r="C51" s="2143"/>
      <c r="D51" s="1561"/>
      <c r="E51" s="1561"/>
      <c r="F51" s="2146"/>
      <c r="G51" s="1571">
        <f>(G45+G47+G48+G49+G50)*0.125</f>
        <v>274984.81564496993</v>
      </c>
      <c r="H51" s="1973"/>
      <c r="J51" s="633"/>
    </row>
    <row r="52" spans="1:12" ht="25.5">
      <c r="A52" s="1932">
        <v>28</v>
      </c>
      <c r="B52" s="1574" t="s">
        <v>2513</v>
      </c>
      <c r="C52" s="2143"/>
      <c r="D52" s="1561"/>
      <c r="E52" s="1561"/>
      <c r="F52" s="2146"/>
      <c r="G52" s="2155">
        <f>G46+G47+G48+G49+G50+G51</f>
        <v>2196367.9977665944</v>
      </c>
    </row>
    <row r="53" spans="1:12" ht="15" customHeight="1">
      <c r="A53" s="1559">
        <v>29</v>
      </c>
      <c r="B53" s="1572" t="s">
        <v>1460</v>
      </c>
      <c r="C53" s="2143"/>
      <c r="D53" s="1561"/>
      <c r="E53" s="1561"/>
      <c r="F53" s="2146">
        <v>0.09</v>
      </c>
      <c r="G53" s="1522">
        <f>G52*F53</f>
        <v>197673.11979899349</v>
      </c>
    </row>
    <row r="54" spans="1:12" ht="15" customHeight="1">
      <c r="A54" s="1561">
        <v>30</v>
      </c>
      <c r="B54" s="1572" t="s">
        <v>1461</v>
      </c>
      <c r="C54" s="2143"/>
      <c r="D54" s="1561"/>
      <c r="E54" s="1561"/>
      <c r="F54" s="2146">
        <v>0.09</v>
      </c>
      <c r="G54" s="2146">
        <f>G52*F54</f>
        <v>197673.11979899349</v>
      </c>
      <c r="H54" s="95"/>
      <c r="I54" s="806"/>
    </row>
    <row r="55" spans="1:12" ht="14.25" customHeight="1">
      <c r="A55" s="1561">
        <v>31</v>
      </c>
      <c r="B55" s="1572" t="s">
        <v>1462</v>
      </c>
      <c r="C55" s="2143"/>
      <c r="D55" s="1566"/>
      <c r="E55" s="1561"/>
      <c r="F55" s="2146"/>
      <c r="G55" s="2146">
        <f>G52+G53+G54</f>
        <v>2591714.2373645818</v>
      </c>
    </row>
    <row r="56" spans="1:12" ht="16.5" customHeight="1">
      <c r="A56" s="1932">
        <v>32</v>
      </c>
      <c r="B56" s="1574" t="s">
        <v>59</v>
      </c>
      <c r="C56" s="2159"/>
      <c r="D56" s="2160"/>
      <c r="E56" s="1932"/>
      <c r="F56" s="2155"/>
      <c r="G56" s="2155">
        <f>ROUND(G55,0)</f>
        <v>2591714</v>
      </c>
    </row>
    <row r="59" spans="1:12" ht="15">
      <c r="G59" s="2072"/>
    </row>
  </sheetData>
  <mergeCells count="10">
    <mergeCell ref="A25:A32"/>
    <mergeCell ref="A35:A44"/>
    <mergeCell ref="B1:D1"/>
    <mergeCell ref="B3:G3"/>
    <mergeCell ref="F5:G5"/>
    <mergeCell ref="A6:A7"/>
    <mergeCell ref="B6:B7"/>
    <mergeCell ref="C6:C7"/>
    <mergeCell ref="D6:D7"/>
    <mergeCell ref="E6:G6"/>
  </mergeCells>
  <conditionalFormatting sqref="B45">
    <cfRule type="cellIs" dxfId="140" priority="2" stopIfTrue="1" operator="equal">
      <formula>"?"</formula>
    </cfRule>
  </conditionalFormatting>
  <conditionalFormatting sqref="B46">
    <cfRule type="cellIs" dxfId="139" priority="1" stopIfTrue="1" operator="equal">
      <formula>"?"</formula>
    </cfRule>
  </conditionalFormatting>
  <printOptions horizontalCentered="1"/>
  <pageMargins left="0.7" right="0.196850393700787" top="0.62992125984252001" bottom="0.33" header="0.511811023622047" footer="0.16"/>
  <pageSetup paperSize="9" scale="135" orientation="landscape"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abSelected="1" workbookViewId="0">
      <pane xSplit="2" ySplit="9" topLeftCell="C24" activePane="bottomRight" state="frozen"/>
      <selection pane="topRight" activeCell="C1" sqref="C1"/>
      <selection pane="bottomLeft" activeCell="A10" sqref="A10"/>
      <selection pane="bottomRight" activeCell="J29" sqref="J29"/>
    </sheetView>
  </sheetViews>
  <sheetFormatPr defaultRowHeight="12.75"/>
  <cols>
    <col min="1" max="1" width="4.42578125" style="137" customWidth="1"/>
    <col min="2" max="2" width="57.140625" style="70" customWidth="1"/>
    <col min="3" max="3" width="13.42578125" style="70" customWidth="1"/>
    <col min="4" max="4" width="5.140625" style="70" bestFit="1" customWidth="1"/>
    <col min="5" max="5" width="5" style="70" bestFit="1" customWidth="1"/>
    <col min="6" max="6" width="7.28515625" style="70" bestFit="1" customWidth="1"/>
    <col min="7" max="7" width="9.7109375" style="70" customWidth="1"/>
    <col min="8" max="8" width="8.85546875" style="70" customWidth="1"/>
    <col min="9" max="9" width="11.5703125" style="70" customWidth="1"/>
    <col min="10" max="10" width="23.85546875" style="70" customWidth="1"/>
    <col min="11" max="11" width="13" style="70" customWidth="1"/>
    <col min="12" max="256" width="9.140625" style="70"/>
    <col min="257" max="257" width="4.42578125" style="70" customWidth="1"/>
    <col min="258" max="258" width="45.5703125" style="70" customWidth="1"/>
    <col min="259" max="259" width="13.42578125" style="70" customWidth="1"/>
    <col min="260" max="260" width="5.140625" style="70" bestFit="1" customWidth="1"/>
    <col min="261" max="261" width="5" style="70" bestFit="1" customWidth="1"/>
    <col min="262" max="262" width="7.28515625" style="70" bestFit="1" customWidth="1"/>
    <col min="263" max="263" width="9.7109375" style="70" customWidth="1"/>
    <col min="264" max="264" width="8.85546875" style="70" customWidth="1"/>
    <col min="265" max="265" width="11.5703125" style="70" customWidth="1"/>
    <col min="266" max="266" width="23.85546875" style="70" customWidth="1"/>
    <col min="267" max="267" width="13" style="70" customWidth="1"/>
    <col min="268" max="512" width="9.140625" style="70"/>
    <col min="513" max="513" width="4.42578125" style="70" customWidth="1"/>
    <col min="514" max="514" width="45.5703125" style="70" customWidth="1"/>
    <col min="515" max="515" width="13.42578125" style="70" customWidth="1"/>
    <col min="516" max="516" width="5.140625" style="70" bestFit="1" customWidth="1"/>
    <col min="517" max="517" width="5" style="70" bestFit="1" customWidth="1"/>
    <col min="518" max="518" width="7.28515625" style="70" bestFit="1" customWidth="1"/>
    <col min="519" max="519" width="9.7109375" style="70" customWidth="1"/>
    <col min="520" max="520" width="8.85546875" style="70" customWidth="1"/>
    <col min="521" max="521" width="11.5703125" style="70" customWidth="1"/>
    <col min="522" max="522" width="23.85546875" style="70" customWidth="1"/>
    <col min="523" max="523" width="13" style="70" customWidth="1"/>
    <col min="524" max="768" width="9.140625" style="70"/>
    <col min="769" max="769" width="4.42578125" style="70" customWidth="1"/>
    <col min="770" max="770" width="45.5703125" style="70" customWidth="1"/>
    <col min="771" max="771" width="13.42578125" style="70" customWidth="1"/>
    <col min="772" max="772" width="5.140625" style="70" bestFit="1" customWidth="1"/>
    <col min="773" max="773" width="5" style="70" bestFit="1" customWidth="1"/>
    <col min="774" max="774" width="7.28515625" style="70" bestFit="1" customWidth="1"/>
    <col min="775" max="775" width="9.7109375" style="70" customWidth="1"/>
    <col min="776" max="776" width="8.85546875" style="70" customWidth="1"/>
    <col min="777" max="777" width="11.5703125" style="70" customWidth="1"/>
    <col min="778" max="778" width="23.85546875" style="70" customWidth="1"/>
    <col min="779" max="779" width="13" style="70" customWidth="1"/>
    <col min="780" max="1024" width="9.140625" style="70"/>
    <col min="1025" max="1025" width="4.42578125" style="70" customWidth="1"/>
    <col min="1026" max="1026" width="45.5703125" style="70" customWidth="1"/>
    <col min="1027" max="1027" width="13.42578125" style="70" customWidth="1"/>
    <col min="1028" max="1028" width="5.140625" style="70" bestFit="1" customWidth="1"/>
    <col min="1029" max="1029" width="5" style="70" bestFit="1" customWidth="1"/>
    <col min="1030" max="1030" width="7.28515625" style="70" bestFit="1" customWidth="1"/>
    <col min="1031" max="1031" width="9.7109375" style="70" customWidth="1"/>
    <col min="1032" max="1032" width="8.85546875" style="70" customWidth="1"/>
    <col min="1033" max="1033" width="11.5703125" style="70" customWidth="1"/>
    <col min="1034" max="1034" width="23.85546875" style="70" customWidth="1"/>
    <col min="1035" max="1035" width="13" style="70" customWidth="1"/>
    <col min="1036" max="1280" width="9.140625" style="70"/>
    <col min="1281" max="1281" width="4.42578125" style="70" customWidth="1"/>
    <col min="1282" max="1282" width="45.5703125" style="70" customWidth="1"/>
    <col min="1283" max="1283" width="13.42578125" style="70" customWidth="1"/>
    <col min="1284" max="1284" width="5.140625" style="70" bestFit="1" customWidth="1"/>
    <col min="1285" max="1285" width="5" style="70" bestFit="1" customWidth="1"/>
    <col min="1286" max="1286" width="7.28515625" style="70" bestFit="1" customWidth="1"/>
    <col min="1287" max="1287" width="9.7109375" style="70" customWidth="1"/>
    <col min="1288" max="1288" width="8.85546875" style="70" customWidth="1"/>
    <col min="1289" max="1289" width="11.5703125" style="70" customWidth="1"/>
    <col min="1290" max="1290" width="23.85546875" style="70" customWidth="1"/>
    <col min="1291" max="1291" width="13" style="70" customWidth="1"/>
    <col min="1292" max="1536" width="9.140625" style="70"/>
    <col min="1537" max="1537" width="4.42578125" style="70" customWidth="1"/>
    <col min="1538" max="1538" width="45.5703125" style="70" customWidth="1"/>
    <col min="1539" max="1539" width="13.42578125" style="70" customWidth="1"/>
    <col min="1540" max="1540" width="5.140625" style="70" bestFit="1" customWidth="1"/>
    <col min="1541" max="1541" width="5" style="70" bestFit="1" customWidth="1"/>
    <col min="1542" max="1542" width="7.28515625" style="70" bestFit="1" customWidth="1"/>
    <col min="1543" max="1543" width="9.7109375" style="70" customWidth="1"/>
    <col min="1544" max="1544" width="8.85546875" style="70" customWidth="1"/>
    <col min="1545" max="1545" width="11.5703125" style="70" customWidth="1"/>
    <col min="1546" max="1546" width="23.85546875" style="70" customWidth="1"/>
    <col min="1547" max="1547" width="13" style="70" customWidth="1"/>
    <col min="1548" max="1792" width="9.140625" style="70"/>
    <col min="1793" max="1793" width="4.42578125" style="70" customWidth="1"/>
    <col min="1794" max="1794" width="45.5703125" style="70" customWidth="1"/>
    <col min="1795" max="1795" width="13.42578125" style="70" customWidth="1"/>
    <col min="1796" max="1796" width="5.140625" style="70" bestFit="1" customWidth="1"/>
    <col min="1797" max="1797" width="5" style="70" bestFit="1" customWidth="1"/>
    <col min="1798" max="1798" width="7.28515625" style="70" bestFit="1" customWidth="1"/>
    <col min="1799" max="1799" width="9.7109375" style="70" customWidth="1"/>
    <col min="1800" max="1800" width="8.85546875" style="70" customWidth="1"/>
    <col min="1801" max="1801" width="11.5703125" style="70" customWidth="1"/>
    <col min="1802" max="1802" width="23.85546875" style="70" customWidth="1"/>
    <col min="1803" max="1803" width="13" style="70" customWidth="1"/>
    <col min="1804" max="2048" width="9.140625" style="70"/>
    <col min="2049" max="2049" width="4.42578125" style="70" customWidth="1"/>
    <col min="2050" max="2050" width="45.5703125" style="70" customWidth="1"/>
    <col min="2051" max="2051" width="13.42578125" style="70" customWidth="1"/>
    <col min="2052" max="2052" width="5.140625" style="70" bestFit="1" customWidth="1"/>
    <col min="2053" max="2053" width="5" style="70" bestFit="1" customWidth="1"/>
    <col min="2054" max="2054" width="7.28515625" style="70" bestFit="1" customWidth="1"/>
    <col min="2055" max="2055" width="9.7109375" style="70" customWidth="1"/>
    <col min="2056" max="2056" width="8.85546875" style="70" customWidth="1"/>
    <col min="2057" max="2057" width="11.5703125" style="70" customWidth="1"/>
    <col min="2058" max="2058" width="23.85546875" style="70" customWidth="1"/>
    <col min="2059" max="2059" width="13" style="70" customWidth="1"/>
    <col min="2060" max="2304" width="9.140625" style="70"/>
    <col min="2305" max="2305" width="4.42578125" style="70" customWidth="1"/>
    <col min="2306" max="2306" width="45.5703125" style="70" customWidth="1"/>
    <col min="2307" max="2307" width="13.42578125" style="70" customWidth="1"/>
    <col min="2308" max="2308" width="5.140625" style="70" bestFit="1" customWidth="1"/>
    <col min="2309" max="2309" width="5" style="70" bestFit="1" customWidth="1"/>
    <col min="2310" max="2310" width="7.28515625" style="70" bestFit="1" customWidth="1"/>
    <col min="2311" max="2311" width="9.7109375" style="70" customWidth="1"/>
    <col min="2312" max="2312" width="8.85546875" style="70" customWidth="1"/>
    <col min="2313" max="2313" width="11.5703125" style="70" customWidth="1"/>
    <col min="2314" max="2314" width="23.85546875" style="70" customWidth="1"/>
    <col min="2315" max="2315" width="13" style="70" customWidth="1"/>
    <col min="2316" max="2560" width="9.140625" style="70"/>
    <col min="2561" max="2561" width="4.42578125" style="70" customWidth="1"/>
    <col min="2562" max="2562" width="45.5703125" style="70" customWidth="1"/>
    <col min="2563" max="2563" width="13.42578125" style="70" customWidth="1"/>
    <col min="2564" max="2564" width="5.140625" style="70" bestFit="1" customWidth="1"/>
    <col min="2565" max="2565" width="5" style="70" bestFit="1" customWidth="1"/>
    <col min="2566" max="2566" width="7.28515625" style="70" bestFit="1" customWidth="1"/>
    <col min="2567" max="2567" width="9.7109375" style="70" customWidth="1"/>
    <col min="2568" max="2568" width="8.85546875" style="70" customWidth="1"/>
    <col min="2569" max="2569" width="11.5703125" style="70" customWidth="1"/>
    <col min="2570" max="2570" width="23.85546875" style="70" customWidth="1"/>
    <col min="2571" max="2571" width="13" style="70" customWidth="1"/>
    <col min="2572" max="2816" width="9.140625" style="70"/>
    <col min="2817" max="2817" width="4.42578125" style="70" customWidth="1"/>
    <col min="2818" max="2818" width="45.5703125" style="70" customWidth="1"/>
    <col min="2819" max="2819" width="13.42578125" style="70" customWidth="1"/>
    <col min="2820" max="2820" width="5.140625" style="70" bestFit="1" customWidth="1"/>
    <col min="2821" max="2821" width="5" style="70" bestFit="1" customWidth="1"/>
    <col min="2822" max="2822" width="7.28515625" style="70" bestFit="1" customWidth="1"/>
    <col min="2823" max="2823" width="9.7109375" style="70" customWidth="1"/>
    <col min="2824" max="2824" width="8.85546875" style="70" customWidth="1"/>
    <col min="2825" max="2825" width="11.5703125" style="70" customWidth="1"/>
    <col min="2826" max="2826" width="23.85546875" style="70" customWidth="1"/>
    <col min="2827" max="2827" width="13" style="70" customWidth="1"/>
    <col min="2828" max="3072" width="9.140625" style="70"/>
    <col min="3073" max="3073" width="4.42578125" style="70" customWidth="1"/>
    <col min="3074" max="3074" width="45.5703125" style="70" customWidth="1"/>
    <col min="3075" max="3075" width="13.42578125" style="70" customWidth="1"/>
    <col min="3076" max="3076" width="5.140625" style="70" bestFit="1" customWidth="1"/>
    <col min="3077" max="3077" width="5" style="70" bestFit="1" customWidth="1"/>
    <col min="3078" max="3078" width="7.28515625" style="70" bestFit="1" customWidth="1"/>
    <col min="3079" max="3079" width="9.7109375" style="70" customWidth="1"/>
    <col min="3080" max="3080" width="8.85546875" style="70" customWidth="1"/>
    <col min="3081" max="3081" width="11.5703125" style="70" customWidth="1"/>
    <col min="3082" max="3082" width="23.85546875" style="70" customWidth="1"/>
    <col min="3083" max="3083" width="13" style="70" customWidth="1"/>
    <col min="3084" max="3328" width="9.140625" style="70"/>
    <col min="3329" max="3329" width="4.42578125" style="70" customWidth="1"/>
    <col min="3330" max="3330" width="45.5703125" style="70" customWidth="1"/>
    <col min="3331" max="3331" width="13.42578125" style="70" customWidth="1"/>
    <col min="3332" max="3332" width="5.140625" style="70" bestFit="1" customWidth="1"/>
    <col min="3333" max="3333" width="5" style="70" bestFit="1" customWidth="1"/>
    <col min="3334" max="3334" width="7.28515625" style="70" bestFit="1" customWidth="1"/>
    <col min="3335" max="3335" width="9.7109375" style="70" customWidth="1"/>
    <col min="3336" max="3336" width="8.85546875" style="70" customWidth="1"/>
    <col min="3337" max="3337" width="11.5703125" style="70" customWidth="1"/>
    <col min="3338" max="3338" width="23.85546875" style="70" customWidth="1"/>
    <col min="3339" max="3339" width="13" style="70" customWidth="1"/>
    <col min="3340" max="3584" width="9.140625" style="70"/>
    <col min="3585" max="3585" width="4.42578125" style="70" customWidth="1"/>
    <col min="3586" max="3586" width="45.5703125" style="70" customWidth="1"/>
    <col min="3587" max="3587" width="13.42578125" style="70" customWidth="1"/>
    <col min="3588" max="3588" width="5.140625" style="70" bestFit="1" customWidth="1"/>
    <col min="3589" max="3589" width="5" style="70" bestFit="1" customWidth="1"/>
    <col min="3590" max="3590" width="7.28515625" style="70" bestFit="1" customWidth="1"/>
    <col min="3591" max="3591" width="9.7109375" style="70" customWidth="1"/>
    <col min="3592" max="3592" width="8.85546875" style="70" customWidth="1"/>
    <col min="3593" max="3593" width="11.5703125" style="70" customWidth="1"/>
    <col min="3594" max="3594" width="23.85546875" style="70" customWidth="1"/>
    <col min="3595" max="3595" width="13" style="70" customWidth="1"/>
    <col min="3596" max="3840" width="9.140625" style="70"/>
    <col min="3841" max="3841" width="4.42578125" style="70" customWidth="1"/>
    <col min="3842" max="3842" width="45.5703125" style="70" customWidth="1"/>
    <col min="3843" max="3843" width="13.42578125" style="70" customWidth="1"/>
    <col min="3844" max="3844" width="5.140625" style="70" bestFit="1" customWidth="1"/>
    <col min="3845" max="3845" width="5" style="70" bestFit="1" customWidth="1"/>
    <col min="3846" max="3846" width="7.28515625" style="70" bestFit="1" customWidth="1"/>
    <col min="3847" max="3847" width="9.7109375" style="70" customWidth="1"/>
    <col min="3848" max="3848" width="8.85546875" style="70" customWidth="1"/>
    <col min="3849" max="3849" width="11.5703125" style="70" customWidth="1"/>
    <col min="3850" max="3850" width="23.85546875" style="70" customWidth="1"/>
    <col min="3851" max="3851" width="13" style="70" customWidth="1"/>
    <col min="3852" max="4096" width="9.140625" style="70"/>
    <col min="4097" max="4097" width="4.42578125" style="70" customWidth="1"/>
    <col min="4098" max="4098" width="45.5703125" style="70" customWidth="1"/>
    <col min="4099" max="4099" width="13.42578125" style="70" customWidth="1"/>
    <col min="4100" max="4100" width="5.140625" style="70" bestFit="1" customWidth="1"/>
    <col min="4101" max="4101" width="5" style="70" bestFit="1" customWidth="1"/>
    <col min="4102" max="4102" width="7.28515625" style="70" bestFit="1" customWidth="1"/>
    <col min="4103" max="4103" width="9.7109375" style="70" customWidth="1"/>
    <col min="4104" max="4104" width="8.85546875" style="70" customWidth="1"/>
    <col min="4105" max="4105" width="11.5703125" style="70" customWidth="1"/>
    <col min="4106" max="4106" width="23.85546875" style="70" customWidth="1"/>
    <col min="4107" max="4107" width="13" style="70" customWidth="1"/>
    <col min="4108" max="4352" width="9.140625" style="70"/>
    <col min="4353" max="4353" width="4.42578125" style="70" customWidth="1"/>
    <col min="4354" max="4354" width="45.5703125" style="70" customWidth="1"/>
    <col min="4355" max="4355" width="13.42578125" style="70" customWidth="1"/>
    <col min="4356" max="4356" width="5.140625" style="70" bestFit="1" customWidth="1"/>
    <col min="4357" max="4357" width="5" style="70" bestFit="1" customWidth="1"/>
    <col min="4358" max="4358" width="7.28515625" style="70" bestFit="1" customWidth="1"/>
    <col min="4359" max="4359" width="9.7109375" style="70" customWidth="1"/>
    <col min="4360" max="4360" width="8.85546875" style="70" customWidth="1"/>
    <col min="4361" max="4361" width="11.5703125" style="70" customWidth="1"/>
    <col min="4362" max="4362" width="23.85546875" style="70" customWidth="1"/>
    <col min="4363" max="4363" width="13" style="70" customWidth="1"/>
    <col min="4364" max="4608" width="9.140625" style="70"/>
    <col min="4609" max="4609" width="4.42578125" style="70" customWidth="1"/>
    <col min="4610" max="4610" width="45.5703125" style="70" customWidth="1"/>
    <col min="4611" max="4611" width="13.42578125" style="70" customWidth="1"/>
    <col min="4612" max="4612" width="5.140625" style="70" bestFit="1" customWidth="1"/>
    <col min="4613" max="4613" width="5" style="70" bestFit="1" customWidth="1"/>
    <col min="4614" max="4614" width="7.28515625" style="70" bestFit="1" customWidth="1"/>
    <col min="4615" max="4615" width="9.7109375" style="70" customWidth="1"/>
    <col min="4616" max="4616" width="8.85546875" style="70" customWidth="1"/>
    <col min="4617" max="4617" width="11.5703125" style="70" customWidth="1"/>
    <col min="4618" max="4618" width="23.85546875" style="70" customWidth="1"/>
    <col min="4619" max="4619" width="13" style="70" customWidth="1"/>
    <col min="4620" max="4864" width="9.140625" style="70"/>
    <col min="4865" max="4865" width="4.42578125" style="70" customWidth="1"/>
    <col min="4866" max="4866" width="45.5703125" style="70" customWidth="1"/>
    <col min="4867" max="4867" width="13.42578125" style="70" customWidth="1"/>
    <col min="4868" max="4868" width="5.140625" style="70" bestFit="1" customWidth="1"/>
    <col min="4869" max="4869" width="5" style="70" bestFit="1" customWidth="1"/>
    <col min="4870" max="4870" width="7.28515625" style="70" bestFit="1" customWidth="1"/>
    <col min="4871" max="4871" width="9.7109375" style="70" customWidth="1"/>
    <col min="4872" max="4872" width="8.85546875" style="70" customWidth="1"/>
    <col min="4873" max="4873" width="11.5703125" style="70" customWidth="1"/>
    <col min="4874" max="4874" width="23.85546875" style="70" customWidth="1"/>
    <col min="4875" max="4875" width="13" style="70" customWidth="1"/>
    <col min="4876" max="5120" width="9.140625" style="70"/>
    <col min="5121" max="5121" width="4.42578125" style="70" customWidth="1"/>
    <col min="5122" max="5122" width="45.5703125" style="70" customWidth="1"/>
    <col min="5123" max="5123" width="13.42578125" style="70" customWidth="1"/>
    <col min="5124" max="5124" width="5.140625" style="70" bestFit="1" customWidth="1"/>
    <col min="5125" max="5125" width="5" style="70" bestFit="1" customWidth="1"/>
    <col min="5126" max="5126" width="7.28515625" style="70" bestFit="1" customWidth="1"/>
    <col min="5127" max="5127" width="9.7109375" style="70" customWidth="1"/>
    <col min="5128" max="5128" width="8.85546875" style="70" customWidth="1"/>
    <col min="5129" max="5129" width="11.5703125" style="70" customWidth="1"/>
    <col min="5130" max="5130" width="23.85546875" style="70" customWidth="1"/>
    <col min="5131" max="5131" width="13" style="70" customWidth="1"/>
    <col min="5132" max="5376" width="9.140625" style="70"/>
    <col min="5377" max="5377" width="4.42578125" style="70" customWidth="1"/>
    <col min="5378" max="5378" width="45.5703125" style="70" customWidth="1"/>
    <col min="5379" max="5379" width="13.42578125" style="70" customWidth="1"/>
    <col min="5380" max="5380" width="5.140625" style="70" bestFit="1" customWidth="1"/>
    <col min="5381" max="5381" width="5" style="70" bestFit="1" customWidth="1"/>
    <col min="5382" max="5382" width="7.28515625" style="70" bestFit="1" customWidth="1"/>
    <col min="5383" max="5383" width="9.7109375" style="70" customWidth="1"/>
    <col min="5384" max="5384" width="8.85546875" style="70" customWidth="1"/>
    <col min="5385" max="5385" width="11.5703125" style="70" customWidth="1"/>
    <col min="5386" max="5386" width="23.85546875" style="70" customWidth="1"/>
    <col min="5387" max="5387" width="13" style="70" customWidth="1"/>
    <col min="5388" max="5632" width="9.140625" style="70"/>
    <col min="5633" max="5633" width="4.42578125" style="70" customWidth="1"/>
    <col min="5634" max="5634" width="45.5703125" style="70" customWidth="1"/>
    <col min="5635" max="5635" width="13.42578125" style="70" customWidth="1"/>
    <col min="5636" max="5636" width="5.140625" style="70" bestFit="1" customWidth="1"/>
    <col min="5637" max="5637" width="5" style="70" bestFit="1" customWidth="1"/>
    <col min="5638" max="5638" width="7.28515625" style="70" bestFit="1" customWidth="1"/>
    <col min="5639" max="5639" width="9.7109375" style="70" customWidth="1"/>
    <col min="5640" max="5640" width="8.85546875" style="70" customWidth="1"/>
    <col min="5641" max="5641" width="11.5703125" style="70" customWidth="1"/>
    <col min="5642" max="5642" width="23.85546875" style="70" customWidth="1"/>
    <col min="5643" max="5643" width="13" style="70" customWidth="1"/>
    <col min="5644" max="5888" width="9.140625" style="70"/>
    <col min="5889" max="5889" width="4.42578125" style="70" customWidth="1"/>
    <col min="5890" max="5890" width="45.5703125" style="70" customWidth="1"/>
    <col min="5891" max="5891" width="13.42578125" style="70" customWidth="1"/>
    <col min="5892" max="5892" width="5.140625" style="70" bestFit="1" customWidth="1"/>
    <col min="5893" max="5893" width="5" style="70" bestFit="1" customWidth="1"/>
    <col min="5894" max="5894" width="7.28515625" style="70" bestFit="1" customWidth="1"/>
    <col min="5895" max="5895" width="9.7109375" style="70" customWidth="1"/>
    <col min="5896" max="5896" width="8.85546875" style="70" customWidth="1"/>
    <col min="5897" max="5897" width="11.5703125" style="70" customWidth="1"/>
    <col min="5898" max="5898" width="23.85546875" style="70" customWidth="1"/>
    <col min="5899" max="5899" width="13" style="70" customWidth="1"/>
    <col min="5900" max="6144" width="9.140625" style="70"/>
    <col min="6145" max="6145" width="4.42578125" style="70" customWidth="1"/>
    <col min="6146" max="6146" width="45.5703125" style="70" customWidth="1"/>
    <col min="6147" max="6147" width="13.42578125" style="70" customWidth="1"/>
    <col min="6148" max="6148" width="5.140625" style="70" bestFit="1" customWidth="1"/>
    <col min="6149" max="6149" width="5" style="70" bestFit="1" customWidth="1"/>
    <col min="6150" max="6150" width="7.28515625" style="70" bestFit="1" customWidth="1"/>
    <col min="6151" max="6151" width="9.7109375" style="70" customWidth="1"/>
    <col min="6152" max="6152" width="8.85546875" style="70" customWidth="1"/>
    <col min="6153" max="6153" width="11.5703125" style="70" customWidth="1"/>
    <col min="6154" max="6154" width="23.85546875" style="70" customWidth="1"/>
    <col min="6155" max="6155" width="13" style="70" customWidth="1"/>
    <col min="6156" max="6400" width="9.140625" style="70"/>
    <col min="6401" max="6401" width="4.42578125" style="70" customWidth="1"/>
    <col min="6402" max="6402" width="45.5703125" style="70" customWidth="1"/>
    <col min="6403" max="6403" width="13.42578125" style="70" customWidth="1"/>
    <col min="6404" max="6404" width="5.140625" style="70" bestFit="1" customWidth="1"/>
    <col min="6405" max="6405" width="5" style="70" bestFit="1" customWidth="1"/>
    <col min="6406" max="6406" width="7.28515625" style="70" bestFit="1" customWidth="1"/>
    <col min="6407" max="6407" width="9.7109375" style="70" customWidth="1"/>
    <col min="6408" max="6408" width="8.85546875" style="70" customWidth="1"/>
    <col min="6409" max="6409" width="11.5703125" style="70" customWidth="1"/>
    <col min="6410" max="6410" width="23.85546875" style="70" customWidth="1"/>
    <col min="6411" max="6411" width="13" style="70" customWidth="1"/>
    <col min="6412" max="6656" width="9.140625" style="70"/>
    <col min="6657" max="6657" width="4.42578125" style="70" customWidth="1"/>
    <col min="6658" max="6658" width="45.5703125" style="70" customWidth="1"/>
    <col min="6659" max="6659" width="13.42578125" style="70" customWidth="1"/>
    <col min="6660" max="6660" width="5.140625" style="70" bestFit="1" customWidth="1"/>
    <col min="6661" max="6661" width="5" style="70" bestFit="1" customWidth="1"/>
    <col min="6662" max="6662" width="7.28515625" style="70" bestFit="1" customWidth="1"/>
    <col min="6663" max="6663" width="9.7109375" style="70" customWidth="1"/>
    <col min="6664" max="6664" width="8.85546875" style="70" customWidth="1"/>
    <col min="6665" max="6665" width="11.5703125" style="70" customWidth="1"/>
    <col min="6666" max="6666" width="23.85546875" style="70" customWidth="1"/>
    <col min="6667" max="6667" width="13" style="70" customWidth="1"/>
    <col min="6668" max="6912" width="9.140625" style="70"/>
    <col min="6913" max="6913" width="4.42578125" style="70" customWidth="1"/>
    <col min="6914" max="6914" width="45.5703125" style="70" customWidth="1"/>
    <col min="6915" max="6915" width="13.42578125" style="70" customWidth="1"/>
    <col min="6916" max="6916" width="5.140625" style="70" bestFit="1" customWidth="1"/>
    <col min="6917" max="6917" width="5" style="70" bestFit="1" customWidth="1"/>
    <col min="6918" max="6918" width="7.28515625" style="70" bestFit="1" customWidth="1"/>
    <col min="6919" max="6919" width="9.7109375" style="70" customWidth="1"/>
    <col min="6920" max="6920" width="8.85546875" style="70" customWidth="1"/>
    <col min="6921" max="6921" width="11.5703125" style="70" customWidth="1"/>
    <col min="6922" max="6922" width="23.85546875" style="70" customWidth="1"/>
    <col min="6923" max="6923" width="13" style="70" customWidth="1"/>
    <col min="6924" max="7168" width="9.140625" style="70"/>
    <col min="7169" max="7169" width="4.42578125" style="70" customWidth="1"/>
    <col min="7170" max="7170" width="45.5703125" style="70" customWidth="1"/>
    <col min="7171" max="7171" width="13.42578125" style="70" customWidth="1"/>
    <col min="7172" max="7172" width="5.140625" style="70" bestFit="1" customWidth="1"/>
    <col min="7173" max="7173" width="5" style="70" bestFit="1" customWidth="1"/>
    <col min="7174" max="7174" width="7.28515625" style="70" bestFit="1" customWidth="1"/>
    <col min="7175" max="7175" width="9.7109375" style="70" customWidth="1"/>
    <col min="7176" max="7176" width="8.85546875" style="70" customWidth="1"/>
    <col min="7177" max="7177" width="11.5703125" style="70" customWidth="1"/>
    <col min="7178" max="7178" width="23.85546875" style="70" customWidth="1"/>
    <col min="7179" max="7179" width="13" style="70" customWidth="1"/>
    <col min="7180" max="7424" width="9.140625" style="70"/>
    <col min="7425" max="7425" width="4.42578125" style="70" customWidth="1"/>
    <col min="7426" max="7426" width="45.5703125" style="70" customWidth="1"/>
    <col min="7427" max="7427" width="13.42578125" style="70" customWidth="1"/>
    <col min="7428" max="7428" width="5.140625" style="70" bestFit="1" customWidth="1"/>
    <col min="7429" max="7429" width="5" style="70" bestFit="1" customWidth="1"/>
    <col min="7430" max="7430" width="7.28515625" style="70" bestFit="1" customWidth="1"/>
    <col min="7431" max="7431" width="9.7109375" style="70" customWidth="1"/>
    <col min="7432" max="7432" width="8.85546875" style="70" customWidth="1"/>
    <col min="7433" max="7433" width="11.5703125" style="70" customWidth="1"/>
    <col min="7434" max="7434" width="23.85546875" style="70" customWidth="1"/>
    <col min="7435" max="7435" width="13" style="70" customWidth="1"/>
    <col min="7436" max="7680" width="9.140625" style="70"/>
    <col min="7681" max="7681" width="4.42578125" style="70" customWidth="1"/>
    <col min="7682" max="7682" width="45.5703125" style="70" customWidth="1"/>
    <col min="7683" max="7683" width="13.42578125" style="70" customWidth="1"/>
    <col min="7684" max="7684" width="5.140625" style="70" bestFit="1" customWidth="1"/>
    <col min="7685" max="7685" width="5" style="70" bestFit="1" customWidth="1"/>
    <col min="7686" max="7686" width="7.28515625" style="70" bestFit="1" customWidth="1"/>
    <col min="7687" max="7687" width="9.7109375" style="70" customWidth="1"/>
    <col min="7688" max="7688" width="8.85546875" style="70" customWidth="1"/>
    <col min="7689" max="7689" width="11.5703125" style="70" customWidth="1"/>
    <col min="7690" max="7690" width="23.85546875" style="70" customWidth="1"/>
    <col min="7691" max="7691" width="13" style="70" customWidth="1"/>
    <col min="7692" max="7936" width="9.140625" style="70"/>
    <col min="7937" max="7937" width="4.42578125" style="70" customWidth="1"/>
    <col min="7938" max="7938" width="45.5703125" style="70" customWidth="1"/>
    <col min="7939" max="7939" width="13.42578125" style="70" customWidth="1"/>
    <col min="7940" max="7940" width="5.140625" style="70" bestFit="1" customWidth="1"/>
    <col min="7941" max="7941" width="5" style="70" bestFit="1" customWidth="1"/>
    <col min="7942" max="7942" width="7.28515625" style="70" bestFit="1" customWidth="1"/>
    <col min="7943" max="7943" width="9.7109375" style="70" customWidth="1"/>
    <col min="7944" max="7944" width="8.85546875" style="70" customWidth="1"/>
    <col min="7945" max="7945" width="11.5703125" style="70" customWidth="1"/>
    <col min="7946" max="7946" width="23.85546875" style="70" customWidth="1"/>
    <col min="7947" max="7947" width="13" style="70" customWidth="1"/>
    <col min="7948" max="8192" width="9.140625" style="70"/>
    <col min="8193" max="8193" width="4.42578125" style="70" customWidth="1"/>
    <col min="8194" max="8194" width="45.5703125" style="70" customWidth="1"/>
    <col min="8195" max="8195" width="13.42578125" style="70" customWidth="1"/>
    <col min="8196" max="8196" width="5.140625" style="70" bestFit="1" customWidth="1"/>
    <col min="8197" max="8197" width="5" style="70" bestFit="1" customWidth="1"/>
    <col min="8198" max="8198" width="7.28515625" style="70" bestFit="1" customWidth="1"/>
    <col min="8199" max="8199" width="9.7109375" style="70" customWidth="1"/>
    <col min="8200" max="8200" width="8.85546875" style="70" customWidth="1"/>
    <col min="8201" max="8201" width="11.5703125" style="70" customWidth="1"/>
    <col min="8202" max="8202" width="23.85546875" style="70" customWidth="1"/>
    <col min="8203" max="8203" width="13" style="70" customWidth="1"/>
    <col min="8204" max="8448" width="9.140625" style="70"/>
    <col min="8449" max="8449" width="4.42578125" style="70" customWidth="1"/>
    <col min="8450" max="8450" width="45.5703125" style="70" customWidth="1"/>
    <col min="8451" max="8451" width="13.42578125" style="70" customWidth="1"/>
    <col min="8452" max="8452" width="5.140625" style="70" bestFit="1" customWidth="1"/>
    <col min="8453" max="8453" width="5" style="70" bestFit="1" customWidth="1"/>
    <col min="8454" max="8454" width="7.28515625" style="70" bestFit="1" customWidth="1"/>
    <col min="8455" max="8455" width="9.7109375" style="70" customWidth="1"/>
    <col min="8456" max="8456" width="8.85546875" style="70" customWidth="1"/>
    <col min="8457" max="8457" width="11.5703125" style="70" customWidth="1"/>
    <col min="8458" max="8458" width="23.85546875" style="70" customWidth="1"/>
    <col min="8459" max="8459" width="13" style="70" customWidth="1"/>
    <col min="8460" max="8704" width="9.140625" style="70"/>
    <col min="8705" max="8705" width="4.42578125" style="70" customWidth="1"/>
    <col min="8706" max="8706" width="45.5703125" style="70" customWidth="1"/>
    <col min="8707" max="8707" width="13.42578125" style="70" customWidth="1"/>
    <col min="8708" max="8708" width="5.140625" style="70" bestFit="1" customWidth="1"/>
    <col min="8709" max="8709" width="5" style="70" bestFit="1" customWidth="1"/>
    <col min="8710" max="8710" width="7.28515625" style="70" bestFit="1" customWidth="1"/>
    <col min="8711" max="8711" width="9.7109375" style="70" customWidth="1"/>
    <col min="8712" max="8712" width="8.85546875" style="70" customWidth="1"/>
    <col min="8713" max="8713" width="11.5703125" style="70" customWidth="1"/>
    <col min="8714" max="8714" width="23.85546875" style="70" customWidth="1"/>
    <col min="8715" max="8715" width="13" style="70" customWidth="1"/>
    <col min="8716" max="8960" width="9.140625" style="70"/>
    <col min="8961" max="8961" width="4.42578125" style="70" customWidth="1"/>
    <col min="8962" max="8962" width="45.5703125" style="70" customWidth="1"/>
    <col min="8963" max="8963" width="13.42578125" style="70" customWidth="1"/>
    <col min="8964" max="8964" width="5.140625" style="70" bestFit="1" customWidth="1"/>
    <col min="8965" max="8965" width="5" style="70" bestFit="1" customWidth="1"/>
    <col min="8966" max="8966" width="7.28515625" style="70" bestFit="1" customWidth="1"/>
    <col min="8967" max="8967" width="9.7109375" style="70" customWidth="1"/>
    <col min="8968" max="8968" width="8.85546875" style="70" customWidth="1"/>
    <col min="8969" max="8969" width="11.5703125" style="70" customWidth="1"/>
    <col min="8970" max="8970" width="23.85546875" style="70" customWidth="1"/>
    <col min="8971" max="8971" width="13" style="70" customWidth="1"/>
    <col min="8972" max="9216" width="9.140625" style="70"/>
    <col min="9217" max="9217" width="4.42578125" style="70" customWidth="1"/>
    <col min="9218" max="9218" width="45.5703125" style="70" customWidth="1"/>
    <col min="9219" max="9219" width="13.42578125" style="70" customWidth="1"/>
    <col min="9220" max="9220" width="5.140625" style="70" bestFit="1" customWidth="1"/>
    <col min="9221" max="9221" width="5" style="70" bestFit="1" customWidth="1"/>
    <col min="9222" max="9222" width="7.28515625" style="70" bestFit="1" customWidth="1"/>
    <col min="9223" max="9223" width="9.7109375" style="70" customWidth="1"/>
    <col min="9224" max="9224" width="8.85546875" style="70" customWidth="1"/>
    <col min="9225" max="9225" width="11.5703125" style="70" customWidth="1"/>
    <col min="9226" max="9226" width="23.85546875" style="70" customWidth="1"/>
    <col min="9227" max="9227" width="13" style="70" customWidth="1"/>
    <col min="9228" max="9472" width="9.140625" style="70"/>
    <col min="9473" max="9473" width="4.42578125" style="70" customWidth="1"/>
    <col min="9474" max="9474" width="45.5703125" style="70" customWidth="1"/>
    <col min="9475" max="9475" width="13.42578125" style="70" customWidth="1"/>
    <col min="9476" max="9476" width="5.140625" style="70" bestFit="1" customWidth="1"/>
    <col min="9477" max="9477" width="5" style="70" bestFit="1" customWidth="1"/>
    <col min="9478" max="9478" width="7.28515625" style="70" bestFit="1" customWidth="1"/>
    <col min="9479" max="9479" width="9.7109375" style="70" customWidth="1"/>
    <col min="9480" max="9480" width="8.85546875" style="70" customWidth="1"/>
    <col min="9481" max="9481" width="11.5703125" style="70" customWidth="1"/>
    <col min="9482" max="9482" width="23.85546875" style="70" customWidth="1"/>
    <col min="9483" max="9483" width="13" style="70" customWidth="1"/>
    <col min="9484" max="9728" width="9.140625" style="70"/>
    <col min="9729" max="9729" width="4.42578125" style="70" customWidth="1"/>
    <col min="9730" max="9730" width="45.5703125" style="70" customWidth="1"/>
    <col min="9731" max="9731" width="13.42578125" style="70" customWidth="1"/>
    <col min="9732" max="9732" width="5.140625" style="70" bestFit="1" customWidth="1"/>
    <col min="9733" max="9733" width="5" style="70" bestFit="1" customWidth="1"/>
    <col min="9734" max="9734" width="7.28515625" style="70" bestFit="1" customWidth="1"/>
    <col min="9735" max="9735" width="9.7109375" style="70" customWidth="1"/>
    <col min="9736" max="9736" width="8.85546875" style="70" customWidth="1"/>
    <col min="9737" max="9737" width="11.5703125" style="70" customWidth="1"/>
    <col min="9738" max="9738" width="23.85546875" style="70" customWidth="1"/>
    <col min="9739" max="9739" width="13" style="70" customWidth="1"/>
    <col min="9740" max="9984" width="9.140625" style="70"/>
    <col min="9985" max="9985" width="4.42578125" style="70" customWidth="1"/>
    <col min="9986" max="9986" width="45.5703125" style="70" customWidth="1"/>
    <col min="9987" max="9987" width="13.42578125" style="70" customWidth="1"/>
    <col min="9988" max="9988" width="5.140625" style="70" bestFit="1" customWidth="1"/>
    <col min="9989" max="9989" width="5" style="70" bestFit="1" customWidth="1"/>
    <col min="9990" max="9990" width="7.28515625" style="70" bestFit="1" customWidth="1"/>
    <col min="9991" max="9991" width="9.7109375" style="70" customWidth="1"/>
    <col min="9992" max="9992" width="8.85546875" style="70" customWidth="1"/>
    <col min="9993" max="9993" width="11.5703125" style="70" customWidth="1"/>
    <col min="9994" max="9994" width="23.85546875" style="70" customWidth="1"/>
    <col min="9995" max="9995" width="13" style="70" customWidth="1"/>
    <col min="9996" max="10240" width="9.140625" style="70"/>
    <col min="10241" max="10241" width="4.42578125" style="70" customWidth="1"/>
    <col min="10242" max="10242" width="45.5703125" style="70" customWidth="1"/>
    <col min="10243" max="10243" width="13.42578125" style="70" customWidth="1"/>
    <col min="10244" max="10244" width="5.140625" style="70" bestFit="1" customWidth="1"/>
    <col min="10245" max="10245" width="5" style="70" bestFit="1" customWidth="1"/>
    <col min="10246" max="10246" width="7.28515625" style="70" bestFit="1" customWidth="1"/>
    <col min="10247" max="10247" width="9.7109375" style="70" customWidth="1"/>
    <col min="10248" max="10248" width="8.85546875" style="70" customWidth="1"/>
    <col min="10249" max="10249" width="11.5703125" style="70" customWidth="1"/>
    <col min="10250" max="10250" width="23.85546875" style="70" customWidth="1"/>
    <col min="10251" max="10251" width="13" style="70" customWidth="1"/>
    <col min="10252" max="10496" width="9.140625" style="70"/>
    <col min="10497" max="10497" width="4.42578125" style="70" customWidth="1"/>
    <col min="10498" max="10498" width="45.5703125" style="70" customWidth="1"/>
    <col min="10499" max="10499" width="13.42578125" style="70" customWidth="1"/>
    <col min="10500" max="10500" width="5.140625" style="70" bestFit="1" customWidth="1"/>
    <col min="10501" max="10501" width="5" style="70" bestFit="1" customWidth="1"/>
    <col min="10502" max="10502" width="7.28515625" style="70" bestFit="1" customWidth="1"/>
    <col min="10503" max="10503" width="9.7109375" style="70" customWidth="1"/>
    <col min="10504" max="10504" width="8.85546875" style="70" customWidth="1"/>
    <col min="10505" max="10505" width="11.5703125" style="70" customWidth="1"/>
    <col min="10506" max="10506" width="23.85546875" style="70" customWidth="1"/>
    <col min="10507" max="10507" width="13" style="70" customWidth="1"/>
    <col min="10508" max="10752" width="9.140625" style="70"/>
    <col min="10753" max="10753" width="4.42578125" style="70" customWidth="1"/>
    <col min="10754" max="10754" width="45.5703125" style="70" customWidth="1"/>
    <col min="10755" max="10755" width="13.42578125" style="70" customWidth="1"/>
    <col min="10756" max="10756" width="5.140625" style="70" bestFit="1" customWidth="1"/>
    <col min="10757" max="10757" width="5" style="70" bestFit="1" customWidth="1"/>
    <col min="10758" max="10758" width="7.28515625" style="70" bestFit="1" customWidth="1"/>
    <col min="10759" max="10759" width="9.7109375" style="70" customWidth="1"/>
    <col min="10760" max="10760" width="8.85546875" style="70" customWidth="1"/>
    <col min="10761" max="10761" width="11.5703125" style="70" customWidth="1"/>
    <col min="10762" max="10762" width="23.85546875" style="70" customWidth="1"/>
    <col min="10763" max="10763" width="13" style="70" customWidth="1"/>
    <col min="10764" max="11008" width="9.140625" style="70"/>
    <col min="11009" max="11009" width="4.42578125" style="70" customWidth="1"/>
    <col min="11010" max="11010" width="45.5703125" style="70" customWidth="1"/>
    <col min="11011" max="11011" width="13.42578125" style="70" customWidth="1"/>
    <col min="11012" max="11012" width="5.140625" style="70" bestFit="1" customWidth="1"/>
    <col min="11013" max="11013" width="5" style="70" bestFit="1" customWidth="1"/>
    <col min="11014" max="11014" width="7.28515625" style="70" bestFit="1" customWidth="1"/>
    <col min="11015" max="11015" width="9.7109375" style="70" customWidth="1"/>
    <col min="11016" max="11016" width="8.85546875" style="70" customWidth="1"/>
    <col min="11017" max="11017" width="11.5703125" style="70" customWidth="1"/>
    <col min="11018" max="11018" width="23.85546875" style="70" customWidth="1"/>
    <col min="11019" max="11019" width="13" style="70" customWidth="1"/>
    <col min="11020" max="11264" width="9.140625" style="70"/>
    <col min="11265" max="11265" width="4.42578125" style="70" customWidth="1"/>
    <col min="11266" max="11266" width="45.5703125" style="70" customWidth="1"/>
    <col min="11267" max="11267" width="13.42578125" style="70" customWidth="1"/>
    <col min="11268" max="11268" width="5.140625" style="70" bestFit="1" customWidth="1"/>
    <col min="11269" max="11269" width="5" style="70" bestFit="1" customWidth="1"/>
    <col min="11270" max="11270" width="7.28515625" style="70" bestFit="1" customWidth="1"/>
    <col min="11271" max="11271" width="9.7109375" style="70" customWidth="1"/>
    <col min="11272" max="11272" width="8.85546875" style="70" customWidth="1"/>
    <col min="11273" max="11273" width="11.5703125" style="70" customWidth="1"/>
    <col min="11274" max="11274" width="23.85546875" style="70" customWidth="1"/>
    <col min="11275" max="11275" width="13" style="70" customWidth="1"/>
    <col min="11276" max="11520" width="9.140625" style="70"/>
    <col min="11521" max="11521" width="4.42578125" style="70" customWidth="1"/>
    <col min="11522" max="11522" width="45.5703125" style="70" customWidth="1"/>
    <col min="11523" max="11523" width="13.42578125" style="70" customWidth="1"/>
    <col min="11524" max="11524" width="5.140625" style="70" bestFit="1" customWidth="1"/>
    <col min="11525" max="11525" width="5" style="70" bestFit="1" customWidth="1"/>
    <col min="11526" max="11526" width="7.28515625" style="70" bestFit="1" customWidth="1"/>
    <col min="11527" max="11527" width="9.7109375" style="70" customWidth="1"/>
    <col min="11528" max="11528" width="8.85546875" style="70" customWidth="1"/>
    <col min="11529" max="11529" width="11.5703125" style="70" customWidth="1"/>
    <col min="11530" max="11530" width="23.85546875" style="70" customWidth="1"/>
    <col min="11531" max="11531" width="13" style="70" customWidth="1"/>
    <col min="11532" max="11776" width="9.140625" style="70"/>
    <col min="11777" max="11777" width="4.42578125" style="70" customWidth="1"/>
    <col min="11778" max="11778" width="45.5703125" style="70" customWidth="1"/>
    <col min="11779" max="11779" width="13.42578125" style="70" customWidth="1"/>
    <col min="11780" max="11780" width="5.140625" style="70" bestFit="1" customWidth="1"/>
    <col min="11781" max="11781" width="5" style="70" bestFit="1" customWidth="1"/>
    <col min="11782" max="11782" width="7.28515625" style="70" bestFit="1" customWidth="1"/>
    <col min="11783" max="11783" width="9.7109375" style="70" customWidth="1"/>
    <col min="11784" max="11784" width="8.85546875" style="70" customWidth="1"/>
    <col min="11785" max="11785" width="11.5703125" style="70" customWidth="1"/>
    <col min="11786" max="11786" width="23.85546875" style="70" customWidth="1"/>
    <col min="11787" max="11787" width="13" style="70" customWidth="1"/>
    <col min="11788" max="12032" width="9.140625" style="70"/>
    <col min="12033" max="12033" width="4.42578125" style="70" customWidth="1"/>
    <col min="12034" max="12034" width="45.5703125" style="70" customWidth="1"/>
    <col min="12035" max="12035" width="13.42578125" style="70" customWidth="1"/>
    <col min="12036" max="12036" width="5.140625" style="70" bestFit="1" customWidth="1"/>
    <col min="12037" max="12037" width="5" style="70" bestFit="1" customWidth="1"/>
    <col min="12038" max="12038" width="7.28515625" style="70" bestFit="1" customWidth="1"/>
    <col min="12039" max="12039" width="9.7109375" style="70" customWidth="1"/>
    <col min="12040" max="12040" width="8.85546875" style="70" customWidth="1"/>
    <col min="12041" max="12041" width="11.5703125" style="70" customWidth="1"/>
    <col min="12042" max="12042" width="23.85546875" style="70" customWidth="1"/>
    <col min="12043" max="12043" width="13" style="70" customWidth="1"/>
    <col min="12044" max="12288" width="9.140625" style="70"/>
    <col min="12289" max="12289" width="4.42578125" style="70" customWidth="1"/>
    <col min="12290" max="12290" width="45.5703125" style="70" customWidth="1"/>
    <col min="12291" max="12291" width="13.42578125" style="70" customWidth="1"/>
    <col min="12292" max="12292" width="5.140625" style="70" bestFit="1" customWidth="1"/>
    <col min="12293" max="12293" width="5" style="70" bestFit="1" customWidth="1"/>
    <col min="12294" max="12294" width="7.28515625" style="70" bestFit="1" customWidth="1"/>
    <col min="12295" max="12295" width="9.7109375" style="70" customWidth="1"/>
    <col min="12296" max="12296" width="8.85546875" style="70" customWidth="1"/>
    <col min="12297" max="12297" width="11.5703125" style="70" customWidth="1"/>
    <col min="12298" max="12298" width="23.85546875" style="70" customWidth="1"/>
    <col min="12299" max="12299" width="13" style="70" customWidth="1"/>
    <col min="12300" max="12544" width="9.140625" style="70"/>
    <col min="12545" max="12545" width="4.42578125" style="70" customWidth="1"/>
    <col min="12546" max="12546" width="45.5703125" style="70" customWidth="1"/>
    <col min="12547" max="12547" width="13.42578125" style="70" customWidth="1"/>
    <col min="12548" max="12548" width="5.140625" style="70" bestFit="1" customWidth="1"/>
    <col min="12549" max="12549" width="5" style="70" bestFit="1" customWidth="1"/>
    <col min="12550" max="12550" width="7.28515625" style="70" bestFit="1" customWidth="1"/>
    <col min="12551" max="12551" width="9.7109375" style="70" customWidth="1"/>
    <col min="12552" max="12552" width="8.85546875" style="70" customWidth="1"/>
    <col min="12553" max="12553" width="11.5703125" style="70" customWidth="1"/>
    <col min="12554" max="12554" width="23.85546875" style="70" customWidth="1"/>
    <col min="12555" max="12555" width="13" style="70" customWidth="1"/>
    <col min="12556" max="12800" width="9.140625" style="70"/>
    <col min="12801" max="12801" width="4.42578125" style="70" customWidth="1"/>
    <col min="12802" max="12802" width="45.5703125" style="70" customWidth="1"/>
    <col min="12803" max="12803" width="13.42578125" style="70" customWidth="1"/>
    <col min="12804" max="12804" width="5.140625" style="70" bestFit="1" customWidth="1"/>
    <col min="12805" max="12805" width="5" style="70" bestFit="1" customWidth="1"/>
    <col min="12806" max="12806" width="7.28515625" style="70" bestFit="1" customWidth="1"/>
    <col min="12807" max="12807" width="9.7109375" style="70" customWidth="1"/>
    <col min="12808" max="12808" width="8.85546875" style="70" customWidth="1"/>
    <col min="12809" max="12809" width="11.5703125" style="70" customWidth="1"/>
    <col min="12810" max="12810" width="23.85546875" style="70" customWidth="1"/>
    <col min="12811" max="12811" width="13" style="70" customWidth="1"/>
    <col min="12812" max="13056" width="9.140625" style="70"/>
    <col min="13057" max="13057" width="4.42578125" style="70" customWidth="1"/>
    <col min="13058" max="13058" width="45.5703125" style="70" customWidth="1"/>
    <col min="13059" max="13059" width="13.42578125" style="70" customWidth="1"/>
    <col min="13060" max="13060" width="5.140625" style="70" bestFit="1" customWidth="1"/>
    <col min="13061" max="13061" width="5" style="70" bestFit="1" customWidth="1"/>
    <col min="13062" max="13062" width="7.28515625" style="70" bestFit="1" customWidth="1"/>
    <col min="13063" max="13063" width="9.7109375" style="70" customWidth="1"/>
    <col min="13064" max="13064" width="8.85546875" style="70" customWidth="1"/>
    <col min="13065" max="13065" width="11.5703125" style="70" customWidth="1"/>
    <col min="13066" max="13066" width="23.85546875" style="70" customWidth="1"/>
    <col min="13067" max="13067" width="13" style="70" customWidth="1"/>
    <col min="13068" max="13312" width="9.140625" style="70"/>
    <col min="13313" max="13313" width="4.42578125" style="70" customWidth="1"/>
    <col min="13314" max="13314" width="45.5703125" style="70" customWidth="1"/>
    <col min="13315" max="13315" width="13.42578125" style="70" customWidth="1"/>
    <col min="13316" max="13316" width="5.140625" style="70" bestFit="1" customWidth="1"/>
    <col min="13317" max="13317" width="5" style="70" bestFit="1" customWidth="1"/>
    <col min="13318" max="13318" width="7.28515625" style="70" bestFit="1" customWidth="1"/>
    <col min="13319" max="13319" width="9.7109375" style="70" customWidth="1"/>
    <col min="13320" max="13320" width="8.85546875" style="70" customWidth="1"/>
    <col min="13321" max="13321" width="11.5703125" style="70" customWidth="1"/>
    <col min="13322" max="13322" width="23.85546875" style="70" customWidth="1"/>
    <col min="13323" max="13323" width="13" style="70" customWidth="1"/>
    <col min="13324" max="13568" width="9.140625" style="70"/>
    <col min="13569" max="13569" width="4.42578125" style="70" customWidth="1"/>
    <col min="13570" max="13570" width="45.5703125" style="70" customWidth="1"/>
    <col min="13571" max="13571" width="13.42578125" style="70" customWidth="1"/>
    <col min="13572" max="13572" width="5.140625" style="70" bestFit="1" customWidth="1"/>
    <col min="13573" max="13573" width="5" style="70" bestFit="1" customWidth="1"/>
    <col min="13574" max="13574" width="7.28515625" style="70" bestFit="1" customWidth="1"/>
    <col min="13575" max="13575" width="9.7109375" style="70" customWidth="1"/>
    <col min="13576" max="13576" width="8.85546875" style="70" customWidth="1"/>
    <col min="13577" max="13577" width="11.5703125" style="70" customWidth="1"/>
    <col min="13578" max="13578" width="23.85546875" style="70" customWidth="1"/>
    <col min="13579" max="13579" width="13" style="70" customWidth="1"/>
    <col min="13580" max="13824" width="9.140625" style="70"/>
    <col min="13825" max="13825" width="4.42578125" style="70" customWidth="1"/>
    <col min="13826" max="13826" width="45.5703125" style="70" customWidth="1"/>
    <col min="13827" max="13827" width="13.42578125" style="70" customWidth="1"/>
    <col min="13828" max="13828" width="5.140625" style="70" bestFit="1" customWidth="1"/>
    <col min="13829" max="13829" width="5" style="70" bestFit="1" customWidth="1"/>
    <col min="13830" max="13830" width="7.28515625" style="70" bestFit="1" customWidth="1"/>
    <col min="13831" max="13831" width="9.7109375" style="70" customWidth="1"/>
    <col min="13832" max="13832" width="8.85546875" style="70" customWidth="1"/>
    <col min="13833" max="13833" width="11.5703125" style="70" customWidth="1"/>
    <col min="13834" max="13834" width="23.85546875" style="70" customWidth="1"/>
    <col min="13835" max="13835" width="13" style="70" customWidth="1"/>
    <col min="13836" max="14080" width="9.140625" style="70"/>
    <col min="14081" max="14081" width="4.42578125" style="70" customWidth="1"/>
    <col min="14082" max="14082" width="45.5703125" style="70" customWidth="1"/>
    <col min="14083" max="14083" width="13.42578125" style="70" customWidth="1"/>
    <col min="14084" max="14084" width="5.140625" style="70" bestFit="1" customWidth="1"/>
    <col min="14085" max="14085" width="5" style="70" bestFit="1" customWidth="1"/>
    <col min="14086" max="14086" width="7.28515625" style="70" bestFit="1" customWidth="1"/>
    <col min="14087" max="14087" width="9.7109375" style="70" customWidth="1"/>
    <col min="14088" max="14088" width="8.85546875" style="70" customWidth="1"/>
    <col min="14089" max="14089" width="11.5703125" style="70" customWidth="1"/>
    <col min="14090" max="14090" width="23.85546875" style="70" customWidth="1"/>
    <col min="14091" max="14091" width="13" style="70" customWidth="1"/>
    <col min="14092" max="14336" width="9.140625" style="70"/>
    <col min="14337" max="14337" width="4.42578125" style="70" customWidth="1"/>
    <col min="14338" max="14338" width="45.5703125" style="70" customWidth="1"/>
    <col min="14339" max="14339" width="13.42578125" style="70" customWidth="1"/>
    <col min="14340" max="14340" width="5.140625" style="70" bestFit="1" customWidth="1"/>
    <col min="14341" max="14341" width="5" style="70" bestFit="1" customWidth="1"/>
    <col min="14342" max="14342" width="7.28515625" style="70" bestFit="1" customWidth="1"/>
    <col min="14343" max="14343" width="9.7109375" style="70" customWidth="1"/>
    <col min="14344" max="14344" width="8.85546875" style="70" customWidth="1"/>
    <col min="14345" max="14345" width="11.5703125" style="70" customWidth="1"/>
    <col min="14346" max="14346" width="23.85546875" style="70" customWidth="1"/>
    <col min="14347" max="14347" width="13" style="70" customWidth="1"/>
    <col min="14348" max="14592" width="9.140625" style="70"/>
    <col min="14593" max="14593" width="4.42578125" style="70" customWidth="1"/>
    <col min="14594" max="14594" width="45.5703125" style="70" customWidth="1"/>
    <col min="14595" max="14595" width="13.42578125" style="70" customWidth="1"/>
    <col min="14596" max="14596" width="5.140625" style="70" bestFit="1" customWidth="1"/>
    <col min="14597" max="14597" width="5" style="70" bestFit="1" customWidth="1"/>
    <col min="14598" max="14598" width="7.28515625" style="70" bestFit="1" customWidth="1"/>
    <col min="14599" max="14599" width="9.7109375" style="70" customWidth="1"/>
    <col min="14600" max="14600" width="8.85546875" style="70" customWidth="1"/>
    <col min="14601" max="14601" width="11.5703125" style="70" customWidth="1"/>
    <col min="14602" max="14602" width="23.85546875" style="70" customWidth="1"/>
    <col min="14603" max="14603" width="13" style="70" customWidth="1"/>
    <col min="14604" max="14848" width="9.140625" style="70"/>
    <col min="14849" max="14849" width="4.42578125" style="70" customWidth="1"/>
    <col min="14850" max="14850" width="45.5703125" style="70" customWidth="1"/>
    <col min="14851" max="14851" width="13.42578125" style="70" customWidth="1"/>
    <col min="14852" max="14852" width="5.140625" style="70" bestFit="1" customWidth="1"/>
    <col min="14853" max="14853" width="5" style="70" bestFit="1" customWidth="1"/>
    <col min="14854" max="14854" width="7.28515625" style="70" bestFit="1" customWidth="1"/>
    <col min="14855" max="14855" width="9.7109375" style="70" customWidth="1"/>
    <col min="14856" max="14856" width="8.85546875" style="70" customWidth="1"/>
    <col min="14857" max="14857" width="11.5703125" style="70" customWidth="1"/>
    <col min="14858" max="14858" width="23.85546875" style="70" customWidth="1"/>
    <col min="14859" max="14859" width="13" style="70" customWidth="1"/>
    <col min="14860" max="15104" width="9.140625" style="70"/>
    <col min="15105" max="15105" width="4.42578125" style="70" customWidth="1"/>
    <col min="15106" max="15106" width="45.5703125" style="70" customWidth="1"/>
    <col min="15107" max="15107" width="13.42578125" style="70" customWidth="1"/>
    <col min="15108" max="15108" width="5.140625" style="70" bestFit="1" customWidth="1"/>
    <col min="15109" max="15109" width="5" style="70" bestFit="1" customWidth="1"/>
    <col min="15110" max="15110" width="7.28515625" style="70" bestFit="1" customWidth="1"/>
    <col min="15111" max="15111" width="9.7109375" style="70" customWidth="1"/>
    <col min="15112" max="15112" width="8.85546875" style="70" customWidth="1"/>
    <col min="15113" max="15113" width="11.5703125" style="70" customWidth="1"/>
    <col min="15114" max="15114" width="23.85546875" style="70" customWidth="1"/>
    <col min="15115" max="15115" width="13" style="70" customWidth="1"/>
    <col min="15116" max="15360" width="9.140625" style="70"/>
    <col min="15361" max="15361" width="4.42578125" style="70" customWidth="1"/>
    <col min="15362" max="15362" width="45.5703125" style="70" customWidth="1"/>
    <col min="15363" max="15363" width="13.42578125" style="70" customWidth="1"/>
    <col min="15364" max="15364" width="5.140625" style="70" bestFit="1" customWidth="1"/>
    <col min="15365" max="15365" width="5" style="70" bestFit="1" customWidth="1"/>
    <col min="15366" max="15366" width="7.28515625" style="70" bestFit="1" customWidth="1"/>
    <col min="15367" max="15367" width="9.7109375" style="70" customWidth="1"/>
    <col min="15368" max="15368" width="8.85546875" style="70" customWidth="1"/>
    <col min="15369" max="15369" width="11.5703125" style="70" customWidth="1"/>
    <col min="15370" max="15370" width="23.85546875" style="70" customWidth="1"/>
    <col min="15371" max="15371" width="13" style="70" customWidth="1"/>
    <col min="15372" max="15616" width="9.140625" style="70"/>
    <col min="15617" max="15617" width="4.42578125" style="70" customWidth="1"/>
    <col min="15618" max="15618" width="45.5703125" style="70" customWidth="1"/>
    <col min="15619" max="15619" width="13.42578125" style="70" customWidth="1"/>
    <col min="15620" max="15620" width="5.140625" style="70" bestFit="1" customWidth="1"/>
    <col min="15621" max="15621" width="5" style="70" bestFit="1" customWidth="1"/>
    <col min="15622" max="15622" width="7.28515625" style="70" bestFit="1" customWidth="1"/>
    <col min="15623" max="15623" width="9.7109375" style="70" customWidth="1"/>
    <col min="15624" max="15624" width="8.85546875" style="70" customWidth="1"/>
    <col min="15625" max="15625" width="11.5703125" style="70" customWidth="1"/>
    <col min="15626" max="15626" width="23.85546875" style="70" customWidth="1"/>
    <col min="15627" max="15627" width="13" style="70" customWidth="1"/>
    <col min="15628" max="15872" width="9.140625" style="70"/>
    <col min="15873" max="15873" width="4.42578125" style="70" customWidth="1"/>
    <col min="15874" max="15874" width="45.5703125" style="70" customWidth="1"/>
    <col min="15875" max="15875" width="13.42578125" style="70" customWidth="1"/>
    <col min="15876" max="15876" width="5.140625" style="70" bestFit="1" customWidth="1"/>
    <col min="15877" max="15877" width="5" style="70" bestFit="1" customWidth="1"/>
    <col min="15878" max="15878" width="7.28515625" style="70" bestFit="1" customWidth="1"/>
    <col min="15879" max="15879" width="9.7109375" style="70" customWidth="1"/>
    <col min="15880" max="15880" width="8.85546875" style="70" customWidth="1"/>
    <col min="15881" max="15881" width="11.5703125" style="70" customWidth="1"/>
    <col min="15882" max="15882" width="23.85546875" style="70" customWidth="1"/>
    <col min="15883" max="15883" width="13" style="70" customWidth="1"/>
    <col min="15884" max="16128" width="9.140625" style="70"/>
    <col min="16129" max="16129" width="4.42578125" style="70" customWidth="1"/>
    <col min="16130" max="16130" width="45.5703125" style="70" customWidth="1"/>
    <col min="16131" max="16131" width="13.42578125" style="70" customWidth="1"/>
    <col min="16132" max="16132" width="5.140625" style="70" bestFit="1" customWidth="1"/>
    <col min="16133" max="16133" width="5" style="70" bestFit="1" customWidth="1"/>
    <col min="16134" max="16134" width="7.28515625" style="70" bestFit="1" customWidth="1"/>
    <col min="16135" max="16135" width="9.7109375" style="70" customWidth="1"/>
    <col min="16136" max="16136" width="8.85546875" style="70" customWidth="1"/>
    <col min="16137" max="16137" width="11.5703125" style="70" customWidth="1"/>
    <col min="16138" max="16138" width="23.85546875" style="70" customWidth="1"/>
    <col min="16139" max="16139" width="13" style="70" customWidth="1"/>
    <col min="16140" max="16384" width="9.140625" style="70"/>
  </cols>
  <sheetData>
    <row r="1" spans="1:13" ht="21" customHeight="1">
      <c r="A1" s="2673"/>
      <c r="B1" s="3518" t="s">
        <v>2869</v>
      </c>
      <c r="C1" s="3518"/>
      <c r="D1" s="3518"/>
      <c r="E1" s="3518"/>
      <c r="F1" s="105"/>
      <c r="G1" s="105"/>
      <c r="H1" s="105"/>
    </row>
    <row r="2" spans="1:13" ht="6.75" customHeight="1">
      <c r="A2" s="2673"/>
      <c r="B2" s="2674"/>
      <c r="C2" s="2674"/>
      <c r="D2" s="2674"/>
      <c r="E2" s="2674"/>
      <c r="F2" s="105"/>
      <c r="G2" s="105"/>
      <c r="H2" s="105"/>
    </row>
    <row r="3" spans="1:13" ht="35.25">
      <c r="A3" s="2673"/>
      <c r="B3" s="3095" t="s">
        <v>2870</v>
      </c>
      <c r="C3" s="3095"/>
      <c r="D3" s="3095"/>
      <c r="E3" s="3095"/>
      <c r="F3" s="3095"/>
      <c r="G3" s="3095"/>
      <c r="H3" s="105"/>
      <c r="J3" s="2679"/>
    </row>
    <row r="4" spans="1:13" ht="15.75" customHeight="1">
      <c r="A4" s="2673"/>
      <c r="B4" s="2676"/>
      <c r="C4" s="2676"/>
      <c r="D4" s="2676"/>
      <c r="E4" s="2676"/>
      <c r="F4" s="2676"/>
      <c r="G4" s="2676"/>
      <c r="H4" s="105"/>
    </row>
    <row r="5" spans="1:13" ht="18" customHeight="1">
      <c r="A5" s="2673"/>
      <c r="B5" s="1581" t="s">
        <v>2843</v>
      </c>
      <c r="C5" s="2677"/>
      <c r="D5" s="2677"/>
      <c r="E5" s="2677"/>
      <c r="H5" s="3519" t="s">
        <v>89</v>
      </c>
      <c r="I5" s="3519"/>
    </row>
    <row r="6" spans="1:13" ht="11.25" customHeight="1">
      <c r="A6" s="2673"/>
      <c r="B6" s="2678"/>
      <c r="C6" s="2677"/>
      <c r="D6" s="2677"/>
      <c r="E6" s="2677"/>
      <c r="F6" s="2678"/>
      <c r="G6" s="2678"/>
      <c r="H6" s="105"/>
    </row>
    <row r="7" spans="1:13" ht="32.25" customHeight="1">
      <c r="A7" s="3117" t="s">
        <v>2</v>
      </c>
      <c r="B7" s="3117" t="s">
        <v>3</v>
      </c>
      <c r="C7" s="3117" t="s">
        <v>2716</v>
      </c>
      <c r="D7" s="3117" t="s">
        <v>5</v>
      </c>
      <c r="E7" s="3117" t="s">
        <v>143</v>
      </c>
      <c r="F7" s="3117" t="s">
        <v>2824</v>
      </c>
      <c r="G7" s="3117"/>
      <c r="H7" s="3117" t="s">
        <v>2825</v>
      </c>
      <c r="I7" s="3117"/>
    </row>
    <row r="8" spans="1:13" ht="18.75" customHeight="1">
      <c r="A8" s="3117"/>
      <c r="B8" s="3117"/>
      <c r="C8" s="3117"/>
      <c r="D8" s="3117"/>
      <c r="E8" s="3117"/>
      <c r="F8" s="2644" t="s">
        <v>96</v>
      </c>
      <c r="G8" s="2644" t="s">
        <v>1668</v>
      </c>
      <c r="H8" s="2644" t="s">
        <v>96</v>
      </c>
      <c r="I8" s="2644" t="s">
        <v>1668</v>
      </c>
    </row>
    <row r="9" spans="1:13" ht="15">
      <c r="A9" s="2644">
        <v>1</v>
      </c>
      <c r="B9" s="2644">
        <v>2</v>
      </c>
      <c r="C9" s="2644">
        <v>3</v>
      </c>
      <c r="D9" s="2644">
        <v>4</v>
      </c>
      <c r="E9" s="2644">
        <v>5</v>
      </c>
      <c r="F9" s="2644">
        <v>6</v>
      </c>
      <c r="G9" s="2644">
        <v>7</v>
      </c>
      <c r="H9" s="2655">
        <v>8</v>
      </c>
      <c r="I9" s="2644">
        <v>9</v>
      </c>
      <c r="J9" s="2613"/>
      <c r="K9" s="2053"/>
    </row>
    <row r="10" spans="1:13" ht="17.25" customHeight="1">
      <c r="A10" s="1650">
        <v>1</v>
      </c>
      <c r="B10" s="1290" t="s">
        <v>2871</v>
      </c>
      <c r="C10" s="2660">
        <v>7130311028</v>
      </c>
      <c r="D10" s="2648" t="s">
        <v>21</v>
      </c>
      <c r="E10" s="2648">
        <v>30</v>
      </c>
      <c r="F10" s="1132">
        <f>VLOOKUP(C10,'[25]SOR RATE'!A:D,4,0)</f>
        <v>88.55</v>
      </c>
      <c r="G10" s="1132">
        <f>F10*E10</f>
        <v>2656.5</v>
      </c>
      <c r="H10" s="2648"/>
      <c r="I10" s="2648"/>
      <c r="J10" s="802"/>
    </row>
    <row r="11" spans="1:13" ht="17.25" customHeight="1">
      <c r="A11" s="1650">
        <v>2</v>
      </c>
      <c r="B11" s="2383" t="s">
        <v>2846</v>
      </c>
      <c r="C11" s="2648">
        <v>7130310040</v>
      </c>
      <c r="D11" s="2648" t="s">
        <v>21</v>
      </c>
      <c r="E11" s="2648">
        <v>30</v>
      </c>
      <c r="F11" s="1132"/>
      <c r="G11" s="1132"/>
      <c r="H11" s="1132">
        <f>VLOOKUP(C11,'[25]SOR RATE'!A:D,4,0)</f>
        <v>78.39</v>
      </c>
      <c r="I11" s="1132">
        <f>E11*H11</f>
        <v>2351.6999999999998</v>
      </c>
    </row>
    <row r="12" spans="1:13" ht="16.5" customHeight="1">
      <c r="A12" s="1760">
        <v>3</v>
      </c>
      <c r="B12" s="1290" t="s">
        <v>2829</v>
      </c>
      <c r="C12" s="2660">
        <v>7130820101</v>
      </c>
      <c r="D12" s="2648" t="s">
        <v>68</v>
      </c>
      <c r="E12" s="2648">
        <v>2</v>
      </c>
      <c r="F12" s="1132">
        <f>VLOOKUP(C12,'[25]SOR RATE'!A:D,4,0)</f>
        <v>13.03</v>
      </c>
      <c r="G12" s="1132">
        <f>F12*E12</f>
        <v>26.06</v>
      </c>
      <c r="H12" s="1132">
        <f>+F12</f>
        <v>13.03</v>
      </c>
      <c r="I12" s="1132">
        <f t="shared" ref="I12:I17" si="0">E12*H12</f>
        <v>26.06</v>
      </c>
    </row>
    <row r="13" spans="1:13" ht="16.5" customHeight="1">
      <c r="A13" s="1760">
        <v>4</v>
      </c>
      <c r="B13" s="1290" t="s">
        <v>2830</v>
      </c>
      <c r="C13" s="2660">
        <v>7130820206</v>
      </c>
      <c r="D13" s="2648" t="s">
        <v>68</v>
      </c>
      <c r="E13" s="2648">
        <v>2</v>
      </c>
      <c r="F13" s="1132">
        <f>VLOOKUP(C13,'[25]SOR RATE'!A:D,4,0)</f>
        <v>45.81</v>
      </c>
      <c r="G13" s="1132">
        <f>F13*E13</f>
        <v>91.62</v>
      </c>
      <c r="H13" s="1132">
        <f t="shared" ref="H13:H17" si="1">+F13</f>
        <v>45.81</v>
      </c>
      <c r="I13" s="1132">
        <f>E13*H13</f>
        <v>91.62</v>
      </c>
    </row>
    <row r="14" spans="1:13" ht="43.5" customHeight="1">
      <c r="A14" s="1760">
        <v>5</v>
      </c>
      <c r="B14" s="2383" t="s">
        <v>1178</v>
      </c>
      <c r="C14" s="2660">
        <v>7132455002</v>
      </c>
      <c r="D14" s="2648" t="s">
        <v>2847</v>
      </c>
      <c r="E14" s="2648">
        <v>1</v>
      </c>
      <c r="F14" s="1132">
        <f>VLOOKUP(C14,'[25]SOR RATE'!A:D,4,0)</f>
        <v>395.13</v>
      </c>
      <c r="G14" s="1132">
        <f t="shared" ref="G14:G17" si="2">F14*E14</f>
        <v>395.13</v>
      </c>
      <c r="H14" s="1132">
        <f t="shared" si="1"/>
        <v>395.13</v>
      </c>
      <c r="I14" s="1132">
        <f t="shared" si="0"/>
        <v>395.13</v>
      </c>
      <c r="K14" s="2008"/>
      <c r="L14" s="2008"/>
      <c r="M14" s="2008"/>
    </row>
    <row r="15" spans="1:13" ht="15.75" customHeight="1">
      <c r="A15" s="1760">
        <v>6</v>
      </c>
      <c r="B15" s="1290" t="s">
        <v>2831</v>
      </c>
      <c r="C15" s="2648">
        <v>7132476007</v>
      </c>
      <c r="D15" s="2660" t="s">
        <v>1193</v>
      </c>
      <c r="E15" s="2648">
        <v>1</v>
      </c>
      <c r="F15" s="1132">
        <f>VLOOKUP(C15,'[25]SOR RATE'!A:D,4,0)</f>
        <v>17.59</v>
      </c>
      <c r="G15" s="1132">
        <f>F15*E15</f>
        <v>17.59</v>
      </c>
      <c r="H15" s="1132">
        <f>+F15</f>
        <v>17.59</v>
      </c>
      <c r="I15" s="1132">
        <f t="shared" si="0"/>
        <v>17.59</v>
      </c>
      <c r="J15" s="2669" t="s">
        <v>802</v>
      </c>
    </row>
    <row r="16" spans="1:13" ht="15.75" customHeight="1">
      <c r="A16" s="1760">
        <v>7</v>
      </c>
      <c r="B16" s="1290" t="s">
        <v>2832</v>
      </c>
      <c r="C16" s="2660"/>
      <c r="D16" s="2648" t="s">
        <v>2833</v>
      </c>
      <c r="E16" s="2648">
        <v>1</v>
      </c>
      <c r="F16" s="1132">
        <v>40</v>
      </c>
      <c r="G16" s="1132">
        <f t="shared" si="2"/>
        <v>40</v>
      </c>
      <c r="H16" s="1132">
        <f t="shared" si="1"/>
        <v>40</v>
      </c>
      <c r="I16" s="1132">
        <f t="shared" si="0"/>
        <v>40</v>
      </c>
    </row>
    <row r="17" spans="1:11" ht="15.75" customHeight="1">
      <c r="A17" s="1760">
        <v>8</v>
      </c>
      <c r="B17" s="1290" t="s">
        <v>2834</v>
      </c>
      <c r="C17" s="2660"/>
      <c r="D17" s="2648" t="s">
        <v>2833</v>
      </c>
      <c r="E17" s="2648">
        <v>1</v>
      </c>
      <c r="F17" s="1132">
        <v>30</v>
      </c>
      <c r="G17" s="1132">
        <f t="shared" si="2"/>
        <v>30</v>
      </c>
      <c r="H17" s="1132">
        <f t="shared" si="1"/>
        <v>30</v>
      </c>
      <c r="I17" s="1132">
        <f t="shared" si="0"/>
        <v>30</v>
      </c>
    </row>
    <row r="18" spans="1:11" ht="17.25" customHeight="1">
      <c r="A18" s="120">
        <v>9</v>
      </c>
      <c r="B18" s="1639" t="s">
        <v>48</v>
      </c>
      <c r="C18" s="2698"/>
      <c r="D18" s="2698"/>
      <c r="E18" s="2698"/>
      <c r="F18" s="2698"/>
      <c r="G18" s="2699">
        <f>SUM(G10:G17)</f>
        <v>3256.9</v>
      </c>
      <c r="H18" s="2645"/>
      <c r="I18" s="1642">
        <f>I11+I12+I13+I14+I15+I16+I17</f>
        <v>2952.1</v>
      </c>
      <c r="J18" s="85"/>
      <c r="K18" s="102"/>
    </row>
    <row r="19" spans="1:11" ht="16.5" customHeight="1">
      <c r="A19" s="120">
        <v>10</v>
      </c>
      <c r="B19" s="1639" t="s">
        <v>49</v>
      </c>
      <c r="C19" s="2692"/>
      <c r="D19" s="2692"/>
      <c r="E19" s="2692"/>
      <c r="F19" s="2692"/>
      <c r="G19" s="1642">
        <f>G18/1.18</f>
        <v>2760.0847457627119</v>
      </c>
      <c r="H19" s="2648"/>
      <c r="I19" s="1642">
        <f>I18/1.18</f>
        <v>2501.7796610169494</v>
      </c>
      <c r="J19" s="85"/>
      <c r="K19" s="102"/>
    </row>
    <row r="20" spans="1:11" ht="16.5" customHeight="1">
      <c r="A20" s="1650">
        <v>11</v>
      </c>
      <c r="B20" s="1619" t="s">
        <v>50</v>
      </c>
      <c r="C20" s="2693"/>
      <c r="D20" s="2693"/>
      <c r="E20" s="2693"/>
      <c r="F20" s="2694" t="s">
        <v>120</v>
      </c>
      <c r="G20" s="1132">
        <f>G18*F20</f>
        <v>244.26749999999998</v>
      </c>
      <c r="H20" s="2648">
        <v>7.4999999999999997E-2</v>
      </c>
      <c r="I20" s="1132">
        <f>I18*H20</f>
        <v>221.4075</v>
      </c>
      <c r="J20" s="803"/>
      <c r="K20" s="85"/>
    </row>
    <row r="21" spans="1:11" ht="18.75" customHeight="1">
      <c r="A21" s="1650">
        <v>12</v>
      </c>
      <c r="B21" s="1290" t="s">
        <v>2872</v>
      </c>
      <c r="C21" s="1633"/>
      <c r="D21" s="3517" t="s">
        <v>2850</v>
      </c>
      <c r="E21" s="3517"/>
      <c r="F21" s="3517"/>
      <c r="G21" s="1132">
        <v>840</v>
      </c>
      <c r="H21" s="2648"/>
      <c r="I21" s="1132">
        <v>840</v>
      </c>
    </row>
    <row r="22" spans="1:11" ht="17.25" customHeight="1">
      <c r="A22" s="1650">
        <v>13</v>
      </c>
      <c r="B22" s="1290" t="s">
        <v>1636</v>
      </c>
      <c r="C22" s="1633"/>
      <c r="D22" s="1633"/>
      <c r="E22" s="1633"/>
      <c r="F22" s="2648">
        <v>0.04</v>
      </c>
      <c r="G22" s="1132">
        <f>G19*F22</f>
        <v>110.40338983050847</v>
      </c>
      <c r="H22" s="2648">
        <v>0.04</v>
      </c>
      <c r="I22" s="1132">
        <f>I19*H22</f>
        <v>100.07118644067798</v>
      </c>
      <c r="J22" s="1939" t="s">
        <v>119</v>
      </c>
    </row>
    <row r="23" spans="1:11" ht="35.25" customHeight="1">
      <c r="A23" s="1650">
        <v>14</v>
      </c>
      <c r="B23" s="1619" t="s">
        <v>2865</v>
      </c>
      <c r="C23" s="1634"/>
      <c r="D23" s="1633"/>
      <c r="E23" s="1633"/>
      <c r="F23" s="1633"/>
      <c r="G23" s="1132">
        <f>(G18+G20+G21+G22)*0.125</f>
        <v>556.44636122881354</v>
      </c>
      <c r="H23" s="1132"/>
      <c r="I23" s="1132">
        <f>(I18+I20+I21+I22)*0.125</f>
        <v>514.19733580508466</v>
      </c>
    </row>
    <row r="24" spans="1:11" ht="30.75" customHeight="1">
      <c r="A24" s="1662">
        <v>15</v>
      </c>
      <c r="B24" s="2320" t="s">
        <v>2866</v>
      </c>
      <c r="C24" s="1634"/>
      <c r="D24" s="1633"/>
      <c r="E24" s="1633"/>
      <c r="F24" s="1633"/>
      <c r="G24" s="1642">
        <f>G19+G20+G21+G22+G23</f>
        <v>4511.2019968220338</v>
      </c>
      <c r="H24" s="1132"/>
      <c r="I24" s="1642">
        <f>I19+I20+I21+I22+I23</f>
        <v>4177.4556832627122</v>
      </c>
    </row>
    <row r="25" spans="1:11" ht="15.75" customHeight="1">
      <c r="A25" s="1760">
        <v>16</v>
      </c>
      <c r="B25" s="1619" t="s">
        <v>1637</v>
      </c>
      <c r="C25" s="1634"/>
      <c r="D25" s="1633"/>
      <c r="E25" s="1633"/>
      <c r="F25" s="2660">
        <v>0.09</v>
      </c>
      <c r="G25" s="1132">
        <f>F25*G24</f>
        <v>406.00817971398305</v>
      </c>
      <c r="H25" s="2660">
        <v>0.09</v>
      </c>
      <c r="I25" s="1132">
        <f>H25*I24</f>
        <v>375.97101149364408</v>
      </c>
    </row>
    <row r="26" spans="1:11" ht="15.75" customHeight="1">
      <c r="A26" s="1760">
        <v>17</v>
      </c>
      <c r="B26" s="1619" t="s">
        <v>1638</v>
      </c>
      <c r="C26" s="1634"/>
      <c r="D26" s="1633"/>
      <c r="E26" s="1633"/>
      <c r="F26" s="2660">
        <v>0.09</v>
      </c>
      <c r="G26" s="1132">
        <f>F26*G24</f>
        <v>406.00817971398305</v>
      </c>
      <c r="H26" s="2660">
        <v>0.09</v>
      </c>
      <c r="I26" s="1132">
        <f>H26*I24</f>
        <v>375.97101149364408</v>
      </c>
    </row>
    <row r="27" spans="1:11" ht="18.75" customHeight="1">
      <c r="A27" s="1650">
        <v>18</v>
      </c>
      <c r="B27" s="1619" t="s">
        <v>1639</v>
      </c>
      <c r="C27" s="1634"/>
      <c r="D27" s="1633"/>
      <c r="E27" s="1633"/>
      <c r="F27" s="1633"/>
      <c r="G27" s="1132">
        <f>G24+G25+G26</f>
        <v>5323.2183562499995</v>
      </c>
      <c r="H27" s="1132"/>
      <c r="I27" s="1132">
        <f>I24+I25+I26</f>
        <v>4929.3977062500007</v>
      </c>
    </row>
    <row r="28" spans="1:11" ht="15.75" customHeight="1">
      <c r="A28" s="1662">
        <v>19</v>
      </c>
      <c r="B28" s="3515" t="s">
        <v>2873</v>
      </c>
      <c r="C28" s="3515"/>
      <c r="D28" s="3515"/>
      <c r="E28" s="3515"/>
      <c r="F28" s="3515"/>
      <c r="G28" s="1642">
        <f>+G27</f>
        <v>5323.2183562499995</v>
      </c>
      <c r="H28" s="2648"/>
      <c r="I28" s="1642">
        <f>+I27</f>
        <v>4929.3977062500007</v>
      </c>
    </row>
    <row r="29" spans="1:11" ht="15.75" customHeight="1">
      <c r="A29" s="120">
        <v>20</v>
      </c>
      <c r="B29" s="3515" t="s">
        <v>2874</v>
      </c>
      <c r="C29" s="3515"/>
      <c r="D29" s="3515"/>
      <c r="E29" s="3515"/>
      <c r="F29" s="3515"/>
      <c r="G29" s="1642">
        <f>ROUND(G28,0)</f>
        <v>5323</v>
      </c>
      <c r="H29" s="1642"/>
      <c r="I29" s="1642">
        <f>ROUND(I28,0)</f>
        <v>4929</v>
      </c>
    </row>
    <row r="30" spans="1:11" ht="14.25">
      <c r="A30" s="92"/>
      <c r="B30" s="105"/>
      <c r="C30" s="105"/>
      <c r="D30" s="105"/>
      <c r="E30" s="105"/>
      <c r="F30" s="105"/>
      <c r="G30" s="105"/>
      <c r="H30" s="105"/>
    </row>
  </sheetData>
  <mergeCells count="13">
    <mergeCell ref="H5:I5"/>
    <mergeCell ref="A7:A8"/>
    <mergeCell ref="B7:B8"/>
    <mergeCell ref="C7:C8"/>
    <mergeCell ref="D7:D8"/>
    <mergeCell ref="E7:E8"/>
    <mergeCell ref="F7:G7"/>
    <mergeCell ref="H7:I7"/>
    <mergeCell ref="D21:F21"/>
    <mergeCell ref="B28:F28"/>
    <mergeCell ref="B29:F29"/>
    <mergeCell ref="B1:E1"/>
    <mergeCell ref="B3:G3"/>
  </mergeCells>
  <conditionalFormatting sqref="B10 C16:C17 B15:B17">
    <cfRule type="cellIs" dxfId="2" priority="3" stopIfTrue="1" operator="equal">
      <formula>"?"</formula>
    </cfRule>
  </conditionalFormatting>
  <conditionalFormatting sqref="B18">
    <cfRule type="cellIs" dxfId="1" priority="2" stopIfTrue="1" operator="equal">
      <formula>"?"</formula>
    </cfRule>
  </conditionalFormatting>
  <conditionalFormatting sqref="B19">
    <cfRule type="cellIs" dxfId="0" priority="1" stopIfTrue="1" operator="equal">
      <formula>"?"</formula>
    </cfRule>
  </conditionalFormatting>
  <pageMargins left="0.6692913385826772" right="0.15748031496062992" top="0.78740157480314965" bottom="0.31496062992125984" header="0.51181102362204722" footer="0.15748031496062992"/>
  <pageSetup orientation="landscape"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J75"/>
  <sheetViews>
    <sheetView workbookViewId="0">
      <pane xSplit="2" ySplit="9" topLeftCell="D46" activePane="bottomRight" state="frozen"/>
      <selection pane="topRight" activeCell="C1" sqref="C1"/>
      <selection pane="bottomLeft" activeCell="A10" sqref="A10"/>
      <selection pane="bottomRight" activeCell="K43" sqref="K43"/>
    </sheetView>
  </sheetViews>
  <sheetFormatPr defaultRowHeight="12.75"/>
  <cols>
    <col min="1" max="1" width="4.7109375" style="343" customWidth="1"/>
    <col min="2" max="2" width="49.85546875" style="4" customWidth="1"/>
    <col min="3" max="3" width="14.5703125" style="4" customWidth="1"/>
    <col min="4" max="4" width="6" style="4" bestFit="1" customWidth="1"/>
    <col min="5" max="5" width="6.42578125" style="4" bestFit="1" customWidth="1"/>
    <col min="6" max="6" width="9.5703125" style="4" bestFit="1" customWidth="1"/>
    <col min="7" max="7" width="12.140625" style="4" bestFit="1" customWidth="1"/>
    <col min="8" max="8" width="15.85546875" style="4" customWidth="1"/>
    <col min="9" max="9" width="11.28515625" style="4" customWidth="1"/>
    <col min="10" max="10" width="15.7109375" style="4" customWidth="1"/>
    <col min="11" max="256" width="9.140625" style="4"/>
    <col min="257" max="257" width="4.7109375" style="4" customWidth="1"/>
    <col min="258" max="258" width="49.85546875" style="4" customWidth="1"/>
    <col min="259" max="259" width="14.5703125" style="4" customWidth="1"/>
    <col min="260" max="260" width="6" style="4" bestFit="1" customWidth="1"/>
    <col min="261" max="261" width="6.42578125" style="4" bestFit="1" customWidth="1"/>
    <col min="262" max="262" width="9.5703125" style="4" bestFit="1" customWidth="1"/>
    <col min="263" max="263" width="12.140625" style="4" bestFit="1" customWidth="1"/>
    <col min="264" max="264" width="15.85546875" style="4" customWidth="1"/>
    <col min="265" max="265" width="11.28515625" style="4" customWidth="1"/>
    <col min="266" max="266" width="15.7109375" style="4" customWidth="1"/>
    <col min="267" max="512" width="9.140625" style="4"/>
    <col min="513" max="513" width="4.7109375" style="4" customWidth="1"/>
    <col min="514" max="514" width="49.85546875" style="4" customWidth="1"/>
    <col min="515" max="515" width="14.5703125" style="4" customWidth="1"/>
    <col min="516" max="516" width="6" style="4" bestFit="1" customWidth="1"/>
    <col min="517" max="517" width="6.42578125" style="4" bestFit="1" customWidth="1"/>
    <col min="518" max="518" width="9.5703125" style="4" bestFit="1" customWidth="1"/>
    <col min="519" max="519" width="12.140625" style="4" bestFit="1" customWidth="1"/>
    <col min="520" max="520" width="15.85546875" style="4" customWidth="1"/>
    <col min="521" max="521" width="11.28515625" style="4" customWidth="1"/>
    <col min="522" max="522" width="15.7109375" style="4" customWidth="1"/>
    <col min="523" max="768" width="9.140625" style="4"/>
    <col min="769" max="769" width="4.7109375" style="4" customWidth="1"/>
    <col min="770" max="770" width="49.85546875" style="4" customWidth="1"/>
    <col min="771" max="771" width="14.5703125" style="4" customWidth="1"/>
    <col min="772" max="772" width="6" style="4" bestFit="1" customWidth="1"/>
    <col min="773" max="773" width="6.42578125" style="4" bestFit="1" customWidth="1"/>
    <col min="774" max="774" width="9.5703125" style="4" bestFit="1" customWidth="1"/>
    <col min="775" max="775" width="12.140625" style="4" bestFit="1" customWidth="1"/>
    <col min="776" max="776" width="15.85546875" style="4" customWidth="1"/>
    <col min="777" max="777" width="11.28515625" style="4" customWidth="1"/>
    <col min="778" max="778" width="15.7109375" style="4" customWidth="1"/>
    <col min="779" max="1024" width="9.140625" style="4"/>
    <col min="1025" max="1025" width="4.7109375" style="4" customWidth="1"/>
    <col min="1026" max="1026" width="49.85546875" style="4" customWidth="1"/>
    <col min="1027" max="1027" width="14.5703125" style="4" customWidth="1"/>
    <col min="1028" max="1028" width="6" style="4" bestFit="1" customWidth="1"/>
    <col min="1029" max="1029" width="6.42578125" style="4" bestFit="1" customWidth="1"/>
    <col min="1030" max="1030" width="9.5703125" style="4" bestFit="1" customWidth="1"/>
    <col min="1031" max="1031" width="12.140625" style="4" bestFit="1" customWidth="1"/>
    <col min="1032" max="1032" width="15.85546875" style="4" customWidth="1"/>
    <col min="1033" max="1033" width="11.28515625" style="4" customWidth="1"/>
    <col min="1034" max="1034" width="15.7109375" style="4" customWidth="1"/>
    <col min="1035" max="1280" width="9.140625" style="4"/>
    <col min="1281" max="1281" width="4.7109375" style="4" customWidth="1"/>
    <col min="1282" max="1282" width="49.85546875" style="4" customWidth="1"/>
    <col min="1283" max="1283" width="14.5703125" style="4" customWidth="1"/>
    <col min="1284" max="1284" width="6" style="4" bestFit="1" customWidth="1"/>
    <col min="1285" max="1285" width="6.42578125" style="4" bestFit="1" customWidth="1"/>
    <col min="1286" max="1286" width="9.5703125" style="4" bestFit="1" customWidth="1"/>
    <col min="1287" max="1287" width="12.140625" style="4" bestFit="1" customWidth="1"/>
    <col min="1288" max="1288" width="15.85546875" style="4" customWidth="1"/>
    <col min="1289" max="1289" width="11.28515625" style="4" customWidth="1"/>
    <col min="1290" max="1290" width="15.7109375" style="4" customWidth="1"/>
    <col min="1291" max="1536" width="9.140625" style="4"/>
    <col min="1537" max="1537" width="4.7109375" style="4" customWidth="1"/>
    <col min="1538" max="1538" width="49.85546875" style="4" customWidth="1"/>
    <col min="1539" max="1539" width="14.5703125" style="4" customWidth="1"/>
    <col min="1540" max="1540" width="6" style="4" bestFit="1" customWidth="1"/>
    <col min="1541" max="1541" width="6.42578125" style="4" bestFit="1" customWidth="1"/>
    <col min="1542" max="1542" width="9.5703125" style="4" bestFit="1" customWidth="1"/>
    <col min="1543" max="1543" width="12.140625" style="4" bestFit="1" customWidth="1"/>
    <col min="1544" max="1544" width="15.85546875" style="4" customWidth="1"/>
    <col min="1545" max="1545" width="11.28515625" style="4" customWidth="1"/>
    <col min="1546" max="1546" width="15.7109375" style="4" customWidth="1"/>
    <col min="1547" max="1792" width="9.140625" style="4"/>
    <col min="1793" max="1793" width="4.7109375" style="4" customWidth="1"/>
    <col min="1794" max="1794" width="49.85546875" style="4" customWidth="1"/>
    <col min="1795" max="1795" width="14.5703125" style="4" customWidth="1"/>
    <col min="1796" max="1796" width="6" style="4" bestFit="1" customWidth="1"/>
    <col min="1797" max="1797" width="6.42578125" style="4" bestFit="1" customWidth="1"/>
    <col min="1798" max="1798" width="9.5703125" style="4" bestFit="1" customWidth="1"/>
    <col min="1799" max="1799" width="12.140625" style="4" bestFit="1" customWidth="1"/>
    <col min="1800" max="1800" width="15.85546875" style="4" customWidth="1"/>
    <col min="1801" max="1801" width="11.28515625" style="4" customWidth="1"/>
    <col min="1802" max="1802" width="15.7109375" style="4" customWidth="1"/>
    <col min="1803" max="2048" width="9.140625" style="4"/>
    <col min="2049" max="2049" width="4.7109375" style="4" customWidth="1"/>
    <col min="2050" max="2050" width="49.85546875" style="4" customWidth="1"/>
    <col min="2051" max="2051" width="14.5703125" style="4" customWidth="1"/>
    <col min="2052" max="2052" width="6" style="4" bestFit="1" customWidth="1"/>
    <col min="2053" max="2053" width="6.42578125" style="4" bestFit="1" customWidth="1"/>
    <col min="2054" max="2054" width="9.5703125" style="4" bestFit="1" customWidth="1"/>
    <col min="2055" max="2055" width="12.140625" style="4" bestFit="1" customWidth="1"/>
    <col min="2056" max="2056" width="15.85546875" style="4" customWidth="1"/>
    <col min="2057" max="2057" width="11.28515625" style="4" customWidth="1"/>
    <col min="2058" max="2058" width="15.7109375" style="4" customWidth="1"/>
    <col min="2059" max="2304" width="9.140625" style="4"/>
    <col min="2305" max="2305" width="4.7109375" style="4" customWidth="1"/>
    <col min="2306" max="2306" width="49.85546875" style="4" customWidth="1"/>
    <col min="2307" max="2307" width="14.5703125" style="4" customWidth="1"/>
    <col min="2308" max="2308" width="6" style="4" bestFit="1" customWidth="1"/>
    <col min="2309" max="2309" width="6.42578125" style="4" bestFit="1" customWidth="1"/>
    <col min="2310" max="2310" width="9.5703125" style="4" bestFit="1" customWidth="1"/>
    <col min="2311" max="2311" width="12.140625" style="4" bestFit="1" customWidth="1"/>
    <col min="2312" max="2312" width="15.85546875" style="4" customWidth="1"/>
    <col min="2313" max="2313" width="11.28515625" style="4" customWidth="1"/>
    <col min="2314" max="2314" width="15.7109375" style="4" customWidth="1"/>
    <col min="2315" max="2560" width="9.140625" style="4"/>
    <col min="2561" max="2561" width="4.7109375" style="4" customWidth="1"/>
    <col min="2562" max="2562" width="49.85546875" style="4" customWidth="1"/>
    <col min="2563" max="2563" width="14.5703125" style="4" customWidth="1"/>
    <col min="2564" max="2564" width="6" style="4" bestFit="1" customWidth="1"/>
    <col min="2565" max="2565" width="6.42578125" style="4" bestFit="1" customWidth="1"/>
    <col min="2566" max="2566" width="9.5703125" style="4" bestFit="1" customWidth="1"/>
    <col min="2567" max="2567" width="12.140625" style="4" bestFit="1" customWidth="1"/>
    <col min="2568" max="2568" width="15.85546875" style="4" customWidth="1"/>
    <col min="2569" max="2569" width="11.28515625" style="4" customWidth="1"/>
    <col min="2570" max="2570" width="15.7109375" style="4" customWidth="1"/>
    <col min="2571" max="2816" width="9.140625" style="4"/>
    <col min="2817" max="2817" width="4.7109375" style="4" customWidth="1"/>
    <col min="2818" max="2818" width="49.85546875" style="4" customWidth="1"/>
    <col min="2819" max="2819" width="14.5703125" style="4" customWidth="1"/>
    <col min="2820" max="2820" width="6" style="4" bestFit="1" customWidth="1"/>
    <col min="2821" max="2821" width="6.42578125" style="4" bestFit="1" customWidth="1"/>
    <col min="2822" max="2822" width="9.5703125" style="4" bestFit="1" customWidth="1"/>
    <col min="2823" max="2823" width="12.140625" style="4" bestFit="1" customWidth="1"/>
    <col min="2824" max="2824" width="15.85546875" style="4" customWidth="1"/>
    <col min="2825" max="2825" width="11.28515625" style="4" customWidth="1"/>
    <col min="2826" max="2826" width="15.7109375" style="4" customWidth="1"/>
    <col min="2827" max="3072" width="9.140625" style="4"/>
    <col min="3073" max="3073" width="4.7109375" style="4" customWidth="1"/>
    <col min="3074" max="3074" width="49.85546875" style="4" customWidth="1"/>
    <col min="3075" max="3075" width="14.5703125" style="4" customWidth="1"/>
    <col min="3076" max="3076" width="6" style="4" bestFit="1" customWidth="1"/>
    <col min="3077" max="3077" width="6.42578125" style="4" bestFit="1" customWidth="1"/>
    <col min="3078" max="3078" width="9.5703125" style="4" bestFit="1" customWidth="1"/>
    <col min="3079" max="3079" width="12.140625" style="4" bestFit="1" customWidth="1"/>
    <col min="3080" max="3080" width="15.85546875" style="4" customWidth="1"/>
    <col min="3081" max="3081" width="11.28515625" style="4" customWidth="1"/>
    <col min="3082" max="3082" width="15.7109375" style="4" customWidth="1"/>
    <col min="3083" max="3328" width="9.140625" style="4"/>
    <col min="3329" max="3329" width="4.7109375" style="4" customWidth="1"/>
    <col min="3330" max="3330" width="49.85546875" style="4" customWidth="1"/>
    <col min="3331" max="3331" width="14.5703125" style="4" customWidth="1"/>
    <col min="3332" max="3332" width="6" style="4" bestFit="1" customWidth="1"/>
    <col min="3333" max="3333" width="6.42578125" style="4" bestFit="1" customWidth="1"/>
    <col min="3334" max="3334" width="9.5703125" style="4" bestFit="1" customWidth="1"/>
    <col min="3335" max="3335" width="12.140625" style="4" bestFit="1" customWidth="1"/>
    <col min="3336" max="3336" width="15.85546875" style="4" customWidth="1"/>
    <col min="3337" max="3337" width="11.28515625" style="4" customWidth="1"/>
    <col min="3338" max="3338" width="15.7109375" style="4" customWidth="1"/>
    <col min="3339" max="3584" width="9.140625" style="4"/>
    <col min="3585" max="3585" width="4.7109375" style="4" customWidth="1"/>
    <col min="3586" max="3586" width="49.85546875" style="4" customWidth="1"/>
    <col min="3587" max="3587" width="14.5703125" style="4" customWidth="1"/>
    <col min="3588" max="3588" width="6" style="4" bestFit="1" customWidth="1"/>
    <col min="3589" max="3589" width="6.42578125" style="4" bestFit="1" customWidth="1"/>
    <col min="3590" max="3590" width="9.5703125" style="4" bestFit="1" customWidth="1"/>
    <col min="3591" max="3591" width="12.140625" style="4" bestFit="1" customWidth="1"/>
    <col min="3592" max="3592" width="15.85546875" style="4" customWidth="1"/>
    <col min="3593" max="3593" width="11.28515625" style="4" customWidth="1"/>
    <col min="3594" max="3594" width="15.7109375" style="4" customWidth="1"/>
    <col min="3595" max="3840" width="9.140625" style="4"/>
    <col min="3841" max="3841" width="4.7109375" style="4" customWidth="1"/>
    <col min="3842" max="3842" width="49.85546875" style="4" customWidth="1"/>
    <col min="3843" max="3843" width="14.5703125" style="4" customWidth="1"/>
    <col min="3844" max="3844" width="6" style="4" bestFit="1" customWidth="1"/>
    <col min="3845" max="3845" width="6.42578125" style="4" bestFit="1" customWidth="1"/>
    <col min="3846" max="3846" width="9.5703125" style="4" bestFit="1" customWidth="1"/>
    <col min="3847" max="3847" width="12.140625" style="4" bestFit="1" customWidth="1"/>
    <col min="3848" max="3848" width="15.85546875" style="4" customWidth="1"/>
    <col min="3849" max="3849" width="11.28515625" style="4" customWidth="1"/>
    <col min="3850" max="3850" width="15.7109375" style="4" customWidth="1"/>
    <col min="3851" max="4096" width="9.140625" style="4"/>
    <col min="4097" max="4097" width="4.7109375" style="4" customWidth="1"/>
    <col min="4098" max="4098" width="49.85546875" style="4" customWidth="1"/>
    <col min="4099" max="4099" width="14.5703125" style="4" customWidth="1"/>
    <col min="4100" max="4100" width="6" style="4" bestFit="1" customWidth="1"/>
    <col min="4101" max="4101" width="6.42578125" style="4" bestFit="1" customWidth="1"/>
    <col min="4102" max="4102" width="9.5703125" style="4" bestFit="1" customWidth="1"/>
    <col min="4103" max="4103" width="12.140625" style="4" bestFit="1" customWidth="1"/>
    <col min="4104" max="4104" width="15.85546875" style="4" customWidth="1"/>
    <col min="4105" max="4105" width="11.28515625" style="4" customWidth="1"/>
    <col min="4106" max="4106" width="15.7109375" style="4" customWidth="1"/>
    <col min="4107" max="4352" width="9.140625" style="4"/>
    <col min="4353" max="4353" width="4.7109375" style="4" customWidth="1"/>
    <col min="4354" max="4354" width="49.85546875" style="4" customWidth="1"/>
    <col min="4355" max="4355" width="14.5703125" style="4" customWidth="1"/>
    <col min="4356" max="4356" width="6" style="4" bestFit="1" customWidth="1"/>
    <col min="4357" max="4357" width="6.42578125" style="4" bestFit="1" customWidth="1"/>
    <col min="4358" max="4358" width="9.5703125" style="4" bestFit="1" customWidth="1"/>
    <col min="4359" max="4359" width="12.140625" style="4" bestFit="1" customWidth="1"/>
    <col min="4360" max="4360" width="15.85546875" style="4" customWidth="1"/>
    <col min="4361" max="4361" width="11.28515625" style="4" customWidth="1"/>
    <col min="4362" max="4362" width="15.7109375" style="4" customWidth="1"/>
    <col min="4363" max="4608" width="9.140625" style="4"/>
    <col min="4609" max="4609" width="4.7109375" style="4" customWidth="1"/>
    <col min="4610" max="4610" width="49.85546875" style="4" customWidth="1"/>
    <col min="4611" max="4611" width="14.5703125" style="4" customWidth="1"/>
    <col min="4612" max="4612" width="6" style="4" bestFit="1" customWidth="1"/>
    <col min="4613" max="4613" width="6.42578125" style="4" bestFit="1" customWidth="1"/>
    <col min="4614" max="4614" width="9.5703125" style="4" bestFit="1" customWidth="1"/>
    <col min="4615" max="4615" width="12.140625" style="4" bestFit="1" customWidth="1"/>
    <col min="4616" max="4616" width="15.85546875" style="4" customWidth="1"/>
    <col min="4617" max="4617" width="11.28515625" style="4" customWidth="1"/>
    <col min="4618" max="4618" width="15.7109375" style="4" customWidth="1"/>
    <col min="4619" max="4864" width="9.140625" style="4"/>
    <col min="4865" max="4865" width="4.7109375" style="4" customWidth="1"/>
    <col min="4866" max="4866" width="49.85546875" style="4" customWidth="1"/>
    <col min="4867" max="4867" width="14.5703125" style="4" customWidth="1"/>
    <col min="4868" max="4868" width="6" style="4" bestFit="1" customWidth="1"/>
    <col min="4869" max="4869" width="6.42578125" style="4" bestFit="1" customWidth="1"/>
    <col min="4870" max="4870" width="9.5703125" style="4" bestFit="1" customWidth="1"/>
    <col min="4871" max="4871" width="12.140625" style="4" bestFit="1" customWidth="1"/>
    <col min="4872" max="4872" width="15.85546875" style="4" customWidth="1"/>
    <col min="4873" max="4873" width="11.28515625" style="4" customWidth="1"/>
    <col min="4874" max="4874" width="15.7109375" style="4" customWidth="1"/>
    <col min="4875" max="5120" width="9.140625" style="4"/>
    <col min="5121" max="5121" width="4.7109375" style="4" customWidth="1"/>
    <col min="5122" max="5122" width="49.85546875" style="4" customWidth="1"/>
    <col min="5123" max="5123" width="14.5703125" style="4" customWidth="1"/>
    <col min="5124" max="5124" width="6" style="4" bestFit="1" customWidth="1"/>
    <col min="5125" max="5125" width="6.42578125" style="4" bestFit="1" customWidth="1"/>
    <col min="5126" max="5126" width="9.5703125" style="4" bestFit="1" customWidth="1"/>
    <col min="5127" max="5127" width="12.140625" style="4" bestFit="1" customWidth="1"/>
    <col min="5128" max="5128" width="15.85546875" style="4" customWidth="1"/>
    <col min="5129" max="5129" width="11.28515625" style="4" customWidth="1"/>
    <col min="5130" max="5130" width="15.7109375" style="4" customWidth="1"/>
    <col min="5131" max="5376" width="9.140625" style="4"/>
    <col min="5377" max="5377" width="4.7109375" style="4" customWidth="1"/>
    <col min="5378" max="5378" width="49.85546875" style="4" customWidth="1"/>
    <col min="5379" max="5379" width="14.5703125" style="4" customWidth="1"/>
    <col min="5380" max="5380" width="6" style="4" bestFit="1" customWidth="1"/>
    <col min="5381" max="5381" width="6.42578125" style="4" bestFit="1" customWidth="1"/>
    <col min="5382" max="5382" width="9.5703125" style="4" bestFit="1" customWidth="1"/>
    <col min="5383" max="5383" width="12.140625" style="4" bestFit="1" customWidth="1"/>
    <col min="5384" max="5384" width="15.85546875" style="4" customWidth="1"/>
    <col min="5385" max="5385" width="11.28515625" style="4" customWidth="1"/>
    <col min="5386" max="5386" width="15.7109375" style="4" customWidth="1"/>
    <col min="5387" max="5632" width="9.140625" style="4"/>
    <col min="5633" max="5633" width="4.7109375" style="4" customWidth="1"/>
    <col min="5634" max="5634" width="49.85546875" style="4" customWidth="1"/>
    <col min="5635" max="5635" width="14.5703125" style="4" customWidth="1"/>
    <col min="5636" max="5636" width="6" style="4" bestFit="1" customWidth="1"/>
    <col min="5637" max="5637" width="6.42578125" style="4" bestFit="1" customWidth="1"/>
    <col min="5638" max="5638" width="9.5703125" style="4" bestFit="1" customWidth="1"/>
    <col min="5639" max="5639" width="12.140625" style="4" bestFit="1" customWidth="1"/>
    <col min="5640" max="5640" width="15.85546875" style="4" customWidth="1"/>
    <col min="5641" max="5641" width="11.28515625" style="4" customWidth="1"/>
    <col min="5642" max="5642" width="15.7109375" style="4" customWidth="1"/>
    <col min="5643" max="5888" width="9.140625" style="4"/>
    <col min="5889" max="5889" width="4.7109375" style="4" customWidth="1"/>
    <col min="5890" max="5890" width="49.85546875" style="4" customWidth="1"/>
    <col min="5891" max="5891" width="14.5703125" style="4" customWidth="1"/>
    <col min="5892" max="5892" width="6" style="4" bestFit="1" customWidth="1"/>
    <col min="5893" max="5893" width="6.42578125" style="4" bestFit="1" customWidth="1"/>
    <col min="5894" max="5894" width="9.5703125" style="4" bestFit="1" customWidth="1"/>
    <col min="5895" max="5895" width="12.140625" style="4" bestFit="1" customWidth="1"/>
    <col min="5896" max="5896" width="15.85546875" style="4" customWidth="1"/>
    <col min="5897" max="5897" width="11.28515625" style="4" customWidth="1"/>
    <col min="5898" max="5898" width="15.7109375" style="4" customWidth="1"/>
    <col min="5899" max="6144" width="9.140625" style="4"/>
    <col min="6145" max="6145" width="4.7109375" style="4" customWidth="1"/>
    <col min="6146" max="6146" width="49.85546875" style="4" customWidth="1"/>
    <col min="6147" max="6147" width="14.5703125" style="4" customWidth="1"/>
    <col min="6148" max="6148" width="6" style="4" bestFit="1" customWidth="1"/>
    <col min="6149" max="6149" width="6.42578125" style="4" bestFit="1" customWidth="1"/>
    <col min="6150" max="6150" width="9.5703125" style="4" bestFit="1" customWidth="1"/>
    <col min="6151" max="6151" width="12.140625" style="4" bestFit="1" customWidth="1"/>
    <col min="6152" max="6152" width="15.85546875" style="4" customWidth="1"/>
    <col min="6153" max="6153" width="11.28515625" style="4" customWidth="1"/>
    <col min="6154" max="6154" width="15.7109375" style="4" customWidth="1"/>
    <col min="6155" max="6400" width="9.140625" style="4"/>
    <col min="6401" max="6401" width="4.7109375" style="4" customWidth="1"/>
    <col min="6402" max="6402" width="49.85546875" style="4" customWidth="1"/>
    <col min="6403" max="6403" width="14.5703125" style="4" customWidth="1"/>
    <col min="6404" max="6404" width="6" style="4" bestFit="1" customWidth="1"/>
    <col min="6405" max="6405" width="6.42578125" style="4" bestFit="1" customWidth="1"/>
    <col min="6406" max="6406" width="9.5703125" style="4" bestFit="1" customWidth="1"/>
    <col min="6407" max="6407" width="12.140625" style="4" bestFit="1" customWidth="1"/>
    <col min="6408" max="6408" width="15.85546875" style="4" customWidth="1"/>
    <col min="6409" max="6409" width="11.28515625" style="4" customWidth="1"/>
    <col min="6410" max="6410" width="15.7109375" style="4" customWidth="1"/>
    <col min="6411" max="6656" width="9.140625" style="4"/>
    <col min="6657" max="6657" width="4.7109375" style="4" customWidth="1"/>
    <col min="6658" max="6658" width="49.85546875" style="4" customWidth="1"/>
    <col min="6659" max="6659" width="14.5703125" style="4" customWidth="1"/>
    <col min="6660" max="6660" width="6" style="4" bestFit="1" customWidth="1"/>
    <col min="6661" max="6661" width="6.42578125" style="4" bestFit="1" customWidth="1"/>
    <col min="6662" max="6662" width="9.5703125" style="4" bestFit="1" customWidth="1"/>
    <col min="6663" max="6663" width="12.140625" style="4" bestFit="1" customWidth="1"/>
    <col min="6664" max="6664" width="15.85546875" style="4" customWidth="1"/>
    <col min="6665" max="6665" width="11.28515625" style="4" customWidth="1"/>
    <col min="6666" max="6666" width="15.7109375" style="4" customWidth="1"/>
    <col min="6667" max="6912" width="9.140625" style="4"/>
    <col min="6913" max="6913" width="4.7109375" style="4" customWidth="1"/>
    <col min="6914" max="6914" width="49.85546875" style="4" customWidth="1"/>
    <col min="6915" max="6915" width="14.5703125" style="4" customWidth="1"/>
    <col min="6916" max="6916" width="6" style="4" bestFit="1" customWidth="1"/>
    <col min="6917" max="6917" width="6.42578125" style="4" bestFit="1" customWidth="1"/>
    <col min="6918" max="6918" width="9.5703125" style="4" bestFit="1" customWidth="1"/>
    <col min="6919" max="6919" width="12.140625" style="4" bestFit="1" customWidth="1"/>
    <col min="6920" max="6920" width="15.85546875" style="4" customWidth="1"/>
    <col min="6921" max="6921" width="11.28515625" style="4" customWidth="1"/>
    <col min="6922" max="6922" width="15.7109375" style="4" customWidth="1"/>
    <col min="6923" max="7168" width="9.140625" style="4"/>
    <col min="7169" max="7169" width="4.7109375" style="4" customWidth="1"/>
    <col min="7170" max="7170" width="49.85546875" style="4" customWidth="1"/>
    <col min="7171" max="7171" width="14.5703125" style="4" customWidth="1"/>
    <col min="7172" max="7172" width="6" style="4" bestFit="1" customWidth="1"/>
    <col min="7173" max="7173" width="6.42578125" style="4" bestFit="1" customWidth="1"/>
    <col min="7174" max="7174" width="9.5703125" style="4" bestFit="1" customWidth="1"/>
    <col min="7175" max="7175" width="12.140625" style="4" bestFit="1" customWidth="1"/>
    <col min="7176" max="7176" width="15.85546875" style="4" customWidth="1"/>
    <col min="7177" max="7177" width="11.28515625" style="4" customWidth="1"/>
    <col min="7178" max="7178" width="15.7109375" style="4" customWidth="1"/>
    <col min="7179" max="7424" width="9.140625" style="4"/>
    <col min="7425" max="7425" width="4.7109375" style="4" customWidth="1"/>
    <col min="7426" max="7426" width="49.85546875" style="4" customWidth="1"/>
    <col min="7427" max="7427" width="14.5703125" style="4" customWidth="1"/>
    <col min="7428" max="7428" width="6" style="4" bestFit="1" customWidth="1"/>
    <col min="7429" max="7429" width="6.42578125" style="4" bestFit="1" customWidth="1"/>
    <col min="7430" max="7430" width="9.5703125" style="4" bestFit="1" customWidth="1"/>
    <col min="7431" max="7431" width="12.140625" style="4" bestFit="1" customWidth="1"/>
    <col min="7432" max="7432" width="15.85546875" style="4" customWidth="1"/>
    <col min="7433" max="7433" width="11.28515625" style="4" customWidth="1"/>
    <col min="7434" max="7434" width="15.7109375" style="4" customWidth="1"/>
    <col min="7435" max="7680" width="9.140625" style="4"/>
    <col min="7681" max="7681" width="4.7109375" style="4" customWidth="1"/>
    <col min="7682" max="7682" width="49.85546875" style="4" customWidth="1"/>
    <col min="7683" max="7683" width="14.5703125" style="4" customWidth="1"/>
    <col min="7684" max="7684" width="6" style="4" bestFit="1" customWidth="1"/>
    <col min="7685" max="7685" width="6.42578125" style="4" bestFit="1" customWidth="1"/>
    <col min="7686" max="7686" width="9.5703125" style="4" bestFit="1" customWidth="1"/>
    <col min="7687" max="7687" width="12.140625" style="4" bestFit="1" customWidth="1"/>
    <col min="7688" max="7688" width="15.85546875" style="4" customWidth="1"/>
    <col min="7689" max="7689" width="11.28515625" style="4" customWidth="1"/>
    <col min="7690" max="7690" width="15.7109375" style="4" customWidth="1"/>
    <col min="7691" max="7936" width="9.140625" style="4"/>
    <col min="7937" max="7937" width="4.7109375" style="4" customWidth="1"/>
    <col min="7938" max="7938" width="49.85546875" style="4" customWidth="1"/>
    <col min="7939" max="7939" width="14.5703125" style="4" customWidth="1"/>
    <col min="7940" max="7940" width="6" style="4" bestFit="1" customWidth="1"/>
    <col min="7941" max="7941" width="6.42578125" style="4" bestFit="1" customWidth="1"/>
    <col min="7942" max="7942" width="9.5703125" style="4" bestFit="1" customWidth="1"/>
    <col min="7943" max="7943" width="12.140625" style="4" bestFit="1" customWidth="1"/>
    <col min="7944" max="7944" width="15.85546875" style="4" customWidth="1"/>
    <col min="7945" max="7945" width="11.28515625" style="4" customWidth="1"/>
    <col min="7946" max="7946" width="15.7109375" style="4" customWidth="1"/>
    <col min="7947" max="8192" width="9.140625" style="4"/>
    <col min="8193" max="8193" width="4.7109375" style="4" customWidth="1"/>
    <col min="8194" max="8194" width="49.85546875" style="4" customWidth="1"/>
    <col min="8195" max="8195" width="14.5703125" style="4" customWidth="1"/>
    <col min="8196" max="8196" width="6" style="4" bestFit="1" customWidth="1"/>
    <col min="8197" max="8197" width="6.42578125" style="4" bestFit="1" customWidth="1"/>
    <col min="8198" max="8198" width="9.5703125" style="4" bestFit="1" customWidth="1"/>
    <col min="8199" max="8199" width="12.140625" style="4" bestFit="1" customWidth="1"/>
    <col min="8200" max="8200" width="15.85546875" style="4" customWidth="1"/>
    <col min="8201" max="8201" width="11.28515625" style="4" customWidth="1"/>
    <col min="8202" max="8202" width="15.7109375" style="4" customWidth="1"/>
    <col min="8203" max="8448" width="9.140625" style="4"/>
    <col min="8449" max="8449" width="4.7109375" style="4" customWidth="1"/>
    <col min="8450" max="8450" width="49.85546875" style="4" customWidth="1"/>
    <col min="8451" max="8451" width="14.5703125" style="4" customWidth="1"/>
    <col min="8452" max="8452" width="6" style="4" bestFit="1" customWidth="1"/>
    <col min="8453" max="8453" width="6.42578125" style="4" bestFit="1" customWidth="1"/>
    <col min="8454" max="8454" width="9.5703125" style="4" bestFit="1" customWidth="1"/>
    <col min="8455" max="8455" width="12.140625" style="4" bestFit="1" customWidth="1"/>
    <col min="8456" max="8456" width="15.85546875" style="4" customWidth="1"/>
    <col min="8457" max="8457" width="11.28515625" style="4" customWidth="1"/>
    <col min="8458" max="8458" width="15.7109375" style="4" customWidth="1"/>
    <col min="8459" max="8704" width="9.140625" style="4"/>
    <col min="8705" max="8705" width="4.7109375" style="4" customWidth="1"/>
    <col min="8706" max="8706" width="49.85546875" style="4" customWidth="1"/>
    <col min="8707" max="8707" width="14.5703125" style="4" customWidth="1"/>
    <col min="8708" max="8708" width="6" style="4" bestFit="1" customWidth="1"/>
    <col min="8709" max="8709" width="6.42578125" style="4" bestFit="1" customWidth="1"/>
    <col min="8710" max="8710" width="9.5703125" style="4" bestFit="1" customWidth="1"/>
    <col min="8711" max="8711" width="12.140625" style="4" bestFit="1" customWidth="1"/>
    <col min="8712" max="8712" width="15.85546875" style="4" customWidth="1"/>
    <col min="8713" max="8713" width="11.28515625" style="4" customWidth="1"/>
    <col min="8714" max="8714" width="15.7109375" style="4" customWidth="1"/>
    <col min="8715" max="8960" width="9.140625" style="4"/>
    <col min="8961" max="8961" width="4.7109375" style="4" customWidth="1"/>
    <col min="8962" max="8962" width="49.85546875" style="4" customWidth="1"/>
    <col min="8963" max="8963" width="14.5703125" style="4" customWidth="1"/>
    <col min="8964" max="8964" width="6" style="4" bestFit="1" customWidth="1"/>
    <col min="8965" max="8965" width="6.42578125" style="4" bestFit="1" customWidth="1"/>
    <col min="8966" max="8966" width="9.5703125" style="4" bestFit="1" customWidth="1"/>
    <col min="8967" max="8967" width="12.140625" style="4" bestFit="1" customWidth="1"/>
    <col min="8968" max="8968" width="15.85546875" style="4" customWidth="1"/>
    <col min="8969" max="8969" width="11.28515625" style="4" customWidth="1"/>
    <col min="8970" max="8970" width="15.7109375" style="4" customWidth="1"/>
    <col min="8971" max="9216" width="9.140625" style="4"/>
    <col min="9217" max="9217" width="4.7109375" style="4" customWidth="1"/>
    <col min="9218" max="9218" width="49.85546875" style="4" customWidth="1"/>
    <col min="9219" max="9219" width="14.5703125" style="4" customWidth="1"/>
    <col min="9220" max="9220" width="6" style="4" bestFit="1" customWidth="1"/>
    <col min="9221" max="9221" width="6.42578125" style="4" bestFit="1" customWidth="1"/>
    <col min="9222" max="9222" width="9.5703125" style="4" bestFit="1" customWidth="1"/>
    <col min="9223" max="9223" width="12.140625" style="4" bestFit="1" customWidth="1"/>
    <col min="9224" max="9224" width="15.85546875" style="4" customWidth="1"/>
    <col min="9225" max="9225" width="11.28515625" style="4" customWidth="1"/>
    <col min="9226" max="9226" width="15.7109375" style="4" customWidth="1"/>
    <col min="9227" max="9472" width="9.140625" style="4"/>
    <col min="9473" max="9473" width="4.7109375" style="4" customWidth="1"/>
    <col min="9474" max="9474" width="49.85546875" style="4" customWidth="1"/>
    <col min="9475" max="9475" width="14.5703125" style="4" customWidth="1"/>
    <col min="9476" max="9476" width="6" style="4" bestFit="1" customWidth="1"/>
    <col min="9477" max="9477" width="6.42578125" style="4" bestFit="1" customWidth="1"/>
    <col min="9478" max="9478" width="9.5703125" style="4" bestFit="1" customWidth="1"/>
    <col min="9479" max="9479" width="12.140625" style="4" bestFit="1" customWidth="1"/>
    <col min="9480" max="9480" width="15.85546875" style="4" customWidth="1"/>
    <col min="9481" max="9481" width="11.28515625" style="4" customWidth="1"/>
    <col min="9482" max="9482" width="15.7109375" style="4" customWidth="1"/>
    <col min="9483" max="9728" width="9.140625" style="4"/>
    <col min="9729" max="9729" width="4.7109375" style="4" customWidth="1"/>
    <col min="9730" max="9730" width="49.85546875" style="4" customWidth="1"/>
    <col min="9731" max="9731" width="14.5703125" style="4" customWidth="1"/>
    <col min="9732" max="9732" width="6" style="4" bestFit="1" customWidth="1"/>
    <col min="9733" max="9733" width="6.42578125" style="4" bestFit="1" customWidth="1"/>
    <col min="9734" max="9734" width="9.5703125" style="4" bestFit="1" customWidth="1"/>
    <col min="9735" max="9735" width="12.140625" style="4" bestFit="1" customWidth="1"/>
    <col min="9736" max="9736" width="15.85546875" style="4" customWidth="1"/>
    <col min="9737" max="9737" width="11.28515625" style="4" customWidth="1"/>
    <col min="9738" max="9738" width="15.7109375" style="4" customWidth="1"/>
    <col min="9739" max="9984" width="9.140625" style="4"/>
    <col min="9985" max="9985" width="4.7109375" style="4" customWidth="1"/>
    <col min="9986" max="9986" width="49.85546875" style="4" customWidth="1"/>
    <col min="9987" max="9987" width="14.5703125" style="4" customWidth="1"/>
    <col min="9988" max="9988" width="6" style="4" bestFit="1" customWidth="1"/>
    <col min="9989" max="9989" width="6.42578125" style="4" bestFit="1" customWidth="1"/>
    <col min="9990" max="9990" width="9.5703125" style="4" bestFit="1" customWidth="1"/>
    <col min="9991" max="9991" width="12.140625" style="4" bestFit="1" customWidth="1"/>
    <col min="9992" max="9992" width="15.85546875" style="4" customWidth="1"/>
    <col min="9993" max="9993" width="11.28515625" style="4" customWidth="1"/>
    <col min="9994" max="9994" width="15.7109375" style="4" customWidth="1"/>
    <col min="9995" max="10240" width="9.140625" style="4"/>
    <col min="10241" max="10241" width="4.7109375" style="4" customWidth="1"/>
    <col min="10242" max="10242" width="49.85546875" style="4" customWidth="1"/>
    <col min="10243" max="10243" width="14.5703125" style="4" customWidth="1"/>
    <col min="10244" max="10244" width="6" style="4" bestFit="1" customWidth="1"/>
    <col min="10245" max="10245" width="6.42578125" style="4" bestFit="1" customWidth="1"/>
    <col min="10246" max="10246" width="9.5703125" style="4" bestFit="1" customWidth="1"/>
    <col min="10247" max="10247" width="12.140625" style="4" bestFit="1" customWidth="1"/>
    <col min="10248" max="10248" width="15.85546875" style="4" customWidth="1"/>
    <col min="10249" max="10249" width="11.28515625" style="4" customWidth="1"/>
    <col min="10250" max="10250" width="15.7109375" style="4" customWidth="1"/>
    <col min="10251" max="10496" width="9.140625" style="4"/>
    <col min="10497" max="10497" width="4.7109375" style="4" customWidth="1"/>
    <col min="10498" max="10498" width="49.85546875" style="4" customWidth="1"/>
    <col min="10499" max="10499" width="14.5703125" style="4" customWidth="1"/>
    <col min="10500" max="10500" width="6" style="4" bestFit="1" customWidth="1"/>
    <col min="10501" max="10501" width="6.42578125" style="4" bestFit="1" customWidth="1"/>
    <col min="10502" max="10502" width="9.5703125" style="4" bestFit="1" customWidth="1"/>
    <col min="10503" max="10503" width="12.140625" style="4" bestFit="1" customWidth="1"/>
    <col min="10504" max="10504" width="15.85546875" style="4" customWidth="1"/>
    <col min="10505" max="10505" width="11.28515625" style="4" customWidth="1"/>
    <col min="10506" max="10506" width="15.7109375" style="4" customWidth="1"/>
    <col min="10507" max="10752" width="9.140625" style="4"/>
    <col min="10753" max="10753" width="4.7109375" style="4" customWidth="1"/>
    <col min="10754" max="10754" width="49.85546875" style="4" customWidth="1"/>
    <col min="10755" max="10755" width="14.5703125" style="4" customWidth="1"/>
    <col min="10756" max="10756" width="6" style="4" bestFit="1" customWidth="1"/>
    <col min="10757" max="10757" width="6.42578125" style="4" bestFit="1" customWidth="1"/>
    <col min="10758" max="10758" width="9.5703125" style="4" bestFit="1" customWidth="1"/>
    <col min="10759" max="10759" width="12.140625" style="4" bestFit="1" customWidth="1"/>
    <col min="10760" max="10760" width="15.85546875" style="4" customWidth="1"/>
    <col min="10761" max="10761" width="11.28515625" style="4" customWidth="1"/>
    <col min="10762" max="10762" width="15.7109375" style="4" customWidth="1"/>
    <col min="10763" max="11008" width="9.140625" style="4"/>
    <col min="11009" max="11009" width="4.7109375" style="4" customWidth="1"/>
    <col min="11010" max="11010" width="49.85546875" style="4" customWidth="1"/>
    <col min="11011" max="11011" width="14.5703125" style="4" customWidth="1"/>
    <col min="11012" max="11012" width="6" style="4" bestFit="1" customWidth="1"/>
    <col min="11013" max="11013" width="6.42578125" style="4" bestFit="1" customWidth="1"/>
    <col min="11014" max="11014" width="9.5703125" style="4" bestFit="1" customWidth="1"/>
    <col min="11015" max="11015" width="12.140625" style="4" bestFit="1" customWidth="1"/>
    <col min="11016" max="11016" width="15.85546875" style="4" customWidth="1"/>
    <col min="11017" max="11017" width="11.28515625" style="4" customWidth="1"/>
    <col min="11018" max="11018" width="15.7109375" style="4" customWidth="1"/>
    <col min="11019" max="11264" width="9.140625" style="4"/>
    <col min="11265" max="11265" width="4.7109375" style="4" customWidth="1"/>
    <col min="11266" max="11266" width="49.85546875" style="4" customWidth="1"/>
    <col min="11267" max="11267" width="14.5703125" style="4" customWidth="1"/>
    <col min="11268" max="11268" width="6" style="4" bestFit="1" customWidth="1"/>
    <col min="11269" max="11269" width="6.42578125" style="4" bestFit="1" customWidth="1"/>
    <col min="11270" max="11270" width="9.5703125" style="4" bestFit="1" customWidth="1"/>
    <col min="11271" max="11271" width="12.140625" style="4" bestFit="1" customWidth="1"/>
    <col min="11272" max="11272" width="15.85546875" style="4" customWidth="1"/>
    <col min="11273" max="11273" width="11.28515625" style="4" customWidth="1"/>
    <col min="11274" max="11274" width="15.7109375" style="4" customWidth="1"/>
    <col min="11275" max="11520" width="9.140625" style="4"/>
    <col min="11521" max="11521" width="4.7109375" style="4" customWidth="1"/>
    <col min="11522" max="11522" width="49.85546875" style="4" customWidth="1"/>
    <col min="11523" max="11523" width="14.5703125" style="4" customWidth="1"/>
    <col min="11524" max="11524" width="6" style="4" bestFit="1" customWidth="1"/>
    <col min="11525" max="11525" width="6.42578125" style="4" bestFit="1" customWidth="1"/>
    <col min="11526" max="11526" width="9.5703125" style="4" bestFit="1" customWidth="1"/>
    <col min="11527" max="11527" width="12.140625" style="4" bestFit="1" customWidth="1"/>
    <col min="11528" max="11528" width="15.85546875" style="4" customWidth="1"/>
    <col min="11529" max="11529" width="11.28515625" style="4" customWidth="1"/>
    <col min="11530" max="11530" width="15.7109375" style="4" customWidth="1"/>
    <col min="11531" max="11776" width="9.140625" style="4"/>
    <col min="11777" max="11777" width="4.7109375" style="4" customWidth="1"/>
    <col min="11778" max="11778" width="49.85546875" style="4" customWidth="1"/>
    <col min="11779" max="11779" width="14.5703125" style="4" customWidth="1"/>
    <col min="11780" max="11780" width="6" style="4" bestFit="1" customWidth="1"/>
    <col min="11781" max="11781" width="6.42578125" style="4" bestFit="1" customWidth="1"/>
    <col min="11782" max="11782" width="9.5703125" style="4" bestFit="1" customWidth="1"/>
    <col min="11783" max="11783" width="12.140625" style="4" bestFit="1" customWidth="1"/>
    <col min="11784" max="11784" width="15.85546875" style="4" customWidth="1"/>
    <col min="11785" max="11785" width="11.28515625" style="4" customWidth="1"/>
    <col min="11786" max="11786" width="15.7109375" style="4" customWidth="1"/>
    <col min="11787" max="12032" width="9.140625" style="4"/>
    <col min="12033" max="12033" width="4.7109375" style="4" customWidth="1"/>
    <col min="12034" max="12034" width="49.85546875" style="4" customWidth="1"/>
    <col min="12035" max="12035" width="14.5703125" style="4" customWidth="1"/>
    <col min="12036" max="12036" width="6" style="4" bestFit="1" customWidth="1"/>
    <col min="12037" max="12037" width="6.42578125" style="4" bestFit="1" customWidth="1"/>
    <col min="12038" max="12038" width="9.5703125" style="4" bestFit="1" customWidth="1"/>
    <col min="12039" max="12039" width="12.140625" style="4" bestFit="1" customWidth="1"/>
    <col min="12040" max="12040" width="15.85546875" style="4" customWidth="1"/>
    <col min="12041" max="12041" width="11.28515625" style="4" customWidth="1"/>
    <col min="12042" max="12042" width="15.7109375" style="4" customWidth="1"/>
    <col min="12043" max="12288" width="9.140625" style="4"/>
    <col min="12289" max="12289" width="4.7109375" style="4" customWidth="1"/>
    <col min="12290" max="12290" width="49.85546875" style="4" customWidth="1"/>
    <col min="12291" max="12291" width="14.5703125" style="4" customWidth="1"/>
    <col min="12292" max="12292" width="6" style="4" bestFit="1" customWidth="1"/>
    <col min="12293" max="12293" width="6.42578125" style="4" bestFit="1" customWidth="1"/>
    <col min="12294" max="12294" width="9.5703125" style="4" bestFit="1" customWidth="1"/>
    <col min="12295" max="12295" width="12.140625" style="4" bestFit="1" customWidth="1"/>
    <col min="12296" max="12296" width="15.85546875" style="4" customWidth="1"/>
    <col min="12297" max="12297" width="11.28515625" style="4" customWidth="1"/>
    <col min="12298" max="12298" width="15.7109375" style="4" customWidth="1"/>
    <col min="12299" max="12544" width="9.140625" style="4"/>
    <col min="12545" max="12545" width="4.7109375" style="4" customWidth="1"/>
    <col min="12546" max="12546" width="49.85546875" style="4" customWidth="1"/>
    <col min="12547" max="12547" width="14.5703125" style="4" customWidth="1"/>
    <col min="12548" max="12548" width="6" style="4" bestFit="1" customWidth="1"/>
    <col min="12549" max="12549" width="6.42578125" style="4" bestFit="1" customWidth="1"/>
    <col min="12550" max="12550" width="9.5703125" style="4" bestFit="1" customWidth="1"/>
    <col min="12551" max="12551" width="12.140625" style="4" bestFit="1" customWidth="1"/>
    <col min="12552" max="12552" width="15.85546875" style="4" customWidth="1"/>
    <col min="12553" max="12553" width="11.28515625" style="4" customWidth="1"/>
    <col min="12554" max="12554" width="15.7109375" style="4" customWidth="1"/>
    <col min="12555" max="12800" width="9.140625" style="4"/>
    <col min="12801" max="12801" width="4.7109375" style="4" customWidth="1"/>
    <col min="12802" max="12802" width="49.85546875" style="4" customWidth="1"/>
    <col min="12803" max="12803" width="14.5703125" style="4" customWidth="1"/>
    <col min="12804" max="12804" width="6" style="4" bestFit="1" customWidth="1"/>
    <col min="12805" max="12805" width="6.42578125" style="4" bestFit="1" customWidth="1"/>
    <col min="12806" max="12806" width="9.5703125" style="4" bestFit="1" customWidth="1"/>
    <col min="12807" max="12807" width="12.140625" style="4" bestFit="1" customWidth="1"/>
    <col min="12808" max="12808" width="15.85546875" style="4" customWidth="1"/>
    <col min="12809" max="12809" width="11.28515625" style="4" customWidth="1"/>
    <col min="12810" max="12810" width="15.7109375" style="4" customWidth="1"/>
    <col min="12811" max="13056" width="9.140625" style="4"/>
    <col min="13057" max="13057" width="4.7109375" style="4" customWidth="1"/>
    <col min="13058" max="13058" width="49.85546875" style="4" customWidth="1"/>
    <col min="13059" max="13059" width="14.5703125" style="4" customWidth="1"/>
    <col min="13060" max="13060" width="6" style="4" bestFit="1" customWidth="1"/>
    <col min="13061" max="13061" width="6.42578125" style="4" bestFit="1" customWidth="1"/>
    <col min="13062" max="13062" width="9.5703125" style="4" bestFit="1" customWidth="1"/>
    <col min="13063" max="13063" width="12.140625" style="4" bestFit="1" customWidth="1"/>
    <col min="13064" max="13064" width="15.85546875" style="4" customWidth="1"/>
    <col min="13065" max="13065" width="11.28515625" style="4" customWidth="1"/>
    <col min="13066" max="13066" width="15.7109375" style="4" customWidth="1"/>
    <col min="13067" max="13312" width="9.140625" style="4"/>
    <col min="13313" max="13313" width="4.7109375" style="4" customWidth="1"/>
    <col min="13314" max="13314" width="49.85546875" style="4" customWidth="1"/>
    <col min="13315" max="13315" width="14.5703125" style="4" customWidth="1"/>
    <col min="13316" max="13316" width="6" style="4" bestFit="1" customWidth="1"/>
    <col min="13317" max="13317" width="6.42578125" style="4" bestFit="1" customWidth="1"/>
    <col min="13318" max="13318" width="9.5703125" style="4" bestFit="1" customWidth="1"/>
    <col min="13319" max="13319" width="12.140625" style="4" bestFit="1" customWidth="1"/>
    <col min="13320" max="13320" width="15.85546875" style="4" customWidth="1"/>
    <col min="13321" max="13321" width="11.28515625" style="4" customWidth="1"/>
    <col min="13322" max="13322" width="15.7109375" style="4" customWidth="1"/>
    <col min="13323" max="13568" width="9.140625" style="4"/>
    <col min="13569" max="13569" width="4.7109375" style="4" customWidth="1"/>
    <col min="13570" max="13570" width="49.85546875" style="4" customWidth="1"/>
    <col min="13571" max="13571" width="14.5703125" style="4" customWidth="1"/>
    <col min="13572" max="13572" width="6" style="4" bestFit="1" customWidth="1"/>
    <col min="13573" max="13573" width="6.42578125" style="4" bestFit="1" customWidth="1"/>
    <col min="13574" max="13574" width="9.5703125" style="4" bestFit="1" customWidth="1"/>
    <col min="13575" max="13575" width="12.140625" style="4" bestFit="1" customWidth="1"/>
    <col min="13576" max="13576" width="15.85546875" style="4" customWidth="1"/>
    <col min="13577" max="13577" width="11.28515625" style="4" customWidth="1"/>
    <col min="13578" max="13578" width="15.7109375" style="4" customWidth="1"/>
    <col min="13579" max="13824" width="9.140625" style="4"/>
    <col min="13825" max="13825" width="4.7109375" style="4" customWidth="1"/>
    <col min="13826" max="13826" width="49.85546875" style="4" customWidth="1"/>
    <col min="13827" max="13827" width="14.5703125" style="4" customWidth="1"/>
    <col min="13828" max="13828" width="6" style="4" bestFit="1" customWidth="1"/>
    <col min="13829" max="13829" width="6.42578125" style="4" bestFit="1" customWidth="1"/>
    <col min="13830" max="13830" width="9.5703125" style="4" bestFit="1" customWidth="1"/>
    <col min="13831" max="13831" width="12.140625" style="4" bestFit="1" customWidth="1"/>
    <col min="13832" max="13832" width="15.85546875" style="4" customWidth="1"/>
    <col min="13833" max="13833" width="11.28515625" style="4" customWidth="1"/>
    <col min="13834" max="13834" width="15.7109375" style="4" customWidth="1"/>
    <col min="13835" max="14080" width="9.140625" style="4"/>
    <col min="14081" max="14081" width="4.7109375" style="4" customWidth="1"/>
    <col min="14082" max="14082" width="49.85546875" style="4" customWidth="1"/>
    <col min="14083" max="14083" width="14.5703125" style="4" customWidth="1"/>
    <col min="14084" max="14084" width="6" style="4" bestFit="1" customWidth="1"/>
    <col min="14085" max="14085" width="6.42578125" style="4" bestFit="1" customWidth="1"/>
    <col min="14086" max="14086" width="9.5703125" style="4" bestFit="1" customWidth="1"/>
    <col min="14087" max="14087" width="12.140625" style="4" bestFit="1" customWidth="1"/>
    <col min="14088" max="14088" width="15.85546875" style="4" customWidth="1"/>
    <col min="14089" max="14089" width="11.28515625" style="4" customWidth="1"/>
    <col min="14090" max="14090" width="15.7109375" style="4" customWidth="1"/>
    <col min="14091" max="14336" width="9.140625" style="4"/>
    <col min="14337" max="14337" width="4.7109375" style="4" customWidth="1"/>
    <col min="14338" max="14338" width="49.85546875" style="4" customWidth="1"/>
    <col min="14339" max="14339" width="14.5703125" style="4" customWidth="1"/>
    <col min="14340" max="14340" width="6" style="4" bestFit="1" customWidth="1"/>
    <col min="14341" max="14341" width="6.42578125" style="4" bestFit="1" customWidth="1"/>
    <col min="14342" max="14342" width="9.5703125" style="4" bestFit="1" customWidth="1"/>
    <col min="14343" max="14343" width="12.140625" style="4" bestFit="1" customWidth="1"/>
    <col min="14344" max="14344" width="15.85546875" style="4" customWidth="1"/>
    <col min="14345" max="14345" width="11.28515625" style="4" customWidth="1"/>
    <col min="14346" max="14346" width="15.7109375" style="4" customWidth="1"/>
    <col min="14347" max="14592" width="9.140625" style="4"/>
    <col min="14593" max="14593" width="4.7109375" style="4" customWidth="1"/>
    <col min="14594" max="14594" width="49.85546875" style="4" customWidth="1"/>
    <col min="14595" max="14595" width="14.5703125" style="4" customWidth="1"/>
    <col min="14596" max="14596" width="6" style="4" bestFit="1" customWidth="1"/>
    <col min="14597" max="14597" width="6.42578125" style="4" bestFit="1" customWidth="1"/>
    <col min="14598" max="14598" width="9.5703125" style="4" bestFit="1" customWidth="1"/>
    <col min="14599" max="14599" width="12.140625" style="4" bestFit="1" customWidth="1"/>
    <col min="14600" max="14600" width="15.85546875" style="4" customWidth="1"/>
    <col min="14601" max="14601" width="11.28515625" style="4" customWidth="1"/>
    <col min="14602" max="14602" width="15.7109375" style="4" customWidth="1"/>
    <col min="14603" max="14848" width="9.140625" style="4"/>
    <col min="14849" max="14849" width="4.7109375" style="4" customWidth="1"/>
    <col min="14850" max="14850" width="49.85546875" style="4" customWidth="1"/>
    <col min="14851" max="14851" width="14.5703125" style="4" customWidth="1"/>
    <col min="14852" max="14852" width="6" style="4" bestFit="1" customWidth="1"/>
    <col min="14853" max="14853" width="6.42578125" style="4" bestFit="1" customWidth="1"/>
    <col min="14854" max="14854" width="9.5703125" style="4" bestFit="1" customWidth="1"/>
    <col min="14855" max="14855" width="12.140625" style="4" bestFit="1" customWidth="1"/>
    <col min="14856" max="14856" width="15.85546875" style="4" customWidth="1"/>
    <col min="14857" max="14857" width="11.28515625" style="4" customWidth="1"/>
    <col min="14858" max="14858" width="15.7109375" style="4" customWidth="1"/>
    <col min="14859" max="15104" width="9.140625" style="4"/>
    <col min="15105" max="15105" width="4.7109375" style="4" customWidth="1"/>
    <col min="15106" max="15106" width="49.85546875" style="4" customWidth="1"/>
    <col min="15107" max="15107" width="14.5703125" style="4" customWidth="1"/>
    <col min="15108" max="15108" width="6" style="4" bestFit="1" customWidth="1"/>
    <col min="15109" max="15109" width="6.42578125" style="4" bestFit="1" customWidth="1"/>
    <col min="15110" max="15110" width="9.5703125" style="4" bestFit="1" customWidth="1"/>
    <col min="15111" max="15111" width="12.140625" style="4" bestFit="1" customWidth="1"/>
    <col min="15112" max="15112" width="15.85546875" style="4" customWidth="1"/>
    <col min="15113" max="15113" width="11.28515625" style="4" customWidth="1"/>
    <col min="15114" max="15114" width="15.7109375" style="4" customWidth="1"/>
    <col min="15115" max="15360" width="9.140625" style="4"/>
    <col min="15361" max="15361" width="4.7109375" style="4" customWidth="1"/>
    <col min="15362" max="15362" width="49.85546875" style="4" customWidth="1"/>
    <col min="15363" max="15363" width="14.5703125" style="4" customWidth="1"/>
    <col min="15364" max="15364" width="6" style="4" bestFit="1" customWidth="1"/>
    <col min="15365" max="15365" width="6.42578125" style="4" bestFit="1" customWidth="1"/>
    <col min="15366" max="15366" width="9.5703125" style="4" bestFit="1" customWidth="1"/>
    <col min="15367" max="15367" width="12.140625" style="4" bestFit="1" customWidth="1"/>
    <col min="15368" max="15368" width="15.85546875" style="4" customWidth="1"/>
    <col min="15369" max="15369" width="11.28515625" style="4" customWidth="1"/>
    <col min="15370" max="15370" width="15.7109375" style="4" customWidth="1"/>
    <col min="15371" max="15616" width="9.140625" style="4"/>
    <col min="15617" max="15617" width="4.7109375" style="4" customWidth="1"/>
    <col min="15618" max="15618" width="49.85546875" style="4" customWidth="1"/>
    <col min="15619" max="15619" width="14.5703125" style="4" customWidth="1"/>
    <col min="15620" max="15620" width="6" style="4" bestFit="1" customWidth="1"/>
    <col min="15621" max="15621" width="6.42578125" style="4" bestFit="1" customWidth="1"/>
    <col min="15622" max="15622" width="9.5703125" style="4" bestFit="1" customWidth="1"/>
    <col min="15623" max="15623" width="12.140625" style="4" bestFit="1" customWidth="1"/>
    <col min="15624" max="15624" width="15.85546875" style="4" customWidth="1"/>
    <col min="15625" max="15625" width="11.28515625" style="4" customWidth="1"/>
    <col min="15626" max="15626" width="15.7109375" style="4" customWidth="1"/>
    <col min="15627" max="15872" width="9.140625" style="4"/>
    <col min="15873" max="15873" width="4.7109375" style="4" customWidth="1"/>
    <col min="15874" max="15874" width="49.85546875" style="4" customWidth="1"/>
    <col min="15875" max="15875" width="14.5703125" style="4" customWidth="1"/>
    <col min="15876" max="15876" width="6" style="4" bestFit="1" customWidth="1"/>
    <col min="15877" max="15877" width="6.42578125" style="4" bestFit="1" customWidth="1"/>
    <col min="15878" max="15878" width="9.5703125" style="4" bestFit="1" customWidth="1"/>
    <col min="15879" max="15879" width="12.140625" style="4" bestFit="1" customWidth="1"/>
    <col min="15880" max="15880" width="15.85546875" style="4" customWidth="1"/>
    <col min="15881" max="15881" width="11.28515625" style="4" customWidth="1"/>
    <col min="15882" max="15882" width="15.7109375" style="4" customWidth="1"/>
    <col min="15883" max="16128" width="9.140625" style="4"/>
    <col min="16129" max="16129" width="4.7109375" style="4" customWidth="1"/>
    <col min="16130" max="16130" width="49.85546875" style="4" customWidth="1"/>
    <col min="16131" max="16131" width="14.5703125" style="4" customWidth="1"/>
    <col min="16132" max="16132" width="6" style="4" bestFit="1" customWidth="1"/>
    <col min="16133" max="16133" width="6.42578125" style="4" bestFit="1" customWidth="1"/>
    <col min="16134" max="16134" width="9.5703125" style="4" bestFit="1" customWidth="1"/>
    <col min="16135" max="16135" width="12.140625" style="4" bestFit="1" customWidth="1"/>
    <col min="16136" max="16136" width="15.85546875" style="4" customWidth="1"/>
    <col min="16137" max="16137" width="11.28515625" style="4" customWidth="1"/>
    <col min="16138" max="16138" width="15.7109375" style="4" customWidth="1"/>
    <col min="16139" max="16384" width="9.140625" style="4"/>
  </cols>
  <sheetData>
    <row r="1" spans="1:10" ht="18">
      <c r="B1" s="3103" t="s">
        <v>1585</v>
      </c>
      <c r="C1" s="3103"/>
      <c r="D1" s="3103"/>
      <c r="E1" s="500"/>
      <c r="F1" s="500"/>
      <c r="G1" s="500"/>
    </row>
    <row r="2" spans="1:10" ht="9" customHeight="1">
      <c r="A2" s="496"/>
      <c r="B2" s="496"/>
      <c r="C2" s="496"/>
      <c r="D2" s="496"/>
      <c r="E2" s="496"/>
      <c r="F2" s="496"/>
      <c r="G2" s="496"/>
    </row>
    <row r="3" spans="1:10" ht="36" customHeight="1">
      <c r="B3" s="3061" t="s">
        <v>1586</v>
      </c>
      <c r="C3" s="3061"/>
      <c r="D3" s="3061"/>
      <c r="E3" s="3061"/>
      <c r="F3" s="3061"/>
      <c r="G3" s="3061"/>
    </row>
    <row r="4" spans="1:10" ht="9.75" customHeight="1">
      <c r="B4" s="501"/>
      <c r="C4" s="501"/>
      <c r="D4" s="501"/>
      <c r="E4" s="501"/>
      <c r="F4" s="501"/>
      <c r="G4" s="501"/>
    </row>
    <row r="5" spans="1:10" ht="18" customHeight="1">
      <c r="A5" s="502"/>
      <c r="B5" s="503"/>
      <c r="C5" s="503"/>
      <c r="D5" s="503"/>
      <c r="E5" s="503"/>
      <c r="F5" s="3104" t="s">
        <v>89</v>
      </c>
      <c r="G5" s="3104"/>
    </row>
    <row r="6" spans="1:10" ht="15.75" customHeight="1">
      <c r="A6" s="257"/>
      <c r="B6" s="257"/>
      <c r="C6" s="257"/>
      <c r="D6" s="257"/>
      <c r="E6" s="257"/>
    </row>
    <row r="7" spans="1:10" ht="32.25" customHeight="1">
      <c r="A7" s="3054" t="s">
        <v>1568</v>
      </c>
      <c r="B7" s="3054" t="s">
        <v>1587</v>
      </c>
      <c r="C7" s="3054" t="s">
        <v>1569</v>
      </c>
      <c r="D7" s="3105" t="s">
        <v>1570</v>
      </c>
      <c r="E7" s="3099" t="s">
        <v>1571</v>
      </c>
      <c r="F7" s="3099"/>
      <c r="G7" s="3099"/>
    </row>
    <row r="8" spans="1:10" ht="17.25" customHeight="1">
      <c r="A8" s="3054"/>
      <c r="B8" s="3054"/>
      <c r="C8" s="3054"/>
      <c r="D8" s="3106"/>
      <c r="E8" s="235" t="s">
        <v>95</v>
      </c>
      <c r="F8" s="235" t="s">
        <v>9</v>
      </c>
      <c r="G8" s="235" t="s">
        <v>10</v>
      </c>
    </row>
    <row r="9" spans="1:10" ht="17.25" customHeight="1">
      <c r="A9" s="411">
        <v>1</v>
      </c>
      <c r="B9" s="411">
        <v>2</v>
      </c>
      <c r="C9" s="411">
        <v>3</v>
      </c>
      <c r="D9" s="411">
        <v>4</v>
      </c>
      <c r="E9" s="411">
        <v>5</v>
      </c>
      <c r="F9" s="444">
        <v>6</v>
      </c>
      <c r="G9" s="411">
        <v>7</v>
      </c>
    </row>
    <row r="10" spans="1:10" ht="33.75" customHeight="1">
      <c r="A10" s="920">
        <v>1</v>
      </c>
      <c r="B10" s="1097" t="s">
        <v>1588</v>
      </c>
      <c r="C10" s="1088">
        <v>7130601958</v>
      </c>
      <c r="D10" s="920" t="s">
        <v>1575</v>
      </c>
      <c r="E10" s="1136">
        <f>964.6</f>
        <v>964.6</v>
      </c>
      <c r="F10" s="1090">
        <f>VLOOKUP(C10,'SOR RATE'!A:D,4,0)/1000</f>
        <v>64.326520000000002</v>
      </c>
      <c r="G10" s="1090">
        <f>E10*F10</f>
        <v>62049.361192000004</v>
      </c>
    </row>
    <row r="11" spans="1:10" ht="17.25" customHeight="1">
      <c r="A11" s="920">
        <v>2</v>
      </c>
      <c r="B11" s="1104" t="s">
        <v>1589</v>
      </c>
      <c r="C11" s="1136">
        <v>7130810608</v>
      </c>
      <c r="D11" s="920" t="s">
        <v>1590</v>
      </c>
      <c r="E11" s="920">
        <v>1</v>
      </c>
      <c r="F11" s="1090">
        <f>VLOOKUP(C11,'SOR RATE'!A:D,4,0)</f>
        <v>7080.84</v>
      </c>
      <c r="G11" s="1090">
        <f t="shared" ref="G11" si="0">E11*F11</f>
        <v>7080.84</v>
      </c>
    </row>
    <row r="12" spans="1:10" s="22" customFormat="1" ht="32.25" customHeight="1">
      <c r="A12" s="920">
        <v>3</v>
      </c>
      <c r="B12" s="1104" t="s">
        <v>1591</v>
      </c>
      <c r="C12" s="1136">
        <v>7130870318</v>
      </c>
      <c r="D12" s="920" t="s">
        <v>40</v>
      </c>
      <c r="E12" s="920">
        <v>6</v>
      </c>
      <c r="F12" s="1090">
        <f>VLOOKUP(C12,'SOR RATE'!A:D,4,0)</f>
        <v>1255.71</v>
      </c>
      <c r="G12" s="1090">
        <f>E12*F12</f>
        <v>7534.26</v>
      </c>
    </row>
    <row r="13" spans="1:10" ht="30.75" customHeight="1">
      <c r="A13" s="920">
        <v>4</v>
      </c>
      <c r="B13" s="1104" t="s">
        <v>1592</v>
      </c>
      <c r="C13" s="1136">
        <v>7130820312</v>
      </c>
      <c r="D13" s="920" t="s">
        <v>40</v>
      </c>
      <c r="E13" s="920">
        <v>3</v>
      </c>
      <c r="F13" s="1090">
        <f>VLOOKUP(C13,'SOR RATE'!A:D,4,0)</f>
        <v>2732.4</v>
      </c>
      <c r="G13" s="1090">
        <f>E13*F13</f>
        <v>8197.2000000000007</v>
      </c>
    </row>
    <row r="14" spans="1:10" ht="18" customHeight="1">
      <c r="A14" s="920">
        <v>5</v>
      </c>
      <c r="B14" s="923" t="s">
        <v>1476</v>
      </c>
      <c r="C14" s="1088">
        <v>7130820013</v>
      </c>
      <c r="D14" s="920" t="s">
        <v>68</v>
      </c>
      <c r="E14" s="920">
        <v>9</v>
      </c>
      <c r="F14" s="1090">
        <f>VLOOKUP(C14,'SOR RATE'!A:D,4,0)</f>
        <v>216.4</v>
      </c>
      <c r="G14" s="1090">
        <f>E14*F14</f>
        <v>1947.6000000000001</v>
      </c>
      <c r="H14" s="60"/>
      <c r="I14" s="239"/>
      <c r="J14" s="212"/>
    </row>
    <row r="15" spans="1:10" ht="18.75" customHeight="1">
      <c r="A15" s="920">
        <v>6</v>
      </c>
      <c r="B15" s="1104" t="s">
        <v>1572</v>
      </c>
      <c r="C15" s="1136">
        <v>7130870013</v>
      </c>
      <c r="D15" s="920" t="s">
        <v>68</v>
      </c>
      <c r="E15" s="920">
        <v>2</v>
      </c>
      <c r="F15" s="1090">
        <f>VLOOKUP(C15,'SOR RATE'!A:D,4,0)</f>
        <v>152.88999999999999</v>
      </c>
      <c r="G15" s="1090">
        <f>E15*F15</f>
        <v>305.77999999999997</v>
      </c>
    </row>
    <row r="16" spans="1:10" ht="16.5" customHeight="1">
      <c r="A16" s="3056">
        <v>7</v>
      </c>
      <c r="B16" s="1104" t="s">
        <v>1593</v>
      </c>
      <c r="C16" s="1162" t="s">
        <v>181</v>
      </c>
      <c r="D16" s="920" t="s">
        <v>68</v>
      </c>
      <c r="E16" s="920">
        <v>1</v>
      </c>
      <c r="F16" s="1090"/>
      <c r="G16" s="1090"/>
    </row>
    <row r="17" spans="1:9" ht="16.5" customHeight="1">
      <c r="A17" s="3057"/>
      <c r="B17" s="923" t="s">
        <v>100</v>
      </c>
      <c r="C17" s="1088">
        <v>7130810692</v>
      </c>
      <c r="D17" s="1098" t="s">
        <v>15</v>
      </c>
      <c r="E17" s="1247">
        <v>4</v>
      </c>
      <c r="F17" s="1090">
        <f>VLOOKUP(C17,'SOR RATE'!A:D,4,0)</f>
        <v>410.25</v>
      </c>
      <c r="G17" s="1090">
        <f>E17*F17</f>
        <v>1641</v>
      </c>
    </row>
    <row r="18" spans="1:9" ht="15.75" customHeight="1">
      <c r="A18" s="3058"/>
      <c r="B18" s="923" t="s">
        <v>1594</v>
      </c>
      <c r="C18" s="1088">
        <v>7130600032</v>
      </c>
      <c r="D18" s="1247" t="s">
        <v>26</v>
      </c>
      <c r="E18" s="1247">
        <v>60</v>
      </c>
      <c r="F18" s="1090">
        <f>VLOOKUP(C18,'SOR RATE'!A:D,4,0)/1000</f>
        <v>54.512970000000003</v>
      </c>
      <c r="G18" s="1090">
        <f>E18*F18</f>
        <v>3270.7782000000002</v>
      </c>
    </row>
    <row r="19" spans="1:9" ht="17.25" customHeight="1">
      <c r="A19" s="920">
        <v>8</v>
      </c>
      <c r="B19" s="1104" t="s">
        <v>1595</v>
      </c>
      <c r="C19" s="1136">
        <v>7130860033</v>
      </c>
      <c r="D19" s="920" t="s">
        <v>1573</v>
      </c>
      <c r="E19" s="920">
        <v>6</v>
      </c>
      <c r="F19" s="1090">
        <f>VLOOKUP(C19,'SOR RATE'!A:D,4,0)</f>
        <v>1031.6600000000001</v>
      </c>
      <c r="G19" s="1090">
        <f t="shared" ref="G19:G24" si="1">E19*F19</f>
        <v>6189.9600000000009</v>
      </c>
    </row>
    <row r="20" spans="1:9" ht="16.5" customHeight="1">
      <c r="A20" s="920">
        <v>9</v>
      </c>
      <c r="B20" s="1097" t="s">
        <v>1574</v>
      </c>
      <c r="C20" s="1088">
        <v>7130810692</v>
      </c>
      <c r="D20" s="1098" t="s">
        <v>15</v>
      </c>
      <c r="E20" s="920">
        <v>9</v>
      </c>
      <c r="F20" s="1090">
        <f>VLOOKUP(C20,'SOR RATE'!A:D,4,0)</f>
        <v>410.25</v>
      </c>
      <c r="G20" s="1090">
        <f t="shared" si="1"/>
        <v>3692.25</v>
      </c>
    </row>
    <row r="21" spans="1:9" ht="16.5" customHeight="1">
      <c r="A21" s="920">
        <v>10</v>
      </c>
      <c r="B21" s="1104" t="s">
        <v>1596</v>
      </c>
      <c r="C21" s="1162">
        <v>7130860076</v>
      </c>
      <c r="D21" s="920" t="s">
        <v>1575</v>
      </c>
      <c r="E21" s="920">
        <v>51</v>
      </c>
      <c r="F21" s="1090">
        <f>VLOOKUP(C21,'SOR RATE'!A:D,4,0)/1000</f>
        <v>92.856940000000009</v>
      </c>
      <c r="G21" s="1090">
        <f t="shared" si="1"/>
        <v>4735.7039400000003</v>
      </c>
    </row>
    <row r="22" spans="1:9" ht="48" customHeight="1">
      <c r="A22" s="920">
        <v>11</v>
      </c>
      <c r="B22" s="1104" t="s">
        <v>1597</v>
      </c>
      <c r="C22" s="1136">
        <v>7130200202</v>
      </c>
      <c r="D22" s="920" t="s">
        <v>1576</v>
      </c>
      <c r="E22" s="920">
        <f>(0.65*2)+(0.3*6)</f>
        <v>3.0999999999999996</v>
      </c>
      <c r="F22" s="1090">
        <f>VLOOKUP(C22,'SOR RATE'!A:D,4,0)</f>
        <v>2970</v>
      </c>
      <c r="G22" s="1090">
        <f t="shared" si="1"/>
        <v>9206.9999999999982</v>
      </c>
      <c r="H22" s="397" t="s">
        <v>47</v>
      </c>
    </row>
    <row r="23" spans="1:9" ht="18" customHeight="1">
      <c r="A23" s="920">
        <v>12</v>
      </c>
      <c r="B23" s="1104" t="s">
        <v>28</v>
      </c>
      <c r="C23" s="1136">
        <v>7130211158</v>
      </c>
      <c r="D23" s="920" t="s">
        <v>261</v>
      </c>
      <c r="E23" s="920">
        <v>2</v>
      </c>
      <c r="F23" s="1090">
        <f>VLOOKUP(C23,'SOR RATE'!A:D,4,0)</f>
        <v>193.62</v>
      </c>
      <c r="G23" s="1090">
        <f t="shared" si="1"/>
        <v>387.24</v>
      </c>
    </row>
    <row r="24" spans="1:9" ht="18" customHeight="1">
      <c r="A24" s="920">
        <v>13</v>
      </c>
      <c r="B24" s="1104" t="s">
        <v>30</v>
      </c>
      <c r="C24" s="1136">
        <v>7130210809</v>
      </c>
      <c r="D24" s="920" t="s">
        <v>261</v>
      </c>
      <c r="E24" s="920">
        <v>2</v>
      </c>
      <c r="F24" s="1090">
        <f>VLOOKUP(C24,'SOR RATE'!A:D,4,0)</f>
        <v>432.63</v>
      </c>
      <c r="G24" s="1090">
        <f t="shared" si="1"/>
        <v>865.26</v>
      </c>
    </row>
    <row r="25" spans="1:9" ht="18.75" customHeight="1">
      <c r="A25" s="920">
        <v>14</v>
      </c>
      <c r="B25" s="1097" t="s">
        <v>1441</v>
      </c>
      <c r="C25" s="1088">
        <v>7130610206</v>
      </c>
      <c r="D25" s="920" t="s">
        <v>26</v>
      </c>
      <c r="E25" s="920">
        <v>4</v>
      </c>
      <c r="F25" s="1090">
        <f>VLOOKUP(C25,'SOR RATE'!A:D,4,0)/1000</f>
        <v>97.233429999999998</v>
      </c>
      <c r="G25" s="1090">
        <f>E25*F25</f>
        <v>388.93371999999999</v>
      </c>
      <c r="H25" s="60"/>
      <c r="I25" s="239"/>
    </row>
    <row r="26" spans="1:9" ht="15.75" customHeight="1">
      <c r="A26" s="920">
        <v>15</v>
      </c>
      <c r="B26" s="1104" t="s">
        <v>128</v>
      </c>
      <c r="C26" s="1136">
        <v>7130880041</v>
      </c>
      <c r="D26" s="920" t="s">
        <v>12</v>
      </c>
      <c r="E26" s="920">
        <v>2</v>
      </c>
      <c r="F26" s="1090">
        <f>VLOOKUP(C26,'SOR RATE'!A:D,4,0)</f>
        <v>113.77</v>
      </c>
      <c r="G26" s="1090">
        <f>E26*F26</f>
        <v>227.54</v>
      </c>
    </row>
    <row r="27" spans="1:9" ht="17.25" customHeight="1">
      <c r="A27" s="920">
        <v>16</v>
      </c>
      <c r="B27" s="1104" t="s">
        <v>1584</v>
      </c>
      <c r="C27" s="1136">
        <v>7130810624</v>
      </c>
      <c r="D27" s="920" t="s">
        <v>68</v>
      </c>
      <c r="E27" s="920">
        <v>6</v>
      </c>
      <c r="F27" s="1090">
        <f>VLOOKUP(C27,'SOR RATE'!A:D,4,0)</f>
        <v>114.38</v>
      </c>
      <c r="G27" s="1090">
        <f>E27*F27</f>
        <v>686.28</v>
      </c>
    </row>
    <row r="28" spans="1:9" ht="18" customHeight="1">
      <c r="A28" s="3100">
        <v>17</v>
      </c>
      <c r="B28" s="1248" t="s">
        <v>1577</v>
      </c>
      <c r="C28" s="1162"/>
      <c r="D28" s="920" t="s">
        <v>1575</v>
      </c>
      <c r="E28" s="920">
        <f>SUM(E29:E35)</f>
        <v>15</v>
      </c>
      <c r="F28" s="1090"/>
      <c r="G28" s="1090"/>
    </row>
    <row r="29" spans="1:9" ht="18" customHeight="1">
      <c r="A29" s="3101"/>
      <c r="B29" s="1104" t="s">
        <v>79</v>
      </c>
      <c r="C29" s="1136">
        <v>7130620609</v>
      </c>
      <c r="D29" s="920" t="s">
        <v>1575</v>
      </c>
      <c r="E29" s="920">
        <v>1</v>
      </c>
      <c r="F29" s="1090">
        <f>VLOOKUP(C29,'SOR RATE'!A:D,4,0)</f>
        <v>87.23</v>
      </c>
      <c r="G29" s="1090">
        <f t="shared" ref="G29:G35" si="2">E29*F29</f>
        <v>87.23</v>
      </c>
    </row>
    <row r="30" spans="1:9" ht="18" customHeight="1">
      <c r="A30" s="3101"/>
      <c r="B30" s="1104" t="s">
        <v>1578</v>
      </c>
      <c r="C30" s="1136">
        <v>7130620614</v>
      </c>
      <c r="D30" s="920" t="s">
        <v>1575</v>
      </c>
      <c r="E30" s="920">
        <v>3</v>
      </c>
      <c r="F30" s="1090">
        <f>VLOOKUP(C30,'SOR RATE'!A:D,4,0)</f>
        <v>85.77</v>
      </c>
      <c r="G30" s="1090">
        <f t="shared" si="2"/>
        <v>257.31</v>
      </c>
    </row>
    <row r="31" spans="1:9" ht="18" customHeight="1">
      <c r="A31" s="3101"/>
      <c r="B31" s="1104" t="s">
        <v>1579</v>
      </c>
      <c r="C31" s="1136">
        <v>7130620619</v>
      </c>
      <c r="D31" s="920" t="s">
        <v>1575</v>
      </c>
      <c r="E31" s="920">
        <v>1</v>
      </c>
      <c r="F31" s="1090">
        <f>VLOOKUP(C31,'SOR RATE'!A:D,4,0)</f>
        <v>85.77</v>
      </c>
      <c r="G31" s="1090">
        <f t="shared" si="2"/>
        <v>85.77</v>
      </c>
    </row>
    <row r="32" spans="1:9" ht="18" customHeight="1">
      <c r="A32" s="3101"/>
      <c r="B32" s="1104" t="s">
        <v>1580</v>
      </c>
      <c r="C32" s="1136">
        <v>7130620625</v>
      </c>
      <c r="D32" s="920" t="s">
        <v>1575</v>
      </c>
      <c r="E32" s="920">
        <v>2</v>
      </c>
      <c r="F32" s="1090">
        <f>VLOOKUP(C32,'SOR RATE'!A:D,4,0)</f>
        <v>84.32</v>
      </c>
      <c r="G32" s="1090">
        <f t="shared" si="2"/>
        <v>168.64</v>
      </c>
    </row>
    <row r="33" spans="1:10" ht="18" customHeight="1">
      <c r="A33" s="3101"/>
      <c r="B33" s="1104" t="s">
        <v>1581</v>
      </c>
      <c r="C33" s="1136">
        <v>7130620627</v>
      </c>
      <c r="D33" s="920" t="s">
        <v>1575</v>
      </c>
      <c r="E33" s="920">
        <v>2</v>
      </c>
      <c r="F33" s="1090">
        <f>VLOOKUP(C33,'SOR RATE'!A:D,4,0)</f>
        <v>84.32</v>
      </c>
      <c r="G33" s="1090">
        <f t="shared" si="2"/>
        <v>168.64</v>
      </c>
    </row>
    <row r="34" spans="1:10" ht="18" customHeight="1">
      <c r="A34" s="3101"/>
      <c r="B34" s="1104" t="s">
        <v>1582</v>
      </c>
      <c r="C34" s="1136">
        <v>7130620631</v>
      </c>
      <c r="D34" s="920" t="s">
        <v>1575</v>
      </c>
      <c r="E34" s="920">
        <v>2</v>
      </c>
      <c r="F34" s="1090">
        <f>VLOOKUP(C34,'SOR RATE'!A:D,4,0)</f>
        <v>84.32</v>
      </c>
      <c r="G34" s="1090">
        <f t="shared" si="2"/>
        <v>168.64</v>
      </c>
    </row>
    <row r="35" spans="1:10" ht="18" customHeight="1">
      <c r="A35" s="3102"/>
      <c r="B35" s="1104" t="s">
        <v>1583</v>
      </c>
      <c r="C35" s="1249">
        <v>7130620637</v>
      </c>
      <c r="D35" s="920" t="s">
        <v>1575</v>
      </c>
      <c r="E35" s="920">
        <v>4</v>
      </c>
      <c r="F35" s="1090">
        <f>VLOOKUP(C35,'SOR RATE'!A:D,4,0)</f>
        <v>84.32</v>
      </c>
      <c r="G35" s="1090">
        <f t="shared" si="2"/>
        <v>337.28</v>
      </c>
    </row>
    <row r="36" spans="1:10" ht="18" customHeight="1">
      <c r="A36" s="1250">
        <v>18</v>
      </c>
      <c r="B36" s="1116" t="s">
        <v>48</v>
      </c>
      <c r="C36" s="1162"/>
      <c r="D36" s="920"/>
      <c r="E36" s="920"/>
      <c r="F36" s="1090"/>
      <c r="G36" s="924">
        <f>SUM(G10:G35)</f>
        <v>119680.49705200001</v>
      </c>
    </row>
    <row r="37" spans="1:10" ht="32.25" customHeight="1">
      <c r="A37" s="1251">
        <v>19</v>
      </c>
      <c r="B37" s="1116" t="s">
        <v>49</v>
      </c>
      <c r="C37" s="1162"/>
      <c r="D37" s="920"/>
      <c r="E37" s="920"/>
      <c r="F37" s="1090"/>
      <c r="G37" s="924">
        <f>G36/1.18</f>
        <v>101424.15004406781</v>
      </c>
      <c r="H37" s="193"/>
    </row>
    <row r="38" spans="1:10" ht="18.75" customHeight="1">
      <c r="A38" s="1138">
        <v>20</v>
      </c>
      <c r="B38" s="1097" t="s">
        <v>50</v>
      </c>
      <c r="C38" s="1252"/>
      <c r="D38" s="1252"/>
      <c r="E38" s="1252"/>
      <c r="F38" s="1150">
        <v>7.4999999999999997E-2</v>
      </c>
      <c r="G38" s="1090">
        <f>G36*F38</f>
        <v>8976.0372788999994</v>
      </c>
      <c r="H38" s="17"/>
    </row>
    <row r="39" spans="1:10" ht="18.75" customHeight="1">
      <c r="A39" s="920">
        <v>21</v>
      </c>
      <c r="B39" s="923" t="s">
        <v>82</v>
      </c>
      <c r="C39" s="1162"/>
      <c r="D39" s="920" t="s">
        <v>76</v>
      </c>
      <c r="E39" s="920">
        <v>3.1</v>
      </c>
      <c r="F39" s="1054">
        <f>665.173187113158*1.043</f>
        <v>693.77563415902364</v>
      </c>
      <c r="G39" s="1090">
        <f>E39*F39</f>
        <v>2150.7044658929735</v>
      </c>
      <c r="H39" s="200"/>
      <c r="I39" s="186"/>
    </row>
    <row r="40" spans="1:10" ht="18.75" customHeight="1">
      <c r="A40" s="920">
        <v>22</v>
      </c>
      <c r="B40" s="1248" t="s">
        <v>1598</v>
      </c>
      <c r="C40" s="1162"/>
      <c r="D40" s="920"/>
      <c r="E40" s="920"/>
      <c r="F40" s="1090"/>
      <c r="G40" s="1090">
        <v>10395.629999999999</v>
      </c>
    </row>
    <row r="41" spans="1:10" ht="21" customHeight="1">
      <c r="A41" s="920">
        <v>23</v>
      </c>
      <c r="B41" s="1104" t="s">
        <v>1661</v>
      </c>
      <c r="C41" s="1162"/>
      <c r="D41" s="920" t="s">
        <v>181</v>
      </c>
      <c r="E41" s="920"/>
      <c r="F41" s="1090"/>
      <c r="G41" s="1126">
        <f>G37*0.04</f>
        <v>4056.9660017627125</v>
      </c>
      <c r="H41" s="754" t="s">
        <v>1827</v>
      </c>
      <c r="J41" s="177"/>
    </row>
    <row r="42" spans="1:10" ht="48" customHeight="1">
      <c r="A42" s="920">
        <v>24</v>
      </c>
      <c r="B42" s="1097" t="s">
        <v>1599</v>
      </c>
      <c r="C42" s="1162"/>
      <c r="D42" s="920"/>
      <c r="E42" s="920"/>
      <c r="F42" s="1090"/>
      <c r="G42" s="1126">
        <f>(G36+G38+G39+G40+G41)*0.125</f>
        <v>18157.479349819463</v>
      </c>
      <c r="H42" s="201"/>
      <c r="J42" s="177"/>
    </row>
    <row r="43" spans="1:10" ht="32.25" customHeight="1">
      <c r="A43" s="921">
        <v>25</v>
      </c>
      <c r="B43" s="1128" t="s">
        <v>1600</v>
      </c>
      <c r="C43" s="1162"/>
      <c r="D43" s="920"/>
      <c r="E43" s="920"/>
      <c r="F43" s="1090"/>
      <c r="G43" s="924">
        <f>G37+G38+G39+G40+G41+G42</f>
        <v>145160.96714044298</v>
      </c>
    </row>
    <row r="44" spans="1:10" ht="18.75" customHeight="1">
      <c r="A44" s="920">
        <v>26</v>
      </c>
      <c r="B44" s="1097" t="s">
        <v>1601</v>
      </c>
      <c r="C44" s="1162"/>
      <c r="D44" s="920"/>
      <c r="E44" s="920"/>
      <c r="F44" s="1090">
        <v>0.09</v>
      </c>
      <c r="G44" s="1090">
        <f>G43*F44</f>
        <v>13064.487042639868</v>
      </c>
    </row>
    <row r="45" spans="1:10" ht="18.75" customHeight="1">
      <c r="A45" s="920">
        <v>27</v>
      </c>
      <c r="B45" s="1097" t="s">
        <v>1602</v>
      </c>
      <c r="C45" s="1162"/>
      <c r="D45" s="920"/>
      <c r="E45" s="920"/>
      <c r="F45" s="1090">
        <v>0.09</v>
      </c>
      <c r="G45" s="1090">
        <f>G43*F45</f>
        <v>13064.487042639868</v>
      </c>
      <c r="H45" s="398"/>
      <c r="I45" s="212"/>
    </row>
    <row r="46" spans="1:10" ht="32.25" customHeight="1">
      <c r="A46" s="920">
        <v>28</v>
      </c>
      <c r="B46" s="1097" t="s">
        <v>1603</v>
      </c>
      <c r="C46" s="1162"/>
      <c r="D46" s="920"/>
      <c r="E46" s="920"/>
      <c r="F46" s="1090"/>
      <c r="G46" s="1090">
        <f>G43+G44+G45</f>
        <v>171289.94122572272</v>
      </c>
    </row>
    <row r="47" spans="1:10" ht="32.25" customHeight="1">
      <c r="A47" s="921">
        <v>29</v>
      </c>
      <c r="B47" s="1128" t="s">
        <v>59</v>
      </c>
      <c r="C47" s="1162"/>
      <c r="D47" s="920"/>
      <c r="E47" s="920"/>
      <c r="F47" s="1090"/>
      <c r="G47" s="924">
        <f>ROUND((G46),0)</f>
        <v>171290</v>
      </c>
    </row>
    <row r="48" spans="1:10" ht="15">
      <c r="A48" s="44"/>
      <c r="B48" s="423"/>
      <c r="C48" s="423"/>
      <c r="D48" s="423"/>
      <c r="E48" s="423"/>
      <c r="F48" s="423"/>
      <c r="G48" s="423"/>
      <c r="H48" s="423"/>
      <c r="I48" s="423"/>
    </row>
    <row r="49" spans="1:9" ht="15">
      <c r="A49" s="44"/>
      <c r="B49" s="423"/>
      <c r="C49" s="423"/>
      <c r="D49" s="423"/>
      <c r="E49" s="423"/>
      <c r="F49" s="423"/>
      <c r="G49" s="423"/>
      <c r="H49" s="423"/>
      <c r="I49" s="423"/>
    </row>
    <row r="50" spans="1:9" ht="15">
      <c r="A50" s="44"/>
      <c r="B50" s="423"/>
      <c r="C50" s="423"/>
      <c r="D50" s="423"/>
      <c r="E50" s="423"/>
      <c r="F50" s="423"/>
      <c r="G50" s="423"/>
      <c r="H50" s="423"/>
      <c r="I50" s="423"/>
    </row>
    <row r="51" spans="1:9" ht="15">
      <c r="A51" s="44"/>
      <c r="B51" s="423"/>
      <c r="C51" s="423"/>
      <c r="D51" s="423"/>
      <c r="E51" s="423"/>
      <c r="F51" s="423"/>
      <c r="G51" s="423"/>
      <c r="H51" s="423"/>
      <c r="I51" s="423"/>
    </row>
    <row r="52" spans="1:9" ht="15">
      <c r="A52" s="44"/>
      <c r="B52" s="423"/>
      <c r="C52" s="423"/>
      <c r="D52" s="423"/>
      <c r="E52" s="423"/>
      <c r="F52" s="423"/>
      <c r="G52" s="423"/>
    </row>
    <row r="53" spans="1:9" ht="15">
      <c r="A53" s="44"/>
      <c r="B53" s="423"/>
      <c r="C53" s="423"/>
      <c r="D53" s="423"/>
      <c r="E53" s="423"/>
      <c r="F53" s="423"/>
      <c r="G53" s="423"/>
    </row>
    <row r="54" spans="1:9" ht="15">
      <c r="A54" s="44"/>
      <c r="B54" s="423"/>
      <c r="C54" s="423"/>
      <c r="D54" s="423"/>
      <c r="E54" s="423"/>
      <c r="F54" s="423"/>
      <c r="G54" s="423"/>
    </row>
    <row r="55" spans="1:9" ht="15">
      <c r="A55" s="44"/>
      <c r="B55" s="423"/>
      <c r="C55" s="423"/>
      <c r="D55" s="423"/>
      <c r="E55" s="423"/>
      <c r="F55" s="423"/>
      <c r="G55" s="423"/>
    </row>
    <row r="56" spans="1:9" ht="15">
      <c r="A56" s="44"/>
      <c r="B56" s="423"/>
      <c r="C56" s="423"/>
      <c r="D56" s="423"/>
      <c r="E56" s="423"/>
      <c r="F56" s="423"/>
      <c r="G56" s="423"/>
    </row>
    <row r="57" spans="1:9" ht="15">
      <c r="A57" s="44"/>
      <c r="B57" s="423"/>
      <c r="C57" s="423"/>
      <c r="D57" s="423"/>
      <c r="E57" s="423"/>
      <c r="F57" s="423"/>
      <c r="G57" s="423"/>
    </row>
    <row r="58" spans="1:9" ht="15">
      <c r="A58" s="44"/>
      <c r="B58" s="423"/>
      <c r="C58" s="423"/>
      <c r="D58" s="423"/>
      <c r="E58" s="423"/>
      <c r="F58" s="423"/>
      <c r="G58" s="423"/>
    </row>
    <row r="59" spans="1:9" ht="15">
      <c r="A59" s="44"/>
      <c r="B59" s="423"/>
      <c r="C59" s="423"/>
      <c r="D59" s="423"/>
      <c r="E59" s="423"/>
      <c r="F59" s="423"/>
      <c r="G59" s="423"/>
    </row>
    <row r="60" spans="1:9" ht="15">
      <c r="A60" s="44"/>
      <c r="B60" s="423"/>
      <c r="C60" s="423"/>
      <c r="D60" s="423"/>
      <c r="E60" s="423"/>
      <c r="F60" s="423"/>
      <c r="G60" s="423"/>
    </row>
    <row r="61" spans="1:9" ht="15">
      <c r="A61" s="44"/>
      <c r="B61" s="423"/>
      <c r="C61" s="423"/>
      <c r="D61" s="423"/>
      <c r="E61" s="423"/>
      <c r="F61" s="423"/>
      <c r="G61" s="423"/>
    </row>
    <row r="62" spans="1:9" ht="15">
      <c r="A62" s="44"/>
      <c r="B62" s="423"/>
      <c r="C62" s="423"/>
      <c r="D62" s="423"/>
      <c r="E62" s="423"/>
      <c r="F62" s="423"/>
      <c r="G62" s="423"/>
    </row>
    <row r="63" spans="1:9" ht="15">
      <c r="A63" s="44"/>
      <c r="B63" s="423"/>
      <c r="C63" s="423"/>
      <c r="D63" s="423"/>
      <c r="E63" s="423"/>
      <c r="F63" s="423"/>
      <c r="G63" s="423"/>
    </row>
    <row r="64" spans="1:9" ht="15">
      <c r="A64" s="44"/>
      <c r="B64" s="423"/>
      <c r="C64" s="423"/>
      <c r="D64" s="423"/>
      <c r="E64" s="423"/>
      <c r="F64" s="423"/>
      <c r="G64" s="423"/>
    </row>
    <row r="65" spans="1:7" ht="15">
      <c r="A65" s="44"/>
      <c r="B65" s="423"/>
      <c r="C65" s="423"/>
      <c r="D65" s="423"/>
      <c r="E65" s="423"/>
      <c r="F65" s="423"/>
      <c r="G65" s="423"/>
    </row>
    <row r="66" spans="1:7" ht="15">
      <c r="A66" s="44"/>
      <c r="B66" s="450"/>
      <c r="C66" s="423"/>
      <c r="D66" s="423"/>
      <c r="E66" s="423"/>
      <c r="F66" s="423"/>
      <c r="G66" s="423"/>
    </row>
    <row r="67" spans="1:7" ht="15">
      <c r="A67" s="44"/>
      <c r="B67" s="450"/>
      <c r="C67" s="423"/>
      <c r="D67" s="423"/>
      <c r="E67" s="423"/>
      <c r="F67" s="423"/>
      <c r="G67" s="423"/>
    </row>
    <row r="68" spans="1:7" ht="15">
      <c r="A68" s="44"/>
      <c r="B68" s="450"/>
      <c r="C68" s="423"/>
      <c r="D68" s="423"/>
      <c r="E68" s="423"/>
      <c r="F68" s="423"/>
      <c r="G68" s="423"/>
    </row>
    <row r="69" spans="1:7" ht="15">
      <c r="A69" s="44"/>
      <c r="B69" s="450"/>
      <c r="C69" s="423"/>
      <c r="D69" s="423"/>
      <c r="E69" s="423"/>
      <c r="F69" s="423"/>
      <c r="G69" s="423"/>
    </row>
    <row r="70" spans="1:7" ht="15">
      <c r="A70" s="44"/>
      <c r="B70" s="423"/>
      <c r="C70" s="423"/>
      <c r="D70" s="423"/>
      <c r="E70" s="423"/>
      <c r="F70" s="423"/>
      <c r="G70" s="423"/>
    </row>
    <row r="71" spans="1:7" ht="15">
      <c r="A71" s="44"/>
      <c r="B71" s="423"/>
      <c r="C71" s="423"/>
      <c r="D71" s="423"/>
      <c r="E71" s="423"/>
      <c r="F71" s="423"/>
      <c r="G71" s="423"/>
    </row>
    <row r="72" spans="1:7" ht="15">
      <c r="A72" s="44"/>
      <c r="B72" s="423"/>
      <c r="C72" s="423"/>
      <c r="D72" s="423"/>
      <c r="E72" s="423"/>
      <c r="F72" s="423"/>
      <c r="G72" s="423"/>
    </row>
    <row r="73" spans="1:7" ht="15">
      <c r="A73" s="44"/>
      <c r="B73" s="423"/>
      <c r="C73" s="423"/>
      <c r="D73" s="423"/>
      <c r="E73" s="423"/>
      <c r="F73" s="423"/>
      <c r="G73" s="423"/>
    </row>
    <row r="74" spans="1:7" ht="15">
      <c r="A74" s="44"/>
      <c r="B74" s="423"/>
      <c r="C74" s="423"/>
      <c r="D74" s="423"/>
      <c r="E74" s="423"/>
      <c r="F74" s="423"/>
      <c r="G74" s="423"/>
    </row>
    <row r="75" spans="1:7" ht="15">
      <c r="A75" s="44"/>
      <c r="B75" s="423"/>
      <c r="C75" s="423"/>
      <c r="D75" s="423"/>
      <c r="E75" s="423"/>
      <c r="F75" s="423"/>
      <c r="G75" s="423"/>
    </row>
  </sheetData>
  <mergeCells count="10">
    <mergeCell ref="A16:A18"/>
    <mergeCell ref="A28:A35"/>
    <mergeCell ref="B1:D1"/>
    <mergeCell ref="B3:G3"/>
    <mergeCell ref="F5:G5"/>
    <mergeCell ref="A7:A8"/>
    <mergeCell ref="B7:B8"/>
    <mergeCell ref="C7:C8"/>
    <mergeCell ref="D7:D8"/>
    <mergeCell ref="E7:G7"/>
  </mergeCells>
  <conditionalFormatting sqref="B36">
    <cfRule type="cellIs" dxfId="138" priority="2" stopIfTrue="1" operator="equal">
      <formula>"?"</formula>
    </cfRule>
  </conditionalFormatting>
  <conditionalFormatting sqref="B37">
    <cfRule type="cellIs" dxfId="137" priority="1" stopIfTrue="1" operator="equal">
      <formula>"?"</formula>
    </cfRule>
  </conditionalFormatting>
  <printOptions horizontalCentered="1"/>
  <pageMargins left="0.65" right="0.16" top="0.82" bottom="0.31" header="0.5" footer="0.16"/>
  <pageSetup scale="12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75</vt:i4>
      </vt:variant>
    </vt:vector>
  </HeadingPairs>
  <TitlesOfParts>
    <vt:vector size="155" baseType="lpstr">
      <vt:lpstr>SOR RATE</vt:lpstr>
      <vt:lpstr>A-1</vt:lpstr>
      <vt:lpstr>A-2 (A)</vt:lpstr>
      <vt:lpstr>A-2 (B)</vt:lpstr>
      <vt:lpstr>A-3</vt:lpstr>
      <vt:lpstr>A-3 (A)</vt:lpstr>
      <vt:lpstr>A-3 (B)</vt:lpstr>
      <vt:lpstr>A-4</vt:lpstr>
      <vt:lpstr>A-5</vt:lpstr>
      <vt:lpstr>A-6</vt:lpstr>
      <vt:lpstr>A-7</vt:lpstr>
      <vt:lpstr>A-8</vt:lpstr>
      <vt:lpstr>A-9</vt:lpstr>
      <vt:lpstr>A-10</vt:lpstr>
      <vt:lpstr>A-11</vt:lpstr>
      <vt:lpstr>B-1</vt:lpstr>
      <vt:lpstr>B-2</vt:lpstr>
      <vt:lpstr>B-3</vt:lpstr>
      <vt:lpstr>B-4</vt:lpstr>
      <vt:lpstr>B-5</vt:lpstr>
      <vt:lpstr>B-6</vt:lpstr>
      <vt:lpstr>B-8</vt:lpstr>
      <vt:lpstr>B-9</vt:lpstr>
      <vt:lpstr>C-1</vt:lpstr>
      <vt:lpstr>C-2</vt:lpstr>
      <vt:lpstr>C-3</vt:lpstr>
      <vt:lpstr>C-3 (A)</vt:lpstr>
      <vt:lpstr>C-3 (B)</vt:lpstr>
      <vt:lpstr>C-3 (C)</vt:lpstr>
      <vt:lpstr>C-3 (D)</vt:lpstr>
      <vt:lpstr>C-3 (E)</vt:lpstr>
      <vt:lpstr>C-4</vt:lpstr>
      <vt:lpstr>C-5</vt:lpstr>
      <vt:lpstr>C-6</vt:lpstr>
      <vt:lpstr>C-7(A-1)</vt:lpstr>
      <vt:lpstr>C-7(A-2)</vt:lpstr>
      <vt:lpstr>C-7(B-1)</vt:lpstr>
      <vt:lpstr>C-7 (B-1) A</vt:lpstr>
      <vt:lpstr>C-7 (B-1) B</vt:lpstr>
      <vt:lpstr>C-7(B-2)</vt:lpstr>
      <vt:lpstr>C-8</vt:lpstr>
      <vt:lpstr>C-9</vt:lpstr>
      <vt:lpstr>C-9 (A)</vt:lpstr>
      <vt:lpstr>C-10</vt:lpstr>
      <vt:lpstr>C-11</vt:lpstr>
      <vt:lpstr>C-12</vt:lpstr>
      <vt:lpstr>C-13</vt:lpstr>
      <vt:lpstr>C-14</vt:lpstr>
      <vt:lpstr>C-15</vt:lpstr>
      <vt:lpstr>C-16</vt:lpstr>
      <vt:lpstr>C-17</vt:lpstr>
      <vt:lpstr>C-18</vt:lpstr>
      <vt:lpstr>C-19</vt:lpstr>
      <vt:lpstr>C-20</vt:lpstr>
      <vt:lpstr>C-21</vt:lpstr>
      <vt:lpstr>C-22</vt:lpstr>
      <vt:lpstr>D-1</vt:lpstr>
      <vt:lpstr>D-2</vt:lpstr>
      <vt:lpstr>D-3</vt:lpstr>
      <vt:lpstr>D-4</vt:lpstr>
      <vt:lpstr>D-5</vt:lpstr>
      <vt:lpstr>D-6 (1)</vt:lpstr>
      <vt:lpstr>D-6 (2)</vt:lpstr>
      <vt:lpstr>D-6 (3)</vt:lpstr>
      <vt:lpstr>D-6 (4)</vt:lpstr>
      <vt:lpstr>D-6 (B)</vt:lpstr>
      <vt:lpstr>D-7</vt:lpstr>
      <vt:lpstr>D-8</vt:lpstr>
      <vt:lpstr>D-9</vt:lpstr>
      <vt:lpstr>D-10</vt:lpstr>
      <vt:lpstr>D-11</vt:lpstr>
      <vt:lpstr>D-12</vt:lpstr>
      <vt:lpstr>D-13</vt:lpstr>
      <vt:lpstr>D-14</vt:lpstr>
      <vt:lpstr>E-1</vt:lpstr>
      <vt:lpstr>E-2</vt:lpstr>
      <vt:lpstr>E-3</vt:lpstr>
      <vt:lpstr>E-4</vt:lpstr>
      <vt:lpstr>E-5</vt:lpstr>
      <vt:lpstr>E-6</vt:lpstr>
      <vt:lpstr>'D-5'!Print_Area</vt:lpstr>
      <vt:lpstr>'SOR RATE'!Print_Area</vt:lpstr>
      <vt:lpstr>'A-1'!Print_Titles</vt:lpstr>
      <vt:lpstr>'A-10'!Print_Titles</vt:lpstr>
      <vt:lpstr>'A-11'!Print_Titles</vt:lpstr>
      <vt:lpstr>'A-2 (A)'!Print_Titles</vt:lpstr>
      <vt:lpstr>'A-2 (B)'!Print_Titles</vt:lpstr>
      <vt:lpstr>'A-3'!Print_Titles</vt:lpstr>
      <vt:lpstr>'A-3 (A)'!Print_Titles</vt:lpstr>
      <vt:lpstr>'A-3 (B)'!Print_Titles</vt:lpstr>
      <vt:lpstr>'A-4'!Print_Titles</vt:lpstr>
      <vt:lpstr>'A-5'!Print_Titles</vt:lpstr>
      <vt:lpstr>'A-6'!Print_Titles</vt:lpstr>
      <vt:lpstr>'A-7'!Print_Titles</vt:lpstr>
      <vt:lpstr>'A-8'!Print_Titles</vt:lpstr>
      <vt:lpstr>'A-9'!Print_Titles</vt:lpstr>
      <vt:lpstr>'B-1'!Print_Titles</vt:lpstr>
      <vt:lpstr>'B-2'!Print_Titles</vt:lpstr>
      <vt:lpstr>'B-3'!Print_Titles</vt:lpstr>
      <vt:lpstr>'B-4'!Print_Titles</vt:lpstr>
      <vt:lpstr>'B-5'!Print_Titles</vt:lpstr>
      <vt:lpstr>'B-6'!Print_Titles</vt:lpstr>
      <vt:lpstr>'B-8'!Print_Titles</vt:lpstr>
      <vt:lpstr>'B-9'!Print_Titles</vt:lpstr>
      <vt:lpstr>'C-1'!Print_Titles</vt:lpstr>
      <vt:lpstr>'C-10'!Print_Titles</vt:lpstr>
      <vt:lpstr>'C-11'!Print_Titles</vt:lpstr>
      <vt:lpstr>'C-12'!Print_Titles</vt:lpstr>
      <vt:lpstr>'C-13'!Print_Titles</vt:lpstr>
      <vt:lpstr>'C-14'!Print_Titles</vt:lpstr>
      <vt:lpstr>'C-15'!Print_Titles</vt:lpstr>
      <vt:lpstr>'C-17'!Print_Titles</vt:lpstr>
      <vt:lpstr>'C-18'!Print_Titles</vt:lpstr>
      <vt:lpstr>'C-19'!Print_Titles</vt:lpstr>
      <vt:lpstr>'C-2'!Print_Titles</vt:lpstr>
      <vt:lpstr>'C-21'!Print_Titles</vt:lpstr>
      <vt:lpstr>'C-22'!Print_Titles</vt:lpstr>
      <vt:lpstr>'C-3'!Print_Titles</vt:lpstr>
      <vt:lpstr>'C-3 (A)'!Print_Titles</vt:lpstr>
      <vt:lpstr>'C-3 (B)'!Print_Titles</vt:lpstr>
      <vt:lpstr>'C-3 (C)'!Print_Titles</vt:lpstr>
      <vt:lpstr>'C-3 (D)'!Print_Titles</vt:lpstr>
      <vt:lpstr>'C-3 (E)'!Print_Titles</vt:lpstr>
      <vt:lpstr>'C-4'!Print_Titles</vt:lpstr>
      <vt:lpstr>'C-5'!Print_Titles</vt:lpstr>
      <vt:lpstr>'C-6'!Print_Titles</vt:lpstr>
      <vt:lpstr>'C-7 (B-1) A'!Print_Titles</vt:lpstr>
      <vt:lpstr>'C-7 (B-1) B'!Print_Titles</vt:lpstr>
      <vt:lpstr>'C-7(A-1)'!Print_Titles</vt:lpstr>
      <vt:lpstr>'C-7(A-2)'!Print_Titles</vt:lpstr>
      <vt:lpstr>'C-7(B-1)'!Print_Titles</vt:lpstr>
      <vt:lpstr>'C-7(B-2)'!Print_Titles</vt:lpstr>
      <vt:lpstr>'C-8'!Print_Titles</vt:lpstr>
      <vt:lpstr>'C-9'!Print_Titles</vt:lpstr>
      <vt:lpstr>'C-9 (A)'!Print_Titles</vt:lpstr>
      <vt:lpstr>'D-1'!Print_Titles</vt:lpstr>
      <vt:lpstr>'D-10'!Print_Titles</vt:lpstr>
      <vt:lpstr>'D-11'!Print_Titles</vt:lpstr>
      <vt:lpstr>'D-12'!Print_Titles</vt:lpstr>
      <vt:lpstr>'D-13'!Print_Titles</vt:lpstr>
      <vt:lpstr>'D-2'!Print_Titles</vt:lpstr>
      <vt:lpstr>'D-3'!Print_Titles</vt:lpstr>
      <vt:lpstr>'D-4'!Print_Titles</vt:lpstr>
      <vt:lpstr>'D-5'!Print_Titles</vt:lpstr>
      <vt:lpstr>'D-6 (1)'!Print_Titles</vt:lpstr>
      <vt:lpstr>'D-6 (2)'!Print_Titles</vt:lpstr>
      <vt:lpstr>'D-6 (3)'!Print_Titles</vt:lpstr>
      <vt:lpstr>'D-6 (4)'!Print_Titles</vt:lpstr>
      <vt:lpstr>'D-7'!Print_Titles</vt:lpstr>
      <vt:lpstr>'D-8'!Print_Titles</vt:lpstr>
      <vt:lpstr>'D-9'!Print_Titles</vt:lpstr>
      <vt:lpstr>'E-3'!Print_Titles</vt:lpstr>
      <vt:lpstr>'E-5'!Print_Titles</vt:lpstr>
      <vt:lpstr>'E-6'!Print_Titles</vt:lpstr>
      <vt:lpstr>'SOR RATE'!Print_Titles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Barun Chakraborty</dc:creator>
  <cp:lastModifiedBy>Barun Chakraborty</cp:lastModifiedBy>
  <cp:lastPrinted>2024-02-28T13:57:23Z</cp:lastPrinted>
  <dcterms:created xsi:type="dcterms:W3CDTF">2023-06-10T08:29:04Z</dcterms:created>
  <dcterms:modified xsi:type="dcterms:W3CDTF">2024-02-28T14:25:47Z</dcterms:modified>
</cp:coreProperties>
</file>